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Board Materials\2025 LHC Board Matters\Budget and Finance Committee Meetings 2025\Tuesday, September 09, 2025\"/>
    </mc:Choice>
  </mc:AlternateContent>
  <bookViews>
    <workbookView xWindow="0" yWindow="0" windowWidth="28800" windowHeight="12180" firstSheet="4" activeTab="4"/>
  </bookViews>
  <sheets>
    <sheet name="Summary" sheetId="5" state="hidden" r:id="rId1"/>
    <sheet name="HUD Disposition Prop" sheetId="18" state="hidden" r:id="rId2"/>
    <sheet name="Sum by Bud Unit CD-MW" sheetId="20" state="hidden" r:id="rId3"/>
    <sheet name="PGM Revenues CD-MW" sheetId="19" state="hidden" r:id="rId4"/>
    <sheet name="Sum by Bud Unit JGH" sheetId="22" r:id="rId5"/>
    <sheet name="PGM Revenues JGH" sheetId="21" r:id="rId6"/>
    <sheet name="MF Issuer Fees" sheetId="16" state="hidden" r:id="rId7"/>
    <sheet name="SF Issuer Fees" sheetId="17" state="hidden" r:id="rId8"/>
    <sheet name="Total Expenses" sheetId="12" r:id="rId9"/>
    <sheet name="HR" sheetId="6" r:id="rId10"/>
    <sheet name="Travel" sheetId="9" r:id="rId11"/>
    <sheet name="Bldg Maint ONLY" sheetId="10" r:id="rId12"/>
    <sheet name="Prof Serv" sheetId="3" r:id="rId13"/>
    <sheet name="Other Operating Expenses" sheetId="8" r:id="rId14"/>
    <sheet name="Supplies" sheetId="14" r:id="rId15"/>
    <sheet name="Capital Exp" sheetId="15" r:id="rId16"/>
    <sheet name="Program Definitions" sheetId="11" state="hidden" r:id="rId17"/>
    <sheet name="Lists" sheetId="7" r:id="rId18"/>
  </sheets>
  <externalReferences>
    <externalReference r:id="rId19"/>
    <externalReference r:id="rId20"/>
    <externalReference r:id="rId21"/>
    <externalReference r:id="rId22"/>
  </externalReferences>
  <definedNames>
    <definedName name="_xlnm._FilterDatabase" localSheetId="11" hidden="1">'Bldg Maint ONLY'!$A$28:$W$300</definedName>
    <definedName name="_xlnm._FilterDatabase" localSheetId="15" hidden="1">'Capital Exp'!$A$25:$N$199</definedName>
    <definedName name="_xlnm._FilterDatabase" localSheetId="9" hidden="1">HR!$A$26:$AA$636</definedName>
    <definedName name="_xlnm._FilterDatabase" localSheetId="17" hidden="1">Lists!$A$24:$B$212</definedName>
    <definedName name="_xlnm._FilterDatabase" localSheetId="13" hidden="1">'Other Operating Expenses'!$A$25:$N$593</definedName>
    <definedName name="_xlnm._FilterDatabase" localSheetId="12" hidden="1">'Prof Serv'!$A$25:$N$355</definedName>
    <definedName name="_xlnm._FilterDatabase" localSheetId="14" hidden="1">Supplies!$A$25:$N$181</definedName>
    <definedName name="_xlnm._FilterDatabase" localSheetId="8" hidden="1">'Total Expenses'!$A$33:$X$33</definedName>
    <definedName name="_xlnm._FilterDatabase" localSheetId="10" hidden="1">Travel!$A$25:$P$321</definedName>
    <definedName name="Accounting" localSheetId="5">#REF!</definedName>
    <definedName name="Accounting" localSheetId="2">#REF!</definedName>
    <definedName name="Accounting" localSheetId="4">#REF!</definedName>
    <definedName name="Accounting">#REF!</definedName>
    <definedName name="Administration" localSheetId="5">#REF!</definedName>
    <definedName name="Administration" localSheetId="2">#REF!</definedName>
    <definedName name="Administration" localSheetId="4">#REF!</definedName>
    <definedName name="Administration">#REF!</definedName>
    <definedName name="BldgExpCodes">Lists!$A$519:$B$539</definedName>
    <definedName name="Board" localSheetId="5">#REF!</definedName>
    <definedName name="Board" localSheetId="2">#REF!</definedName>
    <definedName name="Board" localSheetId="4">#REF!</definedName>
    <definedName name="Board">#REF!</definedName>
    <definedName name="Budgets" localSheetId="3">[1]Lists!$A$2:$A$19</definedName>
    <definedName name="Budgets" localSheetId="5">[1]Lists!$A$2:$A$19</definedName>
    <definedName name="Budgets">Lists!$A$2:$A$21</definedName>
    <definedName name="BudgetUnits" localSheetId="5">#REF!</definedName>
    <definedName name="BudgetUnits" localSheetId="2">#REF!</definedName>
    <definedName name="BudgetUnits" localSheetId="4">#REF!</definedName>
    <definedName name="BudgetUnits">#REF!</definedName>
    <definedName name="BuildingCodes">Lists!$A$569:$A$589</definedName>
    <definedName name="BuildingExpenses">Lists!$A$519:$A$539</definedName>
    <definedName name="CAPCalcs">'Total Expenses'!$AB$32:$AE$223</definedName>
    <definedName name="Capital">Lists!$A$610:$A$616</definedName>
    <definedName name="CapitalCodes">Lists!$A$610:$B$616</definedName>
    <definedName name="Classification">Lists!$A$467:$A$469</definedName>
    <definedName name="CODES" localSheetId="3">[2]Lists!$A$2:$A$63</definedName>
    <definedName name="CODES" localSheetId="5">[2]Lists!$A$2:$A$63</definedName>
    <definedName name="Codes">[3]Codes!$A$1:$A$139</definedName>
    <definedName name="Compliance" localSheetId="5">#REF!</definedName>
    <definedName name="Compliance" localSheetId="2">#REF!</definedName>
    <definedName name="ContinuingNew" localSheetId="5">#REF!</definedName>
    <definedName name="ContinuingNew" localSheetId="2">#REF!</definedName>
    <definedName name="ContinuingNew" localSheetId="4">#REF!</definedName>
    <definedName name="ContinuingNew">#REF!</definedName>
    <definedName name="Contract">Lists!$A$485:$A$491</definedName>
    <definedName name="Contract_Administration" localSheetId="2">#REF!</definedName>
    <definedName name="Contract_Administration">#REF!</definedName>
    <definedName name="ContractStatus">Lists!$A$494:$A$497</definedName>
    <definedName name="ContractTypes" localSheetId="5">#REF!</definedName>
    <definedName name="ContractTypes" localSheetId="2">#REF!</definedName>
    <definedName name="ContractTypes" localSheetId="4">#REF!</definedName>
    <definedName name="ContractTypes">#REF!</definedName>
    <definedName name="Desk_Monitoring" localSheetId="5">#REF!</definedName>
    <definedName name="Desk_Monitoring" localSheetId="2">#REF!</definedName>
    <definedName name="Desk_Monitoring" localSheetId="4">#REF!</definedName>
    <definedName name="Desk_Monitoring">#REF!</definedName>
    <definedName name="EEStatus">Lists!$A$472:$A$478</definedName>
    <definedName name="Elective_Required" localSheetId="5">#REF!</definedName>
    <definedName name="Elective_Required" localSheetId="2">#REF!</definedName>
    <definedName name="Elective_Required" localSheetId="4">#REF!</definedName>
    <definedName name="Elective_Required">#REF!</definedName>
    <definedName name="Employees">Lists!$A$260:$A$457</definedName>
    <definedName name="Energy" localSheetId="5">#REF!</definedName>
    <definedName name="Energy" localSheetId="2">#REF!</definedName>
    <definedName name="Energy" localSheetId="4">#REF!</definedName>
    <definedName name="Energy">#REF!</definedName>
    <definedName name="Existing">Lists!$A$461:$A$464</definedName>
    <definedName name="Funded">Lists!$A$481:$A$482</definedName>
    <definedName name="Funding" localSheetId="3">[1]Lists!$A$23:$A$86</definedName>
    <definedName name="Funding" localSheetId="5">[1]Lists!$A$23:$A$86</definedName>
    <definedName name="Funding">Lists!$A$25:$A$225</definedName>
    <definedName name="FundingSources" localSheetId="5">#REF!</definedName>
    <definedName name="FundingSources" localSheetId="2">#REF!</definedName>
    <definedName name="FundingSources" localSheetId="4">#REF!</definedName>
    <definedName name="FundingSources">#REF!</definedName>
    <definedName name="Homeowner_Repair" localSheetId="5">#REF!</definedName>
    <definedName name="Homeowner_Repair" localSheetId="2">#REF!</definedName>
    <definedName name="Homeowner_Repair" localSheetId="4">#REF!</definedName>
    <definedName name="Homeowner_Repair">#REF!</definedName>
    <definedName name="HRDept" localSheetId="5">#REF!</definedName>
    <definedName name="HRDept" localSheetId="2">#REF!</definedName>
    <definedName name="HRDept" localSheetId="4">#REF!</definedName>
    <definedName name="HRDept">#REF!</definedName>
    <definedName name="HRDEPT1" localSheetId="5">#REF!</definedName>
    <definedName name="HRDEPT1" localSheetId="2">#REF!</definedName>
    <definedName name="HRDEPT1" localSheetId="4">#REF!</definedName>
    <definedName name="HRDEPT1">#REF!</definedName>
    <definedName name="HRSummaryDept" localSheetId="5">#REF!</definedName>
    <definedName name="HRSummaryDept" localSheetId="2">#REF!</definedName>
    <definedName name="HRSummaryDept" localSheetId="4">#REF!</definedName>
    <definedName name="HRSummaryDept">#REF!</definedName>
    <definedName name="Human_Resources" localSheetId="5">#REF!</definedName>
    <definedName name="Human_Resources" localSheetId="2">#REF!</definedName>
    <definedName name="Human_Resources" localSheetId="4">#REF!</definedName>
    <definedName name="Human_Resources">#REF!</definedName>
    <definedName name="In_State_Out" localSheetId="5">#REF!</definedName>
    <definedName name="In_State_Out" localSheetId="2">#REF!</definedName>
    <definedName name="In_State_Out" localSheetId="4">#REF!</definedName>
    <definedName name="In_State_Out">#REF!</definedName>
    <definedName name="Internal_Audit" localSheetId="5">#REF!</definedName>
    <definedName name="Internal_Audit" localSheetId="2">#REF!</definedName>
    <definedName name="Internal_Audit" localSheetId="4">#REF!</definedName>
    <definedName name="Internal_Audit">#REF!</definedName>
    <definedName name="Legal" localSheetId="5">#REF!</definedName>
    <definedName name="Legal" localSheetId="2">#REF!</definedName>
    <definedName name="Legal" localSheetId="4">#REF!</definedName>
    <definedName name="Legal">#REF!</definedName>
    <definedName name="LHA" localSheetId="5">#REF!</definedName>
    <definedName name="LHA" localSheetId="2">#REF!</definedName>
    <definedName name="LHA" localSheetId="4">#REF!</definedName>
    <definedName name="LHA">#REF!</definedName>
    <definedName name="Location">Lists!$A$542:$A$546</definedName>
    <definedName name="Multifamily" localSheetId="5">#REF!</definedName>
    <definedName name="Multifamily" localSheetId="2">#REF!</definedName>
    <definedName name="Multifamily" localSheetId="4">#REF!</definedName>
    <definedName name="Multifamily">#REF!</definedName>
    <definedName name="One_time_recurring" localSheetId="5">#REF!</definedName>
    <definedName name="One_time_recurring" localSheetId="2">#REF!</definedName>
    <definedName name="One_time_recurring" localSheetId="4">#REF!</definedName>
    <definedName name="One_time_recurring">#REF!</definedName>
    <definedName name="OperatingServices" localSheetId="5">#REF!</definedName>
    <definedName name="OperatingServices" localSheetId="2">#REF!</definedName>
    <definedName name="OperatingServices" localSheetId="4">#REF!</definedName>
    <definedName name="OperatingServices">#REF!</definedName>
    <definedName name="Operations" localSheetId="5">#REF!</definedName>
    <definedName name="Operations" localSheetId="2">#REF!</definedName>
    <definedName name="Operations" localSheetId="4">#REF!</definedName>
    <definedName name="Operations">#REF!</definedName>
    <definedName name="OperDept" localSheetId="5">#REF!</definedName>
    <definedName name="OperDept" localSheetId="2">#REF!</definedName>
    <definedName name="OperDept" localSheetId="4">#REF!</definedName>
    <definedName name="OperDept">#REF!</definedName>
    <definedName name="OtherExpenses">Lists!$A$500:$A$516</definedName>
    <definedName name="OtherOperatingCodes">Lists!$B$500:$B$516</definedName>
    <definedName name="OtherOperatingExpenses">Lists!$A$500:$B$516</definedName>
    <definedName name="PayrollData">HR!$A$27:$Z$598</definedName>
    <definedName name="Performance_Reporting" localSheetId="5">#REF!</definedName>
    <definedName name="Performance_Reporting" localSheetId="2">#REF!</definedName>
    <definedName name="Performance_Reporting" localSheetId="4">#REF!</definedName>
    <definedName name="Performance_Reporting">#REF!</definedName>
    <definedName name="PersonnelType" localSheetId="5">#REF!</definedName>
    <definedName name="PersonnelType" localSheetId="2">#REF!</definedName>
    <definedName name="PersonnelType" localSheetId="4">#REF!</definedName>
    <definedName name="PersonnelType">#REF!</definedName>
    <definedName name="_xlnm.Print_Area" localSheetId="11">'Bldg Maint ONLY'!$A$29:$O$279</definedName>
    <definedName name="_xlnm.Print_Area" localSheetId="15">'Capital Exp'!$A$26:$N$59</definedName>
    <definedName name="_xlnm.Print_Area" localSheetId="9">HR!$A$27:$Z$616</definedName>
    <definedName name="_xlnm.Print_Area" localSheetId="17">Lists!$A$1:$B$21</definedName>
    <definedName name="_xlnm.Print_Area" localSheetId="6">'MF Issuer Fees'!$A$1:$H$124</definedName>
    <definedName name="_xlnm.Print_Area" localSheetId="13">'Other Operating Expenses'!$A$26:$N$213</definedName>
    <definedName name="_xlnm.Print_Area" localSheetId="3">'PGM Revenues CD-MW'!$A$1:$G$34</definedName>
    <definedName name="_xlnm.Print_Area" localSheetId="5">'PGM Revenues JGH'!$A$1:$F$37</definedName>
    <definedName name="_xlnm.Print_Area" localSheetId="12">'Prof Serv'!$B$26:$N$155</definedName>
    <definedName name="_xlnm.Print_Area" localSheetId="7">'SF Issuer Fees'!$A$1:$G$29</definedName>
    <definedName name="_xlnm.Print_Area" localSheetId="2">'Sum by Bud Unit CD-MW'!$C$4:$V$43</definedName>
    <definedName name="_xlnm.Print_Area" localSheetId="4">'Sum by Bud Unit JGH'!$A$1:$W$43</definedName>
    <definedName name="_xlnm.Print_Area" localSheetId="0">Summary!$B$4:$X$43</definedName>
    <definedName name="_xlnm.Print_Area" localSheetId="14">Supplies!$A$26:$N$101</definedName>
    <definedName name="_xlnm.Print_Area" localSheetId="8">'Total Expenses'!$A$32:$X$223</definedName>
    <definedName name="_xlnm.Print_Area" localSheetId="10">Travel!$B$25:$P$180</definedName>
    <definedName name="_xlnm.Print_Titles" localSheetId="11">'Bldg Maint ONLY'!$1:$28</definedName>
    <definedName name="_xlnm.Print_Titles" localSheetId="15">'Capital Exp'!$25:$25</definedName>
    <definedName name="_xlnm.Print_Titles" localSheetId="9">HR!$A:$E,HR!$26:$26</definedName>
    <definedName name="_xlnm.Print_Titles" localSheetId="6">'MF Issuer Fees'!$A:$A,'MF Issuer Fees'!$1:$5</definedName>
    <definedName name="_xlnm.Print_Titles" localSheetId="13">'Other Operating Expenses'!$1:$25</definedName>
    <definedName name="_xlnm.Print_Titles" localSheetId="12">'Prof Serv'!$1:$25</definedName>
    <definedName name="_xlnm.Print_Titles" localSheetId="2">'Sum by Bud Unit CD-MW'!$A:$A,'Sum by Bud Unit CD-MW'!$1:$4</definedName>
    <definedName name="_xlnm.Print_Titles" localSheetId="4">'Sum by Bud Unit JGH'!$A:$A,'Sum by Bud Unit JGH'!$1:$4</definedName>
    <definedName name="_xlnm.Print_Titles" localSheetId="0">Summary!$A:$A,Summary!$1:$4</definedName>
    <definedName name="_xlnm.Print_Titles" localSheetId="14">Supplies!$1:$25</definedName>
    <definedName name="_xlnm.Print_Titles" localSheetId="8">'Total Expenses'!$A:$A,'Total Expenses'!$31:$33</definedName>
    <definedName name="_xlnm.Print_Titles" localSheetId="10">Travel!$1:$24</definedName>
    <definedName name="ProfDept" localSheetId="5">#REF!</definedName>
    <definedName name="ProfDept" localSheetId="2">#REF!</definedName>
    <definedName name="ProfDept" localSheetId="4">#REF!</definedName>
    <definedName name="ProfDept">#REF!</definedName>
    <definedName name="ProfessionalAccts">Lists!$A$558:$A$566</definedName>
    <definedName name="ProfExpCodes">Lists!$A$596:$B$603</definedName>
    <definedName name="ProfServ2" localSheetId="5">#REF!</definedName>
    <definedName name="ProfServ2" localSheetId="2">#REF!</definedName>
    <definedName name="ProfServ2" localSheetId="4">#REF!</definedName>
    <definedName name="ProfServ2">#REF!</definedName>
    <definedName name="ProfSvcCodes">Lists!$A$485:$B$491</definedName>
    <definedName name="Public_Information" localSheetId="5">#REF!</definedName>
    <definedName name="Public_Information" localSheetId="2">#REF!</definedName>
    <definedName name="Public_Information" localSheetId="4">#REF!</definedName>
    <definedName name="Public_Information">#REF!</definedName>
    <definedName name="RecurringNew" localSheetId="5">#REF!</definedName>
    <definedName name="RecurringNew" localSheetId="2">#REF!</definedName>
    <definedName name="RecurringNew" localSheetId="4">#REF!</definedName>
    <definedName name="RecurringNew">#REF!</definedName>
    <definedName name="RecurringOneTime" localSheetId="5">#REF!</definedName>
    <definedName name="RecurringOneTime" localSheetId="2">#REF!</definedName>
    <definedName name="RecurringOneTime" localSheetId="4">#REF!</definedName>
    <definedName name="RecurringOneTime">#REF!</definedName>
    <definedName name="RequiredElective" localSheetId="5">#REF!</definedName>
    <definedName name="RequiredElective" localSheetId="2">#REF!</definedName>
    <definedName name="RequiredElective" localSheetId="4">#REF!</definedName>
    <definedName name="RequiredElective">#REF!</definedName>
    <definedName name="Revenues" localSheetId="3">[1]Lists!$A$90:$A$117</definedName>
    <definedName name="Revenues" localSheetId="5">[1]Lists!$A$90:$A$117</definedName>
    <definedName name="Revenues">Lists!$A$229:$A$256</definedName>
    <definedName name="Single_Family" localSheetId="5">#REF!</definedName>
    <definedName name="Single_Family" localSheetId="2">#REF!</definedName>
    <definedName name="Single_Family" localSheetId="4">#REF!</definedName>
    <definedName name="Single_Family">#REF!</definedName>
    <definedName name="Supplies" localSheetId="3">#REF!</definedName>
    <definedName name="Supplies" localSheetId="5">#REF!</definedName>
    <definedName name="Supplies">Lists!$A$592:$A$593</definedName>
    <definedName name="SuppliesDept" localSheetId="5">#REF!</definedName>
    <definedName name="SuppliesDept" localSheetId="2">#REF!</definedName>
    <definedName name="SuppliesDept" localSheetId="4">#REF!</definedName>
    <definedName name="SuppliesDept">#REF!</definedName>
    <definedName name="SuppliesDept1" localSheetId="5">#REF!</definedName>
    <definedName name="SuppliesDept1" localSheetId="2">#REF!</definedName>
    <definedName name="SuppliesDept1" localSheetId="4">#REF!</definedName>
    <definedName name="SuppliesDept1">#REF!</definedName>
    <definedName name="SuppliesExpCodes">Lists!$A$606:$B$607</definedName>
    <definedName name="SuppliesType">Lists!$A$606:$A$607</definedName>
    <definedName name="Sustainable_Housing" localSheetId="5">#REF!</definedName>
    <definedName name="Sustainable_Housing" localSheetId="2">#REF!</definedName>
    <definedName name="Sustainable_Housing" localSheetId="4">#REF!</definedName>
    <definedName name="Sustainable_Housing">#REF!</definedName>
    <definedName name="Technology_Services" localSheetId="5">#REF!</definedName>
    <definedName name="Technology_Services" localSheetId="2">#REF!</definedName>
    <definedName name="Technology_Services" localSheetId="4">#REF!</definedName>
    <definedName name="Technology_Services">#REF!</definedName>
    <definedName name="Training_Format" localSheetId="5">#REF!</definedName>
    <definedName name="Training_Format" localSheetId="2">#REF!</definedName>
    <definedName name="Training_Format" localSheetId="4">#REF!</definedName>
    <definedName name="Training_Format">#REF!</definedName>
    <definedName name="Travel_Format" localSheetId="5">#REF!</definedName>
    <definedName name="Travel_Format" localSheetId="2">#REF!</definedName>
    <definedName name="Travel_Format" localSheetId="4">#REF!</definedName>
    <definedName name="Travel_Format">#REF!</definedName>
    <definedName name="TravelAccts">Lists!$A$549:$A$555</definedName>
    <definedName name="TravelandTrain2" localSheetId="5">#REF!</definedName>
    <definedName name="TravelandTrain2" localSheetId="2">#REF!</definedName>
    <definedName name="TravelandTrain2" localSheetId="4">#REF!</definedName>
    <definedName name="TravelandTrain2">#REF!</definedName>
    <definedName name="TravelDept" localSheetId="5">#REF!</definedName>
    <definedName name="TravelDept" localSheetId="2">#REF!</definedName>
    <definedName name="TravelDept" localSheetId="4">#REF!</definedName>
    <definedName name="TravelDept">#REF!</definedName>
    <definedName name="TravelDeptSummary" localSheetId="5">#REF!</definedName>
    <definedName name="TravelDeptSummary" localSheetId="2">#REF!</definedName>
    <definedName name="TravelDeptSummary" localSheetId="4">#REF!</definedName>
    <definedName name="TravelDeptSummary">#REF!</definedName>
    <definedName name="TravelExpenses">Lists!$A$547:$C$552</definedName>
    <definedName name="TravelTraining" localSheetId="5">#REF!</definedName>
    <definedName name="TravelTraining" localSheetId="2">#REF!</definedName>
    <definedName name="TravelTraining" localSheetId="4">#REF!</definedName>
    <definedName name="TravelTraining">#REF!</definedName>
    <definedName name="Type_of_Travel" localSheetId="5">#REF!</definedName>
    <definedName name="Type_of_Travel" localSheetId="2">#REF!</definedName>
    <definedName name="Type_of_Travel" localSheetId="4">#REF!</definedName>
    <definedName name="Type_of_Travel">#REF!</definedName>
  </definedNames>
  <calcPr calcId="162913"/>
</workbook>
</file>

<file path=xl/calcChain.xml><?xml version="1.0" encoding="utf-8"?>
<calcChain xmlns="http://schemas.openxmlformats.org/spreadsheetml/2006/main">
  <c r="Z550" i="6" l="1"/>
  <c r="Z551" i="6"/>
  <c r="W550" i="6"/>
  <c r="Q550" i="6"/>
  <c r="R550" i="6"/>
  <c r="N550" i="6"/>
  <c r="N553" i="6"/>
  <c r="N554" i="6"/>
  <c r="Q554" i="6" s="1"/>
  <c r="N555" i="6"/>
  <c r="Q555" i="6" s="1"/>
  <c r="N564" i="6"/>
  <c r="N537" i="6"/>
  <c r="N535" i="6"/>
  <c r="N513" i="6"/>
  <c r="Q513" i="6" s="1"/>
  <c r="N514" i="6"/>
  <c r="N510" i="6"/>
  <c r="R510" i="6" s="1"/>
  <c r="N511" i="6"/>
  <c r="R511" i="6" s="1"/>
  <c r="N508" i="6"/>
  <c r="N509" i="6"/>
  <c r="R503" i="6"/>
  <c r="Q503" i="6"/>
  <c r="W503" i="6" s="1"/>
  <c r="Z503" i="6" s="1"/>
  <c r="N185" i="6"/>
  <c r="R185" i="6" s="1"/>
  <c r="R553" i="6" l="1"/>
  <c r="Q553" i="6"/>
  <c r="W553" i="6" s="1"/>
  <c r="X553" i="6" s="1"/>
  <c r="Z553" i="6" s="1"/>
  <c r="Q564" i="6"/>
  <c r="W564" i="6" s="1"/>
  <c r="Z564" i="6" s="1"/>
  <c r="R564" i="6"/>
  <c r="Q537" i="6"/>
  <c r="R537" i="6"/>
  <c r="Q535" i="6"/>
  <c r="R513" i="6"/>
  <c r="W513" i="6" s="1"/>
  <c r="Z513" i="6" s="1"/>
  <c r="R535" i="6"/>
  <c r="Q511" i="6"/>
  <c r="W511" i="6" s="1"/>
  <c r="Z511" i="6" s="1"/>
  <c r="Q510" i="6"/>
  <c r="W510" i="6" s="1"/>
  <c r="Z510" i="6" s="1"/>
  <c r="R508" i="6"/>
  <c r="Q508" i="6"/>
  <c r="Q185" i="6"/>
  <c r="W537" i="6" l="1"/>
  <c r="Z537" i="6" s="1"/>
  <c r="W535" i="6"/>
  <c r="Z535" i="6" s="1"/>
  <c r="W508" i="6"/>
  <c r="Z508" i="6" s="1"/>
  <c r="W185" i="6"/>
  <c r="X185" i="6" s="1"/>
  <c r="Z185" i="6" s="1"/>
  <c r="AA185" i="6" s="1"/>
  <c r="K18" i="22" l="1"/>
  <c r="F2" i="21"/>
  <c r="G34" i="12" l="1"/>
  <c r="N153" i="6"/>
  <c r="K153" i="6"/>
  <c r="N151" i="6"/>
  <c r="Q151" i="6" s="1"/>
  <c r="N152" i="6"/>
  <c r="Q152" i="6" s="1"/>
  <c r="N154" i="6"/>
  <c r="R154" i="6" s="1"/>
  <c r="K154" i="6"/>
  <c r="K152" i="6"/>
  <c r="K151" i="6"/>
  <c r="K155" i="6"/>
  <c r="K156" i="6"/>
  <c r="K150" i="6"/>
  <c r="K163" i="6"/>
  <c r="K160" i="6"/>
  <c r="K161" i="6"/>
  <c r="K113" i="6"/>
  <c r="K109" i="6"/>
  <c r="K106" i="6"/>
  <c r="K107" i="6"/>
  <c r="K111" i="6"/>
  <c r="K110" i="6"/>
  <c r="K114" i="6"/>
  <c r="K116" i="6"/>
  <c r="K115" i="6"/>
  <c r="K112" i="6"/>
  <c r="K108" i="6"/>
  <c r="K105" i="6"/>
  <c r="K104" i="6"/>
  <c r="Q153" i="6" l="1"/>
  <c r="R153" i="6"/>
  <c r="R151" i="6"/>
  <c r="W151" i="6"/>
  <c r="Z151" i="6" s="1"/>
  <c r="R152" i="6"/>
  <c r="W152" i="6" s="1"/>
  <c r="Z152" i="6" s="1"/>
  <c r="Q154" i="6"/>
  <c r="W154" i="6" s="1"/>
  <c r="Z154" i="6" s="1"/>
  <c r="H17" i="21"/>
  <c r="H16" i="21"/>
  <c r="H15" i="21"/>
  <c r="W153" i="6" l="1"/>
  <c r="Z153" i="6" s="1"/>
  <c r="E36" i="21" l="1"/>
  <c r="D36" i="21"/>
  <c r="A87" i="3" l="1"/>
  <c r="O38" i="6" l="1"/>
  <c r="L773" i="6" l="1"/>
  <c r="M773" i="6"/>
  <c r="P773" i="6"/>
  <c r="S773" i="6"/>
  <c r="T773" i="6"/>
  <c r="U773" i="6"/>
  <c r="V773" i="6"/>
  <c r="Y773" i="6"/>
  <c r="N617" i="3" l="1"/>
  <c r="N618" i="3"/>
  <c r="N1371" i="3"/>
  <c r="N1372" i="3"/>
  <c r="N720" i="8"/>
  <c r="G122" i="12" s="1"/>
  <c r="N680" i="8"/>
  <c r="G81" i="12" s="1"/>
  <c r="N673" i="8"/>
  <c r="G74" i="12" s="1"/>
  <c r="N674" i="8"/>
  <c r="G75" i="12" s="1"/>
  <c r="S722" i="6" l="1"/>
  <c r="T722" i="6"/>
  <c r="U722" i="6"/>
  <c r="V722" i="6"/>
  <c r="Y722" i="6"/>
  <c r="S723" i="6"/>
  <c r="T723" i="6"/>
  <c r="U723" i="6"/>
  <c r="V723" i="6"/>
  <c r="Y723" i="6"/>
  <c r="S724" i="6"/>
  <c r="T724" i="6"/>
  <c r="U724" i="6"/>
  <c r="V724" i="6"/>
  <c r="Y724" i="6"/>
  <c r="L720" i="6"/>
  <c r="L721" i="6"/>
  <c r="S702" i="6"/>
  <c r="T702" i="6"/>
  <c r="U702" i="6"/>
  <c r="V702" i="6"/>
  <c r="Y702" i="6"/>
  <c r="S703" i="6"/>
  <c r="T703" i="6"/>
  <c r="U703" i="6"/>
  <c r="V703" i="6"/>
  <c r="Y703" i="6"/>
  <c r="P705" i="6"/>
  <c r="P706" i="6"/>
  <c r="P707" i="6"/>
  <c r="P708" i="6"/>
  <c r="P709" i="6"/>
  <c r="P710" i="6"/>
  <c r="P711" i="6"/>
  <c r="P712" i="6"/>
  <c r="P713" i="6"/>
  <c r="P714" i="6"/>
  <c r="P715" i="6"/>
  <c r="P716" i="6"/>
  <c r="P717" i="6"/>
  <c r="P718" i="6"/>
  <c r="P719" i="6"/>
  <c r="P720" i="6"/>
  <c r="P721" i="6"/>
  <c r="P702" i="6"/>
  <c r="P703" i="6"/>
  <c r="L702" i="6"/>
  <c r="L715" i="6" l="1"/>
  <c r="M712" i="6"/>
  <c r="S712" i="6"/>
  <c r="T712" i="6"/>
  <c r="U712" i="6"/>
  <c r="V712" i="6"/>
  <c r="Y712" i="6"/>
  <c r="L712" i="6"/>
  <c r="K77" i="6"/>
  <c r="N77" i="6" s="1"/>
  <c r="Q77" i="6" s="1"/>
  <c r="K76" i="6"/>
  <c r="N76" i="6" s="1"/>
  <c r="Q76" i="6" s="1"/>
  <c r="K72" i="6"/>
  <c r="K81" i="6"/>
  <c r="K82" i="6"/>
  <c r="K83" i="6"/>
  <c r="K85" i="6"/>
  <c r="K87" i="6"/>
  <c r="K90" i="6"/>
  <c r="K101" i="6"/>
  <c r="R76" i="6" l="1"/>
  <c r="W76" i="6" s="1"/>
  <c r="X76" i="6" s="1"/>
  <c r="Z76" i="6" s="1"/>
  <c r="R77" i="6"/>
  <c r="W77" i="6" s="1"/>
  <c r="X77" i="6" s="1"/>
  <c r="Z77" i="6" s="1"/>
  <c r="Y705" i="6" l="1"/>
  <c r="Y706" i="6"/>
  <c r="T706" i="6"/>
  <c r="U706" i="6"/>
  <c r="V706" i="6"/>
  <c r="T705" i="6"/>
  <c r="U705" i="6"/>
  <c r="V705" i="6"/>
  <c r="M705" i="6"/>
  <c r="M706" i="6"/>
  <c r="M707" i="6"/>
  <c r="L705" i="6"/>
  <c r="L706" i="6"/>
  <c r="U48" i="12"/>
  <c r="A202" i="8" l="1"/>
  <c r="A203" i="8"/>
  <c r="A144" i="3"/>
  <c r="K66" i="6"/>
  <c r="K65" i="6"/>
  <c r="K64" i="6"/>
  <c r="K63" i="6"/>
  <c r="K62" i="6"/>
  <c r="K69" i="6"/>
  <c r="K68" i="6"/>
  <c r="K67" i="6"/>
  <c r="K61" i="6"/>
  <c r="K57" i="6"/>
  <c r="N57" i="6" s="1"/>
  <c r="Q57" i="6" s="1"/>
  <c r="K56" i="6"/>
  <c r="K55" i="6"/>
  <c r="K54" i="6"/>
  <c r="K53" i="6"/>
  <c r="K52" i="6"/>
  <c r="K51" i="6"/>
  <c r="K50" i="6"/>
  <c r="K49" i="6"/>
  <c r="K48" i="6"/>
  <c r="K47" i="6"/>
  <c r="K46" i="6"/>
  <c r="K45" i="6"/>
  <c r="K44" i="6"/>
  <c r="K43" i="6"/>
  <c r="K42" i="6"/>
  <c r="K41" i="6"/>
  <c r="K40" i="6"/>
  <c r="K39" i="6"/>
  <c r="K58" i="6"/>
  <c r="N58" i="6" s="1"/>
  <c r="Q58" i="6" s="1"/>
  <c r="K59" i="6"/>
  <c r="N59" i="6" s="1"/>
  <c r="Q59" i="6" s="1"/>
  <c r="K60" i="6"/>
  <c r="N60" i="6" s="1"/>
  <c r="Q60" i="6" s="1"/>
  <c r="K38" i="6"/>
  <c r="R60" i="6" l="1"/>
  <c r="W60" i="6" s="1"/>
  <c r="Z60" i="6" s="1"/>
  <c r="R57" i="6"/>
  <c r="W57" i="6"/>
  <c r="Z57" i="6" s="1"/>
  <c r="R59" i="6"/>
  <c r="W59" i="6" s="1"/>
  <c r="Z59" i="6" s="1"/>
  <c r="R58" i="6"/>
  <c r="W58" i="6" s="1"/>
  <c r="Z58" i="6" s="1"/>
  <c r="K80" i="6" l="1"/>
  <c r="K97" i="6"/>
  <c r="N97" i="6" s="1"/>
  <c r="Q97" i="6" s="1"/>
  <c r="K99" i="6"/>
  <c r="K100" i="6"/>
  <c r="N101" i="6"/>
  <c r="K102" i="6"/>
  <c r="K98" i="6"/>
  <c r="K96" i="6"/>
  <c r="K95" i="6"/>
  <c r="K94" i="6"/>
  <c r="K93" i="6"/>
  <c r="K92" i="6"/>
  <c r="K91" i="6"/>
  <c r="K89" i="6"/>
  <c r="K88" i="6"/>
  <c r="K86" i="6"/>
  <c r="K84" i="6"/>
  <c r="K79" i="6"/>
  <c r="K78" i="6"/>
  <c r="K75" i="6"/>
  <c r="K74" i="6"/>
  <c r="K73" i="6"/>
  <c r="K71" i="6"/>
  <c r="Q101" i="6" l="1"/>
  <c r="R101" i="6"/>
  <c r="R97" i="6"/>
  <c r="W97" i="6" s="1"/>
  <c r="X97" i="6" s="1"/>
  <c r="Z97" i="6" s="1"/>
  <c r="K449" i="6"/>
  <c r="N449" i="6" s="1"/>
  <c r="K450" i="6"/>
  <c r="N450" i="6" s="1"/>
  <c r="K451" i="6"/>
  <c r="N451" i="6" s="1"/>
  <c r="K448" i="6"/>
  <c r="K447" i="6"/>
  <c r="K446" i="6"/>
  <c r="K445" i="6"/>
  <c r="K444" i="6"/>
  <c r="K443" i="6"/>
  <c r="K442" i="6"/>
  <c r="K440" i="6"/>
  <c r="N440" i="6" s="1"/>
  <c r="K439" i="6"/>
  <c r="N439" i="6" s="1"/>
  <c r="K438" i="6"/>
  <c r="K437" i="6"/>
  <c r="K435" i="6"/>
  <c r="K436" i="6"/>
  <c r="K434" i="6"/>
  <c r="K433" i="6"/>
  <c r="K432" i="6"/>
  <c r="K431" i="6"/>
  <c r="K429" i="6"/>
  <c r="N429" i="6" s="1"/>
  <c r="K428" i="6"/>
  <c r="N428" i="6" s="1"/>
  <c r="K427" i="6"/>
  <c r="K426" i="6"/>
  <c r="K425" i="6"/>
  <c r="K424" i="6"/>
  <c r="K457" i="6"/>
  <c r="N457" i="6" s="1"/>
  <c r="K458" i="6"/>
  <c r="N458" i="6" s="1"/>
  <c r="K456" i="6"/>
  <c r="N456" i="6" s="1"/>
  <c r="Q456" i="6" s="1"/>
  <c r="K455" i="6"/>
  <c r="N455" i="6" s="1"/>
  <c r="K454" i="6"/>
  <c r="N454" i="6" s="1"/>
  <c r="Q454" i="6" s="1"/>
  <c r="K453" i="6"/>
  <c r="N453" i="6" s="1"/>
  <c r="Q453" i="6" s="1"/>
  <c r="K452" i="6"/>
  <c r="R455" i="6" l="1"/>
  <c r="Q455" i="6"/>
  <c r="Q450" i="6"/>
  <c r="R450" i="6"/>
  <c r="R449" i="6"/>
  <c r="Q449" i="6"/>
  <c r="W101" i="6"/>
  <c r="X101" i="6" s="1"/>
  <c r="Z101" i="6" s="1"/>
  <c r="R454" i="6"/>
  <c r="W454" i="6" s="1"/>
  <c r="X454" i="6" s="1"/>
  <c r="Z454" i="6" s="1"/>
  <c r="Q451" i="6"/>
  <c r="R451" i="6"/>
  <c r="Q439" i="6"/>
  <c r="R439" i="6"/>
  <c r="Q440" i="6"/>
  <c r="R440" i="6"/>
  <c r="Q457" i="6"/>
  <c r="R457" i="6"/>
  <c r="R428" i="6"/>
  <c r="Q428" i="6"/>
  <c r="R429" i="6"/>
  <c r="Q429" i="6"/>
  <c r="W429" i="6" s="1"/>
  <c r="W450" i="6"/>
  <c r="X450" i="6" s="1"/>
  <c r="Z450" i="6" s="1"/>
  <c r="R458" i="6"/>
  <c r="Q458" i="6"/>
  <c r="W455" i="6"/>
  <c r="X455" i="6" s="1"/>
  <c r="Z455" i="6" s="1"/>
  <c r="R453" i="6"/>
  <c r="W453" i="6" s="1"/>
  <c r="X453" i="6" s="1"/>
  <c r="Z453" i="6" s="1"/>
  <c r="R456" i="6"/>
  <c r="W456" i="6" s="1"/>
  <c r="X456" i="6" s="1"/>
  <c r="Z456" i="6" s="1"/>
  <c r="W449" i="6" l="1"/>
  <c r="X449" i="6" s="1"/>
  <c r="Z449" i="6" s="1"/>
  <c r="W458" i="6"/>
  <c r="X458" i="6" s="1"/>
  <c r="Z458" i="6" s="1"/>
  <c r="X429" i="6"/>
  <c r="Z429" i="6" s="1"/>
  <c r="W457" i="6"/>
  <c r="X457" i="6" s="1"/>
  <c r="Z457" i="6" s="1"/>
  <c r="W440" i="6"/>
  <c r="X440" i="6" s="1"/>
  <c r="Z440" i="6" s="1"/>
  <c r="W428" i="6"/>
  <c r="X428" i="6" s="1"/>
  <c r="Z428" i="6" s="1"/>
  <c r="W439" i="6"/>
  <c r="X439" i="6" s="1"/>
  <c r="Z439" i="6" s="1"/>
  <c r="W451" i="6"/>
  <c r="X451" i="6" s="1"/>
  <c r="Z451" i="6" s="1"/>
  <c r="K383" i="6" l="1"/>
  <c r="K381" i="6"/>
  <c r="A29" i="14" l="1"/>
  <c r="A30" i="14"/>
  <c r="A31" i="14"/>
  <c r="A125" i="3" l="1"/>
  <c r="K157" i="6" l="1"/>
  <c r="K159" i="6"/>
  <c r="K158" i="6"/>
  <c r="N158" i="6" s="1"/>
  <c r="N159" i="6"/>
  <c r="Q159" i="6" s="1"/>
  <c r="R159" i="6" l="1"/>
  <c r="W159" i="6" s="1"/>
  <c r="X159" i="6" s="1"/>
  <c r="Z159" i="6" s="1"/>
  <c r="Q158" i="6"/>
  <c r="R158" i="6"/>
  <c r="K358" i="6"/>
  <c r="K367" i="6"/>
  <c r="K366" i="6"/>
  <c r="K362" i="6"/>
  <c r="K361" i="6"/>
  <c r="K360" i="6"/>
  <c r="K359" i="6"/>
  <c r="K352" i="6"/>
  <c r="W158" i="6" l="1"/>
  <c r="X158" i="6" s="1"/>
  <c r="Z158" i="6" s="1"/>
  <c r="K335" i="6"/>
  <c r="K338" i="6"/>
  <c r="K340" i="6"/>
  <c r="K349" i="6"/>
  <c r="N349" i="6" s="1"/>
  <c r="K337" i="6"/>
  <c r="K348" i="6"/>
  <c r="N348" i="6" s="1"/>
  <c r="K347" i="6"/>
  <c r="N347" i="6" s="1"/>
  <c r="Q347" i="6" s="1"/>
  <c r="K346" i="6"/>
  <c r="N346" i="6" s="1"/>
  <c r="K345" i="6"/>
  <c r="N345" i="6" s="1"/>
  <c r="K344" i="6"/>
  <c r="N344" i="6" s="1"/>
  <c r="K343" i="6"/>
  <c r="N343" i="6" s="1"/>
  <c r="R343" i="6" s="1"/>
  <c r="K342" i="6"/>
  <c r="K341" i="6"/>
  <c r="K339" i="6"/>
  <c r="K336" i="6"/>
  <c r="K333" i="6"/>
  <c r="K332" i="6"/>
  <c r="K331" i="6"/>
  <c r="N322" i="6"/>
  <c r="R322" i="6" s="1"/>
  <c r="K330" i="6"/>
  <c r="N330" i="6" s="1"/>
  <c r="Q330" i="6" s="1"/>
  <c r="K329" i="6"/>
  <c r="N329" i="6" s="1"/>
  <c r="Q329" i="6" s="1"/>
  <c r="K328" i="6"/>
  <c r="N328" i="6" s="1"/>
  <c r="K327" i="6"/>
  <c r="N327" i="6" s="1"/>
  <c r="Q327" i="6" s="1"/>
  <c r="K326" i="6"/>
  <c r="N326" i="6" s="1"/>
  <c r="K325" i="6"/>
  <c r="N325" i="6" s="1"/>
  <c r="K324" i="6"/>
  <c r="N324" i="6" s="1"/>
  <c r="K323" i="6"/>
  <c r="N323" i="6" s="1"/>
  <c r="K321" i="6"/>
  <c r="K322" i="6"/>
  <c r="K320" i="6"/>
  <c r="K319" i="6"/>
  <c r="K318" i="6"/>
  <c r="K317" i="6"/>
  <c r="K316" i="6"/>
  <c r="Q322" i="6" l="1"/>
  <c r="R348" i="6"/>
  <c r="Q348" i="6"/>
  <c r="Q349" i="6"/>
  <c r="R349" i="6"/>
  <c r="Q343" i="6"/>
  <c r="R346" i="6"/>
  <c r="Q346" i="6"/>
  <c r="R347" i="6"/>
  <c r="W347" i="6" s="1"/>
  <c r="Z347" i="6" s="1"/>
  <c r="R345" i="6"/>
  <c r="Q345" i="6"/>
  <c r="W343" i="6"/>
  <c r="Z343" i="6" s="1"/>
  <c r="R344" i="6"/>
  <c r="Q344" i="6"/>
  <c r="Q323" i="6"/>
  <c r="R323" i="6"/>
  <c r="Q324" i="6"/>
  <c r="R324" i="6"/>
  <c r="R325" i="6"/>
  <c r="Q325" i="6"/>
  <c r="Q326" i="6"/>
  <c r="R326" i="6"/>
  <c r="Q328" i="6"/>
  <c r="R328" i="6"/>
  <c r="W322" i="6"/>
  <c r="X322" i="6" s="1"/>
  <c r="Z322" i="6" s="1"/>
  <c r="R329" i="6"/>
  <c r="W329" i="6" s="1"/>
  <c r="X329" i="6" s="1"/>
  <c r="Z329" i="6" s="1"/>
  <c r="R327" i="6"/>
  <c r="W327" i="6" s="1"/>
  <c r="X327" i="6" s="1"/>
  <c r="Z327" i="6" s="1"/>
  <c r="R330" i="6"/>
  <c r="W330" i="6" s="1"/>
  <c r="X330" i="6" s="1"/>
  <c r="Z330" i="6" s="1"/>
  <c r="W348" i="6" l="1"/>
  <c r="Z348" i="6" s="1"/>
  <c r="W345" i="6"/>
  <c r="Z345" i="6" s="1"/>
  <c r="W346" i="6"/>
  <c r="Z346" i="6" s="1"/>
  <c r="W349" i="6"/>
  <c r="Z349" i="6" s="1"/>
  <c r="W325" i="6"/>
  <c r="X325" i="6" s="1"/>
  <c r="Z325" i="6" s="1"/>
  <c r="W326" i="6"/>
  <c r="W344" i="6"/>
  <c r="Z344" i="6" s="1"/>
  <c r="W323" i="6"/>
  <c r="X323" i="6" s="1"/>
  <c r="Z323" i="6" s="1"/>
  <c r="W328" i="6"/>
  <c r="X328" i="6" s="1"/>
  <c r="Z328" i="6" s="1"/>
  <c r="W324" i="6"/>
  <c r="X324" i="6" s="1"/>
  <c r="Z324" i="6" s="1"/>
  <c r="X326" i="6"/>
  <c r="Z326" i="6" s="1"/>
  <c r="K522" i="6" l="1"/>
  <c r="N522" i="6" s="1"/>
  <c r="Q522" i="6" s="1"/>
  <c r="K514" i="6"/>
  <c r="K515" i="6"/>
  <c r="K523" i="6"/>
  <c r="N523" i="6" s="1"/>
  <c r="K520" i="6"/>
  <c r="K521" i="6"/>
  <c r="K519" i="6"/>
  <c r="K518" i="6"/>
  <c r="K517" i="6"/>
  <c r="K516" i="6"/>
  <c r="K512" i="6"/>
  <c r="K528" i="6"/>
  <c r="K530" i="6"/>
  <c r="K534" i="6"/>
  <c r="K533" i="6"/>
  <c r="K532" i="6"/>
  <c r="K531" i="6"/>
  <c r="K529" i="6"/>
  <c r="K498" i="6"/>
  <c r="K499" i="6"/>
  <c r="N499" i="6" s="1"/>
  <c r="K511" i="6"/>
  <c r="K509" i="6"/>
  <c r="K538" i="6"/>
  <c r="N538" i="6" s="1"/>
  <c r="Q538" i="6" s="1"/>
  <c r="K536" i="6"/>
  <c r="K505" i="6"/>
  <c r="K507" i="6"/>
  <c r="K506" i="6"/>
  <c r="K504" i="6"/>
  <c r="N504" i="6" s="1"/>
  <c r="K502" i="6"/>
  <c r="K525" i="6"/>
  <c r="K524" i="6"/>
  <c r="K527" i="6"/>
  <c r="K526" i="6"/>
  <c r="K501" i="6"/>
  <c r="K500" i="6"/>
  <c r="A135" i="3"/>
  <c r="A136" i="3"/>
  <c r="A137" i="3"/>
  <c r="A138" i="3"/>
  <c r="N84" i="14"/>
  <c r="N83" i="14"/>
  <c r="R522" i="6" l="1"/>
  <c r="Q499" i="6"/>
  <c r="R499" i="6"/>
  <c r="Q504" i="6"/>
  <c r="R504" i="6"/>
  <c r="Q523" i="6"/>
  <c r="R523" i="6"/>
  <c r="W523" i="6" s="1"/>
  <c r="W522" i="6"/>
  <c r="X522" i="6" s="1"/>
  <c r="Z522" i="6" s="1"/>
  <c r="W504" i="6"/>
  <c r="Z504" i="6" s="1"/>
  <c r="R538" i="6"/>
  <c r="W538" i="6" s="1"/>
  <c r="Z538" i="6" s="1"/>
  <c r="X523" i="6" l="1"/>
  <c r="Z523" i="6" s="1"/>
  <c r="W499" i="6"/>
  <c r="Z499" i="6" s="1"/>
  <c r="A147" i="8" l="1"/>
  <c r="A148" i="8"/>
  <c r="N79" i="14" l="1"/>
  <c r="F37" i="21" l="1"/>
  <c r="A72" i="3" l="1"/>
  <c r="A73" i="3"/>
  <c r="A74" i="3"/>
  <c r="A75" i="3"/>
  <c r="A76" i="3"/>
  <c r="A77" i="3"/>
  <c r="A78" i="3"/>
  <c r="A68" i="8"/>
  <c r="A69" i="8"/>
  <c r="A67" i="8"/>
  <c r="A61" i="8"/>
  <c r="A70" i="3"/>
  <c r="A71" i="3"/>
  <c r="K257" i="6"/>
  <c r="K256" i="6"/>
  <c r="K255" i="6"/>
  <c r="K254" i="6"/>
  <c r="K263" i="6"/>
  <c r="N263" i="6" s="1"/>
  <c r="Q263" i="6" s="1"/>
  <c r="K262" i="6"/>
  <c r="K261" i="6"/>
  <c r="K276" i="6"/>
  <c r="K266" i="6"/>
  <c r="N266" i="6" s="1"/>
  <c r="Q266" i="6" s="1"/>
  <c r="R263" i="6" l="1"/>
  <c r="W263" i="6" s="1"/>
  <c r="X263" i="6" s="1"/>
  <c r="Z263" i="6" s="1"/>
  <c r="R266" i="6"/>
  <c r="W266" i="6" s="1"/>
  <c r="X266" i="6" s="1"/>
  <c r="Z266" i="6" s="1"/>
  <c r="K265" i="6" l="1"/>
  <c r="K269" i="6"/>
  <c r="P78" i="9" l="1"/>
  <c r="P79" i="9"/>
  <c r="P69" i="9"/>
  <c r="A80" i="8" l="1"/>
  <c r="A81" i="8"/>
  <c r="A82" i="8"/>
  <c r="N70" i="8"/>
  <c r="N71" i="8"/>
  <c r="A71" i="8"/>
  <c r="N72" i="8"/>
  <c r="N69" i="8"/>
  <c r="A85" i="8"/>
  <c r="C15" i="21"/>
  <c r="C16" i="21"/>
  <c r="C17" i="21"/>
  <c r="K310" i="6"/>
  <c r="N310" i="6" s="1"/>
  <c r="K309" i="6"/>
  <c r="K308" i="6"/>
  <c r="K307" i="6"/>
  <c r="K306" i="6"/>
  <c r="K305" i="6"/>
  <c r="N305" i="6"/>
  <c r="Q305" i="6" s="1"/>
  <c r="K304" i="6"/>
  <c r="K302" i="6"/>
  <c r="K301" i="6"/>
  <c r="K295" i="6"/>
  <c r="N295" i="6" s="1"/>
  <c r="R295" i="6" s="1"/>
  <c r="K294" i="6"/>
  <c r="K293" i="6"/>
  <c r="K290" i="6"/>
  <c r="K287" i="6"/>
  <c r="K285" i="6"/>
  <c r="K284" i="6"/>
  <c r="N284" i="6" s="1"/>
  <c r="K283" i="6"/>
  <c r="K281" i="6"/>
  <c r="N281" i="6" s="1"/>
  <c r="K280" i="6"/>
  <c r="K279" i="6"/>
  <c r="N280" i="6"/>
  <c r="Q280" i="6" s="1"/>
  <c r="N279" i="6"/>
  <c r="R279" i="6" s="1"/>
  <c r="K282" i="6"/>
  <c r="K278" i="6"/>
  <c r="Q281" i="6" l="1"/>
  <c r="R281" i="6"/>
  <c r="Q295" i="6"/>
  <c r="W295" i="6"/>
  <c r="Q284" i="6"/>
  <c r="R284" i="6"/>
  <c r="Q310" i="6"/>
  <c r="R310" i="6"/>
  <c r="R305" i="6"/>
  <c r="W305" i="6" s="1"/>
  <c r="X305" i="6" s="1"/>
  <c r="Z305" i="6" s="1"/>
  <c r="R280" i="6"/>
  <c r="W280" i="6" s="1"/>
  <c r="Z280" i="6" s="1"/>
  <c r="Q279" i="6"/>
  <c r="W279" i="6" s="1"/>
  <c r="Z279" i="6" s="1"/>
  <c r="W281" i="6" l="1"/>
  <c r="Z281" i="6" s="1"/>
  <c r="W284" i="6"/>
  <c r="Z284" i="6" s="1"/>
  <c r="W310" i="6"/>
  <c r="X310" i="6" s="1"/>
  <c r="Z310" i="6" s="1"/>
  <c r="X295" i="6"/>
  <c r="Z295" i="6" s="1"/>
  <c r="K251" i="6"/>
  <c r="K250" i="6"/>
  <c r="K249" i="6"/>
  <c r="K248" i="6"/>
  <c r="N248" i="6" s="1"/>
  <c r="K247" i="6"/>
  <c r="N247" i="6" s="1"/>
  <c r="K246" i="6"/>
  <c r="N246" i="6" s="1"/>
  <c r="K245" i="6"/>
  <c r="N245" i="6" s="1"/>
  <c r="K244" i="6"/>
  <c r="N244" i="6" s="1"/>
  <c r="K243" i="6"/>
  <c r="P54" i="9"/>
  <c r="Q248" i="6" l="1"/>
  <c r="Q245" i="6"/>
  <c r="R245" i="6"/>
  <c r="Q244" i="6"/>
  <c r="R244" i="6"/>
  <c r="Q246" i="6"/>
  <c r="R246" i="6"/>
  <c r="Q247" i="6"/>
  <c r="R247" i="6"/>
  <c r="R248" i="6"/>
  <c r="W244" i="6" l="1"/>
  <c r="W248" i="6"/>
  <c r="X244" i="6"/>
  <c r="Z244" i="6" s="1"/>
  <c r="X248" i="6"/>
  <c r="W246" i="6"/>
  <c r="W247" i="6"/>
  <c r="W245" i="6"/>
  <c r="E20" i="21"/>
  <c r="E21" i="21"/>
  <c r="Z248" i="6" l="1"/>
  <c r="X245" i="6"/>
  <c r="Z245" i="6" s="1"/>
  <c r="X247" i="6"/>
  <c r="Z247" i="6" s="1"/>
  <c r="X246" i="6"/>
  <c r="Z246" i="6" s="1"/>
  <c r="K467" i="6"/>
  <c r="K472" i="6"/>
  <c r="K471" i="6"/>
  <c r="K470" i="6"/>
  <c r="N472" i="6"/>
  <c r="Q472" i="6" s="1"/>
  <c r="N471" i="6"/>
  <c r="R472" i="6" l="1"/>
  <c r="W472" i="6" s="1"/>
  <c r="Z472" i="6" s="1"/>
  <c r="R471" i="6"/>
  <c r="Q471" i="6"/>
  <c r="W471" i="6" l="1"/>
  <c r="Z471" i="6" s="1"/>
  <c r="K469" i="6" l="1"/>
  <c r="N469" i="6" s="1"/>
  <c r="K468" i="6"/>
  <c r="N463" i="6"/>
  <c r="K462" i="6"/>
  <c r="K461" i="6"/>
  <c r="K460" i="6"/>
  <c r="K459" i="6"/>
  <c r="N459" i="6" s="1"/>
  <c r="A143" i="8"/>
  <c r="A142" i="8"/>
  <c r="A141" i="8"/>
  <c r="A136" i="8"/>
  <c r="A29" i="8"/>
  <c r="A30" i="8"/>
  <c r="A138" i="8"/>
  <c r="A123" i="3"/>
  <c r="A122" i="3"/>
  <c r="A121" i="3"/>
  <c r="A120" i="3"/>
  <c r="A119" i="3"/>
  <c r="A118" i="3"/>
  <c r="A116" i="3"/>
  <c r="A115" i="3"/>
  <c r="A112" i="3"/>
  <c r="A113" i="3"/>
  <c r="A111" i="3"/>
  <c r="A110" i="3"/>
  <c r="A135" i="8"/>
  <c r="A134" i="8"/>
  <c r="R469" i="6" l="1"/>
  <c r="Q469" i="6"/>
  <c r="A75" i="14"/>
  <c r="A74" i="14"/>
  <c r="A73" i="14"/>
  <c r="A72" i="14"/>
  <c r="A71" i="14"/>
  <c r="W469" i="6" l="1"/>
  <c r="Z469" i="6" s="1"/>
  <c r="L190" i="9"/>
  <c r="K370" i="6"/>
  <c r="K369" i="6"/>
  <c r="K371" i="6"/>
  <c r="N371" i="6" s="1"/>
  <c r="P49" i="9" l="1"/>
  <c r="P50" i="9"/>
  <c r="P51" i="9"/>
  <c r="P48" i="9"/>
  <c r="K494" i="6" l="1"/>
  <c r="K490" i="6"/>
  <c r="N494" i="6"/>
  <c r="Q494" i="6" s="1"/>
  <c r="K489" i="6"/>
  <c r="K497" i="6"/>
  <c r="N497" i="6" s="1"/>
  <c r="K495" i="6"/>
  <c r="N495" i="6" s="1"/>
  <c r="K493" i="6"/>
  <c r="N493" i="6" s="1"/>
  <c r="K492" i="6"/>
  <c r="N492" i="6" s="1"/>
  <c r="K491" i="6"/>
  <c r="K496" i="6"/>
  <c r="N496" i="6" s="1"/>
  <c r="K488" i="6"/>
  <c r="N488" i="6" s="1"/>
  <c r="R488" i="6" s="1"/>
  <c r="K487" i="6"/>
  <c r="N487" i="6" s="1"/>
  <c r="K486" i="6"/>
  <c r="K485" i="6"/>
  <c r="N485" i="6" s="1"/>
  <c r="K483" i="6"/>
  <c r="K482" i="6"/>
  <c r="K484" i="6"/>
  <c r="N482" i="6"/>
  <c r="N483" i="6"/>
  <c r="Q483" i="6" s="1"/>
  <c r="N484" i="6"/>
  <c r="R496" i="6" l="1"/>
  <c r="Q496" i="6"/>
  <c r="Q493" i="6"/>
  <c r="R493" i="6"/>
  <c r="W493" i="6"/>
  <c r="Q495" i="6"/>
  <c r="R495" i="6"/>
  <c r="W495" i="6" s="1"/>
  <c r="Q497" i="6"/>
  <c r="R497" i="6"/>
  <c r="W497" i="6" s="1"/>
  <c r="W494" i="6"/>
  <c r="X494" i="6" s="1"/>
  <c r="Z494" i="6" s="1"/>
  <c r="R492" i="6"/>
  <c r="Q492" i="6"/>
  <c r="R494" i="6"/>
  <c r="Q487" i="6"/>
  <c r="R487" i="6"/>
  <c r="Q488" i="6"/>
  <c r="W488" i="6" s="1"/>
  <c r="R483" i="6"/>
  <c r="W483" i="6" s="1"/>
  <c r="Z483" i="6" s="1"/>
  <c r="R482" i="6"/>
  <c r="Q482" i="6"/>
  <c r="W482" i="6" s="1"/>
  <c r="Z482" i="6" s="1"/>
  <c r="R484" i="6"/>
  <c r="Q484" i="6"/>
  <c r="W492" i="6" l="1"/>
  <c r="X492" i="6" s="1"/>
  <c r="Z492" i="6" s="1"/>
  <c r="W484" i="6"/>
  <c r="Z484" i="6" s="1"/>
  <c r="W496" i="6"/>
  <c r="X496" i="6" s="1"/>
  <c r="Z496" i="6" s="1"/>
  <c r="W487" i="6"/>
  <c r="X487" i="6" s="1"/>
  <c r="X497" i="6"/>
  <c r="Z497" i="6" s="1"/>
  <c r="X488" i="6"/>
  <c r="Z488" i="6" s="1"/>
  <c r="X495" i="6"/>
  <c r="Z495" i="6" s="1"/>
  <c r="X493" i="6"/>
  <c r="Z493" i="6" s="1"/>
  <c r="K481" i="6"/>
  <c r="A169" i="8"/>
  <c r="A168" i="8"/>
  <c r="A170" i="8"/>
  <c r="Z487" i="6" l="1"/>
  <c r="P34" i="9"/>
  <c r="K173" i="6"/>
  <c r="N173" i="6" s="1"/>
  <c r="R173" i="6" s="1"/>
  <c r="K172" i="6"/>
  <c r="N172" i="6" s="1"/>
  <c r="Q172" i="6" s="1"/>
  <c r="K171" i="6"/>
  <c r="N171" i="6" s="1"/>
  <c r="Q171" i="6" s="1"/>
  <c r="K170" i="6"/>
  <c r="R172" i="6" l="1"/>
  <c r="W172" i="6" s="1"/>
  <c r="Z172" i="6" s="1"/>
  <c r="R171" i="6"/>
  <c r="W171" i="6" s="1"/>
  <c r="Z171" i="6" s="1"/>
  <c r="Q173" i="6"/>
  <c r="W173" i="6" s="1"/>
  <c r="Z173" i="6" s="1"/>
  <c r="N242" i="6"/>
  <c r="Q242" i="6" s="1"/>
  <c r="K241" i="6"/>
  <c r="N241" i="6" s="1"/>
  <c r="Q241" i="6" s="1"/>
  <c r="K240" i="6"/>
  <c r="N240" i="6" s="1"/>
  <c r="Q240" i="6" s="1"/>
  <c r="K238" i="6"/>
  <c r="K233" i="6"/>
  <c r="K234" i="6"/>
  <c r="K235" i="6"/>
  <c r="K237" i="6"/>
  <c r="N237" i="6" s="1"/>
  <c r="R237" i="6" s="1"/>
  <c r="K236" i="6"/>
  <c r="K232" i="6"/>
  <c r="N232" i="6" s="1"/>
  <c r="R232" i="6" s="1"/>
  <c r="K231" i="6"/>
  <c r="K230" i="6"/>
  <c r="K229" i="6"/>
  <c r="K228" i="6"/>
  <c r="K225" i="6"/>
  <c r="K224" i="6"/>
  <c r="K226" i="6"/>
  <c r="N226" i="6" s="1"/>
  <c r="R226" i="6" s="1"/>
  <c r="K222" i="6"/>
  <c r="K221" i="6"/>
  <c r="K223" i="6"/>
  <c r="K220" i="6"/>
  <c r="K219" i="6"/>
  <c r="K216" i="6"/>
  <c r="N216" i="6" s="1"/>
  <c r="R216" i="6" s="1"/>
  <c r="K215" i="6"/>
  <c r="N215" i="6" s="1"/>
  <c r="K217" i="6"/>
  <c r="N217" i="6" s="1"/>
  <c r="K213" i="6"/>
  <c r="K211" i="6"/>
  <c r="K214" i="6"/>
  <c r="K212" i="6"/>
  <c r="K210" i="6"/>
  <c r="K207" i="6"/>
  <c r="K203" i="6"/>
  <c r="N203" i="6" s="1"/>
  <c r="K209" i="6"/>
  <c r="K208" i="6"/>
  <c r="K206" i="6"/>
  <c r="K205" i="6"/>
  <c r="K204" i="6"/>
  <c r="K195" i="6"/>
  <c r="K202" i="6"/>
  <c r="N202" i="6" s="1"/>
  <c r="Q202" i="6" s="1"/>
  <c r="K201" i="6"/>
  <c r="N201" i="6" s="1"/>
  <c r="R201" i="6" s="1"/>
  <c r="K200" i="6"/>
  <c r="N200" i="6" s="1"/>
  <c r="Q200" i="6" s="1"/>
  <c r="K199" i="6"/>
  <c r="N199" i="6" s="1"/>
  <c r="K198" i="6"/>
  <c r="N198" i="6" s="1"/>
  <c r="R198" i="6" s="1"/>
  <c r="K197" i="6"/>
  <c r="N197" i="6" s="1"/>
  <c r="K196" i="6"/>
  <c r="K194" i="6"/>
  <c r="N194" i="6" s="1"/>
  <c r="K190" i="6"/>
  <c r="K189" i="6"/>
  <c r="K186" i="6"/>
  <c r="K183" i="6"/>
  <c r="K179" i="6"/>
  <c r="K181" i="6"/>
  <c r="K180" i="6"/>
  <c r="K176" i="6"/>
  <c r="R203" i="6" l="1"/>
  <c r="R705" i="6" s="1"/>
  <c r="N705" i="6"/>
  <c r="R242" i="6"/>
  <c r="R241" i="6"/>
  <c r="W241" i="6" s="1"/>
  <c r="X241" i="6" s="1"/>
  <c r="Z241" i="6" s="1"/>
  <c r="R240" i="6"/>
  <c r="W240" i="6" s="1"/>
  <c r="X240" i="6" s="1"/>
  <c r="Z240" i="6" s="1"/>
  <c r="Q237" i="6"/>
  <c r="W237" i="6" s="1"/>
  <c r="Z237" i="6" s="1"/>
  <c r="Q201" i="6"/>
  <c r="W201" i="6" s="1"/>
  <c r="X201" i="6" s="1"/>
  <c r="Z201" i="6" s="1"/>
  <c r="Q226" i="6"/>
  <c r="W226" i="6" s="1"/>
  <c r="Z226" i="6" s="1"/>
  <c r="Q232" i="6"/>
  <c r="Q216" i="6"/>
  <c r="W216" i="6" s="1"/>
  <c r="Z216" i="6" s="1"/>
  <c r="Q198" i="6"/>
  <c r="W198" i="6" s="1"/>
  <c r="X198" i="6" s="1"/>
  <c r="Z198" i="6" s="1"/>
  <c r="R200" i="6"/>
  <c r="W200" i="6" s="1"/>
  <c r="X200" i="6" s="1"/>
  <c r="Z200" i="6" s="1"/>
  <c r="R217" i="6"/>
  <c r="Q217" i="6"/>
  <c r="Q203" i="6"/>
  <c r="R202" i="6"/>
  <c r="W202" i="6" s="1"/>
  <c r="X202" i="6" s="1"/>
  <c r="Z202" i="6" s="1"/>
  <c r="R215" i="6"/>
  <c r="Q215" i="6"/>
  <c r="R199" i="6"/>
  <c r="Q199" i="6"/>
  <c r="R197" i="6"/>
  <c r="Q197" i="6"/>
  <c r="Q194" i="6"/>
  <c r="R194" i="6"/>
  <c r="W203" i="6" l="1"/>
  <c r="Q705" i="6"/>
  <c r="W217" i="6"/>
  <c r="X217" i="6" s="1"/>
  <c r="Z217" i="6" s="1"/>
  <c r="W215" i="6"/>
  <c r="W232" i="6"/>
  <c r="X232" i="6" s="1"/>
  <c r="W199" i="6"/>
  <c r="X199" i="6" s="1"/>
  <c r="Z199" i="6" s="1"/>
  <c r="W197" i="6"/>
  <c r="X197" i="6" s="1"/>
  <c r="Z197" i="6" s="1"/>
  <c r="W194" i="6"/>
  <c r="X215" i="6" l="1"/>
  <c r="Z194" i="6"/>
  <c r="X203" i="6"/>
  <c r="W705" i="6"/>
  <c r="Z232" i="6"/>
  <c r="Z215" i="6" l="1"/>
  <c r="Z203" i="6"/>
  <c r="Z705" i="6" s="1"/>
  <c r="C73" i="12" s="1"/>
  <c r="X705" i="6"/>
  <c r="K177" i="6"/>
  <c r="N177" i="6" s="1"/>
  <c r="K175" i="6"/>
  <c r="K174" i="6"/>
  <c r="R73" i="12" l="1"/>
  <c r="Q177" i="6"/>
  <c r="R177" i="6"/>
  <c r="W177" i="6" l="1"/>
  <c r="X177" i="6" l="1"/>
  <c r="Z177" i="6" s="1"/>
  <c r="K137" i="6" l="1"/>
  <c r="K132" i="6"/>
  <c r="N132" i="6" s="1"/>
  <c r="R132" i="6" s="1"/>
  <c r="K126" i="6"/>
  <c r="K136" i="6"/>
  <c r="K123" i="6"/>
  <c r="K122" i="6"/>
  <c r="K135" i="6"/>
  <c r="N135" i="6" s="1"/>
  <c r="K134" i="6"/>
  <c r="K133" i="6"/>
  <c r="N133" i="6" s="1"/>
  <c r="K125" i="6"/>
  <c r="K124" i="6"/>
  <c r="K129" i="6"/>
  <c r="K128" i="6"/>
  <c r="K127" i="6"/>
  <c r="Q135" i="6" l="1"/>
  <c r="R135" i="6"/>
  <c r="Q132" i="6"/>
  <c r="W132" i="6" s="1"/>
  <c r="Z132" i="6" s="1"/>
  <c r="K131" i="6"/>
  <c r="K130" i="6"/>
  <c r="K121" i="6"/>
  <c r="K120" i="6"/>
  <c r="K119" i="6"/>
  <c r="K118" i="6"/>
  <c r="K117" i="6"/>
  <c r="W135" i="6" l="1"/>
  <c r="Z135" i="6" s="1"/>
  <c r="K148" i="6"/>
  <c r="N148" i="6" s="1"/>
  <c r="K147" i="6"/>
  <c r="N147" i="6" s="1"/>
  <c r="K146" i="6"/>
  <c r="N146" i="6" s="1"/>
  <c r="K145" i="6"/>
  <c r="N145" i="6" s="1"/>
  <c r="K144" i="6"/>
  <c r="K143" i="6"/>
  <c r="N143" i="6" s="1"/>
  <c r="R143" i="6" s="1"/>
  <c r="K142" i="6"/>
  <c r="N144" i="6"/>
  <c r="Q144" i="6" s="1"/>
  <c r="N142" i="6"/>
  <c r="R142" i="6" s="1"/>
  <c r="K141" i="6"/>
  <c r="N141" i="6" s="1"/>
  <c r="Q146" i="6" l="1"/>
  <c r="R146" i="6"/>
  <c r="Q147" i="6"/>
  <c r="R147" i="6"/>
  <c r="W147" i="6" s="1"/>
  <c r="X147" i="6" s="1"/>
  <c r="Z147" i="6" s="1"/>
  <c r="R148" i="6"/>
  <c r="Q148" i="6"/>
  <c r="R141" i="6"/>
  <c r="R145" i="6"/>
  <c r="Q141" i="6"/>
  <c r="R144" i="6"/>
  <c r="W144" i="6" s="1"/>
  <c r="X144" i="6" s="1"/>
  <c r="Z144" i="6" s="1"/>
  <c r="Q145" i="6"/>
  <c r="Q143" i="6"/>
  <c r="Q142" i="6"/>
  <c r="K140" i="6"/>
  <c r="K139" i="6"/>
  <c r="K138" i="6"/>
  <c r="W146" i="6" l="1"/>
  <c r="X146" i="6" s="1"/>
  <c r="Z146" i="6" s="1"/>
  <c r="W145" i="6"/>
  <c r="X145" i="6" s="1"/>
  <c r="Z145" i="6" s="1"/>
  <c r="W148" i="6"/>
  <c r="X148" i="6" s="1"/>
  <c r="Z148" i="6" s="1"/>
  <c r="W141" i="6"/>
  <c r="X141" i="6" s="1"/>
  <c r="Z141" i="6" s="1"/>
  <c r="W142" i="6"/>
  <c r="X142" i="6" s="1"/>
  <c r="Z142" i="6" s="1"/>
  <c r="W143" i="6"/>
  <c r="X143" i="6" s="1"/>
  <c r="Z143" i="6" s="1"/>
  <c r="I9" i="6" l="1"/>
  <c r="I10" i="6"/>
  <c r="I23" i="6"/>
  <c r="I22" i="6"/>
  <c r="I21" i="6"/>
  <c r="I8" i="6"/>
  <c r="I14" i="6"/>
  <c r="I20" i="6"/>
  <c r="I16" i="6"/>
  <c r="I7" i="6"/>
  <c r="I19" i="6"/>
  <c r="I15" i="6"/>
  <c r="I6" i="6"/>
  <c r="I13" i="6"/>
  <c r="I18" i="6"/>
  <c r="I17" i="6"/>
  <c r="I12" i="6"/>
  <c r="I4" i="6"/>
  <c r="I11" i="6"/>
  <c r="K178" i="6"/>
  <c r="K162" i="6"/>
  <c r="K418" i="6"/>
  <c r="K417" i="6"/>
  <c r="K416" i="6"/>
  <c r="K415" i="6"/>
  <c r="K414" i="6"/>
  <c r="K413" i="6"/>
  <c r="K412" i="6"/>
  <c r="K411" i="6"/>
  <c r="K410" i="6"/>
  <c r="K409" i="6"/>
  <c r="K408" i="6"/>
  <c r="K407" i="6"/>
  <c r="K406" i="6"/>
  <c r="K404" i="6"/>
  <c r="K403" i="6"/>
  <c r="K401" i="6"/>
  <c r="K400" i="6"/>
  <c r="K399" i="6"/>
  <c r="K398" i="6"/>
  <c r="K397" i="6"/>
  <c r="K396" i="6"/>
  <c r="K395" i="6"/>
  <c r="K394" i="6"/>
  <c r="K393" i="6"/>
  <c r="K392" i="6"/>
  <c r="K391" i="6"/>
  <c r="K390" i="6"/>
  <c r="K389" i="6"/>
  <c r="K388" i="6"/>
  <c r="K387" i="6"/>
  <c r="K386" i="6"/>
  <c r="K385" i="6"/>
  <c r="K384" i="6"/>
  <c r="K441" i="6"/>
  <c r="K430" i="6"/>
  <c r="K563" i="6"/>
  <c r="K562" i="6"/>
  <c r="K561" i="6"/>
  <c r="K560" i="6"/>
  <c r="K559" i="6"/>
  <c r="K558" i="6"/>
  <c r="K557" i="6"/>
  <c r="K556" i="6"/>
  <c r="K555" i="6"/>
  <c r="K554" i="6"/>
  <c r="K552" i="6"/>
  <c r="K549" i="6"/>
  <c r="K548" i="6"/>
  <c r="K547" i="6"/>
  <c r="K546" i="6"/>
  <c r="K545" i="6"/>
  <c r="K544" i="6"/>
  <c r="K543" i="6"/>
  <c r="K542" i="6"/>
  <c r="K540" i="6"/>
  <c r="K539" i="6"/>
  <c r="N477" i="6"/>
  <c r="R477" i="6" s="1"/>
  <c r="K303" i="6"/>
  <c r="K300" i="6"/>
  <c r="K298" i="6"/>
  <c r="K297" i="6"/>
  <c r="K296" i="6"/>
  <c r="K292" i="6"/>
  <c r="K291" i="6"/>
  <c r="K289" i="6"/>
  <c r="K288" i="6"/>
  <c r="K286" i="6"/>
  <c r="N372" i="6"/>
  <c r="Q372" i="6" s="1"/>
  <c r="Q477" i="6" l="1"/>
  <c r="W477" i="6" s="1"/>
  <c r="X477" i="6" s="1"/>
  <c r="Z477" i="6" s="1"/>
  <c r="AA477" i="6" s="1"/>
  <c r="K368" i="6"/>
  <c r="K365" i="6"/>
  <c r="K364" i="6"/>
  <c r="K363" i="6"/>
  <c r="K357" i="6"/>
  <c r="K356" i="6"/>
  <c r="K355" i="6"/>
  <c r="K354" i="6"/>
  <c r="K353" i="6"/>
  <c r="K351" i="6"/>
  <c r="K350" i="6"/>
  <c r="N350" i="6" s="1"/>
  <c r="K334" i="6"/>
  <c r="K315" i="6"/>
  <c r="K314" i="6"/>
  <c r="K313" i="6"/>
  <c r="K312" i="6"/>
  <c r="K275" i="6"/>
  <c r="K274" i="6"/>
  <c r="K273" i="6"/>
  <c r="K272" i="6"/>
  <c r="K271" i="6"/>
  <c r="K270" i="6"/>
  <c r="K268" i="6"/>
  <c r="K267" i="6"/>
  <c r="K264" i="6"/>
  <c r="K260" i="6"/>
  <c r="K259" i="6"/>
  <c r="K258" i="6"/>
  <c r="K253" i="6"/>
  <c r="K252" i="6"/>
  <c r="K227" i="6"/>
  <c r="N214" i="6"/>
  <c r="Q214" i="6" s="1"/>
  <c r="N213" i="6"/>
  <c r="Q213" i="6" s="1"/>
  <c r="N212" i="6"/>
  <c r="R212" i="6" s="1"/>
  <c r="N211" i="6"/>
  <c r="N210" i="6"/>
  <c r="Q210" i="6" s="1"/>
  <c r="K239" i="6"/>
  <c r="K218" i="6"/>
  <c r="K193" i="6"/>
  <c r="K192" i="6"/>
  <c r="K191" i="6"/>
  <c r="K188" i="6"/>
  <c r="K187" i="6"/>
  <c r="K184" i="6"/>
  <c r="K182" i="6"/>
  <c r="R211" i="6" l="1"/>
  <c r="R350" i="6"/>
  <c r="Q350" i="6"/>
  <c r="Q212" i="6"/>
  <c r="W212" i="6" s="1"/>
  <c r="X212" i="6" s="1"/>
  <c r="Z212" i="6" s="1"/>
  <c r="AA212" i="6" s="1"/>
  <c r="Q211" i="6"/>
  <c r="R214" i="6"/>
  <c r="R210" i="6"/>
  <c r="W210" i="6" s="1"/>
  <c r="X210" i="6" s="1"/>
  <c r="Z210" i="6" s="1"/>
  <c r="AA210" i="6" s="1"/>
  <c r="R213" i="6"/>
  <c r="W213" i="6" s="1"/>
  <c r="X213" i="6" s="1"/>
  <c r="Z213" i="6" s="1"/>
  <c r="AA213" i="6" s="1"/>
  <c r="W211" i="6"/>
  <c r="W214" i="6"/>
  <c r="X214" i="6" s="1"/>
  <c r="Z214" i="6" s="1"/>
  <c r="AA214" i="6" s="1"/>
  <c r="L156" i="6"/>
  <c r="L155" i="6"/>
  <c r="L150" i="6"/>
  <c r="K169" i="6"/>
  <c r="K168" i="6"/>
  <c r="K167" i="6"/>
  <c r="K166" i="6"/>
  <c r="K165" i="6"/>
  <c r="K164" i="6"/>
  <c r="W350" i="6" l="1"/>
  <c r="X211" i="6"/>
  <c r="K70" i="6"/>
  <c r="Z211" i="6" l="1"/>
  <c r="L69" i="6"/>
  <c r="L68" i="6"/>
  <c r="L67" i="6"/>
  <c r="L66" i="6"/>
  <c r="L65" i="6"/>
  <c r="N65" i="6" s="1"/>
  <c r="L64" i="6"/>
  <c r="N64" i="6" s="1"/>
  <c r="L63" i="6"/>
  <c r="N63" i="6" s="1"/>
  <c r="L62" i="6"/>
  <c r="N62" i="6" s="1"/>
  <c r="L61" i="6"/>
  <c r="N61" i="6" s="1"/>
  <c r="L56" i="6"/>
  <c r="L55" i="6"/>
  <c r="L54" i="6"/>
  <c r="L53" i="6"/>
  <c r="L52" i="6"/>
  <c r="L51" i="6"/>
  <c r="L50" i="6"/>
  <c r="L49" i="6"/>
  <c r="L48" i="6"/>
  <c r="L47" i="6"/>
  <c r="L46" i="6"/>
  <c r="L45" i="6"/>
  <c r="L723" i="6" s="1"/>
  <c r="L44" i="6"/>
  <c r="L43" i="6"/>
  <c r="L42" i="6"/>
  <c r="L41" i="6"/>
  <c r="L722" i="6" s="1"/>
  <c r="L40" i="6"/>
  <c r="L703" i="6" s="1"/>
  <c r="L39" i="6"/>
  <c r="L38" i="6"/>
  <c r="N38" i="6" s="1"/>
  <c r="Q38" i="6" s="1"/>
  <c r="AA211" i="6" l="1"/>
  <c r="Q62" i="6"/>
  <c r="R62" i="6"/>
  <c r="Q61" i="6"/>
  <c r="Q724" i="6" s="1"/>
  <c r="R61" i="6"/>
  <c r="H37" i="5"/>
  <c r="P17" i="5"/>
  <c r="K23" i="5"/>
  <c r="K24" i="5"/>
  <c r="K25" i="5"/>
  <c r="K26" i="5"/>
  <c r="K27" i="5"/>
  <c r="K28" i="5"/>
  <c r="K29" i="5"/>
  <c r="K30" i="5"/>
  <c r="K22" i="5"/>
  <c r="J23" i="5"/>
  <c r="J24" i="5"/>
  <c r="J25" i="5"/>
  <c r="J26" i="5"/>
  <c r="J27" i="5"/>
  <c r="J28" i="5"/>
  <c r="J29" i="5"/>
  <c r="J30" i="5"/>
  <c r="J22" i="5"/>
  <c r="K6" i="5"/>
  <c r="K7" i="5"/>
  <c r="K8" i="5"/>
  <c r="K9" i="5"/>
  <c r="K10" i="5"/>
  <c r="K11" i="5"/>
  <c r="K12" i="5"/>
  <c r="K13" i="5"/>
  <c r="K14" i="5"/>
  <c r="K15" i="5"/>
  <c r="K16" i="5"/>
  <c r="K17" i="5"/>
  <c r="K18" i="5"/>
  <c r="K5" i="5"/>
  <c r="J6" i="5"/>
  <c r="J7" i="5"/>
  <c r="J8" i="5"/>
  <c r="J9" i="5"/>
  <c r="J10" i="5"/>
  <c r="J11" i="5"/>
  <c r="J12" i="5"/>
  <c r="J13" i="5"/>
  <c r="J14" i="5"/>
  <c r="J15" i="5"/>
  <c r="J16" i="5"/>
  <c r="J17" i="5"/>
  <c r="J18" i="5"/>
  <c r="J5" i="5"/>
  <c r="I43" i="5"/>
  <c r="I31" i="5"/>
  <c r="H31" i="5"/>
  <c r="H19" i="5"/>
  <c r="I19" i="5"/>
  <c r="W61" i="6" l="1"/>
  <c r="W724" i="6" s="1"/>
  <c r="R724" i="6"/>
  <c r="I33" i="5"/>
  <c r="I37" i="5" s="1"/>
  <c r="I41" i="5" s="1"/>
  <c r="H33" i="5"/>
  <c r="H41" i="5" s="1"/>
  <c r="O114" i="9" l="1"/>
  <c r="O115" i="9"/>
  <c r="R38" i="6" l="1"/>
  <c r="N18" i="5" l="1"/>
  <c r="N17" i="5"/>
  <c r="N16" i="5"/>
  <c r="N15" i="5"/>
  <c r="N14" i="5"/>
  <c r="N13" i="5"/>
  <c r="N12" i="5"/>
  <c r="N11" i="5"/>
  <c r="N10" i="5"/>
  <c r="N9" i="5"/>
  <c r="N8" i="5"/>
  <c r="N7" i="5"/>
  <c r="N5" i="5"/>
  <c r="N6" i="5"/>
  <c r="O37" i="5" l="1"/>
  <c r="N37" i="5"/>
  <c r="O31" i="5"/>
  <c r="N31" i="5"/>
  <c r="O19" i="5"/>
  <c r="N19" i="5"/>
  <c r="N41" i="5"/>
  <c r="O41" i="5"/>
  <c r="I5" i="6" l="1"/>
  <c r="I3" i="6" s="1"/>
  <c r="N161" i="6"/>
  <c r="Q161" i="6" s="1"/>
  <c r="N160" i="6"/>
  <c r="N163" i="6"/>
  <c r="N162" i="6"/>
  <c r="Q162" i="6" s="1"/>
  <c r="N140" i="6"/>
  <c r="Q140" i="6" s="1"/>
  <c r="N139" i="6"/>
  <c r="Q139" i="6" s="1"/>
  <c r="N138" i="6"/>
  <c r="Q138" i="6" s="1"/>
  <c r="N239" i="6"/>
  <c r="N238" i="6"/>
  <c r="N164" i="6"/>
  <c r="N165" i="6"/>
  <c r="N166" i="6"/>
  <c r="R166" i="6" s="1"/>
  <c r="N167" i="6"/>
  <c r="R167" i="6" s="1"/>
  <c r="N168" i="6"/>
  <c r="N169" i="6"/>
  <c r="N170" i="6"/>
  <c r="Q170" i="6" s="1"/>
  <c r="N174" i="6"/>
  <c r="N175" i="6"/>
  <c r="Q175" i="6" s="1"/>
  <c r="N176" i="6"/>
  <c r="Q176" i="6" s="1"/>
  <c r="N178" i="6"/>
  <c r="N179" i="6"/>
  <c r="N180" i="6"/>
  <c r="Q180" i="6" s="1"/>
  <c r="N181" i="6"/>
  <c r="Q181" i="6" s="1"/>
  <c r="N182" i="6"/>
  <c r="Q182" i="6" s="1"/>
  <c r="N183" i="6"/>
  <c r="Q183" i="6" s="1"/>
  <c r="N184" i="6"/>
  <c r="N186" i="6"/>
  <c r="N187" i="6"/>
  <c r="N188" i="6"/>
  <c r="N189" i="6"/>
  <c r="N190" i="6"/>
  <c r="N191" i="6"/>
  <c r="N192" i="6"/>
  <c r="N193" i="6"/>
  <c r="N204" i="6"/>
  <c r="Q204" i="6" s="1"/>
  <c r="N205" i="6"/>
  <c r="Q205" i="6" s="1"/>
  <c r="N206" i="6"/>
  <c r="Q206" i="6" s="1"/>
  <c r="N207" i="6"/>
  <c r="Q207" i="6" s="1"/>
  <c r="N208" i="6"/>
  <c r="Q208" i="6" s="1"/>
  <c r="N209" i="6"/>
  <c r="Q209" i="6" s="1"/>
  <c r="N218" i="6"/>
  <c r="Q218" i="6" s="1"/>
  <c r="N219" i="6"/>
  <c r="Q219" i="6" s="1"/>
  <c r="N220" i="6"/>
  <c r="Q220" i="6" s="1"/>
  <c r="N221" i="6"/>
  <c r="Q221" i="6" s="1"/>
  <c r="N222" i="6"/>
  <c r="Q222" i="6" s="1"/>
  <c r="N223" i="6"/>
  <c r="N227" i="6"/>
  <c r="N228" i="6"/>
  <c r="Q228" i="6" s="1"/>
  <c r="N229" i="6"/>
  <c r="Q229" i="6" s="1"/>
  <c r="N230" i="6"/>
  <c r="Q230" i="6" s="1"/>
  <c r="N231" i="6"/>
  <c r="Q231" i="6" s="1"/>
  <c r="N233" i="6"/>
  <c r="N234" i="6"/>
  <c r="Q234" i="6" s="1"/>
  <c r="N235" i="6"/>
  <c r="Q235" i="6" s="1"/>
  <c r="N236" i="6"/>
  <c r="Q236" i="6" s="1"/>
  <c r="N243" i="6"/>
  <c r="N249" i="6"/>
  <c r="N250" i="6"/>
  <c r="Q250" i="6" s="1"/>
  <c r="N251" i="6"/>
  <c r="Q251" i="6" s="1"/>
  <c r="N258" i="6"/>
  <c r="Q258" i="6" s="1"/>
  <c r="N259" i="6"/>
  <c r="Q259" i="6" s="1"/>
  <c r="N260" i="6"/>
  <c r="Q260" i="6" s="1"/>
  <c r="N261" i="6"/>
  <c r="Q261" i="6" s="1"/>
  <c r="N262" i="6"/>
  <c r="Q262" i="6" s="1"/>
  <c r="N252" i="6"/>
  <c r="Q252" i="6" s="1"/>
  <c r="N253" i="6"/>
  <c r="Q253" i="6" s="1"/>
  <c r="N254" i="6"/>
  <c r="Q254" i="6" s="1"/>
  <c r="N255" i="6"/>
  <c r="Q255" i="6" s="1"/>
  <c r="N256" i="6"/>
  <c r="Q256" i="6" s="1"/>
  <c r="N257" i="6"/>
  <c r="Q257" i="6" s="1"/>
  <c r="N264" i="6"/>
  <c r="Q264" i="6" s="1"/>
  <c r="N265" i="6"/>
  <c r="Q265" i="6" s="1"/>
  <c r="N267" i="6"/>
  <c r="Q267" i="6" s="1"/>
  <c r="N268" i="6"/>
  <c r="Q268" i="6" s="1"/>
  <c r="N269" i="6"/>
  <c r="Q269" i="6" s="1"/>
  <c r="N270" i="6"/>
  <c r="Q270" i="6" s="1"/>
  <c r="N271" i="6"/>
  <c r="N272" i="6"/>
  <c r="Q272" i="6" s="1"/>
  <c r="N273" i="6"/>
  <c r="N274" i="6"/>
  <c r="Q274" i="6" s="1"/>
  <c r="N275" i="6"/>
  <c r="Q275" i="6" s="1"/>
  <c r="N276" i="6"/>
  <c r="Q276" i="6" s="1"/>
  <c r="N277" i="6"/>
  <c r="N282" i="6"/>
  <c r="N283" i="6"/>
  <c r="N285" i="6"/>
  <c r="Q285" i="6" s="1"/>
  <c r="N286" i="6"/>
  <c r="Q286" i="6" s="1"/>
  <c r="N287" i="6"/>
  <c r="Q287" i="6" s="1"/>
  <c r="N288" i="6"/>
  <c r="Q288" i="6" s="1"/>
  <c r="N289" i="6"/>
  <c r="Q289" i="6" s="1"/>
  <c r="N290" i="6"/>
  <c r="Q290" i="6" s="1"/>
  <c r="N291" i="6"/>
  <c r="Q291" i="6" s="1"/>
  <c r="N292" i="6"/>
  <c r="Q292" i="6" s="1"/>
  <c r="N293" i="6"/>
  <c r="Q293" i="6" s="1"/>
  <c r="N294" i="6"/>
  <c r="Q294" i="6" s="1"/>
  <c r="N296" i="6"/>
  <c r="Q296" i="6" s="1"/>
  <c r="N297" i="6"/>
  <c r="Q297" i="6" s="1"/>
  <c r="N298" i="6"/>
  <c r="Q298" i="6" s="1"/>
  <c r="N299" i="6"/>
  <c r="Q299" i="6" s="1"/>
  <c r="N300" i="6"/>
  <c r="Q300" i="6" s="1"/>
  <c r="N301" i="6"/>
  <c r="Q301" i="6" s="1"/>
  <c r="N302" i="6"/>
  <c r="Q302" i="6" s="1"/>
  <c r="N303" i="6"/>
  <c r="Q303" i="6" s="1"/>
  <c r="N304" i="6"/>
  <c r="Q304" i="6" s="1"/>
  <c r="N306" i="6"/>
  <c r="Q306" i="6" s="1"/>
  <c r="N307" i="6"/>
  <c r="Q307" i="6" s="1"/>
  <c r="N308" i="6"/>
  <c r="Q308" i="6" s="1"/>
  <c r="N309" i="6"/>
  <c r="Q309" i="6" s="1"/>
  <c r="N311" i="6"/>
  <c r="Q311" i="6" s="1"/>
  <c r="N312" i="6"/>
  <c r="Q312" i="6" s="1"/>
  <c r="N313" i="6"/>
  <c r="N314" i="6"/>
  <c r="N315" i="6"/>
  <c r="Q315" i="6" s="1"/>
  <c r="N316" i="6"/>
  <c r="Q316" i="6" s="1"/>
  <c r="N317" i="6"/>
  <c r="Q317" i="6" s="1"/>
  <c r="N318" i="6"/>
  <c r="Q318" i="6" s="1"/>
  <c r="N319" i="6"/>
  <c r="Q319" i="6" s="1"/>
  <c r="N320" i="6"/>
  <c r="Q320" i="6" s="1"/>
  <c r="N321" i="6"/>
  <c r="Q321" i="6" s="1"/>
  <c r="N331" i="6"/>
  <c r="Q331" i="6" s="1"/>
  <c r="N332" i="6"/>
  <c r="Q332" i="6" s="1"/>
  <c r="N333" i="6"/>
  <c r="Q333" i="6" s="1"/>
  <c r="N334" i="6"/>
  <c r="Q334" i="6" s="1"/>
  <c r="N335" i="6"/>
  <c r="Q335" i="6" s="1"/>
  <c r="N336" i="6"/>
  <c r="Q336" i="6" s="1"/>
  <c r="N337" i="6"/>
  <c r="Q337" i="6" s="1"/>
  <c r="N338" i="6"/>
  <c r="N339" i="6"/>
  <c r="Q339" i="6" s="1"/>
  <c r="N340" i="6"/>
  <c r="Q340" i="6" s="1"/>
  <c r="N341" i="6"/>
  <c r="N342" i="6"/>
  <c r="N351" i="6"/>
  <c r="Q351" i="6" s="1"/>
  <c r="N352" i="6"/>
  <c r="Q352" i="6" s="1"/>
  <c r="N353" i="6"/>
  <c r="Q353" i="6" s="1"/>
  <c r="N354" i="6"/>
  <c r="Q354" i="6" s="1"/>
  <c r="N355" i="6"/>
  <c r="Q355" i="6" s="1"/>
  <c r="N356" i="6"/>
  <c r="Q356" i="6" s="1"/>
  <c r="N357" i="6"/>
  <c r="Q357" i="6" s="1"/>
  <c r="N358" i="6"/>
  <c r="Q358" i="6" s="1"/>
  <c r="N359" i="6"/>
  <c r="Q359" i="6" s="1"/>
  <c r="N360" i="6"/>
  <c r="Q360" i="6" s="1"/>
  <c r="N361" i="6"/>
  <c r="Q361" i="6" s="1"/>
  <c r="N362" i="6"/>
  <c r="Q362" i="6" s="1"/>
  <c r="N363" i="6"/>
  <c r="Q363" i="6" s="1"/>
  <c r="N364" i="6"/>
  <c r="Q364" i="6" s="1"/>
  <c r="N365" i="6"/>
  <c r="Q365" i="6" s="1"/>
  <c r="N366" i="6"/>
  <c r="Q366" i="6" s="1"/>
  <c r="N367" i="6"/>
  <c r="Q367" i="6" s="1"/>
  <c r="N368" i="6"/>
  <c r="N278" i="6"/>
  <c r="Q278" i="6" s="1"/>
  <c r="N466" i="6"/>
  <c r="Q466" i="6" s="1"/>
  <c r="N369" i="6"/>
  <c r="Q369" i="6" s="1"/>
  <c r="N370" i="6"/>
  <c r="Q370" i="6" s="1"/>
  <c r="Q371" i="6"/>
  <c r="N381" i="6"/>
  <c r="Q381" i="6" s="1"/>
  <c r="R372" i="6"/>
  <c r="N373" i="6"/>
  <c r="Q373" i="6" s="1"/>
  <c r="N374" i="6"/>
  <c r="Q374" i="6" s="1"/>
  <c r="N376" i="6"/>
  <c r="Q376" i="6" s="1"/>
  <c r="N377" i="6"/>
  <c r="Q377" i="6" s="1"/>
  <c r="N195" i="6"/>
  <c r="Q195" i="6" s="1"/>
  <c r="N196" i="6"/>
  <c r="Q196" i="6" s="1"/>
  <c r="N379" i="6"/>
  <c r="Q379" i="6" s="1"/>
  <c r="N378" i="6"/>
  <c r="Q378" i="6" s="1"/>
  <c r="N380" i="6"/>
  <c r="Q380" i="6" s="1"/>
  <c r="N536" i="6"/>
  <c r="N375" i="6"/>
  <c r="N383" i="6"/>
  <c r="Q383" i="6" s="1"/>
  <c r="N384" i="6"/>
  <c r="Q384" i="6" s="1"/>
  <c r="N385" i="6"/>
  <c r="Q385" i="6" s="1"/>
  <c r="N386" i="6"/>
  <c r="Q386" i="6" s="1"/>
  <c r="N387" i="6"/>
  <c r="Q387" i="6" s="1"/>
  <c r="N388" i="6"/>
  <c r="Q388" i="6" s="1"/>
  <c r="N389" i="6"/>
  <c r="Q389" i="6" s="1"/>
  <c r="N390" i="6"/>
  <c r="Q390" i="6" s="1"/>
  <c r="N391" i="6"/>
  <c r="Q391" i="6" s="1"/>
  <c r="N392" i="6"/>
  <c r="Q392" i="6" s="1"/>
  <c r="N393" i="6"/>
  <c r="Q393" i="6" s="1"/>
  <c r="N394" i="6"/>
  <c r="Q394" i="6" s="1"/>
  <c r="N395" i="6"/>
  <c r="Q395" i="6" s="1"/>
  <c r="N396" i="6"/>
  <c r="Q396" i="6" s="1"/>
  <c r="N397" i="6"/>
  <c r="Q397" i="6" s="1"/>
  <c r="N398" i="6"/>
  <c r="Q398" i="6" s="1"/>
  <c r="N399" i="6"/>
  <c r="Q399" i="6" s="1"/>
  <c r="N400" i="6"/>
  <c r="Q400" i="6" s="1"/>
  <c r="N401" i="6"/>
  <c r="Q401" i="6" s="1"/>
  <c r="N402" i="6"/>
  <c r="Q402" i="6" s="1"/>
  <c r="N403" i="6"/>
  <c r="Q403" i="6" s="1"/>
  <c r="N404" i="6"/>
  <c r="Q404" i="6" s="1"/>
  <c r="N406" i="6"/>
  <c r="Q406" i="6" s="1"/>
  <c r="N407" i="6"/>
  <c r="Q407" i="6" s="1"/>
  <c r="N408" i="6"/>
  <c r="Q408" i="6" s="1"/>
  <c r="N409" i="6"/>
  <c r="Q409" i="6" s="1"/>
  <c r="N410" i="6"/>
  <c r="Q410" i="6" s="1"/>
  <c r="N411" i="6"/>
  <c r="Q411" i="6" s="1"/>
  <c r="N412" i="6"/>
  <c r="Q412" i="6" s="1"/>
  <c r="N413" i="6"/>
  <c r="Q413" i="6" s="1"/>
  <c r="N414" i="6"/>
  <c r="Q414" i="6" s="1"/>
  <c r="N415" i="6"/>
  <c r="Q415" i="6" s="1"/>
  <c r="N416" i="6"/>
  <c r="N417" i="6"/>
  <c r="Q417" i="6" s="1"/>
  <c r="N418" i="6"/>
  <c r="Q418" i="6" s="1"/>
  <c r="N467" i="6"/>
  <c r="Q467" i="6" s="1"/>
  <c r="N224" i="6"/>
  <c r="N225" i="6"/>
  <c r="N419" i="6"/>
  <c r="N420" i="6"/>
  <c r="Q420" i="6" s="1"/>
  <c r="N421" i="6"/>
  <c r="Q421" i="6" s="1"/>
  <c r="N422" i="6"/>
  <c r="Q422" i="6" s="1"/>
  <c r="N423" i="6"/>
  <c r="Q423" i="6" s="1"/>
  <c r="N424" i="6"/>
  <c r="Q424" i="6" s="1"/>
  <c r="N425" i="6"/>
  <c r="Q425" i="6" s="1"/>
  <c r="N426" i="6"/>
  <c r="Q426" i="6" s="1"/>
  <c r="N427" i="6"/>
  <c r="Q427" i="6" s="1"/>
  <c r="N430" i="6"/>
  <c r="Q430" i="6" s="1"/>
  <c r="N431" i="6"/>
  <c r="Q431" i="6" s="1"/>
  <c r="N432" i="6"/>
  <c r="N433" i="6"/>
  <c r="Q433" i="6" s="1"/>
  <c r="N434" i="6"/>
  <c r="Q434" i="6" s="1"/>
  <c r="N435" i="6"/>
  <c r="Q435" i="6" s="1"/>
  <c r="N436" i="6"/>
  <c r="Q436" i="6" s="1"/>
  <c r="N437" i="6"/>
  <c r="Q437" i="6" s="1"/>
  <c r="N438" i="6"/>
  <c r="Q438" i="6" s="1"/>
  <c r="N441" i="6"/>
  <c r="N442" i="6"/>
  <c r="Q442" i="6" s="1"/>
  <c r="N443" i="6"/>
  <c r="Q443" i="6" s="1"/>
  <c r="N444" i="6"/>
  <c r="Q444" i="6" s="1"/>
  <c r="N445" i="6"/>
  <c r="Q445" i="6" s="1"/>
  <c r="N446" i="6"/>
  <c r="Q446" i="6" s="1"/>
  <c r="N447" i="6"/>
  <c r="Q447" i="6" s="1"/>
  <c r="N448" i="6"/>
  <c r="Q448" i="6" s="1"/>
  <c r="N452" i="6"/>
  <c r="Q452" i="6" s="1"/>
  <c r="Q463" i="6"/>
  <c r="N464" i="6"/>
  <c r="N465" i="6"/>
  <c r="Q465" i="6" s="1"/>
  <c r="N468" i="6"/>
  <c r="Q468" i="6" s="1"/>
  <c r="N470" i="6"/>
  <c r="Q470" i="6" s="1"/>
  <c r="Q459" i="6"/>
  <c r="N473" i="6"/>
  <c r="Q473" i="6" s="1"/>
  <c r="N474" i="6"/>
  <c r="Q474" i="6" s="1"/>
  <c r="N475" i="6"/>
  <c r="Q475" i="6" s="1"/>
  <c r="N476" i="6"/>
  <c r="Q476" i="6" s="1"/>
  <c r="N478" i="6"/>
  <c r="Q478" i="6" s="1"/>
  <c r="N479" i="6"/>
  <c r="Q479" i="6" s="1"/>
  <c r="N480" i="6"/>
  <c r="Q480" i="6" s="1"/>
  <c r="N481" i="6"/>
  <c r="Q481" i="6" s="1"/>
  <c r="N551" i="6"/>
  <c r="Q551" i="6" s="1"/>
  <c r="Q485" i="6"/>
  <c r="N486" i="6"/>
  <c r="Q486" i="6" s="1"/>
  <c r="N489" i="6"/>
  <c r="Q489" i="6" s="1"/>
  <c r="N490" i="6"/>
  <c r="Q490" i="6" s="1"/>
  <c r="N491" i="6"/>
  <c r="Q491" i="6" s="1"/>
  <c r="N498" i="6"/>
  <c r="N500" i="6"/>
  <c r="N501" i="6"/>
  <c r="Q501" i="6" s="1"/>
  <c r="N502" i="6"/>
  <c r="Q502" i="6" s="1"/>
  <c r="N505" i="6"/>
  <c r="Q505" i="6" s="1"/>
  <c r="N506" i="6"/>
  <c r="N507" i="6"/>
  <c r="Q507" i="6" s="1"/>
  <c r="Q509" i="6"/>
  <c r="N512" i="6"/>
  <c r="Q514" i="6"/>
  <c r="N515" i="6"/>
  <c r="Q515" i="6" s="1"/>
  <c r="N516" i="6"/>
  <c r="N517" i="6"/>
  <c r="N518" i="6"/>
  <c r="Q518" i="6" s="1"/>
  <c r="N519" i="6"/>
  <c r="N520" i="6"/>
  <c r="N521" i="6"/>
  <c r="Q521" i="6" s="1"/>
  <c r="N524" i="6"/>
  <c r="Q524" i="6" s="1"/>
  <c r="N525" i="6"/>
  <c r="N526" i="6"/>
  <c r="Q526" i="6" s="1"/>
  <c r="N527" i="6"/>
  <c r="Q527" i="6" s="1"/>
  <c r="N528" i="6"/>
  <c r="Q528" i="6" s="1"/>
  <c r="N529" i="6"/>
  <c r="Q529" i="6" s="1"/>
  <c r="N530" i="6"/>
  <c r="N531" i="6"/>
  <c r="Q531" i="6" s="1"/>
  <c r="N532" i="6"/>
  <c r="Q532" i="6" s="1"/>
  <c r="N533" i="6"/>
  <c r="Q533" i="6" s="1"/>
  <c r="N534" i="6"/>
  <c r="Q534" i="6" s="1"/>
  <c r="N539" i="6"/>
  <c r="N540" i="6"/>
  <c r="Q540" i="6" s="1"/>
  <c r="N541" i="6"/>
  <c r="Q541" i="6" s="1"/>
  <c r="N542" i="6"/>
  <c r="Q542" i="6" s="1"/>
  <c r="N543" i="6"/>
  <c r="Q543" i="6" s="1"/>
  <c r="N544" i="6"/>
  <c r="Q544" i="6" s="1"/>
  <c r="N545" i="6"/>
  <c r="Q545" i="6" s="1"/>
  <c r="N546" i="6"/>
  <c r="Q546" i="6" s="1"/>
  <c r="N547" i="6"/>
  <c r="Q547" i="6" s="1"/>
  <c r="N548" i="6"/>
  <c r="Q548" i="6" s="1"/>
  <c r="N549" i="6"/>
  <c r="Q549" i="6" s="1"/>
  <c r="N552" i="6"/>
  <c r="Q552" i="6" s="1"/>
  <c r="N556" i="6"/>
  <c r="Q556" i="6" s="1"/>
  <c r="N557" i="6"/>
  <c r="Q557" i="6" s="1"/>
  <c r="N558" i="6"/>
  <c r="Q558" i="6" s="1"/>
  <c r="N559" i="6"/>
  <c r="Q559" i="6" s="1"/>
  <c r="N560" i="6"/>
  <c r="Q560" i="6" s="1"/>
  <c r="N561" i="6"/>
  <c r="Q561" i="6" s="1"/>
  <c r="N562" i="6"/>
  <c r="Q562" i="6" s="1"/>
  <c r="N563" i="6"/>
  <c r="Q563" i="6" s="1"/>
  <c r="N565" i="6"/>
  <c r="N566" i="6"/>
  <c r="Q566" i="6" s="1"/>
  <c r="N567" i="6"/>
  <c r="Q567" i="6" s="1"/>
  <c r="N405" i="6"/>
  <c r="Q405" i="6" s="1"/>
  <c r="N568" i="6"/>
  <c r="N569" i="6"/>
  <c r="N570" i="6"/>
  <c r="Q570" i="6" s="1"/>
  <c r="W571" i="6"/>
  <c r="X571" i="6"/>
  <c r="Q565" i="6" l="1"/>
  <c r="Q224" i="6"/>
  <c r="R224" i="6"/>
  <c r="Q165" i="6"/>
  <c r="R165" i="6"/>
  <c r="Q164" i="6"/>
  <c r="R164" i="6"/>
  <c r="Q168" i="6"/>
  <c r="R168" i="6"/>
  <c r="Q166" i="6"/>
  <c r="Q169" i="6"/>
  <c r="Q773" i="6" s="1"/>
  <c r="N773" i="6"/>
  <c r="Q338" i="6"/>
  <c r="Q702" i="6" s="1"/>
  <c r="N702" i="6"/>
  <c r="Q313" i="6"/>
  <c r="Q712" i="6" s="1"/>
  <c r="N712" i="6"/>
  <c r="Q314" i="6"/>
  <c r="Q706" i="6" s="1"/>
  <c r="N706" i="6"/>
  <c r="Q341" i="6"/>
  <c r="R341" i="6"/>
  <c r="Q342" i="6"/>
  <c r="R342" i="6"/>
  <c r="Q539" i="6"/>
  <c r="Q500" i="6"/>
  <c r="Q283" i="6"/>
  <c r="Q282" i="6"/>
  <c r="Q249" i="6"/>
  <c r="Q498" i="6"/>
  <c r="R498" i="6"/>
  <c r="Q174" i="6"/>
  <c r="R174" i="6"/>
  <c r="R225" i="6"/>
  <c r="Q225" i="6"/>
  <c r="R239" i="6"/>
  <c r="Q239" i="6"/>
  <c r="Q223" i="6"/>
  <c r="R223" i="6"/>
  <c r="Q243" i="6"/>
  <c r="R243" i="6"/>
  <c r="W242" i="6"/>
  <c r="X242" i="6" s="1"/>
  <c r="Z242" i="6" s="1"/>
  <c r="AA242" i="6" s="1"/>
  <c r="Q238" i="6"/>
  <c r="R238" i="6"/>
  <c r="Q233" i="6"/>
  <c r="R227" i="6"/>
  <c r="Q227" i="6"/>
  <c r="Q179" i="6"/>
  <c r="R179" i="6"/>
  <c r="Q184" i="6"/>
  <c r="R184" i="6"/>
  <c r="Q178" i="6"/>
  <c r="R178" i="6"/>
  <c r="R416" i="6"/>
  <c r="Q416" i="6"/>
  <c r="R419" i="6"/>
  <c r="Q419" i="6"/>
  <c r="R519" i="6"/>
  <c r="Q519" i="6"/>
  <c r="R520" i="6"/>
  <c r="Q520" i="6"/>
  <c r="R517" i="6"/>
  <c r="Q517" i="6"/>
  <c r="R516" i="6"/>
  <c r="Q516" i="6"/>
  <c r="R525" i="6"/>
  <c r="Q525" i="6"/>
  <c r="R506" i="6"/>
  <c r="Q506" i="6"/>
  <c r="R441" i="6"/>
  <c r="Q441" i="6"/>
  <c r="R432" i="6"/>
  <c r="Q432" i="6"/>
  <c r="R464" i="6"/>
  <c r="Q464" i="6"/>
  <c r="R542" i="6"/>
  <c r="R556" i="6"/>
  <c r="R552" i="6"/>
  <c r="W552" i="6" s="1"/>
  <c r="X552" i="6" s="1"/>
  <c r="Z552" i="6" s="1"/>
  <c r="AA552" i="6" s="1"/>
  <c r="R561" i="6"/>
  <c r="W561" i="6" s="1"/>
  <c r="X561" i="6" s="1"/>
  <c r="Z561" i="6" s="1"/>
  <c r="AA561" i="6" s="1"/>
  <c r="R569" i="6"/>
  <c r="Q569" i="6"/>
  <c r="R568" i="6"/>
  <c r="Q568" i="6"/>
  <c r="R375" i="6"/>
  <c r="Q375" i="6"/>
  <c r="R536" i="6"/>
  <c r="Q536" i="6"/>
  <c r="Q368" i="6"/>
  <c r="R368" i="6"/>
  <c r="R277" i="6"/>
  <c r="Q277" i="6"/>
  <c r="R273" i="6"/>
  <c r="Q273" i="6"/>
  <c r="R271" i="6"/>
  <c r="Q271" i="6"/>
  <c r="R261" i="6"/>
  <c r="W261" i="6" s="1"/>
  <c r="X261" i="6" s="1"/>
  <c r="Z261" i="6" s="1"/>
  <c r="AA261" i="6" s="1"/>
  <c r="R256" i="6"/>
  <c r="W256" i="6" s="1"/>
  <c r="X256" i="6" s="1"/>
  <c r="Z256" i="6" s="1"/>
  <c r="AA256" i="6" s="1"/>
  <c r="R206" i="6"/>
  <c r="W206" i="6" s="1"/>
  <c r="R188" i="6"/>
  <c r="Q188" i="6"/>
  <c r="Q186" i="6"/>
  <c r="R186" i="6"/>
  <c r="Q187" i="6"/>
  <c r="R187" i="6"/>
  <c r="R193" i="6"/>
  <c r="Q193" i="6"/>
  <c r="Q192" i="6"/>
  <c r="R192" i="6"/>
  <c r="R191" i="6"/>
  <c r="Q191" i="6"/>
  <c r="R190" i="6"/>
  <c r="Q190" i="6"/>
  <c r="R189" i="6"/>
  <c r="Q189" i="6"/>
  <c r="R530" i="6"/>
  <c r="Q530" i="6"/>
  <c r="R512" i="6"/>
  <c r="Q512" i="6"/>
  <c r="W512" i="6" s="1"/>
  <c r="Q167" i="6"/>
  <c r="Q163" i="6"/>
  <c r="R163" i="6"/>
  <c r="Q160" i="6"/>
  <c r="R551" i="6"/>
  <c r="W551" i="6" s="1"/>
  <c r="X551" i="6" s="1"/>
  <c r="AA551" i="6" s="1"/>
  <c r="R377" i="6"/>
  <c r="W377" i="6" s="1"/>
  <c r="X377" i="6" s="1"/>
  <c r="Z377" i="6" s="1"/>
  <c r="AA377" i="6" s="1"/>
  <c r="R475" i="6"/>
  <c r="W475" i="6" s="1"/>
  <c r="X475" i="6" s="1"/>
  <c r="Z475" i="6" s="1"/>
  <c r="AA475" i="6" s="1"/>
  <c r="R397" i="6"/>
  <c r="R362" i="6"/>
  <c r="R405" i="6"/>
  <c r="W405" i="6" s="1"/>
  <c r="X405" i="6" s="1"/>
  <c r="Z405" i="6" s="1"/>
  <c r="AA405" i="6" s="1"/>
  <c r="N150" i="6"/>
  <c r="R452" i="6"/>
  <c r="W452" i="6" s="1"/>
  <c r="X452" i="6" s="1"/>
  <c r="Z452" i="6" s="1"/>
  <c r="AA452" i="6" s="1"/>
  <c r="N156" i="6"/>
  <c r="R527" i="6"/>
  <c r="W527" i="6" s="1"/>
  <c r="X527" i="6" s="1"/>
  <c r="Z527" i="6" s="1"/>
  <c r="AA527" i="6" s="1"/>
  <c r="R479" i="6"/>
  <c r="W479" i="6" s="1"/>
  <c r="X479" i="6" s="1"/>
  <c r="Z479" i="6" s="1"/>
  <c r="AA479" i="6" s="1"/>
  <c r="R253" i="6"/>
  <c r="R307" i="6"/>
  <c r="R181" i="6"/>
  <c r="R169" i="6"/>
  <c r="R773" i="6" s="1"/>
  <c r="W164" i="6"/>
  <c r="X164" i="6" s="1"/>
  <c r="Z164" i="6" s="1"/>
  <c r="N155" i="6"/>
  <c r="R470" i="6"/>
  <c r="W470" i="6" s="1"/>
  <c r="X470" i="6" s="1"/>
  <c r="Z470" i="6" s="1"/>
  <c r="AA470" i="6" s="1"/>
  <c r="R278" i="6"/>
  <c r="W278" i="6" s="1"/>
  <c r="X278" i="6" s="1"/>
  <c r="Z278" i="6" s="1"/>
  <c r="AA278" i="6" s="1"/>
  <c r="R430" i="6"/>
  <c r="W430" i="6" s="1"/>
  <c r="X430" i="6" s="1"/>
  <c r="Z430" i="6" s="1"/>
  <c r="AA430" i="6" s="1"/>
  <c r="R378" i="6"/>
  <c r="W378" i="6" s="1"/>
  <c r="X378" i="6" s="1"/>
  <c r="Z378" i="6" s="1"/>
  <c r="AA378" i="6" s="1"/>
  <c r="R308" i="6"/>
  <c r="R448" i="6"/>
  <c r="R413" i="6"/>
  <c r="R258" i="6"/>
  <c r="R529" i="6"/>
  <c r="R514" i="6"/>
  <c r="R209" i="6"/>
  <c r="R436" i="6"/>
  <c r="R195" i="6"/>
  <c r="R257" i="6"/>
  <c r="R467" i="6"/>
  <c r="R410" i="6"/>
  <c r="R304" i="6"/>
  <c r="R250" i="6"/>
  <c r="R222" i="6"/>
  <c r="R394" i="6"/>
  <c r="R385" i="6"/>
  <c r="R381" i="6"/>
  <c r="R365" i="6"/>
  <c r="R303" i="6"/>
  <c r="R268" i="6"/>
  <c r="R400" i="6"/>
  <c r="R274" i="6"/>
  <c r="R367" i="6"/>
  <c r="R560" i="6"/>
  <c r="R548" i="6"/>
  <c r="R559" i="6"/>
  <c r="R547" i="6"/>
  <c r="R444" i="6"/>
  <c r="R301" i="6"/>
  <c r="R140" i="6"/>
  <c r="R391" i="6"/>
  <c r="R300" i="6"/>
  <c r="R265" i="6"/>
  <c r="R219" i="6"/>
  <c r="R205" i="6"/>
  <c r="R425" i="6"/>
  <c r="R557" i="6"/>
  <c r="R545" i="6"/>
  <c r="R544" i="6"/>
  <c r="R182" i="6"/>
  <c r="R478" i="6"/>
  <c r="W478" i="6" s="1"/>
  <c r="X478" i="6" s="1"/>
  <c r="Z478" i="6" s="1"/>
  <c r="AA478" i="6" s="1"/>
  <c r="R465" i="6"/>
  <c r="W465" i="6" s="1"/>
  <c r="X465" i="6" s="1"/>
  <c r="Z465" i="6" s="1"/>
  <c r="AA465" i="6" s="1"/>
  <c r="R423" i="6"/>
  <c r="R380" i="6"/>
  <c r="W372" i="6"/>
  <c r="R311" i="6"/>
  <c r="R282" i="6"/>
  <c r="R208" i="6"/>
  <c r="R170" i="6"/>
  <c r="W170" i="6" s="1"/>
  <c r="X170" i="6" s="1"/>
  <c r="Z170" i="6" s="1"/>
  <c r="R160" i="6"/>
  <c r="R533" i="6"/>
  <c r="W533" i="6" s="1"/>
  <c r="X533" i="6" s="1"/>
  <c r="Z533" i="6" s="1"/>
  <c r="AA533" i="6" s="1"/>
  <c r="Z571" i="6"/>
  <c r="R562" i="6"/>
  <c r="W562" i="6" s="1"/>
  <c r="X562" i="6" s="1"/>
  <c r="Z562" i="6" s="1"/>
  <c r="AA562" i="6" s="1"/>
  <c r="R532" i="6"/>
  <c r="W532" i="6" s="1"/>
  <c r="X532" i="6" s="1"/>
  <c r="Z532" i="6" s="1"/>
  <c r="AA532" i="6" s="1"/>
  <c r="R489" i="6"/>
  <c r="W489" i="6" s="1"/>
  <c r="X489" i="6" s="1"/>
  <c r="R388" i="6"/>
  <c r="W388" i="6" s="1"/>
  <c r="X388" i="6" s="1"/>
  <c r="Z388" i="6" s="1"/>
  <c r="AA388" i="6" s="1"/>
  <c r="R570" i="6"/>
  <c r="W570" i="6" s="1"/>
  <c r="X570" i="6" s="1"/>
  <c r="Z570" i="6" s="1"/>
  <c r="AA570" i="6" s="1"/>
  <c r="R566" i="6"/>
  <c r="W566" i="6" s="1"/>
  <c r="X566" i="6" s="1"/>
  <c r="Z566" i="6" s="1"/>
  <c r="AA566" i="6" s="1"/>
  <c r="R526" i="6"/>
  <c r="W526" i="6" s="1"/>
  <c r="X526" i="6" s="1"/>
  <c r="Z526" i="6" s="1"/>
  <c r="AA526" i="6" s="1"/>
  <c r="R554" i="6"/>
  <c r="W554" i="6" s="1"/>
  <c r="R373" i="6"/>
  <c r="W373" i="6" s="1"/>
  <c r="X373" i="6" s="1"/>
  <c r="Z373" i="6" s="1"/>
  <c r="AA373" i="6" s="1"/>
  <c r="R476" i="6"/>
  <c r="W476" i="6" s="1"/>
  <c r="X476" i="6" s="1"/>
  <c r="Z476" i="6" s="1"/>
  <c r="AA476" i="6" s="1"/>
  <c r="R463" i="6"/>
  <c r="W463" i="6" s="1"/>
  <c r="X463" i="6" s="1"/>
  <c r="Z463" i="6" s="1"/>
  <c r="AA463" i="6" s="1"/>
  <c r="R421" i="6"/>
  <c r="W421" i="6" s="1"/>
  <c r="X421" i="6" s="1"/>
  <c r="Z421" i="6" s="1"/>
  <c r="AA421" i="6" s="1"/>
  <c r="R541" i="6"/>
  <c r="W541" i="6" s="1"/>
  <c r="X541" i="6" s="1"/>
  <c r="Z541" i="6" s="1"/>
  <c r="AA541" i="6" s="1"/>
  <c r="R491" i="6"/>
  <c r="W491" i="6" s="1"/>
  <c r="X491" i="6" s="1"/>
  <c r="Z491" i="6" s="1"/>
  <c r="AA491" i="6" s="1"/>
  <c r="R466" i="6"/>
  <c r="W466" i="6" s="1"/>
  <c r="X466" i="6" s="1"/>
  <c r="Z466" i="6" s="1"/>
  <c r="AA466" i="6" s="1"/>
  <c r="R565" i="6"/>
  <c r="R539" i="6"/>
  <c r="R549" i="6"/>
  <c r="R555" i="6"/>
  <c r="R546" i="6"/>
  <c r="R505" i="6"/>
  <c r="R558" i="6"/>
  <c r="R563" i="6"/>
  <c r="R534" i="6"/>
  <c r="R528" i="6"/>
  <c r="R404" i="6"/>
  <c r="R395" i="6"/>
  <c r="R459" i="6"/>
  <c r="W459" i="6" s="1"/>
  <c r="X459" i="6" s="1"/>
  <c r="Z459" i="6" s="1"/>
  <c r="AA459" i="6" s="1"/>
  <c r="R417" i="6"/>
  <c r="R204" i="6"/>
  <c r="R524" i="6"/>
  <c r="W524" i="6" s="1"/>
  <c r="X524" i="6" s="1"/>
  <c r="Z524" i="6" s="1"/>
  <c r="AA524" i="6" s="1"/>
  <c r="R521" i="6"/>
  <c r="W521" i="6" s="1"/>
  <c r="X521" i="6" s="1"/>
  <c r="Z521" i="6" s="1"/>
  <c r="AA521" i="6" s="1"/>
  <c r="R518" i="6"/>
  <c r="W518" i="6" s="1"/>
  <c r="X518" i="6" s="1"/>
  <c r="Z518" i="6" s="1"/>
  <c r="AA518" i="6" s="1"/>
  <c r="R515" i="6"/>
  <c r="W515" i="6" s="1"/>
  <c r="X515" i="6" s="1"/>
  <c r="Z515" i="6" s="1"/>
  <c r="AA515" i="6" s="1"/>
  <c r="R509" i="6"/>
  <c r="R486" i="6"/>
  <c r="R501" i="6"/>
  <c r="W501" i="6" s="1"/>
  <c r="X501" i="6" s="1"/>
  <c r="Z501" i="6" s="1"/>
  <c r="AA501" i="6" s="1"/>
  <c r="R414" i="6"/>
  <c r="R408" i="6"/>
  <c r="R406" i="6"/>
  <c r="R468" i="6"/>
  <c r="R481" i="6"/>
  <c r="W481" i="6" s="1"/>
  <c r="X481" i="6" s="1"/>
  <c r="Z481" i="6" s="1"/>
  <c r="AA481" i="6" s="1"/>
  <c r="R567" i="6"/>
  <c r="W567" i="6" s="1"/>
  <c r="X567" i="6" s="1"/>
  <c r="Z567" i="6" s="1"/>
  <c r="AA567" i="6" s="1"/>
  <c r="R540" i="6"/>
  <c r="R507" i="6"/>
  <c r="R442" i="6"/>
  <c r="R411" i="6"/>
  <c r="R398" i="6"/>
  <c r="R384" i="6"/>
  <c r="R543" i="6"/>
  <c r="W543" i="6" s="1"/>
  <c r="X543" i="6" s="1"/>
  <c r="Z543" i="6" s="1"/>
  <c r="AA543" i="6" s="1"/>
  <c r="R500" i="6"/>
  <c r="R370" i="6"/>
  <c r="R531" i="6"/>
  <c r="R446" i="6"/>
  <c r="R420" i="6"/>
  <c r="R379" i="6"/>
  <c r="R336" i="6"/>
  <c r="R447" i="6"/>
  <c r="W447" i="6" s="1"/>
  <c r="X447" i="6" s="1"/>
  <c r="Z447" i="6" s="1"/>
  <c r="AA447" i="6" s="1"/>
  <c r="R445" i="6"/>
  <c r="W445" i="6" s="1"/>
  <c r="X445" i="6" s="1"/>
  <c r="Z445" i="6" s="1"/>
  <c r="AA445" i="6" s="1"/>
  <c r="R418" i="6"/>
  <c r="R409" i="6"/>
  <c r="R407" i="6"/>
  <c r="R383" i="6"/>
  <c r="W383" i="6" s="1"/>
  <c r="X383" i="6" s="1"/>
  <c r="Z383" i="6" s="1"/>
  <c r="AA383" i="6" s="1"/>
  <c r="R374" i="6"/>
  <c r="W374" i="6" s="1"/>
  <c r="X374" i="6" s="1"/>
  <c r="Z374" i="6" s="1"/>
  <c r="AA374" i="6" s="1"/>
  <c r="R490" i="6"/>
  <c r="W490" i="6" s="1"/>
  <c r="X490" i="6" s="1"/>
  <c r="Z490" i="6" s="1"/>
  <c r="AA490" i="6" s="1"/>
  <c r="R485" i="6"/>
  <c r="R474" i="6"/>
  <c r="W474" i="6" s="1"/>
  <c r="X474" i="6" s="1"/>
  <c r="Z474" i="6" s="1"/>
  <c r="AA474" i="6" s="1"/>
  <c r="R424" i="6"/>
  <c r="W424" i="6" s="1"/>
  <c r="X424" i="6" s="1"/>
  <c r="Z424" i="6" s="1"/>
  <c r="AA424" i="6" s="1"/>
  <c r="R403" i="6"/>
  <c r="R371" i="6"/>
  <c r="R319" i="6"/>
  <c r="R431" i="6"/>
  <c r="W431" i="6" s="1"/>
  <c r="X431" i="6" s="1"/>
  <c r="Z431" i="6" s="1"/>
  <c r="AA431" i="6" s="1"/>
  <c r="R427" i="6"/>
  <c r="W427" i="6" s="1"/>
  <c r="X427" i="6" s="1"/>
  <c r="Z427" i="6" s="1"/>
  <c r="AA427" i="6" s="1"/>
  <c r="R401" i="6"/>
  <c r="W401" i="6" s="1"/>
  <c r="X401" i="6" s="1"/>
  <c r="Z401" i="6" s="1"/>
  <c r="AA401" i="6" s="1"/>
  <c r="R386" i="6"/>
  <c r="W386" i="6" s="1"/>
  <c r="X386" i="6" s="1"/>
  <c r="Z386" i="6" s="1"/>
  <c r="AA386" i="6" s="1"/>
  <c r="R318" i="6"/>
  <c r="R502" i="6"/>
  <c r="W502" i="6" s="1"/>
  <c r="X502" i="6" s="1"/>
  <c r="Z502" i="6" s="1"/>
  <c r="AA502" i="6" s="1"/>
  <c r="R480" i="6"/>
  <c r="W480" i="6" s="1"/>
  <c r="X480" i="6" s="1"/>
  <c r="Z480" i="6" s="1"/>
  <c r="AA480" i="6" s="1"/>
  <c r="R473" i="6"/>
  <c r="W473" i="6" s="1"/>
  <c r="X473" i="6" s="1"/>
  <c r="Z473" i="6" s="1"/>
  <c r="AA473" i="6" s="1"/>
  <c r="R412" i="6"/>
  <c r="R359" i="6"/>
  <c r="R426" i="6"/>
  <c r="R393" i="6"/>
  <c r="R389" i="6"/>
  <c r="W389" i="6" s="1"/>
  <c r="X389" i="6" s="1"/>
  <c r="Z389" i="6" s="1"/>
  <c r="AA389" i="6" s="1"/>
  <c r="R290" i="6"/>
  <c r="R434" i="6"/>
  <c r="W434" i="6" s="1"/>
  <c r="X434" i="6" s="1"/>
  <c r="Z434" i="6" s="1"/>
  <c r="AA434" i="6" s="1"/>
  <c r="R363" i="6"/>
  <c r="R289" i="6"/>
  <c r="R392" i="6"/>
  <c r="W392" i="6" s="1"/>
  <c r="X392" i="6" s="1"/>
  <c r="Z392" i="6" s="1"/>
  <c r="AA392" i="6" s="1"/>
  <c r="R437" i="6"/>
  <c r="W437" i="6" s="1"/>
  <c r="X437" i="6" s="1"/>
  <c r="Z437" i="6" s="1"/>
  <c r="AA437" i="6" s="1"/>
  <c r="R433" i="6"/>
  <c r="R415" i="6"/>
  <c r="R396" i="6"/>
  <c r="R358" i="6"/>
  <c r="R353" i="6"/>
  <c r="R283" i="6"/>
  <c r="R443" i="6"/>
  <c r="W443" i="6" s="1"/>
  <c r="X443" i="6" s="1"/>
  <c r="Z443" i="6" s="1"/>
  <c r="AA443" i="6" s="1"/>
  <c r="R438" i="6"/>
  <c r="W438" i="6" s="1"/>
  <c r="X438" i="6" s="1"/>
  <c r="Z438" i="6" s="1"/>
  <c r="AA438" i="6" s="1"/>
  <c r="R435" i="6"/>
  <c r="W435" i="6" s="1"/>
  <c r="X435" i="6" s="1"/>
  <c r="Z435" i="6" s="1"/>
  <c r="AA435" i="6" s="1"/>
  <c r="R399" i="6"/>
  <c r="W399" i="6" s="1"/>
  <c r="X399" i="6" s="1"/>
  <c r="Z399" i="6" s="1"/>
  <c r="AA399" i="6" s="1"/>
  <c r="R390" i="6"/>
  <c r="W390" i="6" s="1"/>
  <c r="X390" i="6" s="1"/>
  <c r="Z390" i="6" s="1"/>
  <c r="AA390" i="6" s="1"/>
  <c r="R387" i="6"/>
  <c r="W387" i="6" s="1"/>
  <c r="X387" i="6" s="1"/>
  <c r="Z387" i="6" s="1"/>
  <c r="AA387" i="6" s="1"/>
  <c r="R366" i="6"/>
  <c r="R335" i="6"/>
  <c r="R317" i="6"/>
  <c r="R302" i="6"/>
  <c r="R288" i="6"/>
  <c r="R402" i="6"/>
  <c r="W402" i="6" s="1"/>
  <c r="X402" i="6" s="1"/>
  <c r="Z402" i="6" s="1"/>
  <c r="AA402" i="6" s="1"/>
  <c r="R376" i="6"/>
  <c r="W376" i="6" s="1"/>
  <c r="X376" i="6" s="1"/>
  <c r="Z376" i="6" s="1"/>
  <c r="AA376" i="6" s="1"/>
  <c r="R357" i="6"/>
  <c r="R352" i="6"/>
  <c r="R340" i="6"/>
  <c r="R196" i="6"/>
  <c r="W196" i="6" s="1"/>
  <c r="X196" i="6" s="1"/>
  <c r="Z196" i="6" s="1"/>
  <c r="AA196" i="6" s="1"/>
  <c r="R369" i="6"/>
  <c r="W369" i="6" s="1"/>
  <c r="X369" i="6" s="1"/>
  <c r="Z369" i="6" s="1"/>
  <c r="AA369" i="6" s="1"/>
  <c r="R316" i="6"/>
  <c r="R298" i="6"/>
  <c r="R294" i="6"/>
  <c r="R287" i="6"/>
  <c r="R351" i="6"/>
  <c r="R339" i="6"/>
  <c r="R334" i="6"/>
  <c r="R315" i="6"/>
  <c r="R306" i="6"/>
  <c r="R286" i="6"/>
  <c r="R139" i="6"/>
  <c r="R361" i="6"/>
  <c r="R356" i="6"/>
  <c r="R333" i="6"/>
  <c r="R297" i="6"/>
  <c r="R293" i="6"/>
  <c r="R338" i="6"/>
  <c r="R702" i="6" s="1"/>
  <c r="R321" i="6"/>
  <c r="R314" i="6"/>
  <c r="R292" i="6"/>
  <c r="R285" i="6"/>
  <c r="R272" i="6"/>
  <c r="R422" i="6"/>
  <c r="W422" i="6" s="1"/>
  <c r="X422" i="6" s="1"/>
  <c r="Z422" i="6" s="1"/>
  <c r="AA422" i="6" s="1"/>
  <c r="R360" i="6"/>
  <c r="R355" i="6"/>
  <c r="R332" i="6"/>
  <c r="R309" i="6"/>
  <c r="R296" i="6"/>
  <c r="R255" i="6"/>
  <c r="R229" i="6"/>
  <c r="R364" i="6"/>
  <c r="R320" i="6"/>
  <c r="R313" i="6"/>
  <c r="R291" i="6"/>
  <c r="R354" i="6"/>
  <c r="R337" i="6"/>
  <c r="R331" i="6"/>
  <c r="R312" i="6"/>
  <c r="R207" i="6"/>
  <c r="R269" i="6"/>
  <c r="R260" i="6"/>
  <c r="R138" i="6"/>
  <c r="R228" i="6"/>
  <c r="R220" i="6"/>
  <c r="R299" i="6"/>
  <c r="W299" i="6" s="1"/>
  <c r="X299" i="6" s="1"/>
  <c r="Z299" i="6" s="1"/>
  <c r="AA299" i="6" s="1"/>
  <c r="R276" i="6"/>
  <c r="W276" i="6" s="1"/>
  <c r="X276" i="6" s="1"/>
  <c r="Z276" i="6" s="1"/>
  <c r="AA276" i="6" s="1"/>
  <c r="R270" i="6"/>
  <c r="R254" i="6"/>
  <c r="W254" i="6" s="1"/>
  <c r="X254" i="6" s="1"/>
  <c r="Z254" i="6" s="1"/>
  <c r="AA254" i="6" s="1"/>
  <c r="R236" i="6"/>
  <c r="W236" i="6" s="1"/>
  <c r="X236" i="6" s="1"/>
  <c r="Z236" i="6" s="1"/>
  <c r="AA236" i="6" s="1"/>
  <c r="R259" i="6"/>
  <c r="R264" i="6"/>
  <c r="R176" i="6"/>
  <c r="R249" i="6"/>
  <c r="R180" i="6"/>
  <c r="R234" i="6"/>
  <c r="R231" i="6"/>
  <c r="R183" i="6"/>
  <c r="R175" i="6"/>
  <c r="R162" i="6"/>
  <c r="R275" i="6"/>
  <c r="W275" i="6" s="1"/>
  <c r="X275" i="6" s="1"/>
  <c r="Z275" i="6" s="1"/>
  <c r="AA275" i="6" s="1"/>
  <c r="R267" i="6"/>
  <c r="R252" i="6"/>
  <c r="R262" i="6"/>
  <c r="R251" i="6"/>
  <c r="R233" i="6"/>
  <c r="R230" i="6"/>
  <c r="W230" i="6" s="1"/>
  <c r="X230" i="6" s="1"/>
  <c r="Z230" i="6" s="1"/>
  <c r="AA230" i="6" s="1"/>
  <c r="R221" i="6"/>
  <c r="W221" i="6" s="1"/>
  <c r="X221" i="6" s="1"/>
  <c r="Z221" i="6" s="1"/>
  <c r="AA221" i="6" s="1"/>
  <c r="R218" i="6"/>
  <c r="W218" i="6" s="1"/>
  <c r="X218" i="6" s="1"/>
  <c r="Z218" i="6" s="1"/>
  <c r="AA218" i="6" s="1"/>
  <c r="W165" i="6"/>
  <c r="X165" i="6" s="1"/>
  <c r="Z165" i="6" s="1"/>
  <c r="R161" i="6"/>
  <c r="W161" i="6" s="1"/>
  <c r="X161" i="6" s="1"/>
  <c r="Z161" i="6" s="1"/>
  <c r="R235" i="6"/>
  <c r="W235" i="6" s="1"/>
  <c r="X235" i="6" s="1"/>
  <c r="X554" i="6" l="1"/>
  <c r="Z554" i="6" s="1"/>
  <c r="AA554" i="6" s="1"/>
  <c r="W565" i="6"/>
  <c r="X565" i="6" s="1"/>
  <c r="W509" i="6"/>
  <c r="X509" i="6" s="1"/>
  <c r="W168" i="6"/>
  <c r="X168" i="6" s="1"/>
  <c r="Z168" i="6" s="1"/>
  <c r="R155" i="6"/>
  <c r="Q156" i="6"/>
  <c r="R156" i="6"/>
  <c r="W156" i="6" s="1"/>
  <c r="X156" i="6" s="1"/>
  <c r="Z156" i="6" s="1"/>
  <c r="AA156" i="6" s="1"/>
  <c r="Q155" i="6"/>
  <c r="W155" i="6" s="1"/>
  <c r="R712" i="6"/>
  <c r="R706" i="6"/>
  <c r="W500" i="6"/>
  <c r="X500" i="6" s="1"/>
  <c r="W283" i="6"/>
  <c r="X283" i="6" s="1"/>
  <c r="W249" i="6"/>
  <c r="X249" i="6" s="1"/>
  <c r="X512" i="6"/>
  <c r="Z512" i="6" s="1"/>
  <c r="W539" i="6"/>
  <c r="X539" i="6" s="1"/>
  <c r="Z539" i="6" s="1"/>
  <c r="AA539" i="6" s="1"/>
  <c r="W282" i="6"/>
  <c r="X282" i="6" s="1"/>
  <c r="W498" i="6"/>
  <c r="X498" i="6" s="1"/>
  <c r="Z498" i="6" s="1"/>
  <c r="AA498" i="6" s="1"/>
  <c r="Z489" i="6"/>
  <c r="AA489" i="6" s="1"/>
  <c r="W227" i="6"/>
  <c r="X227" i="6" s="1"/>
  <c r="Z227" i="6" s="1"/>
  <c r="AA227" i="6" s="1"/>
  <c r="W174" i="6"/>
  <c r="X174" i="6" s="1"/>
  <c r="Z174" i="6" s="1"/>
  <c r="W238" i="6"/>
  <c r="X238" i="6" s="1"/>
  <c r="W485" i="6"/>
  <c r="X485" i="6" s="1"/>
  <c r="Z485" i="6" s="1"/>
  <c r="AA485" i="6" s="1"/>
  <c r="W416" i="6"/>
  <c r="X416" i="6" s="1"/>
  <c r="Z416" i="6" s="1"/>
  <c r="AA416" i="6" s="1"/>
  <c r="W184" i="6"/>
  <c r="X184" i="6" s="1"/>
  <c r="Z184" i="6" s="1"/>
  <c r="AA184" i="6" s="1"/>
  <c r="W179" i="6"/>
  <c r="X179" i="6" s="1"/>
  <c r="Z179" i="6" s="1"/>
  <c r="AA179" i="6" s="1"/>
  <c r="W178" i="6"/>
  <c r="X178" i="6" s="1"/>
  <c r="Z178" i="6" s="1"/>
  <c r="Z235" i="6"/>
  <c r="AA235" i="6" s="1"/>
  <c r="W419" i="6"/>
  <c r="X419" i="6" s="1"/>
  <c r="Z419" i="6" s="1"/>
  <c r="AA419" i="6" s="1"/>
  <c r="W233" i="6"/>
  <c r="X233" i="6" s="1"/>
  <c r="W525" i="6"/>
  <c r="Z525" i="6" s="1"/>
  <c r="AA525" i="6" s="1"/>
  <c r="W520" i="6"/>
  <c r="X520" i="6" s="1"/>
  <c r="Z520" i="6" s="1"/>
  <c r="AA520" i="6" s="1"/>
  <c r="W441" i="6"/>
  <c r="X441" i="6" s="1"/>
  <c r="Z441" i="6" s="1"/>
  <c r="AA441" i="6" s="1"/>
  <c r="W519" i="6"/>
  <c r="X519" i="6" s="1"/>
  <c r="Z519" i="6" s="1"/>
  <c r="AA519" i="6" s="1"/>
  <c r="W464" i="6"/>
  <c r="X464" i="6" s="1"/>
  <c r="Z464" i="6" s="1"/>
  <c r="AA464" i="6" s="1"/>
  <c r="W516" i="6"/>
  <c r="X516" i="6" s="1"/>
  <c r="Z516" i="6" s="1"/>
  <c r="AA516" i="6" s="1"/>
  <c r="W517" i="6"/>
  <c r="X517" i="6" s="1"/>
  <c r="Z517" i="6" s="1"/>
  <c r="AA517" i="6" s="1"/>
  <c r="W506" i="6"/>
  <c r="X506" i="6" s="1"/>
  <c r="Z506" i="6" s="1"/>
  <c r="AA506" i="6" s="1"/>
  <c r="W375" i="6"/>
  <c r="X375" i="6" s="1"/>
  <c r="Z375" i="6" s="1"/>
  <c r="AA375" i="6" s="1"/>
  <c r="W568" i="6"/>
  <c r="X568" i="6" s="1"/>
  <c r="Z568" i="6" s="1"/>
  <c r="AA568" i="6" s="1"/>
  <c r="W569" i="6"/>
  <c r="X569" i="6" s="1"/>
  <c r="Z569" i="6" s="1"/>
  <c r="AA569" i="6" s="1"/>
  <c r="W536" i="6"/>
  <c r="X536" i="6" s="1"/>
  <c r="W556" i="6"/>
  <c r="X556" i="6" s="1"/>
  <c r="Z556" i="6" s="1"/>
  <c r="AA556" i="6" s="1"/>
  <c r="W277" i="6"/>
  <c r="X277" i="6" s="1"/>
  <c r="Z277" i="6" s="1"/>
  <c r="AA277" i="6" s="1"/>
  <c r="W273" i="6"/>
  <c r="X273" i="6" s="1"/>
  <c r="Z273" i="6" s="1"/>
  <c r="AA273" i="6" s="1"/>
  <c r="W271" i="6"/>
  <c r="X271" i="6" s="1"/>
  <c r="Z271" i="6" s="1"/>
  <c r="AA271" i="6" s="1"/>
  <c r="W243" i="6"/>
  <c r="W191" i="6"/>
  <c r="X191" i="6" s="1"/>
  <c r="Z191" i="6" s="1"/>
  <c r="AA191" i="6" s="1"/>
  <c r="W167" i="6"/>
  <c r="X167" i="6" s="1"/>
  <c r="Z167" i="6" s="1"/>
  <c r="W530" i="6"/>
  <c r="X530" i="6" s="1"/>
  <c r="Z530" i="6" s="1"/>
  <c r="AA530" i="6" s="1"/>
  <c r="W514" i="6"/>
  <c r="X514" i="6" s="1"/>
  <c r="Z514" i="6" s="1"/>
  <c r="W413" i="6"/>
  <c r="X413" i="6" s="1"/>
  <c r="Z413" i="6" s="1"/>
  <c r="AA413" i="6" s="1"/>
  <c r="W444" i="6"/>
  <c r="X444" i="6" s="1"/>
  <c r="Z444" i="6" s="1"/>
  <c r="AA444" i="6" s="1"/>
  <c r="R150" i="6"/>
  <c r="Q150" i="6"/>
  <c r="W182" i="6"/>
  <c r="X182" i="6" s="1"/>
  <c r="Z182" i="6" s="1"/>
  <c r="AA182" i="6" s="1"/>
  <c r="W250" i="6"/>
  <c r="W300" i="6"/>
  <c r="X300" i="6" s="1"/>
  <c r="Z300" i="6" s="1"/>
  <c r="AA300" i="6" s="1"/>
  <c r="W400" i="6"/>
  <c r="X400" i="6" s="1"/>
  <c r="Z400" i="6" s="1"/>
  <c r="AA400" i="6" s="1"/>
  <c r="W365" i="6"/>
  <c r="X365" i="6" s="1"/>
  <c r="Z365" i="6" s="1"/>
  <c r="AA365" i="6" s="1"/>
  <c r="W222" i="6"/>
  <c r="X222" i="6" s="1"/>
  <c r="Z222" i="6" s="1"/>
  <c r="AA222" i="6" s="1"/>
  <c r="W253" i="6"/>
  <c r="X253" i="6" s="1"/>
  <c r="Z253" i="6" s="1"/>
  <c r="AA253" i="6" s="1"/>
  <c r="W160" i="6"/>
  <c r="X160" i="6" s="1"/>
  <c r="Z160" i="6" s="1"/>
  <c r="W140" i="6"/>
  <c r="X140" i="6" s="1"/>
  <c r="Z140" i="6" s="1"/>
  <c r="AA140" i="6" s="1"/>
  <c r="W209" i="6"/>
  <c r="X209" i="6" s="1"/>
  <c r="Z209" i="6" s="1"/>
  <c r="AA209" i="6" s="1"/>
  <c r="W560" i="6"/>
  <c r="X560" i="6" s="1"/>
  <c r="Z560" i="6" s="1"/>
  <c r="AA560" i="6" s="1"/>
  <c r="W274" i="6"/>
  <c r="X274" i="6" s="1"/>
  <c r="Z274" i="6" s="1"/>
  <c r="AA274" i="6" s="1"/>
  <c r="AA203" i="6"/>
  <c r="W397" i="6"/>
  <c r="X397" i="6" s="1"/>
  <c r="Z397" i="6" s="1"/>
  <c r="AA397" i="6" s="1"/>
  <c r="W380" i="6"/>
  <c r="X380" i="6" s="1"/>
  <c r="Z380" i="6" s="1"/>
  <c r="AA380" i="6" s="1"/>
  <c r="W163" i="6"/>
  <c r="X163" i="6" s="1"/>
  <c r="Z163" i="6" s="1"/>
  <c r="W559" i="6"/>
  <c r="X559" i="6" s="1"/>
  <c r="Z559" i="6" s="1"/>
  <c r="AA559" i="6" s="1"/>
  <c r="W307" i="6"/>
  <c r="X307" i="6" s="1"/>
  <c r="Z307" i="6" s="1"/>
  <c r="AA307" i="6" s="1"/>
  <c r="W169" i="6"/>
  <c r="W361" i="6"/>
  <c r="X361" i="6" s="1"/>
  <c r="Z361" i="6" s="1"/>
  <c r="AA361" i="6" s="1"/>
  <c r="W176" i="6"/>
  <c r="X176" i="6" s="1"/>
  <c r="Z176" i="6" s="1"/>
  <c r="W268" i="6"/>
  <c r="X268" i="6" s="1"/>
  <c r="Z268" i="6" s="1"/>
  <c r="AA268" i="6" s="1"/>
  <c r="W467" i="6"/>
  <c r="X467" i="6" s="1"/>
  <c r="Z467" i="6" s="1"/>
  <c r="AA467" i="6" s="1"/>
  <c r="W208" i="6"/>
  <c r="X208" i="6" s="1"/>
  <c r="Z208" i="6" s="1"/>
  <c r="AA208" i="6" s="1"/>
  <c r="W394" i="6"/>
  <c r="X394" i="6" s="1"/>
  <c r="Z394" i="6" s="1"/>
  <c r="AA394" i="6" s="1"/>
  <c r="W338" i="6"/>
  <c r="W318" i="6"/>
  <c r="X318" i="6" s="1"/>
  <c r="Z318" i="6" s="1"/>
  <c r="AA318" i="6" s="1"/>
  <c r="W558" i="6"/>
  <c r="X558" i="6" s="1"/>
  <c r="Z558" i="6" s="1"/>
  <c r="AA558" i="6" s="1"/>
  <c r="W296" i="6"/>
  <c r="X296" i="6" s="1"/>
  <c r="Z296" i="6" s="1"/>
  <c r="AA296" i="6" s="1"/>
  <c r="W545" i="6"/>
  <c r="X545" i="6" s="1"/>
  <c r="Z545" i="6" s="1"/>
  <c r="AA545" i="6" s="1"/>
  <c r="W529" i="6"/>
  <c r="X529" i="6" s="1"/>
  <c r="Z529" i="6" s="1"/>
  <c r="AA529" i="6" s="1"/>
  <c r="W269" i="6"/>
  <c r="X269" i="6" s="1"/>
  <c r="Z269" i="6" s="1"/>
  <c r="AA269" i="6" s="1"/>
  <c r="W220" i="6"/>
  <c r="X220" i="6" s="1"/>
  <c r="Z220" i="6" s="1"/>
  <c r="AA220" i="6" s="1"/>
  <c r="W534" i="6"/>
  <c r="X534" i="6" s="1"/>
  <c r="Z534" i="6" s="1"/>
  <c r="AA534" i="6" s="1"/>
  <c r="W239" i="6"/>
  <c r="X239" i="6" s="1"/>
  <c r="W446" i="6"/>
  <c r="X446" i="6" s="1"/>
  <c r="Z446" i="6" s="1"/>
  <c r="AA446" i="6" s="1"/>
  <c r="X350" i="6"/>
  <c r="Z350" i="6" s="1"/>
  <c r="AA350" i="6" s="1"/>
  <c r="W356" i="6"/>
  <c r="X356" i="6" s="1"/>
  <c r="Z356" i="6" s="1"/>
  <c r="AA356" i="6" s="1"/>
  <c r="W557" i="6"/>
  <c r="X557" i="6" s="1"/>
  <c r="Z557" i="6" s="1"/>
  <c r="AA557" i="6" s="1"/>
  <c r="W417" i="6"/>
  <c r="X417" i="6" s="1"/>
  <c r="Z417" i="6" s="1"/>
  <c r="AA417" i="6" s="1"/>
  <c r="W410" i="6"/>
  <c r="X410" i="6" s="1"/>
  <c r="Z410" i="6" s="1"/>
  <c r="AA410" i="6" s="1"/>
  <c r="W436" i="6"/>
  <c r="X436" i="6" s="1"/>
  <c r="Z436" i="6" s="1"/>
  <c r="AA436" i="6" s="1"/>
  <c r="W258" i="6"/>
  <c r="X258" i="6" s="1"/>
  <c r="Z258" i="6" s="1"/>
  <c r="AA258" i="6" s="1"/>
  <c r="W334" i="6"/>
  <c r="X334" i="6" s="1"/>
  <c r="Z334" i="6" s="1"/>
  <c r="AA334" i="6" s="1"/>
  <c r="W219" i="6"/>
  <c r="X219" i="6" s="1"/>
  <c r="Z219" i="6" s="1"/>
  <c r="AA219" i="6" s="1"/>
  <c r="W371" i="6"/>
  <c r="X371" i="6" s="1"/>
  <c r="Z371" i="6" s="1"/>
  <c r="AA371" i="6" s="1"/>
  <c r="W311" i="6"/>
  <c r="X311" i="6" s="1"/>
  <c r="Z311" i="6" s="1"/>
  <c r="AA311" i="6" s="1"/>
  <c r="W331" i="6"/>
  <c r="X331" i="6" s="1"/>
  <c r="Z331" i="6" s="1"/>
  <c r="AA331" i="6" s="1"/>
  <c r="W309" i="6"/>
  <c r="X309" i="6" s="1"/>
  <c r="Z309" i="6" s="1"/>
  <c r="AA309" i="6" s="1"/>
  <c r="W186" i="6"/>
  <c r="X186" i="6" s="1"/>
  <c r="Z186" i="6" s="1"/>
  <c r="AA186" i="6" s="1"/>
  <c r="W291" i="6"/>
  <c r="X291" i="6" s="1"/>
  <c r="Z291" i="6" s="1"/>
  <c r="AA291" i="6" s="1"/>
  <c r="W363" i="6"/>
  <c r="X363" i="6" s="1"/>
  <c r="Z363" i="6" s="1"/>
  <c r="AA363" i="6" s="1"/>
  <c r="W286" i="6"/>
  <c r="X286" i="6" s="1"/>
  <c r="Z286" i="6" s="1"/>
  <c r="AA286" i="6" s="1"/>
  <c r="W415" i="6"/>
  <c r="X415" i="6" s="1"/>
  <c r="Z415" i="6" s="1"/>
  <c r="AA415" i="6" s="1"/>
  <c r="W544" i="6"/>
  <c r="X544" i="6" s="1"/>
  <c r="Z544" i="6" s="1"/>
  <c r="AA544" i="6" s="1"/>
  <c r="W391" i="6"/>
  <c r="X391" i="6" s="1"/>
  <c r="Z391" i="6" s="1"/>
  <c r="AA391" i="6" s="1"/>
  <c r="W362" i="6"/>
  <c r="X362" i="6" s="1"/>
  <c r="Z362" i="6" s="1"/>
  <c r="AA362" i="6" s="1"/>
  <c r="W426" i="6"/>
  <c r="X426" i="6" s="1"/>
  <c r="Z426" i="6" s="1"/>
  <c r="AA426" i="6" s="1"/>
  <c r="W358" i="6"/>
  <c r="X358" i="6" s="1"/>
  <c r="Z358" i="6" s="1"/>
  <c r="AA358" i="6" s="1"/>
  <c r="W308" i="6"/>
  <c r="X308" i="6" s="1"/>
  <c r="Z308" i="6" s="1"/>
  <c r="AA308" i="6" s="1"/>
  <c r="W181" i="6"/>
  <c r="X181" i="6" s="1"/>
  <c r="Z181" i="6" s="1"/>
  <c r="AA181" i="6" s="1"/>
  <c r="W364" i="6"/>
  <c r="X364" i="6" s="1"/>
  <c r="Z364" i="6" s="1"/>
  <c r="AA364" i="6" s="1"/>
  <c r="W302" i="6"/>
  <c r="X302" i="6" s="1"/>
  <c r="Z302" i="6" s="1"/>
  <c r="AA302" i="6" s="1"/>
  <c r="W379" i="6"/>
  <c r="X379" i="6" s="1"/>
  <c r="Z379" i="6" s="1"/>
  <c r="AA379" i="6" s="1"/>
  <c r="W486" i="6"/>
  <c r="X486" i="6" s="1"/>
  <c r="Z486" i="6" s="1"/>
  <c r="AA486" i="6" s="1"/>
  <c r="W265" i="6"/>
  <c r="X265" i="6" s="1"/>
  <c r="Z265" i="6" s="1"/>
  <c r="AA265" i="6" s="1"/>
  <c r="W290" i="6"/>
  <c r="X290" i="6" s="1"/>
  <c r="Z290" i="6" s="1"/>
  <c r="AA290" i="6" s="1"/>
  <c r="W384" i="6"/>
  <c r="X384" i="6" s="1"/>
  <c r="Z384" i="6" s="1"/>
  <c r="AA384" i="6" s="1"/>
  <c r="W411" i="6"/>
  <c r="X411" i="6" s="1"/>
  <c r="Z411" i="6" s="1"/>
  <c r="AA411" i="6" s="1"/>
  <c r="W408" i="6"/>
  <c r="X408" i="6" s="1"/>
  <c r="Z408" i="6" s="1"/>
  <c r="AA408" i="6" s="1"/>
  <c r="W555" i="6"/>
  <c r="X555" i="6" s="1"/>
  <c r="Z555" i="6" s="1"/>
  <c r="W259" i="6"/>
  <c r="X259" i="6" s="1"/>
  <c r="Z259" i="6" s="1"/>
  <c r="AA259" i="6" s="1"/>
  <c r="W207" i="6"/>
  <c r="X207" i="6" s="1"/>
  <c r="Z207" i="6" s="1"/>
  <c r="AA207" i="6" s="1"/>
  <c r="W255" i="6"/>
  <c r="X255" i="6" s="1"/>
  <c r="Z255" i="6" s="1"/>
  <c r="AA255" i="6" s="1"/>
  <c r="W272" i="6"/>
  <c r="X272" i="6" s="1"/>
  <c r="Z272" i="6" s="1"/>
  <c r="AA272" i="6" s="1"/>
  <c r="W187" i="6"/>
  <c r="X187" i="6" s="1"/>
  <c r="Z187" i="6" s="1"/>
  <c r="AA187" i="6" s="1"/>
  <c r="W188" i="6"/>
  <c r="X188" i="6" s="1"/>
  <c r="Z188" i="6" s="1"/>
  <c r="AA188" i="6" s="1"/>
  <c r="W367" i="6"/>
  <c r="X367" i="6" s="1"/>
  <c r="Z367" i="6" s="1"/>
  <c r="AA367" i="6" s="1"/>
  <c r="W355" i="6"/>
  <c r="X355" i="6" s="1"/>
  <c r="Z355" i="6" s="1"/>
  <c r="AA355" i="6" s="1"/>
  <c r="W285" i="6"/>
  <c r="X285" i="6" s="1"/>
  <c r="W288" i="6"/>
  <c r="X288" i="6" s="1"/>
  <c r="Z288" i="6" s="1"/>
  <c r="AA288" i="6" s="1"/>
  <c r="W366" i="6"/>
  <c r="X366" i="6" s="1"/>
  <c r="Z366" i="6" s="1"/>
  <c r="AA366" i="6" s="1"/>
  <c r="W353" i="6"/>
  <c r="X353" i="6" s="1"/>
  <c r="Z353" i="6" s="1"/>
  <c r="AA353" i="6" s="1"/>
  <c r="W393" i="6"/>
  <c r="X393" i="6" s="1"/>
  <c r="Z393" i="6" s="1"/>
  <c r="AA393" i="6" s="1"/>
  <c r="W404" i="6"/>
  <c r="X404" i="6" s="1"/>
  <c r="Z404" i="6" s="1"/>
  <c r="AA404" i="6" s="1"/>
  <c r="W234" i="6"/>
  <c r="W162" i="6"/>
  <c r="X162" i="6" s="1"/>
  <c r="Z162" i="6" s="1"/>
  <c r="W312" i="6"/>
  <c r="X312" i="6" s="1"/>
  <c r="Z312" i="6" s="1"/>
  <c r="AA312" i="6" s="1"/>
  <c r="W287" i="6"/>
  <c r="X287" i="6" s="1"/>
  <c r="Z287" i="6" s="1"/>
  <c r="AA287" i="6" s="1"/>
  <c r="W423" i="6"/>
  <c r="X423" i="6" s="1"/>
  <c r="Z423" i="6" s="1"/>
  <c r="AA423" i="6" s="1"/>
  <c r="W301" i="6"/>
  <c r="X301" i="6" s="1"/>
  <c r="Z301" i="6" s="1"/>
  <c r="AA301" i="6" s="1"/>
  <c r="W547" i="6"/>
  <c r="X547" i="6" s="1"/>
  <c r="Z547" i="6" s="1"/>
  <c r="AA547" i="6" s="1"/>
  <c r="W354" i="6"/>
  <c r="X354" i="6" s="1"/>
  <c r="Z354" i="6" s="1"/>
  <c r="AA354" i="6" s="1"/>
  <c r="W321" i="6"/>
  <c r="X321" i="6" s="1"/>
  <c r="Z321" i="6" s="1"/>
  <c r="AA321" i="6" s="1"/>
  <c r="W339" i="6"/>
  <c r="X339" i="6" s="1"/>
  <c r="Z339" i="6" s="1"/>
  <c r="AA339" i="6" s="1"/>
  <c r="W340" i="6"/>
  <c r="X340" i="6" s="1"/>
  <c r="Z340" i="6" s="1"/>
  <c r="AA340" i="6" s="1"/>
  <c r="W335" i="6"/>
  <c r="X335" i="6" s="1"/>
  <c r="Z335" i="6" s="1"/>
  <c r="AA335" i="6" s="1"/>
  <c r="W359" i="6"/>
  <c r="X359" i="6" s="1"/>
  <c r="Z359" i="6" s="1"/>
  <c r="AA359" i="6" s="1"/>
  <c r="W262" i="6"/>
  <c r="X262" i="6" s="1"/>
  <c r="Z262" i="6" s="1"/>
  <c r="AA262" i="6" s="1"/>
  <c r="W313" i="6"/>
  <c r="W332" i="6"/>
  <c r="X332" i="6" s="1"/>
  <c r="Z332" i="6" s="1"/>
  <c r="AA332" i="6" s="1"/>
  <c r="W297" i="6"/>
  <c r="X297" i="6" s="1"/>
  <c r="Z297" i="6" s="1"/>
  <c r="AA297" i="6" s="1"/>
  <c r="W139" i="6"/>
  <c r="X139" i="6" s="1"/>
  <c r="Z139" i="6" s="1"/>
  <c r="AA139" i="6" s="1"/>
  <c r="W294" i="6"/>
  <c r="X294" i="6" s="1"/>
  <c r="Z294" i="6" s="1"/>
  <c r="AA294" i="6" s="1"/>
  <c r="W319" i="6"/>
  <c r="X319" i="6" s="1"/>
  <c r="Z319" i="6" s="1"/>
  <c r="AA319" i="6" s="1"/>
  <c r="W183" i="6"/>
  <c r="X183" i="6" s="1"/>
  <c r="Z183" i="6" s="1"/>
  <c r="AA183" i="6" s="1"/>
  <c r="W507" i="6"/>
  <c r="X507" i="6" s="1"/>
  <c r="Z507" i="6" s="1"/>
  <c r="AA507" i="6" s="1"/>
  <c r="W406" i="6"/>
  <c r="X406" i="6" s="1"/>
  <c r="Z406" i="6" s="1"/>
  <c r="AA406" i="6" s="1"/>
  <c r="W190" i="6"/>
  <c r="X190" i="6" s="1"/>
  <c r="Z190" i="6" s="1"/>
  <c r="AA190" i="6" s="1"/>
  <c r="W193" i="6"/>
  <c r="X193" i="6" s="1"/>
  <c r="Z193" i="6" s="1"/>
  <c r="AA193" i="6" s="1"/>
  <c r="W225" i="6"/>
  <c r="X225" i="6" s="1"/>
  <c r="Z225" i="6" s="1"/>
  <c r="AA225" i="6" s="1"/>
  <c r="W336" i="6"/>
  <c r="X336" i="6" s="1"/>
  <c r="Z336" i="6" s="1"/>
  <c r="AA336" i="6" s="1"/>
  <c r="W540" i="6"/>
  <c r="X540" i="6" s="1"/>
  <c r="Z540" i="6" s="1"/>
  <c r="AA540" i="6" s="1"/>
  <c r="W166" i="6"/>
  <c r="X166" i="6" s="1"/>
  <c r="Z166" i="6" s="1"/>
  <c r="W368" i="6"/>
  <c r="X368" i="6" s="1"/>
  <c r="Z368" i="6" s="1"/>
  <c r="AA368" i="6" s="1"/>
  <c r="W298" i="6"/>
  <c r="X298" i="6" s="1"/>
  <c r="Z298" i="6" s="1"/>
  <c r="AA298" i="6" s="1"/>
  <c r="W357" i="6"/>
  <c r="X357" i="6" s="1"/>
  <c r="Z357" i="6" s="1"/>
  <c r="AA357" i="6" s="1"/>
  <c r="W548" i="6"/>
  <c r="X548" i="6" s="1"/>
  <c r="Z548" i="6" s="1"/>
  <c r="AA548" i="6" s="1"/>
  <c r="W257" i="6"/>
  <c r="X257" i="6" s="1"/>
  <c r="Z257" i="6" s="1"/>
  <c r="AA257" i="6" s="1"/>
  <c r="W442" i="6"/>
  <c r="X442" i="6" s="1"/>
  <c r="Z442" i="6" s="1"/>
  <c r="AA442" i="6" s="1"/>
  <c r="W204" i="6"/>
  <c r="X204" i="6" s="1"/>
  <c r="Z204" i="6" s="1"/>
  <c r="AA204" i="6" s="1"/>
  <c r="W337" i="6"/>
  <c r="X337" i="6" s="1"/>
  <c r="Z337" i="6" s="1"/>
  <c r="AA337" i="6" s="1"/>
  <c r="W317" i="6"/>
  <c r="X317" i="6" s="1"/>
  <c r="Z317" i="6" s="1"/>
  <c r="AA317" i="6" s="1"/>
  <c r="W396" i="6"/>
  <c r="X396" i="6" s="1"/>
  <c r="Z396" i="6" s="1"/>
  <c r="AA396" i="6" s="1"/>
  <c r="W563" i="6"/>
  <c r="X563" i="6" s="1"/>
  <c r="Z563" i="6" s="1"/>
  <c r="AA563" i="6" s="1"/>
  <c r="W231" i="6"/>
  <c r="X231" i="6" s="1"/>
  <c r="Z231" i="6" s="1"/>
  <c r="AA231" i="6" s="1"/>
  <c r="W223" i="6"/>
  <c r="X223" i="6" s="1"/>
  <c r="Z223" i="6" s="1"/>
  <c r="AA223" i="6" s="1"/>
  <c r="W314" i="6"/>
  <c r="W549" i="6"/>
  <c r="X549" i="6" s="1"/>
  <c r="Z549" i="6" s="1"/>
  <c r="AA549" i="6" s="1"/>
  <c r="W205" i="6"/>
  <c r="X205" i="6" s="1"/>
  <c r="Z205" i="6" s="1"/>
  <c r="AA205" i="6" s="1"/>
  <c r="W381" i="6"/>
  <c r="X381" i="6" s="1"/>
  <c r="Z381" i="6" s="1"/>
  <c r="AA381" i="6" s="1"/>
  <c r="W304" i="6"/>
  <c r="X304" i="6" s="1"/>
  <c r="Z304" i="6" s="1"/>
  <c r="AA304" i="6" s="1"/>
  <c r="W195" i="6"/>
  <c r="X195" i="6" s="1"/>
  <c r="Z195" i="6" s="1"/>
  <c r="AA195" i="6" s="1"/>
  <c r="W306" i="6"/>
  <c r="X306" i="6" s="1"/>
  <c r="Z306" i="6" s="1"/>
  <c r="AA306" i="6" s="1"/>
  <c r="W189" i="6"/>
  <c r="X189" i="6" s="1"/>
  <c r="Z189" i="6" s="1"/>
  <c r="AA189" i="6" s="1"/>
  <c r="W228" i="6"/>
  <c r="X228" i="6" s="1"/>
  <c r="W315" i="6"/>
  <c r="X315" i="6" s="1"/>
  <c r="Z315" i="6" s="1"/>
  <c r="AA315" i="6" s="1"/>
  <c r="W360" i="6"/>
  <c r="X360" i="6" s="1"/>
  <c r="Z360" i="6" s="1"/>
  <c r="AA360" i="6" s="1"/>
  <c r="W420" i="6"/>
  <c r="X420" i="6" s="1"/>
  <c r="Z420" i="6" s="1"/>
  <c r="AA420" i="6" s="1"/>
  <c r="W448" i="6"/>
  <c r="X448" i="6" s="1"/>
  <c r="Z448" i="6" s="1"/>
  <c r="AA448" i="6" s="1"/>
  <c r="W267" i="6"/>
  <c r="X267" i="6" s="1"/>
  <c r="Z267" i="6" s="1"/>
  <c r="AA267" i="6" s="1"/>
  <c r="W433" i="6"/>
  <c r="X433" i="6" s="1"/>
  <c r="Z433" i="6" s="1"/>
  <c r="AA433" i="6" s="1"/>
  <c r="W370" i="6"/>
  <c r="X370" i="6" s="1"/>
  <c r="Z370" i="6" s="1"/>
  <c r="AA370" i="6" s="1"/>
  <c r="X372" i="6"/>
  <c r="Z372" i="6" s="1"/>
  <c r="AA372" i="6" s="1"/>
  <c r="W303" i="6"/>
  <c r="X303" i="6" s="1"/>
  <c r="Z303" i="6" s="1"/>
  <c r="AA303" i="6" s="1"/>
  <c r="W138" i="6"/>
  <c r="X138" i="6" s="1"/>
  <c r="Z138" i="6" s="1"/>
  <c r="AA138" i="6" s="1"/>
  <c r="W352" i="6"/>
  <c r="X352" i="6" s="1"/>
  <c r="Z352" i="6" s="1"/>
  <c r="AA352" i="6" s="1"/>
  <c r="W351" i="6"/>
  <c r="X351" i="6" s="1"/>
  <c r="Z351" i="6" s="1"/>
  <c r="AA351" i="6" s="1"/>
  <c r="W385" i="6"/>
  <c r="X385" i="6" s="1"/>
  <c r="Z385" i="6" s="1"/>
  <c r="AA385" i="6" s="1"/>
  <c r="W432" i="6"/>
  <c r="X432" i="6" s="1"/>
  <c r="Z432" i="6" s="1"/>
  <c r="AA432" i="6" s="1"/>
  <c r="W425" i="6"/>
  <c r="X425" i="6" s="1"/>
  <c r="Z425" i="6" s="1"/>
  <c r="AA425" i="6" s="1"/>
  <c r="W407" i="6"/>
  <c r="X407" i="6" s="1"/>
  <c r="Z407" i="6" s="1"/>
  <c r="AA407" i="6" s="1"/>
  <c r="W531" i="6"/>
  <c r="X531" i="6" s="1"/>
  <c r="Z531" i="6" s="1"/>
  <c r="AA531" i="6" s="1"/>
  <c r="W528" i="6"/>
  <c r="X528" i="6" s="1"/>
  <c r="Z528" i="6" s="1"/>
  <c r="AA528" i="6" s="1"/>
  <c r="W409" i="6"/>
  <c r="X409" i="6" s="1"/>
  <c r="Z409" i="6" s="1"/>
  <c r="AA409" i="6" s="1"/>
  <c r="W412" i="6"/>
  <c r="X412" i="6" s="1"/>
  <c r="Z412" i="6" s="1"/>
  <c r="AA412" i="6" s="1"/>
  <c r="W542" i="6"/>
  <c r="X542" i="6" s="1"/>
  <c r="Z542" i="6" s="1"/>
  <c r="AA542" i="6" s="1"/>
  <c r="W270" i="6"/>
  <c r="X270" i="6" s="1"/>
  <c r="Z270" i="6" s="1"/>
  <c r="AA270" i="6" s="1"/>
  <c r="W403" i="6"/>
  <c r="X403" i="6" s="1"/>
  <c r="Z403" i="6" s="1"/>
  <c r="AA403" i="6" s="1"/>
  <c r="W418" i="6"/>
  <c r="X418" i="6" s="1"/>
  <c r="Z418" i="6" s="1"/>
  <c r="AA418" i="6" s="1"/>
  <c r="W264" i="6"/>
  <c r="X264" i="6" s="1"/>
  <c r="Z264" i="6" s="1"/>
  <c r="AA264" i="6" s="1"/>
  <c r="W395" i="6"/>
  <c r="X395" i="6" s="1"/>
  <c r="Z395" i="6" s="1"/>
  <c r="AA395" i="6" s="1"/>
  <c r="X206" i="6"/>
  <c r="Z206" i="6" s="1"/>
  <c r="AA206" i="6" s="1"/>
  <c r="W192" i="6"/>
  <c r="X192" i="6" s="1"/>
  <c r="Z192" i="6" s="1"/>
  <c r="AA192" i="6" s="1"/>
  <c r="W180" i="6"/>
  <c r="X180" i="6" s="1"/>
  <c r="Z180" i="6" s="1"/>
  <c r="AA180" i="6" s="1"/>
  <c r="W398" i="6"/>
  <c r="X398" i="6" s="1"/>
  <c r="Z398" i="6" s="1"/>
  <c r="AA398" i="6" s="1"/>
  <c r="W505" i="6"/>
  <c r="X505" i="6" s="1"/>
  <c r="Z505" i="6" s="1"/>
  <c r="AA505" i="6" s="1"/>
  <c r="W260" i="6"/>
  <c r="X260" i="6" s="1"/>
  <c r="Z260" i="6" s="1"/>
  <c r="AA260" i="6" s="1"/>
  <c r="W175" i="6"/>
  <c r="X175" i="6" s="1"/>
  <c r="Z175" i="6" s="1"/>
  <c r="W342" i="6"/>
  <c r="X342" i="6" s="1"/>
  <c r="Z342" i="6" s="1"/>
  <c r="AA342" i="6" s="1"/>
  <c r="W320" i="6"/>
  <c r="X320" i="6" s="1"/>
  <c r="Z320" i="6" s="1"/>
  <c r="AA320" i="6" s="1"/>
  <c r="W229" i="6"/>
  <c r="X229" i="6" s="1"/>
  <c r="Z229" i="6" s="1"/>
  <c r="AA229" i="6" s="1"/>
  <c r="W292" i="6"/>
  <c r="X292" i="6" s="1"/>
  <c r="Z292" i="6" s="1"/>
  <c r="AA292" i="6" s="1"/>
  <c r="W251" i="6"/>
  <c r="W316" i="6"/>
  <c r="X316" i="6" s="1"/>
  <c r="Z316" i="6" s="1"/>
  <c r="AA316" i="6" s="1"/>
  <c r="W289" i="6"/>
  <c r="X289" i="6" s="1"/>
  <c r="Z289" i="6" s="1"/>
  <c r="AA289" i="6" s="1"/>
  <c r="W341" i="6"/>
  <c r="X341" i="6" s="1"/>
  <c r="Z341" i="6" s="1"/>
  <c r="AA341" i="6" s="1"/>
  <c r="W468" i="6"/>
  <c r="X468" i="6" s="1"/>
  <c r="Z468" i="6" s="1"/>
  <c r="AA468" i="6" s="1"/>
  <c r="W252" i="6"/>
  <c r="X252" i="6" s="1"/>
  <c r="Z252" i="6" s="1"/>
  <c r="AA252" i="6" s="1"/>
  <c r="W293" i="6"/>
  <c r="X293" i="6" s="1"/>
  <c r="Z293" i="6" s="1"/>
  <c r="AA293" i="6" s="1"/>
  <c r="W333" i="6"/>
  <c r="X333" i="6" s="1"/>
  <c r="Z333" i="6" s="1"/>
  <c r="AA333" i="6" s="1"/>
  <c r="W224" i="6"/>
  <c r="X224" i="6" s="1"/>
  <c r="Z224" i="6" s="1"/>
  <c r="AA224" i="6" s="1"/>
  <c r="W414" i="6"/>
  <c r="X414" i="6" s="1"/>
  <c r="Z414" i="6" s="1"/>
  <c r="AA414" i="6" s="1"/>
  <c r="W546" i="6"/>
  <c r="X546" i="6" s="1"/>
  <c r="Z546" i="6" s="1"/>
  <c r="AA546" i="6" s="1"/>
  <c r="A123" i="8"/>
  <c r="A124" i="8"/>
  <c r="A125" i="8"/>
  <c r="A126" i="8"/>
  <c r="A127" i="8"/>
  <c r="A128" i="8"/>
  <c r="A129" i="8"/>
  <c r="A130" i="8"/>
  <c r="A131" i="8"/>
  <c r="A132" i="8"/>
  <c r="A133" i="8"/>
  <c r="A137" i="8"/>
  <c r="A139" i="8"/>
  <c r="A140" i="8"/>
  <c r="A145" i="8"/>
  <c r="A146" i="8"/>
  <c r="A149" i="8"/>
  <c r="A150" i="8"/>
  <c r="A151" i="8"/>
  <c r="A152" i="8"/>
  <c r="A153" i="8"/>
  <c r="A154" i="8"/>
  <c r="A155" i="8"/>
  <c r="A156" i="8"/>
  <c r="A157" i="8"/>
  <c r="A158" i="8"/>
  <c r="A159" i="8"/>
  <c r="A160" i="8"/>
  <c r="A161" i="8"/>
  <c r="A162" i="8"/>
  <c r="A163" i="8"/>
  <c r="A164" i="8"/>
  <c r="A165" i="8"/>
  <c r="A166" i="8"/>
  <c r="A167"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4" i="8"/>
  <c r="A205" i="8"/>
  <c r="A206" i="8"/>
  <c r="A207" i="8"/>
  <c r="A208" i="8"/>
  <c r="AA555" i="6" l="1"/>
  <c r="Z565" i="6"/>
  <c r="AA565" i="6" s="1"/>
  <c r="Z536" i="6"/>
  <c r="AA536" i="6" s="1"/>
  <c r="Z509" i="6"/>
  <c r="AA509" i="6" s="1"/>
  <c r="X169" i="6"/>
  <c r="W773" i="6"/>
  <c r="X338" i="6"/>
  <c r="W702" i="6"/>
  <c r="X313" i="6"/>
  <c r="W712" i="6"/>
  <c r="X251" i="6"/>
  <c r="Z251" i="6" s="1"/>
  <c r="AA251" i="6" s="1"/>
  <c r="X250" i="6"/>
  <c r="Z250" i="6" s="1"/>
  <c r="AA250" i="6" s="1"/>
  <c r="X314" i="6"/>
  <c r="W706" i="6"/>
  <c r="Z500" i="6"/>
  <c r="AA500" i="6" s="1"/>
  <c r="AA514" i="6"/>
  <c r="AA512" i="6"/>
  <c r="Z282" i="6"/>
  <c r="AA282" i="6" s="1"/>
  <c r="Z285" i="6"/>
  <c r="AA285" i="6" s="1"/>
  <c r="Z283" i="6"/>
  <c r="AA283" i="6" s="1"/>
  <c r="Z249" i="6"/>
  <c r="AA249" i="6" s="1"/>
  <c r="Z239" i="6"/>
  <c r="AA239" i="6" s="1"/>
  <c r="X234" i="6"/>
  <c r="Z234" i="6" s="1"/>
  <c r="AA234" i="6" s="1"/>
  <c r="X243" i="6"/>
  <c r="Z243" i="6" s="1"/>
  <c r="AA243" i="6" s="1"/>
  <c r="Z238" i="6"/>
  <c r="AA238" i="6" s="1"/>
  <c r="Z233" i="6"/>
  <c r="AA233" i="6" s="1"/>
  <c r="Z228" i="6"/>
  <c r="AA228" i="6" s="1"/>
  <c r="W150" i="6"/>
  <c r="X150" i="6" s="1"/>
  <c r="Z150" i="6" s="1"/>
  <c r="AA150" i="6" s="1"/>
  <c r="X155" i="6"/>
  <c r="Z155" i="6" s="1"/>
  <c r="AA155" i="6" l="1"/>
  <c r="Z169" i="6"/>
  <c r="Z773" i="6" s="1"/>
  <c r="C141" i="12" s="1"/>
  <c r="X773" i="6"/>
  <c r="Z338" i="6"/>
  <c r="X702" i="6"/>
  <c r="Z313" i="6"/>
  <c r="X712" i="6"/>
  <c r="Z314" i="6"/>
  <c r="X706" i="6"/>
  <c r="W18" i="22"/>
  <c r="AA338" i="6" l="1"/>
  <c r="Z702" i="6"/>
  <c r="C70" i="12" s="1"/>
  <c r="AA313" i="6"/>
  <c r="Z712" i="6"/>
  <c r="C80" i="12" s="1"/>
  <c r="AA314" i="6"/>
  <c r="Z706" i="6"/>
  <c r="C74" i="12" s="1"/>
  <c r="P29" i="9"/>
  <c r="P30" i="9"/>
  <c r="P31" i="9"/>
  <c r="P32" i="9"/>
  <c r="P33" i="9"/>
  <c r="P35" i="9"/>
  <c r="P36" i="9"/>
  <c r="P37" i="9"/>
  <c r="P38" i="9"/>
  <c r="P39" i="9"/>
  <c r="P40" i="9"/>
  <c r="P41" i="9"/>
  <c r="P42" i="9"/>
  <c r="P43" i="9"/>
  <c r="P44" i="9"/>
  <c r="P45" i="9"/>
  <c r="P52" i="9"/>
  <c r="P53" i="9"/>
  <c r="P55" i="9"/>
  <c r="P56" i="9"/>
  <c r="P57" i="9"/>
  <c r="P58" i="9"/>
  <c r="P59" i="9"/>
  <c r="P60" i="9"/>
  <c r="P61" i="9"/>
  <c r="P62" i="9"/>
  <c r="P63" i="9"/>
  <c r="P64" i="9"/>
  <c r="P65" i="9"/>
  <c r="P66" i="9"/>
  <c r="P67" i="9"/>
  <c r="P68" i="9"/>
  <c r="P70" i="9"/>
  <c r="P71" i="9"/>
  <c r="P72" i="9"/>
  <c r="P73" i="9"/>
  <c r="P74" i="9"/>
  <c r="P75" i="9"/>
  <c r="P76" i="9"/>
  <c r="P77" i="9"/>
  <c r="P80" i="9"/>
  <c r="P46" i="9"/>
  <c r="P47"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10" i="9"/>
  <c r="P111" i="9"/>
  <c r="P112" i="9"/>
  <c r="P113" i="9"/>
  <c r="P114" i="9"/>
  <c r="P115" i="9"/>
  <c r="P116" i="9"/>
  <c r="P117" i="9"/>
  <c r="P118"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R70" i="12" l="1"/>
  <c r="R80" i="12"/>
  <c r="R74" i="12"/>
  <c r="P119" i="9"/>
  <c r="P109" i="9"/>
  <c r="P28" i="9" l="1"/>
  <c r="A89" i="3" l="1"/>
  <c r="A90" i="3"/>
  <c r="A91" i="3"/>
  <c r="A92" i="3"/>
  <c r="A93" i="3"/>
  <c r="A95" i="3"/>
  <c r="A96" i="3"/>
  <c r="A97" i="3"/>
  <c r="A98" i="3"/>
  <c r="A99" i="3"/>
  <c r="A100" i="3"/>
  <c r="A101" i="3"/>
  <c r="A102" i="3"/>
  <c r="A103" i="3"/>
  <c r="A104" i="3"/>
  <c r="A105" i="3"/>
  <c r="A106" i="3"/>
  <c r="A107" i="3"/>
  <c r="A108" i="3"/>
  <c r="A109" i="3"/>
  <c r="A114" i="3"/>
  <c r="A117" i="3"/>
  <c r="A124" i="3"/>
  <c r="A126" i="3"/>
  <c r="A127" i="3"/>
  <c r="A128" i="3"/>
  <c r="A129" i="3"/>
  <c r="A130" i="3"/>
  <c r="A131" i="3"/>
  <c r="A132" i="3"/>
  <c r="A133" i="3"/>
  <c r="A134" i="3"/>
  <c r="A139" i="3"/>
  <c r="A140" i="3"/>
  <c r="A141" i="3"/>
  <c r="A142" i="3"/>
  <c r="A143" i="3"/>
  <c r="A94" i="3"/>
  <c r="P279" i="10"/>
  <c r="O155" i="3" l="1"/>
  <c r="A27" i="14"/>
  <c r="A28"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6" i="14"/>
  <c r="A77" i="14"/>
  <c r="A78" i="14"/>
  <c r="A79" i="14"/>
  <c r="A80" i="14"/>
  <c r="A81" i="14"/>
  <c r="A82" i="14"/>
  <c r="A83" i="14"/>
  <c r="A84" i="14"/>
  <c r="A85" i="14"/>
  <c r="A86" i="14"/>
  <c r="A87" i="14"/>
  <c r="A88" i="14"/>
  <c r="A89" i="14"/>
  <c r="A90" i="14"/>
  <c r="A91" i="14"/>
  <c r="A122" i="8"/>
  <c r="A121" i="8"/>
  <c r="A120" i="8"/>
  <c r="A119" i="8"/>
  <c r="A118" i="8"/>
  <c r="A117" i="8"/>
  <c r="O101" i="14" l="1"/>
  <c r="O183" i="14" s="1"/>
  <c r="J3" i="6" l="1"/>
  <c r="L31" i="5" l="1"/>
  <c r="F25" i="19" l="1"/>
  <c r="P223" i="12" l="1"/>
  <c r="T8" i="20"/>
  <c r="B8" i="20" s="1"/>
  <c r="L9" i="19"/>
  <c r="F16" i="20" s="1"/>
  <c r="F24" i="19"/>
  <c r="M6" i="20" s="1"/>
  <c r="B6" i="20" s="1"/>
  <c r="O21" i="19"/>
  <c r="N15" i="22"/>
  <c r="B15" i="22" s="1"/>
  <c r="M15" i="5" s="1"/>
  <c r="B39" i="22"/>
  <c r="M39" i="5" s="1"/>
  <c r="B39" i="20"/>
  <c r="W31" i="22"/>
  <c r="V19" i="22"/>
  <c r="B24" i="12" s="1"/>
  <c r="S19" i="22"/>
  <c r="B7" i="12" s="1"/>
  <c r="R19" i="22"/>
  <c r="B21" i="12" s="1"/>
  <c r="P19" i="22"/>
  <c r="B17" i="12" s="1"/>
  <c r="O19" i="22"/>
  <c r="B16" i="12" s="1"/>
  <c r="L19" i="22"/>
  <c r="B13" i="12" s="1"/>
  <c r="J19" i="22"/>
  <c r="B12" i="12" s="1"/>
  <c r="E19" i="22"/>
  <c r="B6" i="12" s="1"/>
  <c r="Q18" i="22"/>
  <c r="Q19" i="22" s="1"/>
  <c r="B19" i="12" s="1"/>
  <c r="G18" i="22"/>
  <c r="C18" i="22"/>
  <c r="C19" i="22" s="1"/>
  <c r="K17" i="22"/>
  <c r="B17" i="22" s="1"/>
  <c r="N14" i="22"/>
  <c r="B14" i="22" s="1"/>
  <c r="M14" i="5" s="1"/>
  <c r="F11" i="22"/>
  <c r="B11" i="22" s="1"/>
  <c r="M11" i="5" s="1"/>
  <c r="G9" i="22"/>
  <c r="W9" i="22"/>
  <c r="D19" i="22"/>
  <c r="B9" i="12" s="1"/>
  <c r="V43" i="22"/>
  <c r="U43" i="22"/>
  <c r="T43" i="22"/>
  <c r="S43" i="22"/>
  <c r="R43" i="22"/>
  <c r="Q43" i="22"/>
  <c r="P43" i="22"/>
  <c r="O43" i="22"/>
  <c r="N43" i="22"/>
  <c r="M43" i="22"/>
  <c r="L43" i="22"/>
  <c r="K43" i="22"/>
  <c r="J43" i="22"/>
  <c r="I43" i="22"/>
  <c r="H43" i="22"/>
  <c r="G43" i="22"/>
  <c r="F43" i="22"/>
  <c r="D43" i="22"/>
  <c r="C43" i="22"/>
  <c r="V25" i="22"/>
  <c r="U25" i="22"/>
  <c r="T25" i="22"/>
  <c r="S25" i="22"/>
  <c r="R25" i="22"/>
  <c r="P25" i="22"/>
  <c r="O25" i="22"/>
  <c r="N25" i="22"/>
  <c r="M25" i="22"/>
  <c r="L25" i="22"/>
  <c r="K25" i="22"/>
  <c r="J25" i="22"/>
  <c r="I25" i="22"/>
  <c r="H25" i="22"/>
  <c r="G25" i="22"/>
  <c r="F25" i="22"/>
  <c r="E25" i="22"/>
  <c r="D25" i="22"/>
  <c r="C25" i="22"/>
  <c r="G18" i="20"/>
  <c r="Q18" i="20"/>
  <c r="C18" i="20"/>
  <c r="G9" i="20"/>
  <c r="F5" i="20"/>
  <c r="B5" i="20" s="1"/>
  <c r="C28" i="21"/>
  <c r="D28" i="21"/>
  <c r="E19" i="21"/>
  <c r="U13" i="22"/>
  <c r="U19" i="22" s="1"/>
  <c r="B20" i="12" s="1"/>
  <c r="F10" i="22"/>
  <c r="B10" i="22" s="1"/>
  <c r="M10" i="5" s="1"/>
  <c r="V43" i="20"/>
  <c r="U43" i="20"/>
  <c r="T43" i="20"/>
  <c r="S43" i="20"/>
  <c r="R43" i="20"/>
  <c r="Q43" i="20"/>
  <c r="P43" i="20"/>
  <c r="O43" i="20"/>
  <c r="N43" i="20"/>
  <c r="M43" i="20"/>
  <c r="L43" i="20"/>
  <c r="K43" i="20"/>
  <c r="J43" i="20"/>
  <c r="I43" i="20"/>
  <c r="H43" i="20"/>
  <c r="G43" i="20"/>
  <c r="F43" i="20"/>
  <c r="D43" i="20"/>
  <c r="C43" i="20"/>
  <c r="K17" i="20"/>
  <c r="B17" i="20" s="1"/>
  <c r="H16" i="20"/>
  <c r="M16" i="20"/>
  <c r="H12" i="19"/>
  <c r="D7" i="20"/>
  <c r="B7" i="20" s="1"/>
  <c r="P11" i="5" l="1"/>
  <c r="X11" i="5"/>
  <c r="P14" i="5"/>
  <c r="X14" i="5"/>
  <c r="P15" i="5"/>
  <c r="X15" i="5"/>
  <c r="X17" i="5"/>
  <c r="P39" i="5"/>
  <c r="X39" i="5"/>
  <c r="P10" i="5"/>
  <c r="X10" i="5"/>
  <c r="G19" i="22"/>
  <c r="B8" i="12" s="1"/>
  <c r="B16" i="20"/>
  <c r="B13" i="22"/>
  <c r="M13" i="5" s="1"/>
  <c r="B7" i="22"/>
  <c r="M7" i="5" s="1"/>
  <c r="B43" i="22"/>
  <c r="B9" i="22"/>
  <c r="M9" i="5" s="1"/>
  <c r="W19" i="22"/>
  <c r="B25" i="12" s="1"/>
  <c r="N25" i="12" s="1"/>
  <c r="E28" i="21"/>
  <c r="H23" i="19"/>
  <c r="F3" i="19"/>
  <c r="S207" i="12"/>
  <c r="S206" i="12"/>
  <c r="S184" i="12"/>
  <c r="S183" i="12"/>
  <c r="S181" i="12"/>
  <c r="S180" i="12"/>
  <c r="S179" i="12"/>
  <c r="S178" i="12"/>
  <c r="S177" i="12"/>
  <c r="S176" i="12"/>
  <c r="S175" i="12"/>
  <c r="S174" i="12"/>
  <c r="S173" i="12"/>
  <c r="S172" i="12"/>
  <c r="S171" i="12"/>
  <c r="S170" i="12"/>
  <c r="S169" i="12"/>
  <c r="S168" i="12"/>
  <c r="S167" i="12"/>
  <c r="S166" i="12"/>
  <c r="S165" i="12"/>
  <c r="S164" i="12"/>
  <c r="S163" i="12"/>
  <c r="S162" i="12"/>
  <c r="S161" i="12"/>
  <c r="S160" i="12"/>
  <c r="S159" i="12"/>
  <c r="S158" i="12"/>
  <c r="S157" i="12"/>
  <c r="S156" i="12"/>
  <c r="S155" i="12"/>
  <c r="S154" i="12"/>
  <c r="S153" i="12"/>
  <c r="U153" i="12" s="1"/>
  <c r="S152" i="12"/>
  <c r="S151" i="12"/>
  <c r="S150" i="12"/>
  <c r="S149" i="12"/>
  <c r="S137" i="12"/>
  <c r="S136" i="12"/>
  <c r="S135" i="12"/>
  <c r="S134" i="12"/>
  <c r="S133" i="12"/>
  <c r="S132" i="12"/>
  <c r="S131" i="12"/>
  <c r="S130" i="12"/>
  <c r="S129" i="12"/>
  <c r="S128" i="12"/>
  <c r="S127" i="12"/>
  <c r="S97" i="12"/>
  <c r="S93" i="12"/>
  <c r="S65" i="12"/>
  <c r="S50" i="12"/>
  <c r="S35" i="12"/>
  <c r="S36" i="12"/>
  <c r="S34" i="12"/>
  <c r="R207" i="12"/>
  <c r="R206" i="12"/>
  <c r="R184" i="12"/>
  <c r="R183" i="12"/>
  <c r="R181" i="12"/>
  <c r="R180" i="12"/>
  <c r="R179" i="12"/>
  <c r="R178" i="12"/>
  <c r="R177" i="12"/>
  <c r="R176" i="12"/>
  <c r="R175" i="12"/>
  <c r="R174" i="12"/>
  <c r="R173" i="12"/>
  <c r="R172" i="12"/>
  <c r="R171" i="12"/>
  <c r="R170" i="12"/>
  <c r="R169" i="12"/>
  <c r="R168" i="12"/>
  <c r="R167" i="12"/>
  <c r="R166" i="12"/>
  <c r="R165" i="12"/>
  <c r="R164" i="12"/>
  <c r="R163" i="12"/>
  <c r="R162" i="12"/>
  <c r="R161" i="12"/>
  <c r="R160" i="12"/>
  <c r="R159" i="12"/>
  <c r="R158" i="12"/>
  <c r="R157" i="12"/>
  <c r="R156" i="12"/>
  <c r="R155" i="12"/>
  <c r="R154" i="12"/>
  <c r="R153" i="12"/>
  <c r="R152" i="12"/>
  <c r="R151" i="12"/>
  <c r="R150" i="12"/>
  <c r="R149" i="12"/>
  <c r="R137" i="12"/>
  <c r="R136" i="12"/>
  <c r="R135" i="12"/>
  <c r="R134" i="12"/>
  <c r="R133" i="12"/>
  <c r="R132" i="12"/>
  <c r="R131" i="12"/>
  <c r="R130" i="12"/>
  <c r="R129" i="12"/>
  <c r="R128" i="12"/>
  <c r="R127" i="12"/>
  <c r="R97" i="12"/>
  <c r="R93" i="12"/>
  <c r="R65" i="12"/>
  <c r="R50" i="12"/>
  <c r="R36" i="12"/>
  <c r="R35" i="12"/>
  <c r="R34" i="12"/>
  <c r="U35" i="12"/>
  <c r="U36" i="12"/>
  <c r="U41" i="12"/>
  <c r="U42" i="12"/>
  <c r="U43" i="12"/>
  <c r="U44" i="12"/>
  <c r="U45" i="12"/>
  <c r="U50" i="12"/>
  <c r="U65" i="12"/>
  <c r="U93" i="12"/>
  <c r="U97" i="12"/>
  <c r="U100" i="12"/>
  <c r="U101" i="12"/>
  <c r="U102" i="12"/>
  <c r="U103" i="12"/>
  <c r="U104" i="12"/>
  <c r="U105" i="12"/>
  <c r="U106" i="12"/>
  <c r="U107" i="12"/>
  <c r="U108" i="12"/>
  <c r="U109" i="12"/>
  <c r="U110" i="12"/>
  <c r="U111" i="12"/>
  <c r="U112" i="12"/>
  <c r="U114" i="12"/>
  <c r="U120" i="12"/>
  <c r="U122" i="12"/>
  <c r="U124" i="12"/>
  <c r="U125" i="12"/>
  <c r="U126" i="12"/>
  <c r="U127" i="12"/>
  <c r="U128" i="12"/>
  <c r="U129" i="12"/>
  <c r="U130" i="12"/>
  <c r="U131" i="12"/>
  <c r="U132" i="12"/>
  <c r="U133" i="12"/>
  <c r="U134" i="12"/>
  <c r="U135" i="12"/>
  <c r="U136" i="12"/>
  <c r="U137" i="12"/>
  <c r="U143" i="12"/>
  <c r="U144" i="12"/>
  <c r="U145" i="12"/>
  <c r="U146" i="12"/>
  <c r="U147" i="12"/>
  <c r="U148" i="12"/>
  <c r="U149" i="12"/>
  <c r="U150" i="12"/>
  <c r="U151" i="12"/>
  <c r="U152" i="12"/>
  <c r="U155" i="12"/>
  <c r="U156" i="12"/>
  <c r="U157" i="12"/>
  <c r="U158" i="12"/>
  <c r="U159" i="12"/>
  <c r="U160" i="12"/>
  <c r="U161" i="12"/>
  <c r="U162" i="12"/>
  <c r="U163" i="12"/>
  <c r="U164" i="12"/>
  <c r="U165" i="12"/>
  <c r="U166" i="12"/>
  <c r="U167" i="12"/>
  <c r="U168" i="12"/>
  <c r="U169" i="12"/>
  <c r="U170" i="12"/>
  <c r="U171" i="12"/>
  <c r="U172" i="12"/>
  <c r="U173" i="12"/>
  <c r="U174" i="12"/>
  <c r="U175" i="12"/>
  <c r="U176" i="12"/>
  <c r="U177" i="12"/>
  <c r="U178" i="12"/>
  <c r="U179" i="12"/>
  <c r="U180" i="12"/>
  <c r="U181" i="12"/>
  <c r="U183" i="12"/>
  <c r="U184" i="12"/>
  <c r="U190" i="12"/>
  <c r="U191" i="12"/>
  <c r="U192" i="12"/>
  <c r="U195" i="12"/>
  <c r="U196" i="12"/>
  <c r="U198" i="12"/>
  <c r="U199" i="12"/>
  <c r="U200" i="12"/>
  <c r="U201" i="12"/>
  <c r="U202" i="12"/>
  <c r="U203" i="12"/>
  <c r="U204" i="12"/>
  <c r="U206" i="12"/>
  <c r="U207" i="12"/>
  <c r="U208" i="12"/>
  <c r="U209" i="12"/>
  <c r="U211" i="12"/>
  <c r="U212" i="12"/>
  <c r="U213" i="12"/>
  <c r="U216" i="12"/>
  <c r="U218" i="12"/>
  <c r="U219" i="12"/>
  <c r="U220" i="12"/>
  <c r="U222" i="12"/>
  <c r="U34" i="12"/>
  <c r="T222" i="12"/>
  <c r="T220" i="12"/>
  <c r="T219" i="12"/>
  <c r="T218" i="12"/>
  <c r="T216" i="12"/>
  <c r="T213" i="12"/>
  <c r="T212" i="12"/>
  <c r="T211" i="12"/>
  <c r="T209" i="12"/>
  <c r="T208" i="12"/>
  <c r="T207" i="12"/>
  <c r="T206" i="12"/>
  <c r="T204" i="12"/>
  <c r="T203" i="12"/>
  <c r="T202" i="12"/>
  <c r="T201" i="12"/>
  <c r="T200" i="12"/>
  <c r="T199" i="12"/>
  <c r="T198" i="12"/>
  <c r="T196" i="12"/>
  <c r="T195" i="12"/>
  <c r="T192" i="12"/>
  <c r="T191" i="12"/>
  <c r="T190" i="12"/>
  <c r="T184" i="12"/>
  <c r="T183" i="12"/>
  <c r="T181" i="12"/>
  <c r="T180" i="12"/>
  <c r="T179" i="12"/>
  <c r="T178" i="12"/>
  <c r="T177" i="12"/>
  <c r="T176" i="12"/>
  <c r="T175" i="12"/>
  <c r="T174" i="12"/>
  <c r="T173" i="12"/>
  <c r="T172" i="12"/>
  <c r="T171" i="12"/>
  <c r="T170" i="12"/>
  <c r="T169" i="12"/>
  <c r="T168" i="12"/>
  <c r="T167" i="12"/>
  <c r="T166" i="12"/>
  <c r="T165" i="12"/>
  <c r="T164" i="12"/>
  <c r="T163" i="12"/>
  <c r="T162" i="12"/>
  <c r="T161" i="12"/>
  <c r="T160" i="12"/>
  <c r="T159" i="12"/>
  <c r="T158" i="12"/>
  <c r="T157" i="12"/>
  <c r="T156" i="12"/>
  <c r="T155" i="12"/>
  <c r="T154" i="12"/>
  <c r="U154" i="12" s="1"/>
  <c r="T153" i="12"/>
  <c r="T152" i="12"/>
  <c r="T151" i="12"/>
  <c r="T150" i="12"/>
  <c r="T149" i="12"/>
  <c r="T148" i="12"/>
  <c r="T147" i="12"/>
  <c r="T146" i="12"/>
  <c r="T145" i="12"/>
  <c r="T144" i="12"/>
  <c r="T143" i="12"/>
  <c r="T137" i="12"/>
  <c r="T136" i="12"/>
  <c r="T135" i="12"/>
  <c r="T134" i="12"/>
  <c r="T133" i="12"/>
  <c r="T132" i="12"/>
  <c r="T131" i="12"/>
  <c r="T130" i="12"/>
  <c r="T129" i="12"/>
  <c r="T128" i="12"/>
  <c r="T127" i="12"/>
  <c r="T126" i="12"/>
  <c r="T125" i="12"/>
  <c r="T124" i="12"/>
  <c r="T122" i="12"/>
  <c r="T120" i="12"/>
  <c r="T114" i="12"/>
  <c r="T112" i="12"/>
  <c r="T111" i="12"/>
  <c r="T110" i="12"/>
  <c r="T109" i="12"/>
  <c r="T108" i="12"/>
  <c r="T107" i="12"/>
  <c r="T106" i="12"/>
  <c r="T105" i="12"/>
  <c r="T104" i="12"/>
  <c r="T103" i="12"/>
  <c r="T102" i="12"/>
  <c r="T101" i="12"/>
  <c r="T100" i="12"/>
  <c r="T97" i="12"/>
  <c r="T93" i="12"/>
  <c r="T65" i="12"/>
  <c r="T50" i="12"/>
  <c r="T45" i="12"/>
  <c r="T44" i="12"/>
  <c r="T43" i="12"/>
  <c r="T42" i="12"/>
  <c r="T41" i="12"/>
  <c r="T36" i="12"/>
  <c r="T35" i="12"/>
  <c r="T34" i="12"/>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J36" i="21" l="1"/>
  <c r="F36" i="21"/>
  <c r="P9" i="5"/>
  <c r="X9" i="5"/>
  <c r="P7" i="5"/>
  <c r="X7" i="5"/>
  <c r="P13" i="5"/>
  <c r="X13" i="5"/>
  <c r="F10" i="20"/>
  <c r="B10" i="20" s="1"/>
  <c r="W33" i="22"/>
  <c r="W37" i="22" s="1"/>
  <c r="W41" i="22" s="1"/>
  <c r="L223" i="12"/>
  <c r="A154" i="3"/>
  <c r="A153" i="3"/>
  <c r="A152" i="3"/>
  <c r="A151" i="3"/>
  <c r="A150" i="3"/>
  <c r="A149" i="3"/>
  <c r="A148" i="3"/>
  <c r="A147" i="3"/>
  <c r="A146" i="3"/>
  <c r="A145" i="3"/>
  <c r="A88" i="3"/>
  <c r="A86" i="3"/>
  <c r="A85" i="3"/>
  <c r="A84" i="3"/>
  <c r="A83" i="3"/>
  <c r="A82" i="3"/>
  <c r="A81" i="3"/>
  <c r="A80" i="3"/>
  <c r="A79"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L19" i="20"/>
  <c r="N15" i="20"/>
  <c r="N14" i="20"/>
  <c r="B14" i="20" s="1"/>
  <c r="F11" i="20"/>
  <c r="B11" i="20" s="1"/>
  <c r="W9" i="20"/>
  <c r="V25" i="20"/>
  <c r="U25" i="20"/>
  <c r="T25" i="20"/>
  <c r="S25" i="20"/>
  <c r="R25" i="20"/>
  <c r="P25" i="20"/>
  <c r="O25" i="20"/>
  <c r="N25" i="20"/>
  <c r="M25" i="20"/>
  <c r="L25" i="20"/>
  <c r="K25" i="20"/>
  <c r="J25" i="20"/>
  <c r="I25" i="20"/>
  <c r="H25" i="20"/>
  <c r="G25" i="20"/>
  <c r="F25" i="20"/>
  <c r="E25" i="20"/>
  <c r="D25" i="20"/>
  <c r="C25" i="20"/>
  <c r="W31" i="20"/>
  <c r="B43" i="20"/>
  <c r="V19" i="20"/>
  <c r="T19" i="20"/>
  <c r="S19" i="20"/>
  <c r="R19" i="20"/>
  <c r="Q19" i="20"/>
  <c r="P19" i="20"/>
  <c r="O19" i="20"/>
  <c r="M19" i="20"/>
  <c r="J19" i="20"/>
  <c r="H19" i="20"/>
  <c r="G19" i="20"/>
  <c r="E19" i="20"/>
  <c r="D19" i="20"/>
  <c r="C19" i="20"/>
  <c r="B5" i="12" s="1"/>
  <c r="B18" i="22" l="1"/>
  <c r="M18" i="5" s="1"/>
  <c r="K19" i="22"/>
  <c r="B14" i="12" s="1"/>
  <c r="N19" i="20"/>
  <c r="B15" i="20"/>
  <c r="W19" i="20"/>
  <c r="W33" i="20" s="1"/>
  <c r="W37" i="20" s="1"/>
  <c r="W41" i="20" s="1"/>
  <c r="B9" i="20"/>
  <c r="F19" i="20"/>
  <c r="P18" i="5" l="1"/>
  <c r="X18" i="5"/>
  <c r="C3" i="12" l="1"/>
  <c r="P1668" i="9"/>
  <c r="O1668" i="9"/>
  <c r="N1668" i="9"/>
  <c r="M1668" i="9"/>
  <c r="L1668" i="9"/>
  <c r="K1668" i="9"/>
  <c r="J1668" i="9"/>
  <c r="P1667" i="9"/>
  <c r="O1667" i="9"/>
  <c r="N1667" i="9"/>
  <c r="M1667" i="9"/>
  <c r="L1667" i="9"/>
  <c r="K1667" i="9"/>
  <c r="J1667" i="9"/>
  <c r="P1666" i="9"/>
  <c r="O1666" i="9"/>
  <c r="N1666" i="9"/>
  <c r="M1666" i="9"/>
  <c r="L1666" i="9"/>
  <c r="K1666" i="9"/>
  <c r="J1666" i="9"/>
  <c r="P1665" i="9"/>
  <c r="O1665" i="9"/>
  <c r="N1665" i="9"/>
  <c r="M1665" i="9"/>
  <c r="L1665" i="9"/>
  <c r="K1665" i="9"/>
  <c r="J1665" i="9"/>
  <c r="P1664" i="9"/>
  <c r="O1664" i="9"/>
  <c r="N1664" i="9"/>
  <c r="M1664" i="9"/>
  <c r="L1664" i="9"/>
  <c r="K1664" i="9"/>
  <c r="J1664" i="9"/>
  <c r="P1663" i="9"/>
  <c r="O1663" i="9"/>
  <c r="N1663" i="9"/>
  <c r="M1663" i="9"/>
  <c r="L1663" i="9"/>
  <c r="K1663" i="9"/>
  <c r="J1663" i="9"/>
  <c r="P1662" i="9"/>
  <c r="O1662" i="9"/>
  <c r="N1662" i="9"/>
  <c r="M1662" i="9"/>
  <c r="L1662" i="9"/>
  <c r="K1662" i="9"/>
  <c r="J1662" i="9"/>
  <c r="P1661" i="9"/>
  <c r="O1661" i="9"/>
  <c r="N1661" i="9"/>
  <c r="M1661" i="9"/>
  <c r="L1661" i="9"/>
  <c r="K1661" i="9"/>
  <c r="J1661" i="9"/>
  <c r="P1660" i="9"/>
  <c r="O1660" i="9"/>
  <c r="N1660" i="9"/>
  <c r="M1660" i="9"/>
  <c r="L1660" i="9"/>
  <c r="K1660" i="9"/>
  <c r="J1660" i="9"/>
  <c r="P1659" i="9"/>
  <c r="O1659" i="9"/>
  <c r="N1659" i="9"/>
  <c r="M1659" i="9"/>
  <c r="L1659" i="9"/>
  <c r="K1659" i="9"/>
  <c r="J1659" i="9"/>
  <c r="P1658" i="9"/>
  <c r="O1658" i="9"/>
  <c r="N1658" i="9"/>
  <c r="M1658" i="9"/>
  <c r="L1658" i="9"/>
  <c r="K1658" i="9"/>
  <c r="J1658" i="9"/>
  <c r="P1657" i="9"/>
  <c r="O1657" i="9"/>
  <c r="N1657" i="9"/>
  <c r="M1657" i="9"/>
  <c r="L1657" i="9"/>
  <c r="K1657" i="9"/>
  <c r="J1657" i="9"/>
  <c r="P1656" i="9"/>
  <c r="O1656" i="9"/>
  <c r="N1656" i="9"/>
  <c r="M1656" i="9"/>
  <c r="L1656" i="9"/>
  <c r="K1656" i="9"/>
  <c r="J1656" i="9"/>
  <c r="P1655" i="9"/>
  <c r="O1655" i="9"/>
  <c r="N1655" i="9"/>
  <c r="M1655" i="9"/>
  <c r="L1655" i="9"/>
  <c r="K1655" i="9"/>
  <c r="J1655" i="9"/>
  <c r="P1654" i="9"/>
  <c r="O1654" i="9"/>
  <c r="N1654" i="9"/>
  <c r="M1654" i="9"/>
  <c r="L1654" i="9"/>
  <c r="K1654" i="9"/>
  <c r="J1654" i="9"/>
  <c r="P1653" i="9"/>
  <c r="O1653" i="9"/>
  <c r="N1653" i="9"/>
  <c r="M1653" i="9"/>
  <c r="L1653" i="9"/>
  <c r="K1653" i="9"/>
  <c r="J1653" i="9"/>
  <c r="O1652" i="9"/>
  <c r="N1652" i="9"/>
  <c r="M1652" i="9"/>
  <c r="L1652" i="9"/>
  <c r="K1652" i="9"/>
  <c r="J1652" i="9"/>
  <c r="P1651" i="9"/>
  <c r="O1651" i="9"/>
  <c r="N1651" i="9"/>
  <c r="M1651" i="9"/>
  <c r="L1651" i="9"/>
  <c r="K1651" i="9"/>
  <c r="J1651" i="9"/>
  <c r="P1650" i="9"/>
  <c r="O1650" i="9"/>
  <c r="N1650" i="9"/>
  <c r="M1650" i="9"/>
  <c r="L1650" i="9"/>
  <c r="K1650" i="9"/>
  <c r="J1650" i="9"/>
  <c r="P1649" i="9"/>
  <c r="O1649" i="9"/>
  <c r="N1649" i="9"/>
  <c r="M1649" i="9"/>
  <c r="L1649" i="9"/>
  <c r="K1649" i="9"/>
  <c r="J1649" i="9"/>
  <c r="P1648" i="9"/>
  <c r="O1648" i="9"/>
  <c r="N1648" i="9"/>
  <c r="M1648" i="9"/>
  <c r="L1648" i="9"/>
  <c r="K1648" i="9"/>
  <c r="J1648" i="9"/>
  <c r="P1647" i="9"/>
  <c r="O1647" i="9"/>
  <c r="N1647" i="9"/>
  <c r="M1647" i="9"/>
  <c r="L1647" i="9"/>
  <c r="K1647" i="9"/>
  <c r="J1647" i="9"/>
  <c r="P1646" i="9"/>
  <c r="O1646" i="9"/>
  <c r="N1646" i="9"/>
  <c r="M1646" i="9"/>
  <c r="L1646" i="9"/>
  <c r="K1646" i="9"/>
  <c r="J1646" i="9"/>
  <c r="P1645" i="9"/>
  <c r="O1645" i="9"/>
  <c r="N1645" i="9"/>
  <c r="M1645" i="9"/>
  <c r="L1645" i="9"/>
  <c r="K1645" i="9"/>
  <c r="J1645" i="9"/>
  <c r="P1644" i="9"/>
  <c r="O1644" i="9"/>
  <c r="N1644" i="9"/>
  <c r="M1644" i="9"/>
  <c r="L1644" i="9"/>
  <c r="K1644" i="9"/>
  <c r="J1644" i="9"/>
  <c r="P1643" i="9"/>
  <c r="O1643" i="9"/>
  <c r="N1643" i="9"/>
  <c r="M1643" i="9"/>
  <c r="L1643" i="9"/>
  <c r="K1643" i="9"/>
  <c r="J1643" i="9"/>
  <c r="O1642" i="9"/>
  <c r="N1642" i="9"/>
  <c r="M1642" i="9"/>
  <c r="L1642" i="9"/>
  <c r="K1642" i="9"/>
  <c r="J1642" i="9"/>
  <c r="P1641" i="9"/>
  <c r="O1641" i="9"/>
  <c r="N1641" i="9"/>
  <c r="M1641" i="9"/>
  <c r="L1641" i="9"/>
  <c r="K1641" i="9"/>
  <c r="J1641" i="9"/>
  <c r="P1640" i="9"/>
  <c r="O1640" i="9"/>
  <c r="N1640" i="9"/>
  <c r="M1640" i="9"/>
  <c r="L1640" i="9"/>
  <c r="K1640" i="9"/>
  <c r="J1640" i="9"/>
  <c r="P1639" i="9"/>
  <c r="O1639" i="9"/>
  <c r="N1639" i="9"/>
  <c r="M1639" i="9"/>
  <c r="L1639" i="9"/>
  <c r="K1639" i="9"/>
  <c r="J1639" i="9"/>
  <c r="O1638" i="9"/>
  <c r="N1638" i="9"/>
  <c r="M1638" i="9"/>
  <c r="L1638" i="9"/>
  <c r="K1638" i="9"/>
  <c r="J1638" i="9"/>
  <c r="P1637" i="9"/>
  <c r="O1637" i="9"/>
  <c r="N1637" i="9"/>
  <c r="M1637" i="9"/>
  <c r="L1637" i="9"/>
  <c r="K1637" i="9"/>
  <c r="J1637" i="9"/>
  <c r="P1636" i="9"/>
  <c r="O1636" i="9"/>
  <c r="N1636" i="9"/>
  <c r="M1636" i="9"/>
  <c r="L1636" i="9"/>
  <c r="K1636" i="9"/>
  <c r="J1636" i="9"/>
  <c r="P1635" i="9"/>
  <c r="O1635" i="9"/>
  <c r="N1635" i="9"/>
  <c r="M1635" i="9"/>
  <c r="L1635" i="9"/>
  <c r="K1635" i="9"/>
  <c r="J1635" i="9"/>
  <c r="P1634" i="9"/>
  <c r="O1634" i="9"/>
  <c r="N1634" i="9"/>
  <c r="M1634" i="9"/>
  <c r="L1634" i="9"/>
  <c r="K1634" i="9"/>
  <c r="J1634" i="9"/>
  <c r="P1633" i="9"/>
  <c r="O1633" i="9"/>
  <c r="N1633" i="9"/>
  <c r="M1633" i="9"/>
  <c r="L1633" i="9"/>
  <c r="K1633" i="9"/>
  <c r="J1633" i="9"/>
  <c r="P1632" i="9"/>
  <c r="O1632" i="9"/>
  <c r="N1632" i="9"/>
  <c r="M1632" i="9"/>
  <c r="L1632" i="9"/>
  <c r="K1632" i="9"/>
  <c r="J1632" i="9"/>
  <c r="P1631" i="9"/>
  <c r="O1631" i="9"/>
  <c r="N1631" i="9"/>
  <c r="M1631" i="9"/>
  <c r="L1631" i="9"/>
  <c r="K1631" i="9"/>
  <c r="J1631" i="9"/>
  <c r="P1630" i="9"/>
  <c r="O1630" i="9"/>
  <c r="N1630" i="9"/>
  <c r="M1630" i="9"/>
  <c r="L1630" i="9"/>
  <c r="K1630" i="9"/>
  <c r="J1630" i="9"/>
  <c r="P1629" i="9"/>
  <c r="O1629" i="9"/>
  <c r="N1629" i="9"/>
  <c r="M1629" i="9"/>
  <c r="L1629" i="9"/>
  <c r="K1629" i="9"/>
  <c r="J1629" i="9"/>
  <c r="P1628" i="9"/>
  <c r="O1628" i="9"/>
  <c r="N1628" i="9"/>
  <c r="M1628" i="9"/>
  <c r="L1628" i="9"/>
  <c r="K1628" i="9"/>
  <c r="J1628" i="9"/>
  <c r="P1627" i="9"/>
  <c r="O1627" i="9"/>
  <c r="N1627" i="9"/>
  <c r="M1627" i="9"/>
  <c r="L1627" i="9"/>
  <c r="K1627" i="9"/>
  <c r="J1627" i="9"/>
  <c r="P1626" i="9"/>
  <c r="O1626" i="9"/>
  <c r="N1626" i="9"/>
  <c r="M1626" i="9"/>
  <c r="L1626" i="9"/>
  <c r="K1626" i="9"/>
  <c r="J1626" i="9"/>
  <c r="P1625" i="9"/>
  <c r="O1625" i="9"/>
  <c r="N1625" i="9"/>
  <c r="M1625" i="9"/>
  <c r="L1625" i="9"/>
  <c r="K1625" i="9"/>
  <c r="J1625" i="9"/>
  <c r="P1624" i="9"/>
  <c r="O1624" i="9"/>
  <c r="N1624" i="9"/>
  <c r="M1624" i="9"/>
  <c r="L1624" i="9"/>
  <c r="K1624" i="9"/>
  <c r="J1624" i="9"/>
  <c r="P1623" i="9"/>
  <c r="O1623" i="9"/>
  <c r="N1623" i="9"/>
  <c r="M1623" i="9"/>
  <c r="L1623" i="9"/>
  <c r="K1623" i="9"/>
  <c r="J1623" i="9"/>
  <c r="P1622" i="9"/>
  <c r="O1622" i="9"/>
  <c r="N1622" i="9"/>
  <c r="M1622" i="9"/>
  <c r="L1622" i="9"/>
  <c r="K1622" i="9"/>
  <c r="J1622" i="9"/>
  <c r="P1621" i="9"/>
  <c r="O1621" i="9"/>
  <c r="N1621" i="9"/>
  <c r="M1621" i="9"/>
  <c r="L1621" i="9"/>
  <c r="K1621" i="9"/>
  <c r="J1621" i="9"/>
  <c r="P1620" i="9"/>
  <c r="O1620" i="9"/>
  <c r="N1620" i="9"/>
  <c r="M1620" i="9"/>
  <c r="L1620" i="9"/>
  <c r="K1620" i="9"/>
  <c r="J1620" i="9"/>
  <c r="P1619" i="9"/>
  <c r="O1619" i="9"/>
  <c r="N1619" i="9"/>
  <c r="M1619" i="9"/>
  <c r="L1619" i="9"/>
  <c r="K1619" i="9"/>
  <c r="J1619" i="9"/>
  <c r="P1618" i="9"/>
  <c r="O1618" i="9"/>
  <c r="N1618" i="9"/>
  <c r="M1618" i="9"/>
  <c r="L1618" i="9"/>
  <c r="K1618" i="9"/>
  <c r="J1618" i="9"/>
  <c r="P1617" i="9"/>
  <c r="O1617" i="9"/>
  <c r="N1617" i="9"/>
  <c r="M1617" i="9"/>
  <c r="L1617" i="9"/>
  <c r="K1617" i="9"/>
  <c r="J1617" i="9"/>
  <c r="P1616" i="9"/>
  <c r="O1616" i="9"/>
  <c r="N1616" i="9"/>
  <c r="M1616" i="9"/>
  <c r="L1616" i="9"/>
  <c r="K1616" i="9"/>
  <c r="J1616" i="9"/>
  <c r="P1615" i="9"/>
  <c r="O1615" i="9"/>
  <c r="N1615" i="9"/>
  <c r="M1615" i="9"/>
  <c r="L1615" i="9"/>
  <c r="K1615" i="9"/>
  <c r="J1615" i="9"/>
  <c r="P1614" i="9"/>
  <c r="O1614" i="9"/>
  <c r="N1614" i="9"/>
  <c r="M1614" i="9"/>
  <c r="L1614" i="9"/>
  <c r="K1614" i="9"/>
  <c r="J1614" i="9"/>
  <c r="P1613" i="9"/>
  <c r="O1613" i="9"/>
  <c r="N1613" i="9"/>
  <c r="M1613" i="9"/>
  <c r="L1613" i="9"/>
  <c r="K1613" i="9"/>
  <c r="J1613" i="9"/>
  <c r="P1612" i="9"/>
  <c r="O1612" i="9"/>
  <c r="N1612" i="9"/>
  <c r="M1612" i="9"/>
  <c r="L1612" i="9"/>
  <c r="K1612" i="9"/>
  <c r="J1612" i="9"/>
  <c r="P1611" i="9"/>
  <c r="O1611" i="9"/>
  <c r="N1611" i="9"/>
  <c r="M1611" i="9"/>
  <c r="L1611" i="9"/>
  <c r="K1611" i="9"/>
  <c r="J1611" i="9"/>
  <c r="P1610" i="9"/>
  <c r="O1610" i="9"/>
  <c r="N1610" i="9"/>
  <c r="M1610" i="9"/>
  <c r="L1610" i="9"/>
  <c r="K1610" i="9"/>
  <c r="J1610" i="9"/>
  <c r="P1609" i="9"/>
  <c r="O1609" i="9"/>
  <c r="N1609" i="9"/>
  <c r="M1609" i="9"/>
  <c r="L1609" i="9"/>
  <c r="K1609" i="9"/>
  <c r="J1609" i="9"/>
  <c r="P1608" i="9"/>
  <c r="O1608" i="9"/>
  <c r="N1608" i="9"/>
  <c r="M1608" i="9"/>
  <c r="L1608" i="9"/>
  <c r="K1608" i="9"/>
  <c r="J1608" i="9"/>
  <c r="P1607" i="9"/>
  <c r="O1607" i="9"/>
  <c r="N1607" i="9"/>
  <c r="M1607" i="9"/>
  <c r="L1607" i="9"/>
  <c r="K1607" i="9"/>
  <c r="J1607" i="9"/>
  <c r="P1606" i="9"/>
  <c r="O1606" i="9"/>
  <c r="N1606" i="9"/>
  <c r="M1606" i="9"/>
  <c r="L1606" i="9"/>
  <c r="K1606" i="9"/>
  <c r="J1606" i="9"/>
  <c r="P1605" i="9"/>
  <c r="O1605" i="9"/>
  <c r="N1605" i="9"/>
  <c r="M1605" i="9"/>
  <c r="L1605" i="9"/>
  <c r="K1605" i="9"/>
  <c r="J1605" i="9"/>
  <c r="P1604" i="9"/>
  <c r="O1604" i="9"/>
  <c r="N1604" i="9"/>
  <c r="M1604" i="9"/>
  <c r="L1604" i="9"/>
  <c r="K1604" i="9"/>
  <c r="J1604" i="9"/>
  <c r="P1603" i="9"/>
  <c r="O1603" i="9"/>
  <c r="N1603" i="9"/>
  <c r="M1603" i="9"/>
  <c r="L1603" i="9"/>
  <c r="K1603" i="9"/>
  <c r="J1603" i="9"/>
  <c r="P1602" i="9"/>
  <c r="O1602" i="9"/>
  <c r="N1602" i="9"/>
  <c r="M1602" i="9"/>
  <c r="L1602" i="9"/>
  <c r="K1602" i="9"/>
  <c r="J1602" i="9"/>
  <c r="P1601" i="9"/>
  <c r="O1601" i="9"/>
  <c r="N1601" i="9"/>
  <c r="M1601" i="9"/>
  <c r="L1601" i="9"/>
  <c r="K1601" i="9"/>
  <c r="J1601" i="9"/>
  <c r="P1600" i="9"/>
  <c r="O1600" i="9"/>
  <c r="N1600" i="9"/>
  <c r="M1600" i="9"/>
  <c r="L1600" i="9"/>
  <c r="K1600" i="9"/>
  <c r="J1600" i="9"/>
  <c r="P1599" i="9"/>
  <c r="O1599" i="9"/>
  <c r="N1599" i="9"/>
  <c r="M1599" i="9"/>
  <c r="L1599" i="9"/>
  <c r="K1599" i="9"/>
  <c r="J1599" i="9"/>
  <c r="P1598" i="9"/>
  <c r="O1598" i="9"/>
  <c r="N1598" i="9"/>
  <c r="M1598" i="9"/>
  <c r="L1598" i="9"/>
  <c r="K1598" i="9"/>
  <c r="J1598" i="9"/>
  <c r="P1597" i="9"/>
  <c r="O1597" i="9"/>
  <c r="N1597" i="9"/>
  <c r="M1597" i="9"/>
  <c r="L1597" i="9"/>
  <c r="K1597" i="9"/>
  <c r="J1597" i="9"/>
  <c r="P1596" i="9"/>
  <c r="O1596" i="9"/>
  <c r="N1596" i="9"/>
  <c r="M1596" i="9"/>
  <c r="L1596" i="9"/>
  <c r="K1596" i="9"/>
  <c r="J1596" i="9"/>
  <c r="P1595" i="9"/>
  <c r="O1595" i="9"/>
  <c r="N1595" i="9"/>
  <c r="M1595" i="9"/>
  <c r="L1595" i="9"/>
  <c r="K1595" i="9"/>
  <c r="J1595" i="9"/>
  <c r="P1594" i="9"/>
  <c r="O1594" i="9"/>
  <c r="N1594" i="9"/>
  <c r="M1594" i="9"/>
  <c r="L1594" i="9"/>
  <c r="K1594" i="9"/>
  <c r="J1594" i="9"/>
  <c r="P1593" i="9"/>
  <c r="O1593" i="9"/>
  <c r="N1593" i="9"/>
  <c r="M1593" i="9"/>
  <c r="L1593" i="9"/>
  <c r="K1593" i="9"/>
  <c r="J1593" i="9"/>
  <c r="P1592" i="9"/>
  <c r="O1592" i="9"/>
  <c r="N1592" i="9"/>
  <c r="M1592" i="9"/>
  <c r="L1592" i="9"/>
  <c r="K1592" i="9"/>
  <c r="J1592" i="9"/>
  <c r="P1591" i="9"/>
  <c r="O1591" i="9"/>
  <c r="N1591" i="9"/>
  <c r="M1591" i="9"/>
  <c r="L1591" i="9"/>
  <c r="K1591" i="9"/>
  <c r="J1591" i="9"/>
  <c r="P1590" i="9"/>
  <c r="O1590" i="9"/>
  <c r="N1590" i="9"/>
  <c r="M1590" i="9"/>
  <c r="L1590" i="9"/>
  <c r="K1590" i="9"/>
  <c r="J1590" i="9"/>
  <c r="P1589" i="9"/>
  <c r="O1589" i="9"/>
  <c r="N1589" i="9"/>
  <c r="M1589" i="9"/>
  <c r="L1589" i="9"/>
  <c r="K1589" i="9"/>
  <c r="J1589" i="9"/>
  <c r="P1588" i="9"/>
  <c r="O1588" i="9"/>
  <c r="N1588" i="9"/>
  <c r="M1588" i="9"/>
  <c r="L1588" i="9"/>
  <c r="K1588" i="9"/>
  <c r="J1588" i="9"/>
  <c r="P1587" i="9"/>
  <c r="O1587" i="9"/>
  <c r="N1587" i="9"/>
  <c r="M1587" i="9"/>
  <c r="L1587" i="9"/>
  <c r="K1587" i="9"/>
  <c r="J1587" i="9"/>
  <c r="P1586" i="9"/>
  <c r="O1586" i="9"/>
  <c r="N1586" i="9"/>
  <c r="M1586" i="9"/>
  <c r="L1586" i="9"/>
  <c r="K1586" i="9"/>
  <c r="J1586" i="9"/>
  <c r="O1585" i="9"/>
  <c r="N1585" i="9"/>
  <c r="M1585" i="9"/>
  <c r="L1585" i="9"/>
  <c r="K1585" i="9"/>
  <c r="J1585" i="9"/>
  <c r="P1584" i="9"/>
  <c r="O1584" i="9"/>
  <c r="N1584" i="9"/>
  <c r="M1584" i="9"/>
  <c r="L1584" i="9"/>
  <c r="K1584" i="9"/>
  <c r="J1584" i="9"/>
  <c r="P1583" i="9"/>
  <c r="O1583" i="9"/>
  <c r="N1583" i="9"/>
  <c r="M1583" i="9"/>
  <c r="L1583" i="9"/>
  <c r="K1583" i="9"/>
  <c r="J1583" i="9"/>
  <c r="P1582" i="9"/>
  <c r="O1582" i="9"/>
  <c r="N1582" i="9"/>
  <c r="M1582" i="9"/>
  <c r="L1582" i="9"/>
  <c r="K1582" i="9"/>
  <c r="J1582" i="9"/>
  <c r="P1581" i="9"/>
  <c r="O1581" i="9"/>
  <c r="N1581" i="9"/>
  <c r="M1581" i="9"/>
  <c r="L1581" i="9"/>
  <c r="K1581" i="9"/>
  <c r="J1581" i="9"/>
  <c r="P1580" i="9"/>
  <c r="O1580" i="9"/>
  <c r="N1580" i="9"/>
  <c r="M1580" i="9"/>
  <c r="L1580" i="9"/>
  <c r="K1580" i="9"/>
  <c r="J1580" i="9"/>
  <c r="P1579" i="9"/>
  <c r="O1579" i="9"/>
  <c r="N1579" i="9"/>
  <c r="M1579" i="9"/>
  <c r="L1579" i="9"/>
  <c r="K1579" i="9"/>
  <c r="J1579" i="9"/>
  <c r="P1578" i="9"/>
  <c r="O1578" i="9"/>
  <c r="N1578" i="9"/>
  <c r="M1578" i="9"/>
  <c r="L1578" i="9"/>
  <c r="K1578" i="9"/>
  <c r="J1578" i="9"/>
  <c r="P1577" i="9"/>
  <c r="O1577" i="9"/>
  <c r="N1577" i="9"/>
  <c r="M1577" i="9"/>
  <c r="L1577" i="9"/>
  <c r="K1577" i="9"/>
  <c r="J1577" i="9"/>
  <c r="P1576" i="9"/>
  <c r="O1576" i="9"/>
  <c r="N1576" i="9"/>
  <c r="M1576" i="9"/>
  <c r="L1576" i="9"/>
  <c r="K1576" i="9"/>
  <c r="J1576" i="9"/>
  <c r="P1575" i="9"/>
  <c r="O1575" i="9"/>
  <c r="N1575" i="9"/>
  <c r="M1575" i="9"/>
  <c r="L1575" i="9"/>
  <c r="K1575" i="9"/>
  <c r="J1575" i="9"/>
  <c r="P1574" i="9"/>
  <c r="O1574" i="9"/>
  <c r="N1574" i="9"/>
  <c r="M1574" i="9"/>
  <c r="L1574" i="9"/>
  <c r="K1574" i="9"/>
  <c r="J1574" i="9"/>
  <c r="P1573" i="9"/>
  <c r="O1573" i="9"/>
  <c r="N1573" i="9"/>
  <c r="M1573" i="9"/>
  <c r="L1573" i="9"/>
  <c r="K1573" i="9"/>
  <c r="J1573" i="9"/>
  <c r="P1572" i="9"/>
  <c r="O1572" i="9"/>
  <c r="N1572" i="9"/>
  <c r="M1572" i="9"/>
  <c r="L1572" i="9"/>
  <c r="K1572" i="9"/>
  <c r="J1572" i="9"/>
  <c r="P1571" i="9"/>
  <c r="O1571" i="9"/>
  <c r="N1571" i="9"/>
  <c r="M1571" i="9"/>
  <c r="L1571" i="9"/>
  <c r="K1571" i="9"/>
  <c r="J1571" i="9"/>
  <c r="P1570" i="9"/>
  <c r="O1570" i="9"/>
  <c r="N1570" i="9"/>
  <c r="M1570" i="9"/>
  <c r="L1570" i="9"/>
  <c r="K1570" i="9"/>
  <c r="J1570" i="9"/>
  <c r="P1569" i="9"/>
  <c r="O1569" i="9"/>
  <c r="N1569" i="9"/>
  <c r="M1569" i="9"/>
  <c r="L1569" i="9"/>
  <c r="K1569" i="9"/>
  <c r="J1569" i="9"/>
  <c r="P1568" i="9"/>
  <c r="O1568" i="9"/>
  <c r="N1568" i="9"/>
  <c r="M1568" i="9"/>
  <c r="L1568" i="9"/>
  <c r="K1568" i="9"/>
  <c r="J1568" i="9"/>
  <c r="P1567" i="9"/>
  <c r="O1567" i="9"/>
  <c r="N1567" i="9"/>
  <c r="M1567" i="9"/>
  <c r="L1567" i="9"/>
  <c r="K1567" i="9"/>
  <c r="J1567" i="9"/>
  <c r="P1566" i="9"/>
  <c r="O1566" i="9"/>
  <c r="N1566" i="9"/>
  <c r="M1566" i="9"/>
  <c r="L1566" i="9"/>
  <c r="K1566" i="9"/>
  <c r="J1566" i="9"/>
  <c r="P1565" i="9"/>
  <c r="O1565" i="9"/>
  <c r="N1565" i="9"/>
  <c r="M1565" i="9"/>
  <c r="L1565" i="9"/>
  <c r="K1565" i="9"/>
  <c r="J1565" i="9"/>
  <c r="P1564" i="9"/>
  <c r="O1564" i="9"/>
  <c r="N1564" i="9"/>
  <c r="M1564" i="9"/>
  <c r="L1564" i="9"/>
  <c r="K1564" i="9"/>
  <c r="J1564" i="9"/>
  <c r="P1563" i="9"/>
  <c r="O1563" i="9"/>
  <c r="N1563" i="9"/>
  <c r="M1563" i="9"/>
  <c r="L1563" i="9"/>
  <c r="K1563" i="9"/>
  <c r="J1563" i="9"/>
  <c r="P1562" i="9"/>
  <c r="O1562" i="9"/>
  <c r="N1562" i="9"/>
  <c r="M1562" i="9"/>
  <c r="L1562" i="9"/>
  <c r="K1562" i="9"/>
  <c r="J1562" i="9"/>
  <c r="P1561" i="9"/>
  <c r="O1561" i="9"/>
  <c r="N1561" i="9"/>
  <c r="M1561" i="9"/>
  <c r="L1561" i="9"/>
  <c r="K1561" i="9"/>
  <c r="J1561" i="9"/>
  <c r="P1560" i="9"/>
  <c r="O1560" i="9"/>
  <c r="N1560" i="9"/>
  <c r="M1560" i="9"/>
  <c r="L1560" i="9"/>
  <c r="K1560" i="9"/>
  <c r="J1560" i="9"/>
  <c r="P1559" i="9"/>
  <c r="O1559" i="9"/>
  <c r="N1559" i="9"/>
  <c r="M1559" i="9"/>
  <c r="L1559" i="9"/>
  <c r="K1559" i="9"/>
  <c r="J1559" i="9"/>
  <c r="P1558" i="9"/>
  <c r="O1558" i="9"/>
  <c r="N1558" i="9"/>
  <c r="M1558" i="9"/>
  <c r="L1558" i="9"/>
  <c r="K1558" i="9"/>
  <c r="J1558" i="9"/>
  <c r="O1557" i="9"/>
  <c r="N1557" i="9"/>
  <c r="M1557" i="9"/>
  <c r="L1557" i="9"/>
  <c r="K1557" i="9"/>
  <c r="J1557" i="9"/>
  <c r="P1556" i="9"/>
  <c r="O1556" i="9"/>
  <c r="N1556" i="9"/>
  <c r="M1556" i="9"/>
  <c r="L1556" i="9"/>
  <c r="K1556" i="9"/>
  <c r="J1556" i="9"/>
  <c r="P1555" i="9"/>
  <c r="O1555" i="9"/>
  <c r="N1555" i="9"/>
  <c r="M1555" i="9"/>
  <c r="L1555" i="9"/>
  <c r="K1555" i="9"/>
  <c r="J1555" i="9"/>
  <c r="P1554" i="9"/>
  <c r="O1554" i="9"/>
  <c r="N1554" i="9"/>
  <c r="M1554" i="9"/>
  <c r="L1554" i="9"/>
  <c r="K1554" i="9"/>
  <c r="J1554" i="9"/>
  <c r="P1553" i="9"/>
  <c r="O1553" i="9"/>
  <c r="N1553" i="9"/>
  <c r="M1553" i="9"/>
  <c r="L1553" i="9"/>
  <c r="K1553" i="9"/>
  <c r="J1553" i="9"/>
  <c r="P1552" i="9"/>
  <c r="O1552" i="9"/>
  <c r="N1552" i="9"/>
  <c r="M1552" i="9"/>
  <c r="L1552" i="9"/>
  <c r="K1552" i="9"/>
  <c r="J1552" i="9"/>
  <c r="P1551" i="9"/>
  <c r="O1551" i="9"/>
  <c r="N1551" i="9"/>
  <c r="M1551" i="9"/>
  <c r="L1551" i="9"/>
  <c r="K1551" i="9"/>
  <c r="J1551" i="9"/>
  <c r="P1550" i="9"/>
  <c r="O1550" i="9"/>
  <c r="N1550" i="9"/>
  <c r="M1550" i="9"/>
  <c r="L1550" i="9"/>
  <c r="K1550" i="9"/>
  <c r="J1550" i="9"/>
  <c r="P1549" i="9"/>
  <c r="O1549" i="9"/>
  <c r="N1549" i="9"/>
  <c r="M1549" i="9"/>
  <c r="L1549" i="9"/>
  <c r="K1549" i="9"/>
  <c r="J1549" i="9"/>
  <c r="P1548" i="9"/>
  <c r="O1548" i="9"/>
  <c r="N1548" i="9"/>
  <c r="M1548" i="9"/>
  <c r="L1548" i="9"/>
  <c r="K1548" i="9"/>
  <c r="J1548" i="9"/>
  <c r="P1547" i="9"/>
  <c r="O1547" i="9"/>
  <c r="N1547" i="9"/>
  <c r="M1547" i="9"/>
  <c r="L1547" i="9"/>
  <c r="K1547" i="9"/>
  <c r="J1547" i="9"/>
  <c r="P1546" i="9"/>
  <c r="O1546" i="9"/>
  <c r="N1546" i="9"/>
  <c r="M1546" i="9"/>
  <c r="L1546" i="9"/>
  <c r="K1546" i="9"/>
  <c r="J1546" i="9"/>
  <c r="P1545" i="9"/>
  <c r="O1545" i="9"/>
  <c r="N1545" i="9"/>
  <c r="M1545" i="9"/>
  <c r="L1545" i="9"/>
  <c r="K1545" i="9"/>
  <c r="J1545" i="9"/>
  <c r="P1544" i="9"/>
  <c r="O1544" i="9"/>
  <c r="N1544" i="9"/>
  <c r="M1544" i="9"/>
  <c r="L1544" i="9"/>
  <c r="K1544" i="9"/>
  <c r="J1544" i="9"/>
  <c r="P1543" i="9"/>
  <c r="O1543" i="9"/>
  <c r="N1543" i="9"/>
  <c r="M1543" i="9"/>
  <c r="L1543" i="9"/>
  <c r="K1543" i="9"/>
  <c r="J1543" i="9"/>
  <c r="P1542" i="9"/>
  <c r="O1542" i="9"/>
  <c r="N1542" i="9"/>
  <c r="M1542" i="9"/>
  <c r="L1542" i="9"/>
  <c r="K1542" i="9"/>
  <c r="J1542" i="9"/>
  <c r="P1541" i="9"/>
  <c r="O1541" i="9"/>
  <c r="N1541" i="9"/>
  <c r="M1541" i="9"/>
  <c r="L1541" i="9"/>
  <c r="K1541" i="9"/>
  <c r="J1541" i="9"/>
  <c r="P1540" i="9"/>
  <c r="O1540" i="9"/>
  <c r="N1540" i="9"/>
  <c r="M1540" i="9"/>
  <c r="L1540" i="9"/>
  <c r="K1540" i="9"/>
  <c r="J1540" i="9"/>
  <c r="P1539" i="9"/>
  <c r="O1539" i="9"/>
  <c r="N1539" i="9"/>
  <c r="M1539" i="9"/>
  <c r="L1539" i="9"/>
  <c r="K1539" i="9"/>
  <c r="J1539" i="9"/>
  <c r="P1538" i="9"/>
  <c r="O1538" i="9"/>
  <c r="N1538" i="9"/>
  <c r="M1538" i="9"/>
  <c r="L1538" i="9"/>
  <c r="K1538" i="9"/>
  <c r="J1538" i="9"/>
  <c r="P1537" i="9"/>
  <c r="O1537" i="9"/>
  <c r="N1537" i="9"/>
  <c r="M1537" i="9"/>
  <c r="L1537" i="9"/>
  <c r="K1537" i="9"/>
  <c r="J1537" i="9"/>
  <c r="P1536" i="9"/>
  <c r="O1536" i="9"/>
  <c r="N1536" i="9"/>
  <c r="M1536" i="9"/>
  <c r="L1536" i="9"/>
  <c r="K1536" i="9"/>
  <c r="J1536" i="9"/>
  <c r="P1535" i="9"/>
  <c r="O1535" i="9"/>
  <c r="N1535" i="9"/>
  <c r="M1535" i="9"/>
  <c r="L1535" i="9"/>
  <c r="K1535" i="9"/>
  <c r="J1535" i="9"/>
  <c r="P1534" i="9"/>
  <c r="O1534" i="9"/>
  <c r="N1534" i="9"/>
  <c r="M1534" i="9"/>
  <c r="L1534" i="9"/>
  <c r="K1534" i="9"/>
  <c r="J1534" i="9"/>
  <c r="P1533" i="9"/>
  <c r="O1533" i="9"/>
  <c r="N1533" i="9"/>
  <c r="M1533" i="9"/>
  <c r="L1533" i="9"/>
  <c r="K1533" i="9"/>
  <c r="J1533" i="9"/>
  <c r="P1532" i="9"/>
  <c r="O1532" i="9"/>
  <c r="N1532" i="9"/>
  <c r="M1532" i="9"/>
  <c r="L1532" i="9"/>
  <c r="K1532" i="9"/>
  <c r="J1532" i="9"/>
  <c r="P1531" i="9"/>
  <c r="O1531" i="9"/>
  <c r="N1531" i="9"/>
  <c r="M1531" i="9"/>
  <c r="L1531" i="9"/>
  <c r="K1531" i="9"/>
  <c r="J1531" i="9"/>
  <c r="P1530" i="9"/>
  <c r="O1530" i="9"/>
  <c r="N1530" i="9"/>
  <c r="M1530" i="9"/>
  <c r="L1530" i="9"/>
  <c r="K1530" i="9"/>
  <c r="J1530" i="9"/>
  <c r="P1529" i="9"/>
  <c r="O1529" i="9"/>
  <c r="N1529" i="9"/>
  <c r="M1529" i="9"/>
  <c r="L1529" i="9"/>
  <c r="K1529" i="9"/>
  <c r="J1529" i="9"/>
  <c r="P1528" i="9"/>
  <c r="O1528" i="9"/>
  <c r="N1528" i="9"/>
  <c r="M1528" i="9"/>
  <c r="L1528" i="9"/>
  <c r="K1528" i="9"/>
  <c r="J1528" i="9"/>
  <c r="P1527" i="9"/>
  <c r="O1527" i="9"/>
  <c r="N1527" i="9"/>
  <c r="M1527" i="9"/>
  <c r="L1527" i="9"/>
  <c r="K1527" i="9"/>
  <c r="J1527" i="9"/>
  <c r="P1526" i="9"/>
  <c r="O1526" i="9"/>
  <c r="N1526" i="9"/>
  <c r="M1526" i="9"/>
  <c r="L1526" i="9"/>
  <c r="K1526" i="9"/>
  <c r="J1526" i="9"/>
  <c r="P1525" i="9"/>
  <c r="O1525" i="9"/>
  <c r="N1525" i="9"/>
  <c r="M1525" i="9"/>
  <c r="L1525" i="9"/>
  <c r="K1525" i="9"/>
  <c r="J1525" i="9"/>
  <c r="P1524" i="9"/>
  <c r="O1524" i="9"/>
  <c r="N1524" i="9"/>
  <c r="M1524" i="9"/>
  <c r="L1524" i="9"/>
  <c r="K1524" i="9"/>
  <c r="J1524" i="9"/>
  <c r="P1523" i="9"/>
  <c r="O1523" i="9"/>
  <c r="N1523" i="9"/>
  <c r="M1523" i="9"/>
  <c r="L1523" i="9"/>
  <c r="K1523" i="9"/>
  <c r="J1523" i="9"/>
  <c r="P1522" i="9"/>
  <c r="O1522" i="9"/>
  <c r="N1522" i="9"/>
  <c r="M1522" i="9"/>
  <c r="L1522" i="9"/>
  <c r="K1522" i="9"/>
  <c r="J1522" i="9"/>
  <c r="P1521" i="9"/>
  <c r="O1521" i="9"/>
  <c r="N1521" i="9"/>
  <c r="M1521" i="9"/>
  <c r="L1521" i="9"/>
  <c r="K1521" i="9"/>
  <c r="J1521" i="9"/>
  <c r="P1520" i="9"/>
  <c r="O1520" i="9"/>
  <c r="N1520" i="9"/>
  <c r="M1520" i="9"/>
  <c r="L1520" i="9"/>
  <c r="K1520" i="9"/>
  <c r="J1520" i="9"/>
  <c r="P1519" i="9"/>
  <c r="O1519" i="9"/>
  <c r="N1519" i="9"/>
  <c r="M1519" i="9"/>
  <c r="L1519" i="9"/>
  <c r="K1519" i="9"/>
  <c r="J1519" i="9"/>
  <c r="P1518" i="9"/>
  <c r="O1518" i="9"/>
  <c r="N1518" i="9"/>
  <c r="M1518" i="9"/>
  <c r="L1518" i="9"/>
  <c r="K1518" i="9"/>
  <c r="J1518" i="9"/>
  <c r="P1517" i="9"/>
  <c r="O1517" i="9"/>
  <c r="N1517" i="9"/>
  <c r="M1517" i="9"/>
  <c r="L1517" i="9"/>
  <c r="K1517" i="9"/>
  <c r="J1517" i="9"/>
  <c r="P1516" i="9"/>
  <c r="O1516" i="9"/>
  <c r="N1516" i="9"/>
  <c r="M1516" i="9"/>
  <c r="L1516" i="9"/>
  <c r="K1516" i="9"/>
  <c r="J1516" i="9"/>
  <c r="P1515" i="9"/>
  <c r="O1515" i="9"/>
  <c r="N1515" i="9"/>
  <c r="M1515" i="9"/>
  <c r="L1515" i="9"/>
  <c r="K1515" i="9"/>
  <c r="J1515" i="9"/>
  <c r="P1514" i="9"/>
  <c r="O1514" i="9"/>
  <c r="N1514" i="9"/>
  <c r="M1514" i="9"/>
  <c r="L1514" i="9"/>
  <c r="K1514" i="9"/>
  <c r="J1514" i="9"/>
  <c r="P1513" i="9"/>
  <c r="O1513" i="9"/>
  <c r="N1513" i="9"/>
  <c r="M1513" i="9"/>
  <c r="L1513" i="9"/>
  <c r="K1513" i="9"/>
  <c r="J1513" i="9"/>
  <c r="P1512" i="9"/>
  <c r="O1512" i="9"/>
  <c r="N1512" i="9"/>
  <c r="M1512" i="9"/>
  <c r="L1512" i="9"/>
  <c r="K1512" i="9"/>
  <c r="J1512" i="9"/>
  <c r="P1511" i="9"/>
  <c r="O1511" i="9"/>
  <c r="N1511" i="9"/>
  <c r="M1511" i="9"/>
  <c r="L1511" i="9"/>
  <c r="K1511" i="9"/>
  <c r="J1511" i="9"/>
  <c r="P1510" i="9"/>
  <c r="O1510" i="9"/>
  <c r="N1510" i="9"/>
  <c r="M1510" i="9"/>
  <c r="L1510" i="9"/>
  <c r="K1510" i="9"/>
  <c r="J1510" i="9"/>
  <c r="P1509" i="9"/>
  <c r="O1509" i="9"/>
  <c r="N1509" i="9"/>
  <c r="M1509" i="9"/>
  <c r="L1509" i="9"/>
  <c r="K1509" i="9"/>
  <c r="J1509" i="9"/>
  <c r="P1508" i="9"/>
  <c r="O1508" i="9"/>
  <c r="N1508" i="9"/>
  <c r="M1508" i="9"/>
  <c r="L1508" i="9"/>
  <c r="K1508" i="9"/>
  <c r="J1508" i="9"/>
  <c r="P1507" i="9"/>
  <c r="O1507" i="9"/>
  <c r="N1507" i="9"/>
  <c r="M1507" i="9"/>
  <c r="L1507" i="9"/>
  <c r="K1507" i="9"/>
  <c r="J1507" i="9"/>
  <c r="P1506" i="9"/>
  <c r="O1506" i="9"/>
  <c r="N1506" i="9"/>
  <c r="M1506" i="9"/>
  <c r="L1506" i="9"/>
  <c r="K1506" i="9"/>
  <c r="J1506" i="9"/>
  <c r="P1505" i="9"/>
  <c r="O1505" i="9"/>
  <c r="N1505" i="9"/>
  <c r="M1505" i="9"/>
  <c r="L1505" i="9"/>
  <c r="K1505" i="9"/>
  <c r="J1505" i="9"/>
  <c r="P1504" i="9"/>
  <c r="O1504" i="9"/>
  <c r="N1504" i="9"/>
  <c r="M1504" i="9"/>
  <c r="L1504" i="9"/>
  <c r="K1504" i="9"/>
  <c r="J1504" i="9"/>
  <c r="P1503" i="9"/>
  <c r="O1503" i="9"/>
  <c r="N1503" i="9"/>
  <c r="M1503" i="9"/>
  <c r="L1503" i="9"/>
  <c r="K1503" i="9"/>
  <c r="J1503" i="9"/>
  <c r="P1502" i="9"/>
  <c r="O1502" i="9"/>
  <c r="N1502" i="9"/>
  <c r="M1502" i="9"/>
  <c r="L1502" i="9"/>
  <c r="K1502" i="9"/>
  <c r="J1502" i="9"/>
  <c r="P1501" i="9"/>
  <c r="O1501" i="9"/>
  <c r="N1501" i="9"/>
  <c r="M1501" i="9"/>
  <c r="L1501" i="9"/>
  <c r="K1501" i="9"/>
  <c r="J1501" i="9"/>
  <c r="P1500" i="9"/>
  <c r="O1500" i="9"/>
  <c r="N1500" i="9"/>
  <c r="M1500" i="9"/>
  <c r="L1500" i="9"/>
  <c r="K1500" i="9"/>
  <c r="J1500" i="9"/>
  <c r="P1499" i="9"/>
  <c r="O1499" i="9"/>
  <c r="N1499" i="9"/>
  <c r="M1499" i="9"/>
  <c r="L1499" i="9"/>
  <c r="K1499" i="9"/>
  <c r="J1499" i="9"/>
  <c r="P1498" i="9"/>
  <c r="O1498" i="9"/>
  <c r="N1498" i="9"/>
  <c r="M1498" i="9"/>
  <c r="L1498" i="9"/>
  <c r="K1498" i="9"/>
  <c r="J1498" i="9"/>
  <c r="P1497" i="9"/>
  <c r="O1497" i="9"/>
  <c r="N1497" i="9"/>
  <c r="M1497" i="9"/>
  <c r="L1497" i="9"/>
  <c r="K1497" i="9"/>
  <c r="J1497" i="9"/>
  <c r="P1496" i="9"/>
  <c r="O1496" i="9"/>
  <c r="N1496" i="9"/>
  <c r="M1496" i="9"/>
  <c r="L1496" i="9"/>
  <c r="K1496" i="9"/>
  <c r="J1496" i="9"/>
  <c r="P1495" i="9"/>
  <c r="O1495" i="9"/>
  <c r="N1495" i="9"/>
  <c r="M1495" i="9"/>
  <c r="L1495" i="9"/>
  <c r="K1495" i="9"/>
  <c r="J1495" i="9"/>
  <c r="P1494" i="9"/>
  <c r="O1494" i="9"/>
  <c r="N1494" i="9"/>
  <c r="M1494" i="9"/>
  <c r="L1494" i="9"/>
  <c r="K1494" i="9"/>
  <c r="J1494" i="9"/>
  <c r="P1493" i="9"/>
  <c r="O1493" i="9"/>
  <c r="N1493" i="9"/>
  <c r="M1493" i="9"/>
  <c r="L1493" i="9"/>
  <c r="K1493" i="9"/>
  <c r="J1493" i="9"/>
  <c r="P1492" i="9"/>
  <c r="O1492" i="9"/>
  <c r="N1492" i="9"/>
  <c r="M1492" i="9"/>
  <c r="L1492" i="9"/>
  <c r="K1492" i="9"/>
  <c r="J1492" i="9"/>
  <c r="P1491" i="9"/>
  <c r="O1491" i="9"/>
  <c r="N1491" i="9"/>
  <c r="M1491" i="9"/>
  <c r="L1491" i="9"/>
  <c r="K1491" i="9"/>
  <c r="J1491" i="9"/>
  <c r="P1490" i="9"/>
  <c r="O1490" i="9"/>
  <c r="N1490" i="9"/>
  <c r="M1490" i="9"/>
  <c r="L1490" i="9"/>
  <c r="K1490" i="9"/>
  <c r="J1490" i="9"/>
  <c r="O1489" i="9"/>
  <c r="N1489" i="9"/>
  <c r="M1489" i="9"/>
  <c r="L1489" i="9"/>
  <c r="K1489" i="9"/>
  <c r="J1489" i="9"/>
  <c r="P1488" i="9"/>
  <c r="O1488" i="9"/>
  <c r="N1488" i="9"/>
  <c r="M1488" i="9"/>
  <c r="L1488" i="9"/>
  <c r="K1488" i="9"/>
  <c r="J1488" i="9"/>
  <c r="P1487" i="9"/>
  <c r="O1487" i="9"/>
  <c r="N1487" i="9"/>
  <c r="M1487" i="9"/>
  <c r="L1487" i="9"/>
  <c r="K1487" i="9"/>
  <c r="J1487" i="9"/>
  <c r="P1486" i="9"/>
  <c r="O1486" i="9"/>
  <c r="N1486" i="9"/>
  <c r="M1486" i="9"/>
  <c r="L1486" i="9"/>
  <c r="K1486" i="9"/>
  <c r="J1486" i="9"/>
  <c r="P1485" i="9"/>
  <c r="O1485" i="9"/>
  <c r="N1485" i="9"/>
  <c r="M1485" i="9"/>
  <c r="L1485" i="9"/>
  <c r="K1485" i="9"/>
  <c r="J1485" i="9"/>
  <c r="P1484" i="9"/>
  <c r="O1484" i="9"/>
  <c r="N1484" i="9"/>
  <c r="M1484" i="9"/>
  <c r="L1484" i="9"/>
  <c r="K1484" i="9"/>
  <c r="J1484" i="9"/>
  <c r="P1483" i="9"/>
  <c r="O1483" i="9"/>
  <c r="N1483" i="9"/>
  <c r="M1483" i="9"/>
  <c r="L1483" i="9"/>
  <c r="K1483" i="9"/>
  <c r="J1483" i="9"/>
  <c r="P1482" i="9"/>
  <c r="O1482" i="9"/>
  <c r="N1482" i="9"/>
  <c r="M1482" i="9"/>
  <c r="L1482" i="9"/>
  <c r="K1482" i="9"/>
  <c r="J1482" i="9"/>
  <c r="P1481" i="9"/>
  <c r="O1481" i="9"/>
  <c r="N1481" i="9"/>
  <c r="M1481" i="9"/>
  <c r="L1481" i="9"/>
  <c r="K1481" i="9"/>
  <c r="J1481" i="9"/>
  <c r="P1480" i="9"/>
  <c r="O1480" i="9"/>
  <c r="N1480" i="9"/>
  <c r="M1480" i="9"/>
  <c r="L1480" i="9"/>
  <c r="K1480" i="9"/>
  <c r="J1480" i="9"/>
  <c r="P1479" i="9"/>
  <c r="O1479" i="9"/>
  <c r="N1479" i="9"/>
  <c r="M1479" i="9"/>
  <c r="L1479" i="9"/>
  <c r="K1479" i="9"/>
  <c r="J1479" i="9"/>
  <c r="P1478" i="9"/>
  <c r="O1478" i="9"/>
  <c r="N1478" i="9"/>
  <c r="M1478" i="9"/>
  <c r="L1478" i="9"/>
  <c r="K1478" i="9"/>
  <c r="J1478" i="9"/>
  <c r="P1477" i="9"/>
  <c r="O1477" i="9"/>
  <c r="N1477" i="9"/>
  <c r="M1477" i="9"/>
  <c r="L1477" i="9"/>
  <c r="K1477" i="9"/>
  <c r="J1477" i="9"/>
  <c r="P1476" i="9"/>
  <c r="O1476" i="9"/>
  <c r="N1476" i="9"/>
  <c r="M1476" i="9"/>
  <c r="L1476" i="9"/>
  <c r="K1476" i="9"/>
  <c r="J1476" i="9"/>
  <c r="P1475" i="9"/>
  <c r="O1475" i="9"/>
  <c r="N1475" i="9"/>
  <c r="M1475" i="9"/>
  <c r="L1475" i="9"/>
  <c r="K1475" i="9"/>
  <c r="J1475" i="9"/>
  <c r="P1474" i="9"/>
  <c r="O1474" i="9"/>
  <c r="N1474" i="9"/>
  <c r="M1474" i="9"/>
  <c r="L1474" i="9"/>
  <c r="K1474" i="9"/>
  <c r="J1474" i="9"/>
  <c r="P1473" i="9"/>
  <c r="O1473" i="9"/>
  <c r="N1473" i="9"/>
  <c r="M1473" i="9"/>
  <c r="L1473" i="9"/>
  <c r="K1473" i="9"/>
  <c r="J1473" i="9"/>
  <c r="P1472" i="9"/>
  <c r="O1472" i="9"/>
  <c r="N1472" i="9"/>
  <c r="M1472" i="9"/>
  <c r="L1472" i="9"/>
  <c r="K1472" i="9"/>
  <c r="J1472" i="9"/>
  <c r="P1471" i="9"/>
  <c r="O1471" i="9"/>
  <c r="N1471" i="9"/>
  <c r="M1471" i="9"/>
  <c r="L1471" i="9"/>
  <c r="K1471" i="9"/>
  <c r="J1471" i="9"/>
  <c r="P1470" i="9"/>
  <c r="O1470" i="9"/>
  <c r="N1470" i="9"/>
  <c r="M1470" i="9"/>
  <c r="L1470" i="9"/>
  <c r="K1470" i="9"/>
  <c r="J1470" i="9"/>
  <c r="P1469" i="9"/>
  <c r="O1469" i="9"/>
  <c r="N1469" i="9"/>
  <c r="M1469" i="9"/>
  <c r="L1469" i="9"/>
  <c r="K1469" i="9"/>
  <c r="J1469" i="9"/>
  <c r="P1468" i="9"/>
  <c r="O1468" i="9"/>
  <c r="N1468" i="9"/>
  <c r="M1468" i="9"/>
  <c r="L1468" i="9"/>
  <c r="K1468" i="9"/>
  <c r="J1468" i="9"/>
  <c r="P1467" i="9"/>
  <c r="O1467" i="9"/>
  <c r="N1467" i="9"/>
  <c r="M1467" i="9"/>
  <c r="L1467" i="9"/>
  <c r="K1467" i="9"/>
  <c r="J1467" i="9"/>
  <c r="O1466" i="9"/>
  <c r="N1466" i="9"/>
  <c r="M1466" i="9"/>
  <c r="L1466" i="9"/>
  <c r="K1466" i="9"/>
  <c r="J1466" i="9"/>
  <c r="P1465" i="9"/>
  <c r="O1465" i="9"/>
  <c r="N1465" i="9"/>
  <c r="M1465" i="9"/>
  <c r="L1465" i="9"/>
  <c r="K1465" i="9"/>
  <c r="J1465" i="9"/>
  <c r="O1464" i="9"/>
  <c r="N1464" i="9"/>
  <c r="M1464" i="9"/>
  <c r="L1464" i="9"/>
  <c r="K1464" i="9"/>
  <c r="J1464" i="9"/>
  <c r="P1463" i="9"/>
  <c r="O1463" i="9"/>
  <c r="N1463" i="9"/>
  <c r="M1463" i="9"/>
  <c r="L1463" i="9"/>
  <c r="K1463" i="9"/>
  <c r="J1463" i="9"/>
  <c r="P1462" i="9"/>
  <c r="O1462" i="9"/>
  <c r="N1462" i="9"/>
  <c r="M1462" i="9"/>
  <c r="L1462" i="9"/>
  <c r="K1462" i="9"/>
  <c r="J1462" i="9"/>
  <c r="P1461" i="9"/>
  <c r="O1461" i="9"/>
  <c r="N1461" i="9"/>
  <c r="M1461" i="9"/>
  <c r="L1461" i="9"/>
  <c r="K1461" i="9"/>
  <c r="J1461" i="9"/>
  <c r="P1460" i="9"/>
  <c r="O1460" i="9"/>
  <c r="N1460" i="9"/>
  <c r="M1460" i="9"/>
  <c r="L1460" i="9"/>
  <c r="K1460" i="9"/>
  <c r="J1460" i="9"/>
  <c r="O1459" i="9"/>
  <c r="N1459" i="9"/>
  <c r="M1459" i="9"/>
  <c r="L1459" i="9"/>
  <c r="K1459" i="9"/>
  <c r="J1459" i="9"/>
  <c r="P1458" i="9"/>
  <c r="O1458" i="9"/>
  <c r="N1458" i="9"/>
  <c r="M1458" i="9"/>
  <c r="L1458" i="9"/>
  <c r="K1458" i="9"/>
  <c r="J1458" i="9"/>
  <c r="P1457" i="9"/>
  <c r="O1457" i="9"/>
  <c r="N1457" i="9"/>
  <c r="M1457" i="9"/>
  <c r="L1457" i="9"/>
  <c r="K1457" i="9"/>
  <c r="J1457" i="9"/>
  <c r="P1456" i="9"/>
  <c r="O1456" i="9"/>
  <c r="N1456" i="9"/>
  <c r="M1456" i="9"/>
  <c r="L1456" i="9"/>
  <c r="K1456" i="9"/>
  <c r="J1456" i="9"/>
  <c r="P1455" i="9"/>
  <c r="O1455" i="9"/>
  <c r="N1455" i="9"/>
  <c r="M1455" i="9"/>
  <c r="L1455" i="9"/>
  <c r="K1455" i="9"/>
  <c r="J1455" i="9"/>
  <c r="O1454" i="9"/>
  <c r="N1454" i="9"/>
  <c r="M1454" i="9"/>
  <c r="L1454" i="9"/>
  <c r="K1454" i="9"/>
  <c r="J1454" i="9"/>
  <c r="P1453" i="9"/>
  <c r="O1453" i="9"/>
  <c r="N1453" i="9"/>
  <c r="M1453" i="9"/>
  <c r="L1453" i="9"/>
  <c r="K1453" i="9"/>
  <c r="J1453" i="9"/>
  <c r="P1452" i="9"/>
  <c r="O1452" i="9"/>
  <c r="N1452" i="9"/>
  <c r="M1452" i="9"/>
  <c r="L1452" i="9"/>
  <c r="K1452" i="9"/>
  <c r="J1452" i="9"/>
  <c r="P1451" i="9"/>
  <c r="O1451" i="9"/>
  <c r="N1451" i="9"/>
  <c r="M1451" i="9"/>
  <c r="L1451" i="9"/>
  <c r="K1451" i="9"/>
  <c r="J1451" i="9"/>
  <c r="P1450" i="9"/>
  <c r="O1450" i="9"/>
  <c r="N1450" i="9"/>
  <c r="M1450" i="9"/>
  <c r="L1450" i="9"/>
  <c r="K1450" i="9"/>
  <c r="J1450" i="9"/>
  <c r="P1449" i="9"/>
  <c r="O1449" i="9"/>
  <c r="N1449" i="9"/>
  <c r="M1449" i="9"/>
  <c r="L1449" i="9"/>
  <c r="K1449" i="9"/>
  <c r="J1449" i="9"/>
  <c r="P1448" i="9"/>
  <c r="O1448" i="9"/>
  <c r="N1448" i="9"/>
  <c r="M1448" i="9"/>
  <c r="L1448" i="9"/>
  <c r="K1448" i="9"/>
  <c r="J1448" i="9"/>
  <c r="P1447" i="9"/>
  <c r="O1447" i="9"/>
  <c r="N1447" i="9"/>
  <c r="M1447" i="9"/>
  <c r="L1447" i="9"/>
  <c r="K1447" i="9"/>
  <c r="J1447" i="9"/>
  <c r="P1446" i="9"/>
  <c r="O1446" i="9"/>
  <c r="N1446" i="9"/>
  <c r="M1446" i="9"/>
  <c r="L1446" i="9"/>
  <c r="K1446" i="9"/>
  <c r="J1446" i="9"/>
  <c r="P1445" i="9"/>
  <c r="O1445" i="9"/>
  <c r="N1445" i="9"/>
  <c r="M1445" i="9"/>
  <c r="L1445" i="9"/>
  <c r="K1445" i="9"/>
  <c r="J1445" i="9"/>
  <c r="P1444" i="9"/>
  <c r="O1444" i="9"/>
  <c r="N1444" i="9"/>
  <c r="M1444" i="9"/>
  <c r="L1444" i="9"/>
  <c r="K1444" i="9"/>
  <c r="J1444" i="9"/>
  <c r="P1443" i="9"/>
  <c r="O1443" i="9"/>
  <c r="N1443" i="9"/>
  <c r="M1443" i="9"/>
  <c r="L1443" i="9"/>
  <c r="K1443" i="9"/>
  <c r="J1443" i="9"/>
  <c r="P1442" i="9"/>
  <c r="O1442" i="9"/>
  <c r="N1442" i="9"/>
  <c r="M1442" i="9"/>
  <c r="L1442" i="9"/>
  <c r="K1442" i="9"/>
  <c r="J1442" i="9"/>
  <c r="P1441" i="9"/>
  <c r="O1441" i="9"/>
  <c r="N1441" i="9"/>
  <c r="M1441" i="9"/>
  <c r="L1441" i="9"/>
  <c r="K1441" i="9"/>
  <c r="J1441" i="9"/>
  <c r="P1440" i="9"/>
  <c r="O1440" i="9"/>
  <c r="N1440" i="9"/>
  <c r="M1440" i="9"/>
  <c r="L1440" i="9"/>
  <c r="K1440" i="9"/>
  <c r="J1440" i="9"/>
  <c r="P1439" i="9"/>
  <c r="O1439" i="9"/>
  <c r="N1439" i="9"/>
  <c r="M1439" i="9"/>
  <c r="L1439" i="9"/>
  <c r="K1439" i="9"/>
  <c r="J1439" i="9"/>
  <c r="P1438" i="9"/>
  <c r="O1438" i="9"/>
  <c r="N1438" i="9"/>
  <c r="M1438" i="9"/>
  <c r="L1438" i="9"/>
  <c r="K1438" i="9"/>
  <c r="J1438" i="9"/>
  <c r="P1437" i="9"/>
  <c r="O1437" i="9"/>
  <c r="N1437" i="9"/>
  <c r="M1437" i="9"/>
  <c r="L1437" i="9"/>
  <c r="K1437" i="9"/>
  <c r="J1437" i="9"/>
  <c r="P1436" i="9"/>
  <c r="O1436" i="9"/>
  <c r="N1436" i="9"/>
  <c r="M1436" i="9"/>
  <c r="L1436" i="9"/>
  <c r="K1436" i="9"/>
  <c r="J1436" i="9"/>
  <c r="P1435" i="9"/>
  <c r="O1435" i="9"/>
  <c r="N1435" i="9"/>
  <c r="M1435" i="9"/>
  <c r="L1435" i="9"/>
  <c r="K1435" i="9"/>
  <c r="J1435" i="9"/>
  <c r="P1434" i="9"/>
  <c r="O1434" i="9"/>
  <c r="N1434" i="9"/>
  <c r="M1434" i="9"/>
  <c r="L1434" i="9"/>
  <c r="K1434" i="9"/>
  <c r="J1434" i="9"/>
  <c r="P1433" i="9"/>
  <c r="O1433" i="9"/>
  <c r="N1433" i="9"/>
  <c r="M1433" i="9"/>
  <c r="L1433" i="9"/>
  <c r="K1433" i="9"/>
  <c r="J1433" i="9"/>
  <c r="P1432" i="9"/>
  <c r="O1432" i="9"/>
  <c r="N1432" i="9"/>
  <c r="M1432" i="9"/>
  <c r="L1432" i="9"/>
  <c r="K1432" i="9"/>
  <c r="J1432" i="9"/>
  <c r="P1431" i="9"/>
  <c r="O1431" i="9"/>
  <c r="N1431" i="9"/>
  <c r="M1431" i="9"/>
  <c r="L1431" i="9"/>
  <c r="K1431" i="9"/>
  <c r="J1431" i="9"/>
  <c r="P1430" i="9"/>
  <c r="O1430" i="9"/>
  <c r="N1430" i="9"/>
  <c r="M1430" i="9"/>
  <c r="L1430" i="9"/>
  <c r="K1430" i="9"/>
  <c r="J1430" i="9"/>
  <c r="P1429" i="9"/>
  <c r="O1429" i="9"/>
  <c r="N1429" i="9"/>
  <c r="M1429" i="9"/>
  <c r="L1429" i="9"/>
  <c r="K1429" i="9"/>
  <c r="J1429" i="9"/>
  <c r="P1428" i="9"/>
  <c r="O1428" i="9"/>
  <c r="N1428" i="9"/>
  <c r="M1428" i="9"/>
  <c r="L1428" i="9"/>
  <c r="K1428" i="9"/>
  <c r="J1428" i="9"/>
  <c r="P1427" i="9"/>
  <c r="O1427" i="9"/>
  <c r="N1427" i="9"/>
  <c r="M1427" i="9"/>
  <c r="L1427" i="9"/>
  <c r="K1427" i="9"/>
  <c r="J1427" i="9"/>
  <c r="P1426" i="9"/>
  <c r="O1426" i="9"/>
  <c r="N1426" i="9"/>
  <c r="M1426" i="9"/>
  <c r="L1426" i="9"/>
  <c r="K1426" i="9"/>
  <c r="J1426" i="9"/>
  <c r="P1425" i="9"/>
  <c r="O1425" i="9"/>
  <c r="N1425" i="9"/>
  <c r="M1425" i="9"/>
  <c r="L1425" i="9"/>
  <c r="K1425" i="9"/>
  <c r="J1425" i="9"/>
  <c r="P1424" i="9"/>
  <c r="O1424" i="9"/>
  <c r="N1424" i="9"/>
  <c r="M1424" i="9"/>
  <c r="L1424" i="9"/>
  <c r="K1424" i="9"/>
  <c r="J1424" i="9"/>
  <c r="P1423" i="9"/>
  <c r="O1423" i="9"/>
  <c r="N1423" i="9"/>
  <c r="M1423" i="9"/>
  <c r="L1423" i="9"/>
  <c r="K1423" i="9"/>
  <c r="J1423" i="9"/>
  <c r="P1422" i="9"/>
  <c r="O1422" i="9"/>
  <c r="N1422" i="9"/>
  <c r="M1422" i="9"/>
  <c r="L1422" i="9"/>
  <c r="K1422" i="9"/>
  <c r="J1422" i="9"/>
  <c r="P1421" i="9"/>
  <c r="O1421" i="9"/>
  <c r="N1421" i="9"/>
  <c r="M1421" i="9"/>
  <c r="L1421" i="9"/>
  <c r="K1421" i="9"/>
  <c r="J1421" i="9"/>
  <c r="P1420" i="9"/>
  <c r="O1420" i="9"/>
  <c r="N1420" i="9"/>
  <c r="M1420" i="9"/>
  <c r="L1420" i="9"/>
  <c r="K1420" i="9"/>
  <c r="J1420" i="9"/>
  <c r="P1419" i="9"/>
  <c r="O1419" i="9"/>
  <c r="N1419" i="9"/>
  <c r="M1419" i="9"/>
  <c r="L1419" i="9"/>
  <c r="K1419" i="9"/>
  <c r="J1419" i="9"/>
  <c r="P1418" i="9"/>
  <c r="O1418" i="9"/>
  <c r="N1418" i="9"/>
  <c r="M1418" i="9"/>
  <c r="L1418" i="9"/>
  <c r="K1418" i="9"/>
  <c r="J1418" i="9"/>
  <c r="P1417" i="9"/>
  <c r="O1417" i="9"/>
  <c r="N1417" i="9"/>
  <c r="M1417" i="9"/>
  <c r="L1417" i="9"/>
  <c r="K1417" i="9"/>
  <c r="J1417" i="9"/>
  <c r="P1416" i="9"/>
  <c r="O1416" i="9"/>
  <c r="N1416" i="9"/>
  <c r="M1416" i="9"/>
  <c r="L1416" i="9"/>
  <c r="K1416" i="9"/>
  <c r="J1416" i="9"/>
  <c r="P1415" i="9"/>
  <c r="O1415" i="9"/>
  <c r="N1415" i="9"/>
  <c r="M1415" i="9"/>
  <c r="L1415" i="9"/>
  <c r="K1415" i="9"/>
  <c r="J1415" i="9"/>
  <c r="P1414" i="9"/>
  <c r="O1414" i="9"/>
  <c r="N1414" i="9"/>
  <c r="M1414" i="9"/>
  <c r="L1414" i="9"/>
  <c r="K1414" i="9"/>
  <c r="J1414" i="9"/>
  <c r="P1413" i="9"/>
  <c r="O1413" i="9"/>
  <c r="N1413" i="9"/>
  <c r="M1413" i="9"/>
  <c r="L1413" i="9"/>
  <c r="K1413" i="9"/>
  <c r="J1413" i="9"/>
  <c r="P1412" i="9"/>
  <c r="O1412" i="9"/>
  <c r="N1412" i="9"/>
  <c r="M1412" i="9"/>
  <c r="L1412" i="9"/>
  <c r="K1412" i="9"/>
  <c r="J1412" i="9"/>
  <c r="P1411" i="9"/>
  <c r="O1411" i="9"/>
  <c r="N1411" i="9"/>
  <c r="M1411" i="9"/>
  <c r="L1411" i="9"/>
  <c r="K1411" i="9"/>
  <c r="J1411" i="9"/>
  <c r="P1410" i="9"/>
  <c r="O1410" i="9"/>
  <c r="N1410" i="9"/>
  <c r="M1410" i="9"/>
  <c r="L1410" i="9"/>
  <c r="K1410" i="9"/>
  <c r="J1410" i="9"/>
  <c r="P1409" i="9"/>
  <c r="O1409" i="9"/>
  <c r="N1409" i="9"/>
  <c r="M1409" i="9"/>
  <c r="L1409" i="9"/>
  <c r="K1409" i="9"/>
  <c r="J1409" i="9"/>
  <c r="P1408" i="9"/>
  <c r="O1408" i="9"/>
  <c r="N1408" i="9"/>
  <c r="M1408" i="9"/>
  <c r="L1408" i="9"/>
  <c r="K1408" i="9"/>
  <c r="J1408" i="9"/>
  <c r="P1407" i="9"/>
  <c r="O1407" i="9"/>
  <c r="N1407" i="9"/>
  <c r="M1407" i="9"/>
  <c r="L1407" i="9"/>
  <c r="K1407" i="9"/>
  <c r="J1407" i="9"/>
  <c r="P1406" i="9"/>
  <c r="O1406" i="9"/>
  <c r="N1406" i="9"/>
  <c r="M1406" i="9"/>
  <c r="L1406" i="9"/>
  <c r="K1406" i="9"/>
  <c r="J1406" i="9"/>
  <c r="P1405" i="9"/>
  <c r="O1405" i="9"/>
  <c r="N1405" i="9"/>
  <c r="M1405" i="9"/>
  <c r="L1405" i="9"/>
  <c r="K1405" i="9"/>
  <c r="J1405" i="9"/>
  <c r="P1404" i="9"/>
  <c r="O1404" i="9"/>
  <c r="N1404" i="9"/>
  <c r="M1404" i="9"/>
  <c r="L1404" i="9"/>
  <c r="K1404" i="9"/>
  <c r="J1404" i="9"/>
  <c r="P1403" i="9"/>
  <c r="O1403" i="9"/>
  <c r="N1403" i="9"/>
  <c r="M1403" i="9"/>
  <c r="L1403" i="9"/>
  <c r="K1403" i="9"/>
  <c r="J1403" i="9"/>
  <c r="P1402" i="9"/>
  <c r="O1402" i="9"/>
  <c r="N1402" i="9"/>
  <c r="M1402" i="9"/>
  <c r="L1402" i="9"/>
  <c r="K1402" i="9"/>
  <c r="J1402" i="9"/>
  <c r="P1401" i="9"/>
  <c r="O1401" i="9"/>
  <c r="N1401" i="9"/>
  <c r="M1401" i="9"/>
  <c r="L1401" i="9"/>
  <c r="K1401" i="9"/>
  <c r="J1401" i="9"/>
  <c r="P1400" i="9"/>
  <c r="O1400" i="9"/>
  <c r="N1400" i="9"/>
  <c r="M1400" i="9"/>
  <c r="L1400" i="9"/>
  <c r="K1400" i="9"/>
  <c r="J1400" i="9"/>
  <c r="P1399" i="9"/>
  <c r="O1399" i="9"/>
  <c r="N1399" i="9"/>
  <c r="M1399" i="9"/>
  <c r="L1399" i="9"/>
  <c r="K1399" i="9"/>
  <c r="J1399" i="9"/>
  <c r="P1398" i="9"/>
  <c r="O1398" i="9"/>
  <c r="N1398" i="9"/>
  <c r="M1398" i="9"/>
  <c r="L1398" i="9"/>
  <c r="K1398" i="9"/>
  <c r="J1398" i="9"/>
  <c r="O1397" i="9"/>
  <c r="N1397" i="9"/>
  <c r="M1397" i="9"/>
  <c r="L1397" i="9"/>
  <c r="K1397" i="9"/>
  <c r="J1397" i="9"/>
  <c r="P1396" i="9"/>
  <c r="O1396" i="9"/>
  <c r="N1396" i="9"/>
  <c r="M1396" i="9"/>
  <c r="L1396" i="9"/>
  <c r="K1396" i="9"/>
  <c r="J1396" i="9"/>
  <c r="P1395" i="9"/>
  <c r="O1395" i="9"/>
  <c r="N1395" i="9"/>
  <c r="M1395" i="9"/>
  <c r="L1395" i="9"/>
  <c r="K1395" i="9"/>
  <c r="J1395" i="9"/>
  <c r="P1394" i="9"/>
  <c r="O1394" i="9"/>
  <c r="N1394" i="9"/>
  <c r="M1394" i="9"/>
  <c r="L1394" i="9"/>
  <c r="K1394" i="9"/>
  <c r="J1394" i="9"/>
  <c r="P1393" i="9"/>
  <c r="O1393" i="9"/>
  <c r="N1393" i="9"/>
  <c r="M1393" i="9"/>
  <c r="L1393" i="9"/>
  <c r="K1393" i="9"/>
  <c r="J1393" i="9"/>
  <c r="P1392" i="9"/>
  <c r="O1392" i="9"/>
  <c r="N1392" i="9"/>
  <c r="M1392" i="9"/>
  <c r="L1392" i="9"/>
  <c r="K1392" i="9"/>
  <c r="J1392" i="9"/>
  <c r="P1391" i="9"/>
  <c r="O1391" i="9"/>
  <c r="N1391" i="9"/>
  <c r="M1391" i="9"/>
  <c r="L1391" i="9"/>
  <c r="K1391" i="9"/>
  <c r="J1391" i="9"/>
  <c r="P1390" i="9"/>
  <c r="O1390" i="9"/>
  <c r="N1390" i="9"/>
  <c r="M1390" i="9"/>
  <c r="L1390" i="9"/>
  <c r="K1390" i="9"/>
  <c r="J1390" i="9"/>
  <c r="P1389" i="9"/>
  <c r="O1389" i="9"/>
  <c r="N1389" i="9"/>
  <c r="M1389" i="9"/>
  <c r="L1389" i="9"/>
  <c r="K1389" i="9"/>
  <c r="J1389" i="9"/>
  <c r="P1388" i="9"/>
  <c r="O1388" i="9"/>
  <c r="N1388" i="9"/>
  <c r="M1388" i="9"/>
  <c r="L1388" i="9"/>
  <c r="K1388" i="9"/>
  <c r="J1388" i="9"/>
  <c r="P1387" i="9"/>
  <c r="O1387" i="9"/>
  <c r="N1387" i="9"/>
  <c r="M1387" i="9"/>
  <c r="L1387" i="9"/>
  <c r="K1387" i="9"/>
  <c r="J1387" i="9"/>
  <c r="P1386" i="9"/>
  <c r="O1386" i="9"/>
  <c r="N1386" i="9"/>
  <c r="M1386" i="9"/>
  <c r="L1386" i="9"/>
  <c r="K1386" i="9"/>
  <c r="J1386" i="9"/>
  <c r="P1385" i="9"/>
  <c r="O1385" i="9"/>
  <c r="N1385" i="9"/>
  <c r="M1385" i="9"/>
  <c r="L1385" i="9"/>
  <c r="K1385" i="9"/>
  <c r="J1385" i="9"/>
  <c r="P1384" i="9"/>
  <c r="O1384" i="9"/>
  <c r="N1384" i="9"/>
  <c r="M1384" i="9"/>
  <c r="L1384" i="9"/>
  <c r="K1384" i="9"/>
  <c r="J1384" i="9"/>
  <c r="P1383" i="9"/>
  <c r="O1383" i="9"/>
  <c r="N1383" i="9"/>
  <c r="M1383" i="9"/>
  <c r="L1383" i="9"/>
  <c r="K1383" i="9"/>
  <c r="J1383" i="9"/>
  <c r="P1382" i="9"/>
  <c r="O1382" i="9"/>
  <c r="N1382" i="9"/>
  <c r="M1382" i="9"/>
  <c r="L1382" i="9"/>
  <c r="K1382" i="9"/>
  <c r="J1382" i="9"/>
  <c r="P1381" i="9"/>
  <c r="O1381" i="9"/>
  <c r="N1381" i="9"/>
  <c r="M1381" i="9"/>
  <c r="L1381" i="9"/>
  <c r="K1381" i="9"/>
  <c r="J1381" i="9"/>
  <c r="P1380" i="9"/>
  <c r="O1380" i="9"/>
  <c r="N1380" i="9"/>
  <c r="M1380" i="9"/>
  <c r="L1380" i="9"/>
  <c r="K1380" i="9"/>
  <c r="J1380" i="9"/>
  <c r="O1379" i="9"/>
  <c r="N1379" i="9"/>
  <c r="M1379" i="9"/>
  <c r="L1379" i="9"/>
  <c r="K1379" i="9"/>
  <c r="J1379" i="9"/>
  <c r="P1378" i="9"/>
  <c r="O1378" i="9"/>
  <c r="N1378" i="9"/>
  <c r="M1378" i="9"/>
  <c r="L1378" i="9"/>
  <c r="K1378" i="9"/>
  <c r="J1378" i="9"/>
  <c r="P1377" i="9"/>
  <c r="O1377" i="9"/>
  <c r="N1377" i="9"/>
  <c r="M1377" i="9"/>
  <c r="L1377" i="9"/>
  <c r="K1377" i="9"/>
  <c r="J1377" i="9"/>
  <c r="P1376" i="9"/>
  <c r="O1376" i="9"/>
  <c r="N1376" i="9"/>
  <c r="M1376" i="9"/>
  <c r="L1376" i="9"/>
  <c r="K1376" i="9"/>
  <c r="J1376" i="9"/>
  <c r="P1375" i="9"/>
  <c r="O1375" i="9"/>
  <c r="N1375" i="9"/>
  <c r="M1375" i="9"/>
  <c r="L1375" i="9"/>
  <c r="K1375" i="9"/>
  <c r="J1375" i="9"/>
  <c r="P1374" i="9"/>
  <c r="O1374" i="9"/>
  <c r="N1374" i="9"/>
  <c r="M1374" i="9"/>
  <c r="L1374" i="9"/>
  <c r="K1374" i="9"/>
  <c r="J1374" i="9"/>
  <c r="P1373" i="9"/>
  <c r="O1373" i="9"/>
  <c r="N1373" i="9"/>
  <c r="M1373" i="9"/>
  <c r="L1373" i="9"/>
  <c r="K1373" i="9"/>
  <c r="J1373" i="9"/>
  <c r="P1372" i="9"/>
  <c r="O1372" i="9"/>
  <c r="N1372" i="9"/>
  <c r="M1372" i="9"/>
  <c r="L1372" i="9"/>
  <c r="K1372" i="9"/>
  <c r="J1372" i="9"/>
  <c r="P1371" i="9"/>
  <c r="O1371" i="9"/>
  <c r="N1371" i="9"/>
  <c r="M1371" i="9"/>
  <c r="L1371" i="9"/>
  <c r="K1371" i="9"/>
  <c r="J1371" i="9"/>
  <c r="P1370" i="9"/>
  <c r="O1370" i="9"/>
  <c r="N1370" i="9"/>
  <c r="M1370" i="9"/>
  <c r="L1370" i="9"/>
  <c r="K1370" i="9"/>
  <c r="J1370" i="9"/>
  <c r="P1369" i="9"/>
  <c r="O1369" i="9"/>
  <c r="N1369" i="9"/>
  <c r="M1369" i="9"/>
  <c r="L1369" i="9"/>
  <c r="K1369" i="9"/>
  <c r="J1369" i="9"/>
  <c r="P1368" i="9"/>
  <c r="O1368" i="9"/>
  <c r="N1368" i="9"/>
  <c r="M1368" i="9"/>
  <c r="L1368" i="9"/>
  <c r="K1368" i="9"/>
  <c r="J1368" i="9"/>
  <c r="P1367" i="9"/>
  <c r="O1367" i="9"/>
  <c r="N1367" i="9"/>
  <c r="M1367" i="9"/>
  <c r="L1367" i="9"/>
  <c r="K1367" i="9"/>
  <c r="J1367" i="9"/>
  <c r="P1366" i="9"/>
  <c r="O1366" i="9"/>
  <c r="N1366" i="9"/>
  <c r="M1366" i="9"/>
  <c r="L1366" i="9"/>
  <c r="K1366" i="9"/>
  <c r="J1366" i="9"/>
  <c r="P1365" i="9"/>
  <c r="O1365" i="9"/>
  <c r="N1365" i="9"/>
  <c r="M1365" i="9"/>
  <c r="L1365" i="9"/>
  <c r="K1365" i="9"/>
  <c r="J1365" i="9"/>
  <c r="O1364" i="9"/>
  <c r="N1364" i="9"/>
  <c r="M1364" i="9"/>
  <c r="L1364" i="9"/>
  <c r="K1364" i="9"/>
  <c r="J1364" i="9"/>
  <c r="P1363" i="9"/>
  <c r="O1363" i="9"/>
  <c r="N1363" i="9"/>
  <c r="M1363" i="9"/>
  <c r="L1363" i="9"/>
  <c r="K1363" i="9"/>
  <c r="J1363" i="9"/>
  <c r="P1362" i="9"/>
  <c r="O1362" i="9"/>
  <c r="N1362" i="9"/>
  <c r="M1362" i="9"/>
  <c r="L1362" i="9"/>
  <c r="K1362" i="9"/>
  <c r="J1362" i="9"/>
  <c r="P1361" i="9"/>
  <c r="O1361" i="9"/>
  <c r="N1361" i="9"/>
  <c r="M1361" i="9"/>
  <c r="L1361" i="9"/>
  <c r="K1361" i="9"/>
  <c r="J1361" i="9"/>
  <c r="P1360" i="9"/>
  <c r="O1360" i="9"/>
  <c r="N1360" i="9"/>
  <c r="M1360" i="9"/>
  <c r="L1360" i="9"/>
  <c r="K1360" i="9"/>
  <c r="J1360" i="9"/>
  <c r="P1359" i="9"/>
  <c r="O1359" i="9"/>
  <c r="N1359" i="9"/>
  <c r="M1359" i="9"/>
  <c r="L1359" i="9"/>
  <c r="K1359" i="9"/>
  <c r="J1359" i="9"/>
  <c r="P1358" i="9"/>
  <c r="O1358" i="9"/>
  <c r="N1358" i="9"/>
  <c r="M1358" i="9"/>
  <c r="L1358" i="9"/>
  <c r="K1358" i="9"/>
  <c r="J1358" i="9"/>
  <c r="P1357" i="9"/>
  <c r="O1357" i="9"/>
  <c r="N1357" i="9"/>
  <c r="M1357" i="9"/>
  <c r="L1357" i="9"/>
  <c r="K1357" i="9"/>
  <c r="J1357" i="9"/>
  <c r="P1356" i="9"/>
  <c r="O1356" i="9"/>
  <c r="N1356" i="9"/>
  <c r="M1356" i="9"/>
  <c r="L1356" i="9"/>
  <c r="K1356" i="9"/>
  <c r="J1356" i="9"/>
  <c r="P1355" i="9"/>
  <c r="O1355" i="9"/>
  <c r="N1355" i="9"/>
  <c r="M1355" i="9"/>
  <c r="L1355" i="9"/>
  <c r="K1355" i="9"/>
  <c r="J1355" i="9"/>
  <c r="P1354" i="9"/>
  <c r="O1354" i="9"/>
  <c r="N1354" i="9"/>
  <c r="M1354" i="9"/>
  <c r="L1354" i="9"/>
  <c r="K1354" i="9"/>
  <c r="J1354" i="9"/>
  <c r="P1353" i="9"/>
  <c r="O1353" i="9"/>
  <c r="N1353" i="9"/>
  <c r="M1353" i="9"/>
  <c r="L1353" i="9"/>
  <c r="K1353" i="9"/>
  <c r="J1353" i="9"/>
  <c r="P1352" i="9"/>
  <c r="O1352" i="9"/>
  <c r="N1352" i="9"/>
  <c r="M1352" i="9"/>
  <c r="L1352" i="9"/>
  <c r="K1352" i="9"/>
  <c r="J1352" i="9"/>
  <c r="P1351" i="9"/>
  <c r="O1351" i="9"/>
  <c r="N1351" i="9"/>
  <c r="M1351" i="9"/>
  <c r="L1351" i="9"/>
  <c r="K1351" i="9"/>
  <c r="J1351" i="9"/>
  <c r="P1350" i="9"/>
  <c r="O1350" i="9"/>
  <c r="N1350" i="9"/>
  <c r="M1350" i="9"/>
  <c r="L1350" i="9"/>
  <c r="K1350" i="9"/>
  <c r="J1350" i="9"/>
  <c r="P1349" i="9"/>
  <c r="O1349" i="9"/>
  <c r="N1349" i="9"/>
  <c r="M1349" i="9"/>
  <c r="L1349" i="9"/>
  <c r="K1349" i="9"/>
  <c r="J1349" i="9"/>
  <c r="P1348" i="9"/>
  <c r="O1348" i="9"/>
  <c r="N1348" i="9"/>
  <c r="M1348" i="9"/>
  <c r="L1348" i="9"/>
  <c r="K1348" i="9"/>
  <c r="J1348" i="9"/>
  <c r="P1347" i="9"/>
  <c r="O1347" i="9"/>
  <c r="N1347" i="9"/>
  <c r="M1347" i="9"/>
  <c r="L1347" i="9"/>
  <c r="K1347" i="9"/>
  <c r="J1347" i="9"/>
  <c r="P1346" i="9"/>
  <c r="O1346" i="9"/>
  <c r="N1346" i="9"/>
  <c r="M1346" i="9"/>
  <c r="L1346" i="9"/>
  <c r="K1346" i="9"/>
  <c r="J1346" i="9"/>
  <c r="P1345" i="9"/>
  <c r="O1345" i="9"/>
  <c r="N1345" i="9"/>
  <c r="M1345" i="9"/>
  <c r="L1345" i="9"/>
  <c r="K1345" i="9"/>
  <c r="J1345" i="9"/>
  <c r="P1344" i="9"/>
  <c r="O1344" i="9"/>
  <c r="N1344" i="9"/>
  <c r="M1344" i="9"/>
  <c r="L1344" i="9"/>
  <c r="K1344" i="9"/>
  <c r="J1344" i="9"/>
  <c r="P1343" i="9"/>
  <c r="O1343" i="9"/>
  <c r="N1343" i="9"/>
  <c r="M1343" i="9"/>
  <c r="L1343" i="9"/>
  <c r="K1343" i="9"/>
  <c r="J1343" i="9"/>
  <c r="P1342" i="9"/>
  <c r="O1342" i="9"/>
  <c r="N1342" i="9"/>
  <c r="M1342" i="9"/>
  <c r="L1342" i="9"/>
  <c r="K1342" i="9"/>
  <c r="J1342" i="9"/>
  <c r="P1341" i="9"/>
  <c r="O1341" i="9"/>
  <c r="N1341" i="9"/>
  <c r="M1341" i="9"/>
  <c r="L1341" i="9"/>
  <c r="K1341" i="9"/>
  <c r="J1341" i="9"/>
  <c r="P1340" i="9"/>
  <c r="O1340" i="9"/>
  <c r="N1340" i="9"/>
  <c r="M1340" i="9"/>
  <c r="L1340" i="9"/>
  <c r="K1340" i="9"/>
  <c r="J1340" i="9"/>
  <c r="O1339" i="9"/>
  <c r="N1339" i="9"/>
  <c r="M1339" i="9"/>
  <c r="L1339" i="9"/>
  <c r="K1339" i="9"/>
  <c r="J1339" i="9"/>
  <c r="P1338" i="9"/>
  <c r="O1338" i="9"/>
  <c r="N1338" i="9"/>
  <c r="M1338" i="9"/>
  <c r="L1338" i="9"/>
  <c r="K1338" i="9"/>
  <c r="J1338" i="9"/>
  <c r="P1337" i="9"/>
  <c r="O1337" i="9"/>
  <c r="N1337" i="9"/>
  <c r="M1337" i="9"/>
  <c r="L1337" i="9"/>
  <c r="K1337" i="9"/>
  <c r="J1337" i="9"/>
  <c r="P1336" i="9"/>
  <c r="O1336" i="9"/>
  <c r="N1336" i="9"/>
  <c r="M1336" i="9"/>
  <c r="L1336" i="9"/>
  <c r="K1336" i="9"/>
  <c r="J1336" i="9"/>
  <c r="P1335" i="9"/>
  <c r="O1335" i="9"/>
  <c r="N1335" i="9"/>
  <c r="M1335" i="9"/>
  <c r="L1335" i="9"/>
  <c r="K1335" i="9"/>
  <c r="J1335" i="9"/>
  <c r="P1334" i="9"/>
  <c r="O1334" i="9"/>
  <c r="N1334" i="9"/>
  <c r="M1334" i="9"/>
  <c r="L1334" i="9"/>
  <c r="K1334" i="9"/>
  <c r="J1334" i="9"/>
  <c r="P1333" i="9"/>
  <c r="O1333" i="9"/>
  <c r="N1333" i="9"/>
  <c r="M1333" i="9"/>
  <c r="L1333" i="9"/>
  <c r="K1333" i="9"/>
  <c r="J1333" i="9"/>
  <c r="P1332" i="9"/>
  <c r="O1332" i="9"/>
  <c r="N1332" i="9"/>
  <c r="M1332" i="9"/>
  <c r="L1332" i="9"/>
  <c r="K1332" i="9"/>
  <c r="J1332" i="9"/>
  <c r="P1331" i="9"/>
  <c r="O1331" i="9"/>
  <c r="N1331" i="9"/>
  <c r="M1331" i="9"/>
  <c r="L1331" i="9"/>
  <c r="K1331" i="9"/>
  <c r="J1331" i="9"/>
  <c r="P1330" i="9"/>
  <c r="O1330" i="9"/>
  <c r="N1330" i="9"/>
  <c r="M1330" i="9"/>
  <c r="L1330" i="9"/>
  <c r="K1330" i="9"/>
  <c r="J1330" i="9"/>
  <c r="P1329" i="9"/>
  <c r="O1329" i="9"/>
  <c r="N1329" i="9"/>
  <c r="M1329" i="9"/>
  <c r="L1329" i="9"/>
  <c r="K1329" i="9"/>
  <c r="J1329" i="9"/>
  <c r="O1328" i="9"/>
  <c r="N1328" i="9"/>
  <c r="M1328" i="9"/>
  <c r="L1328" i="9"/>
  <c r="K1328" i="9"/>
  <c r="J1328" i="9"/>
  <c r="P1327" i="9"/>
  <c r="O1327" i="9"/>
  <c r="N1327" i="9"/>
  <c r="M1327" i="9"/>
  <c r="L1327" i="9"/>
  <c r="K1327" i="9"/>
  <c r="J1327" i="9"/>
  <c r="P1326" i="9"/>
  <c r="O1326" i="9"/>
  <c r="N1326" i="9"/>
  <c r="M1326" i="9"/>
  <c r="L1326" i="9"/>
  <c r="K1326" i="9"/>
  <c r="J1326" i="9"/>
  <c r="P1325" i="9"/>
  <c r="O1325" i="9"/>
  <c r="N1325" i="9"/>
  <c r="M1325" i="9"/>
  <c r="L1325" i="9"/>
  <c r="K1325" i="9"/>
  <c r="J1325" i="9"/>
  <c r="P1324" i="9"/>
  <c r="O1324" i="9"/>
  <c r="N1324" i="9"/>
  <c r="M1324" i="9"/>
  <c r="L1324" i="9"/>
  <c r="K1324" i="9"/>
  <c r="J1324" i="9"/>
  <c r="P1323" i="9"/>
  <c r="O1323" i="9"/>
  <c r="N1323" i="9"/>
  <c r="M1323" i="9"/>
  <c r="L1323" i="9"/>
  <c r="K1323" i="9"/>
  <c r="J1323" i="9"/>
  <c r="P1322" i="9"/>
  <c r="O1322" i="9"/>
  <c r="N1322" i="9"/>
  <c r="M1322" i="9"/>
  <c r="L1322" i="9"/>
  <c r="K1322" i="9"/>
  <c r="J1322" i="9"/>
  <c r="P1321" i="9"/>
  <c r="O1321" i="9"/>
  <c r="N1321" i="9"/>
  <c r="M1321" i="9"/>
  <c r="L1321" i="9"/>
  <c r="K1321" i="9"/>
  <c r="J1321" i="9"/>
  <c r="P1320" i="9"/>
  <c r="O1320" i="9"/>
  <c r="N1320" i="9"/>
  <c r="M1320" i="9"/>
  <c r="L1320" i="9"/>
  <c r="K1320" i="9"/>
  <c r="J1320" i="9"/>
  <c r="P1319" i="9"/>
  <c r="O1319" i="9"/>
  <c r="N1319" i="9"/>
  <c r="M1319" i="9"/>
  <c r="L1319" i="9"/>
  <c r="K1319" i="9"/>
  <c r="J1319" i="9"/>
  <c r="P1318" i="9"/>
  <c r="O1318" i="9"/>
  <c r="N1318" i="9"/>
  <c r="M1318" i="9"/>
  <c r="L1318" i="9"/>
  <c r="K1318" i="9"/>
  <c r="J1318" i="9"/>
  <c r="P1317" i="9"/>
  <c r="O1317" i="9"/>
  <c r="N1317" i="9"/>
  <c r="M1317" i="9"/>
  <c r="L1317" i="9"/>
  <c r="K1317" i="9"/>
  <c r="J1317" i="9"/>
  <c r="P1316" i="9"/>
  <c r="O1316" i="9"/>
  <c r="N1316" i="9"/>
  <c r="M1316" i="9"/>
  <c r="L1316" i="9"/>
  <c r="K1316" i="9"/>
  <c r="J1316" i="9"/>
  <c r="P1315" i="9"/>
  <c r="O1315" i="9"/>
  <c r="N1315" i="9"/>
  <c r="M1315" i="9"/>
  <c r="L1315" i="9"/>
  <c r="K1315" i="9"/>
  <c r="J1315" i="9"/>
  <c r="P1314" i="9"/>
  <c r="O1314" i="9"/>
  <c r="N1314" i="9"/>
  <c r="M1314" i="9"/>
  <c r="L1314" i="9"/>
  <c r="K1314" i="9"/>
  <c r="J1314" i="9"/>
  <c r="P1313" i="9"/>
  <c r="O1313" i="9"/>
  <c r="N1313" i="9"/>
  <c r="M1313" i="9"/>
  <c r="L1313" i="9"/>
  <c r="K1313" i="9"/>
  <c r="J1313" i="9"/>
  <c r="P1312" i="9"/>
  <c r="O1312" i="9"/>
  <c r="N1312" i="9"/>
  <c r="M1312" i="9"/>
  <c r="L1312" i="9"/>
  <c r="K1312" i="9"/>
  <c r="J1312" i="9"/>
  <c r="P1311" i="9"/>
  <c r="O1311" i="9"/>
  <c r="N1311" i="9"/>
  <c r="M1311" i="9"/>
  <c r="L1311" i="9"/>
  <c r="K1311" i="9"/>
  <c r="J1311" i="9"/>
  <c r="P1310" i="9"/>
  <c r="O1310" i="9"/>
  <c r="N1310" i="9"/>
  <c r="M1310" i="9"/>
  <c r="L1310" i="9"/>
  <c r="K1310" i="9"/>
  <c r="J1310" i="9"/>
  <c r="P1309" i="9"/>
  <c r="O1309" i="9"/>
  <c r="N1309" i="9"/>
  <c r="M1309" i="9"/>
  <c r="L1309" i="9"/>
  <c r="K1309" i="9"/>
  <c r="J1309" i="9"/>
  <c r="P1308" i="9"/>
  <c r="O1308" i="9"/>
  <c r="N1308" i="9"/>
  <c r="M1308" i="9"/>
  <c r="L1308" i="9"/>
  <c r="K1308" i="9"/>
  <c r="J1308" i="9"/>
  <c r="P1307" i="9"/>
  <c r="O1307" i="9"/>
  <c r="N1307" i="9"/>
  <c r="M1307" i="9"/>
  <c r="L1307" i="9"/>
  <c r="K1307" i="9"/>
  <c r="J1307" i="9"/>
  <c r="P1306" i="9"/>
  <c r="O1306" i="9"/>
  <c r="N1306" i="9"/>
  <c r="M1306" i="9"/>
  <c r="L1306" i="9"/>
  <c r="K1306" i="9"/>
  <c r="J1306" i="9"/>
  <c r="P1305" i="9"/>
  <c r="O1305" i="9"/>
  <c r="N1305" i="9"/>
  <c r="M1305" i="9"/>
  <c r="L1305" i="9"/>
  <c r="K1305" i="9"/>
  <c r="J1305" i="9"/>
  <c r="P1304" i="9"/>
  <c r="O1304" i="9"/>
  <c r="N1304" i="9"/>
  <c r="M1304" i="9"/>
  <c r="L1304" i="9"/>
  <c r="K1304" i="9"/>
  <c r="J1304" i="9"/>
  <c r="P1303" i="9"/>
  <c r="O1303" i="9"/>
  <c r="N1303" i="9"/>
  <c r="M1303" i="9"/>
  <c r="L1303" i="9"/>
  <c r="K1303" i="9"/>
  <c r="J1303" i="9"/>
  <c r="P1302" i="9"/>
  <c r="O1302" i="9"/>
  <c r="N1302" i="9"/>
  <c r="M1302" i="9"/>
  <c r="L1302" i="9"/>
  <c r="K1302" i="9"/>
  <c r="J1302" i="9"/>
  <c r="O1301" i="9"/>
  <c r="N1301" i="9"/>
  <c r="M1301" i="9"/>
  <c r="L1301" i="9"/>
  <c r="K1301" i="9"/>
  <c r="J1301" i="9"/>
  <c r="O1300" i="9"/>
  <c r="N1300" i="9"/>
  <c r="M1300" i="9"/>
  <c r="L1300" i="9"/>
  <c r="K1300" i="9"/>
  <c r="J1300" i="9"/>
  <c r="P1299" i="9"/>
  <c r="O1299" i="9"/>
  <c r="N1299" i="9"/>
  <c r="M1299" i="9"/>
  <c r="L1299" i="9"/>
  <c r="K1299" i="9"/>
  <c r="J1299" i="9"/>
  <c r="P1298" i="9"/>
  <c r="O1298" i="9"/>
  <c r="N1298" i="9"/>
  <c r="M1298" i="9"/>
  <c r="L1298" i="9"/>
  <c r="K1298" i="9"/>
  <c r="J1298" i="9"/>
  <c r="P1297" i="9"/>
  <c r="O1297" i="9"/>
  <c r="N1297" i="9"/>
  <c r="M1297" i="9"/>
  <c r="L1297" i="9"/>
  <c r="K1297" i="9"/>
  <c r="J1297" i="9"/>
  <c r="P1296" i="9"/>
  <c r="O1296" i="9"/>
  <c r="N1296" i="9"/>
  <c r="M1296" i="9"/>
  <c r="L1296" i="9"/>
  <c r="K1296" i="9"/>
  <c r="J1296" i="9"/>
  <c r="P1295" i="9"/>
  <c r="O1295" i="9"/>
  <c r="N1295" i="9"/>
  <c r="M1295" i="9"/>
  <c r="L1295" i="9"/>
  <c r="K1295" i="9"/>
  <c r="J1295" i="9"/>
  <c r="P1294" i="9"/>
  <c r="O1294" i="9"/>
  <c r="N1294" i="9"/>
  <c r="M1294" i="9"/>
  <c r="L1294" i="9"/>
  <c r="K1294" i="9"/>
  <c r="J1294" i="9"/>
  <c r="P1293" i="9"/>
  <c r="O1293" i="9"/>
  <c r="N1293" i="9"/>
  <c r="M1293" i="9"/>
  <c r="L1293" i="9"/>
  <c r="K1293" i="9"/>
  <c r="J1293" i="9"/>
  <c r="P1292" i="9"/>
  <c r="O1292" i="9"/>
  <c r="N1292" i="9"/>
  <c r="M1292" i="9"/>
  <c r="L1292" i="9"/>
  <c r="K1292" i="9"/>
  <c r="J1292" i="9"/>
  <c r="P1291" i="9"/>
  <c r="O1291" i="9"/>
  <c r="N1291" i="9"/>
  <c r="M1291" i="9"/>
  <c r="L1291" i="9"/>
  <c r="K1291" i="9"/>
  <c r="J1291" i="9"/>
  <c r="P1290" i="9"/>
  <c r="O1290" i="9"/>
  <c r="N1290" i="9"/>
  <c r="M1290" i="9"/>
  <c r="L1290" i="9"/>
  <c r="K1290" i="9"/>
  <c r="J1290" i="9"/>
  <c r="P1289" i="9"/>
  <c r="O1289" i="9"/>
  <c r="N1289" i="9"/>
  <c r="M1289" i="9"/>
  <c r="L1289" i="9"/>
  <c r="K1289" i="9"/>
  <c r="J1289" i="9"/>
  <c r="P1288" i="9"/>
  <c r="O1288" i="9"/>
  <c r="N1288" i="9"/>
  <c r="M1288" i="9"/>
  <c r="L1288" i="9"/>
  <c r="K1288" i="9"/>
  <c r="J1288" i="9"/>
  <c r="P1287" i="9"/>
  <c r="O1287" i="9"/>
  <c r="N1287" i="9"/>
  <c r="M1287" i="9"/>
  <c r="L1287" i="9"/>
  <c r="K1287" i="9"/>
  <c r="J1287" i="9"/>
  <c r="P1286" i="9"/>
  <c r="O1286" i="9"/>
  <c r="N1286" i="9"/>
  <c r="M1286" i="9"/>
  <c r="L1286" i="9"/>
  <c r="K1286" i="9"/>
  <c r="J1286" i="9"/>
  <c r="P1285" i="9"/>
  <c r="O1285" i="9"/>
  <c r="N1285" i="9"/>
  <c r="M1285" i="9"/>
  <c r="L1285" i="9"/>
  <c r="K1285" i="9"/>
  <c r="J1285" i="9"/>
  <c r="P1284" i="9"/>
  <c r="O1284" i="9"/>
  <c r="N1284" i="9"/>
  <c r="M1284" i="9"/>
  <c r="L1284" i="9"/>
  <c r="K1284" i="9"/>
  <c r="J1284" i="9"/>
  <c r="P1283" i="9"/>
  <c r="O1283" i="9"/>
  <c r="N1283" i="9"/>
  <c r="M1283" i="9"/>
  <c r="L1283" i="9"/>
  <c r="K1283" i="9"/>
  <c r="J1283" i="9"/>
  <c r="P1282" i="9"/>
  <c r="O1282" i="9"/>
  <c r="N1282" i="9"/>
  <c r="M1282" i="9"/>
  <c r="L1282" i="9"/>
  <c r="K1282" i="9"/>
  <c r="J1282" i="9"/>
  <c r="P1281" i="9"/>
  <c r="O1281" i="9"/>
  <c r="N1281" i="9"/>
  <c r="M1281" i="9"/>
  <c r="L1281" i="9"/>
  <c r="K1281" i="9"/>
  <c r="J1281" i="9"/>
  <c r="P1280" i="9"/>
  <c r="O1280" i="9"/>
  <c r="N1280" i="9"/>
  <c r="M1280" i="9"/>
  <c r="L1280" i="9"/>
  <c r="K1280" i="9"/>
  <c r="J1280" i="9"/>
  <c r="P1279" i="9"/>
  <c r="O1279" i="9"/>
  <c r="N1279" i="9"/>
  <c r="M1279" i="9"/>
  <c r="L1279" i="9"/>
  <c r="K1279" i="9"/>
  <c r="J1279" i="9"/>
  <c r="P1278" i="9"/>
  <c r="O1278" i="9"/>
  <c r="N1278" i="9"/>
  <c r="M1278" i="9"/>
  <c r="L1278" i="9"/>
  <c r="K1278" i="9"/>
  <c r="J1278" i="9"/>
  <c r="P1277" i="9"/>
  <c r="O1277" i="9"/>
  <c r="N1277" i="9"/>
  <c r="M1277" i="9"/>
  <c r="L1277" i="9"/>
  <c r="K1277" i="9"/>
  <c r="J1277" i="9"/>
  <c r="P1276" i="9"/>
  <c r="O1276" i="9"/>
  <c r="N1276" i="9"/>
  <c r="M1276" i="9"/>
  <c r="L1276" i="9"/>
  <c r="K1276" i="9"/>
  <c r="J1276" i="9"/>
  <c r="P1275" i="9"/>
  <c r="O1275" i="9"/>
  <c r="N1275" i="9"/>
  <c r="M1275" i="9"/>
  <c r="L1275" i="9"/>
  <c r="K1275" i="9"/>
  <c r="J1275" i="9"/>
  <c r="P1274" i="9"/>
  <c r="O1274" i="9"/>
  <c r="N1274" i="9"/>
  <c r="M1274" i="9"/>
  <c r="L1274" i="9"/>
  <c r="K1274" i="9"/>
  <c r="J1274" i="9"/>
  <c r="P1273" i="9"/>
  <c r="O1273" i="9"/>
  <c r="N1273" i="9"/>
  <c r="M1273" i="9"/>
  <c r="L1273" i="9"/>
  <c r="K1273" i="9"/>
  <c r="J1273" i="9"/>
  <c r="P1272" i="9"/>
  <c r="O1272" i="9"/>
  <c r="N1272" i="9"/>
  <c r="M1272" i="9"/>
  <c r="L1272" i="9"/>
  <c r="K1272" i="9"/>
  <c r="J1272" i="9"/>
  <c r="P1271" i="9"/>
  <c r="O1271" i="9"/>
  <c r="N1271" i="9"/>
  <c r="M1271" i="9"/>
  <c r="L1271" i="9"/>
  <c r="K1271" i="9"/>
  <c r="J1271" i="9"/>
  <c r="P1270" i="9"/>
  <c r="O1270" i="9"/>
  <c r="N1270" i="9"/>
  <c r="M1270" i="9"/>
  <c r="L1270" i="9"/>
  <c r="K1270" i="9"/>
  <c r="J1270" i="9"/>
  <c r="P1269" i="9"/>
  <c r="O1269" i="9"/>
  <c r="N1269" i="9"/>
  <c r="M1269" i="9"/>
  <c r="L1269" i="9"/>
  <c r="K1269" i="9"/>
  <c r="J1269" i="9"/>
  <c r="P1268" i="9"/>
  <c r="O1268" i="9"/>
  <c r="N1268" i="9"/>
  <c r="M1268" i="9"/>
  <c r="L1268" i="9"/>
  <c r="K1268" i="9"/>
  <c r="J1268" i="9"/>
  <c r="P1267" i="9"/>
  <c r="O1267" i="9"/>
  <c r="N1267" i="9"/>
  <c r="M1267" i="9"/>
  <c r="L1267" i="9"/>
  <c r="K1267" i="9"/>
  <c r="J1267" i="9"/>
  <c r="O1266" i="9"/>
  <c r="N1266" i="9"/>
  <c r="M1266" i="9"/>
  <c r="L1266" i="9"/>
  <c r="K1266" i="9"/>
  <c r="J1266" i="9"/>
  <c r="P1265" i="9"/>
  <c r="O1265" i="9"/>
  <c r="N1265" i="9"/>
  <c r="M1265" i="9"/>
  <c r="L1265" i="9"/>
  <c r="K1265" i="9"/>
  <c r="J1265" i="9"/>
  <c r="P1264" i="9"/>
  <c r="O1264" i="9"/>
  <c r="N1264" i="9"/>
  <c r="M1264" i="9"/>
  <c r="L1264" i="9"/>
  <c r="K1264" i="9"/>
  <c r="J1264" i="9"/>
  <c r="P1263" i="9"/>
  <c r="O1263" i="9"/>
  <c r="N1263" i="9"/>
  <c r="M1263" i="9"/>
  <c r="L1263" i="9"/>
  <c r="K1263" i="9"/>
  <c r="J1263" i="9"/>
  <c r="O1262" i="9"/>
  <c r="N1262" i="9"/>
  <c r="M1262" i="9"/>
  <c r="L1262" i="9"/>
  <c r="K1262" i="9"/>
  <c r="J1262" i="9"/>
  <c r="P1261" i="9"/>
  <c r="O1261" i="9"/>
  <c r="N1261" i="9"/>
  <c r="M1261" i="9"/>
  <c r="L1261" i="9"/>
  <c r="K1261" i="9"/>
  <c r="J1261" i="9"/>
  <c r="P1260" i="9"/>
  <c r="O1260" i="9"/>
  <c r="N1260" i="9"/>
  <c r="M1260" i="9"/>
  <c r="L1260" i="9"/>
  <c r="K1260" i="9"/>
  <c r="J1260" i="9"/>
  <c r="P1259" i="9"/>
  <c r="O1259" i="9"/>
  <c r="N1259" i="9"/>
  <c r="M1259" i="9"/>
  <c r="L1259" i="9"/>
  <c r="K1259" i="9"/>
  <c r="J1259" i="9"/>
  <c r="P1258" i="9"/>
  <c r="O1258" i="9"/>
  <c r="N1258" i="9"/>
  <c r="M1258" i="9"/>
  <c r="L1258" i="9"/>
  <c r="K1258" i="9"/>
  <c r="J1258" i="9"/>
  <c r="P1257" i="9"/>
  <c r="O1257" i="9"/>
  <c r="N1257" i="9"/>
  <c r="M1257" i="9"/>
  <c r="L1257" i="9"/>
  <c r="K1257" i="9"/>
  <c r="J1257" i="9"/>
  <c r="P1256" i="9"/>
  <c r="O1256" i="9"/>
  <c r="N1256" i="9"/>
  <c r="M1256" i="9"/>
  <c r="L1256" i="9"/>
  <c r="K1256" i="9"/>
  <c r="J1256" i="9"/>
  <c r="P1255" i="9"/>
  <c r="O1255" i="9"/>
  <c r="N1255" i="9"/>
  <c r="M1255" i="9"/>
  <c r="L1255" i="9"/>
  <c r="K1255" i="9"/>
  <c r="J1255" i="9"/>
  <c r="P1254" i="9"/>
  <c r="O1254" i="9"/>
  <c r="N1254" i="9"/>
  <c r="M1254" i="9"/>
  <c r="L1254" i="9"/>
  <c r="K1254" i="9"/>
  <c r="J1254" i="9"/>
  <c r="P1253" i="9"/>
  <c r="O1253" i="9"/>
  <c r="N1253" i="9"/>
  <c r="M1253" i="9"/>
  <c r="L1253" i="9"/>
  <c r="K1253" i="9"/>
  <c r="J1253" i="9"/>
  <c r="P1252" i="9"/>
  <c r="O1252" i="9"/>
  <c r="N1252" i="9"/>
  <c r="M1252" i="9"/>
  <c r="L1252" i="9"/>
  <c r="K1252" i="9"/>
  <c r="J1252" i="9"/>
  <c r="P1251" i="9"/>
  <c r="O1251" i="9"/>
  <c r="N1251" i="9"/>
  <c r="M1251" i="9"/>
  <c r="L1251" i="9"/>
  <c r="K1251" i="9"/>
  <c r="J1251" i="9"/>
  <c r="P1250" i="9"/>
  <c r="O1250" i="9"/>
  <c r="N1250" i="9"/>
  <c r="M1250" i="9"/>
  <c r="L1250" i="9"/>
  <c r="K1250" i="9"/>
  <c r="J1250" i="9"/>
  <c r="P1249" i="9"/>
  <c r="O1249" i="9"/>
  <c r="N1249" i="9"/>
  <c r="M1249" i="9"/>
  <c r="L1249" i="9"/>
  <c r="K1249" i="9"/>
  <c r="J1249" i="9"/>
  <c r="P1248" i="9"/>
  <c r="O1248" i="9"/>
  <c r="N1248" i="9"/>
  <c r="M1248" i="9"/>
  <c r="L1248" i="9"/>
  <c r="K1248" i="9"/>
  <c r="J1248" i="9"/>
  <c r="P1247" i="9"/>
  <c r="O1247" i="9"/>
  <c r="N1247" i="9"/>
  <c r="M1247" i="9"/>
  <c r="L1247" i="9"/>
  <c r="K1247" i="9"/>
  <c r="J1247" i="9"/>
  <c r="P1246" i="9"/>
  <c r="O1246" i="9"/>
  <c r="N1246" i="9"/>
  <c r="M1246" i="9"/>
  <c r="L1246" i="9"/>
  <c r="K1246" i="9"/>
  <c r="J1246" i="9"/>
  <c r="P1245" i="9"/>
  <c r="O1245" i="9"/>
  <c r="N1245" i="9"/>
  <c r="M1245" i="9"/>
  <c r="L1245" i="9"/>
  <c r="K1245" i="9"/>
  <c r="J1245" i="9"/>
  <c r="P1244" i="9"/>
  <c r="O1244" i="9"/>
  <c r="N1244" i="9"/>
  <c r="M1244" i="9"/>
  <c r="L1244" i="9"/>
  <c r="K1244" i="9"/>
  <c r="J1244" i="9"/>
  <c r="P1243" i="9"/>
  <c r="O1243" i="9"/>
  <c r="N1243" i="9"/>
  <c r="M1243" i="9"/>
  <c r="L1243" i="9"/>
  <c r="K1243" i="9"/>
  <c r="J1243" i="9"/>
  <c r="P1242" i="9"/>
  <c r="O1242" i="9"/>
  <c r="N1242" i="9"/>
  <c r="M1242" i="9"/>
  <c r="L1242" i="9"/>
  <c r="K1242" i="9"/>
  <c r="J1242" i="9"/>
  <c r="P1241" i="9"/>
  <c r="O1241" i="9"/>
  <c r="N1241" i="9"/>
  <c r="M1241" i="9"/>
  <c r="L1241" i="9"/>
  <c r="K1241" i="9"/>
  <c r="J1241" i="9"/>
  <c r="P1240" i="9"/>
  <c r="O1240" i="9"/>
  <c r="N1240" i="9"/>
  <c r="M1240" i="9"/>
  <c r="L1240" i="9"/>
  <c r="K1240" i="9"/>
  <c r="J1240" i="9"/>
  <c r="P1239" i="9"/>
  <c r="O1239" i="9"/>
  <c r="N1239" i="9"/>
  <c r="M1239" i="9"/>
  <c r="L1239" i="9"/>
  <c r="K1239" i="9"/>
  <c r="J1239" i="9"/>
  <c r="P1238" i="9"/>
  <c r="O1238" i="9"/>
  <c r="N1238" i="9"/>
  <c r="M1238" i="9"/>
  <c r="L1238" i="9"/>
  <c r="K1238" i="9"/>
  <c r="J1238" i="9"/>
  <c r="P1237" i="9"/>
  <c r="O1237" i="9"/>
  <c r="N1237" i="9"/>
  <c r="M1237" i="9"/>
  <c r="L1237" i="9"/>
  <c r="K1237" i="9"/>
  <c r="J1237" i="9"/>
  <c r="P1236" i="9"/>
  <c r="O1236" i="9"/>
  <c r="N1236" i="9"/>
  <c r="M1236" i="9"/>
  <c r="L1236" i="9"/>
  <c r="K1236" i="9"/>
  <c r="J1236" i="9"/>
  <c r="P1235" i="9"/>
  <c r="O1235" i="9"/>
  <c r="N1235" i="9"/>
  <c r="M1235" i="9"/>
  <c r="L1235" i="9"/>
  <c r="K1235" i="9"/>
  <c r="J1235" i="9"/>
  <c r="P1234" i="9"/>
  <c r="O1234" i="9"/>
  <c r="N1234" i="9"/>
  <c r="M1234" i="9"/>
  <c r="L1234" i="9"/>
  <c r="K1234" i="9"/>
  <c r="J1234" i="9"/>
  <c r="P1233" i="9"/>
  <c r="O1233" i="9"/>
  <c r="N1233" i="9"/>
  <c r="M1233" i="9"/>
  <c r="L1233" i="9"/>
  <c r="K1233" i="9"/>
  <c r="J1233" i="9"/>
  <c r="P1232" i="9"/>
  <c r="O1232" i="9"/>
  <c r="N1232" i="9"/>
  <c r="M1232" i="9"/>
  <c r="L1232" i="9"/>
  <c r="K1232" i="9"/>
  <c r="J1232" i="9"/>
  <c r="P1231" i="9"/>
  <c r="O1231" i="9"/>
  <c r="N1231" i="9"/>
  <c r="M1231" i="9"/>
  <c r="L1231" i="9"/>
  <c r="K1231" i="9"/>
  <c r="J1231" i="9"/>
  <c r="P1230" i="9"/>
  <c r="O1230" i="9"/>
  <c r="N1230" i="9"/>
  <c r="M1230" i="9"/>
  <c r="L1230" i="9"/>
  <c r="K1230" i="9"/>
  <c r="J1230" i="9"/>
  <c r="P1229" i="9"/>
  <c r="O1229" i="9"/>
  <c r="N1229" i="9"/>
  <c r="M1229" i="9"/>
  <c r="L1229" i="9"/>
  <c r="K1229" i="9"/>
  <c r="J1229" i="9"/>
  <c r="P1228" i="9"/>
  <c r="O1228" i="9"/>
  <c r="N1228" i="9"/>
  <c r="M1228" i="9"/>
  <c r="L1228" i="9"/>
  <c r="K1228" i="9"/>
  <c r="J1228" i="9"/>
  <c r="P1227" i="9"/>
  <c r="O1227" i="9"/>
  <c r="N1227" i="9"/>
  <c r="M1227" i="9"/>
  <c r="L1227" i="9"/>
  <c r="K1227" i="9"/>
  <c r="J1227" i="9"/>
  <c r="P1226" i="9"/>
  <c r="O1226" i="9"/>
  <c r="N1226" i="9"/>
  <c r="M1226" i="9"/>
  <c r="L1226" i="9"/>
  <c r="K1226" i="9"/>
  <c r="J1226" i="9"/>
  <c r="P1225" i="9"/>
  <c r="O1225" i="9"/>
  <c r="N1225" i="9"/>
  <c r="M1225" i="9"/>
  <c r="L1225" i="9"/>
  <c r="K1225" i="9"/>
  <c r="J1225" i="9"/>
  <c r="P1224" i="9"/>
  <c r="O1224" i="9"/>
  <c r="N1224" i="9"/>
  <c r="M1224" i="9"/>
  <c r="L1224" i="9"/>
  <c r="K1224" i="9"/>
  <c r="J1224" i="9"/>
  <c r="P1223" i="9"/>
  <c r="O1223" i="9"/>
  <c r="N1223" i="9"/>
  <c r="M1223" i="9"/>
  <c r="L1223" i="9"/>
  <c r="K1223" i="9"/>
  <c r="J1223" i="9"/>
  <c r="P1222" i="9"/>
  <c r="O1222" i="9"/>
  <c r="N1222" i="9"/>
  <c r="M1222" i="9"/>
  <c r="L1222" i="9"/>
  <c r="K1222" i="9"/>
  <c r="J1222" i="9"/>
  <c r="P1221" i="9"/>
  <c r="O1221" i="9"/>
  <c r="N1221" i="9"/>
  <c r="M1221" i="9"/>
  <c r="L1221" i="9"/>
  <c r="K1221" i="9"/>
  <c r="J1221" i="9"/>
  <c r="P1220" i="9"/>
  <c r="O1220" i="9"/>
  <c r="N1220" i="9"/>
  <c r="M1220" i="9"/>
  <c r="L1220" i="9"/>
  <c r="K1220" i="9"/>
  <c r="J1220" i="9"/>
  <c r="P1219" i="9"/>
  <c r="O1219" i="9"/>
  <c r="N1219" i="9"/>
  <c r="M1219" i="9"/>
  <c r="L1219" i="9"/>
  <c r="K1219" i="9"/>
  <c r="J1219" i="9"/>
  <c r="P1218" i="9"/>
  <c r="O1218" i="9"/>
  <c r="N1218" i="9"/>
  <c r="M1218" i="9"/>
  <c r="L1218" i="9"/>
  <c r="K1218" i="9"/>
  <c r="J1218" i="9"/>
  <c r="P1217" i="9"/>
  <c r="O1217" i="9"/>
  <c r="N1217" i="9"/>
  <c r="M1217" i="9"/>
  <c r="L1217" i="9"/>
  <c r="K1217" i="9"/>
  <c r="J1217" i="9"/>
  <c r="P1216" i="9"/>
  <c r="O1216" i="9"/>
  <c r="N1216" i="9"/>
  <c r="M1216" i="9"/>
  <c r="L1216" i="9"/>
  <c r="K1216" i="9"/>
  <c r="J1216" i="9"/>
  <c r="P1215" i="9"/>
  <c r="O1215" i="9"/>
  <c r="N1215" i="9"/>
  <c r="M1215" i="9"/>
  <c r="L1215" i="9"/>
  <c r="K1215" i="9"/>
  <c r="J1215" i="9"/>
  <c r="P1214" i="9"/>
  <c r="O1214" i="9"/>
  <c r="N1214" i="9"/>
  <c r="M1214" i="9"/>
  <c r="L1214" i="9"/>
  <c r="K1214" i="9"/>
  <c r="J1214" i="9"/>
  <c r="P1213" i="9"/>
  <c r="O1213" i="9"/>
  <c r="N1213" i="9"/>
  <c r="M1213" i="9"/>
  <c r="L1213" i="9"/>
  <c r="K1213" i="9"/>
  <c r="J1213" i="9"/>
  <c r="P1212" i="9"/>
  <c r="O1212" i="9"/>
  <c r="N1212" i="9"/>
  <c r="M1212" i="9"/>
  <c r="L1212" i="9"/>
  <c r="K1212" i="9"/>
  <c r="J1212" i="9"/>
  <c r="P1211" i="9"/>
  <c r="O1211" i="9"/>
  <c r="N1211" i="9"/>
  <c r="M1211" i="9"/>
  <c r="L1211" i="9"/>
  <c r="K1211" i="9"/>
  <c r="J1211" i="9"/>
  <c r="P1210" i="9"/>
  <c r="O1210" i="9"/>
  <c r="N1210" i="9"/>
  <c r="M1210" i="9"/>
  <c r="L1210" i="9"/>
  <c r="K1210" i="9"/>
  <c r="J1210" i="9"/>
  <c r="O1209" i="9"/>
  <c r="N1209" i="9"/>
  <c r="M1209" i="9"/>
  <c r="L1209" i="9"/>
  <c r="K1209" i="9"/>
  <c r="J1209" i="9"/>
  <c r="P1208" i="9"/>
  <c r="O1208" i="9"/>
  <c r="N1208" i="9"/>
  <c r="M1208" i="9"/>
  <c r="L1208" i="9"/>
  <c r="K1208" i="9"/>
  <c r="J1208" i="9"/>
  <c r="P1207" i="9"/>
  <c r="O1207" i="9"/>
  <c r="N1207" i="9"/>
  <c r="M1207" i="9"/>
  <c r="L1207" i="9"/>
  <c r="K1207" i="9"/>
  <c r="J1207" i="9"/>
  <c r="P1206" i="9"/>
  <c r="O1206" i="9"/>
  <c r="N1206" i="9"/>
  <c r="M1206" i="9"/>
  <c r="L1206" i="9"/>
  <c r="K1206" i="9"/>
  <c r="J1206" i="9"/>
  <c r="P1205" i="9"/>
  <c r="O1205" i="9"/>
  <c r="N1205" i="9"/>
  <c r="M1205" i="9"/>
  <c r="L1205" i="9"/>
  <c r="K1205" i="9"/>
  <c r="J1205" i="9"/>
  <c r="P1204" i="9"/>
  <c r="O1204" i="9"/>
  <c r="N1204" i="9"/>
  <c r="M1204" i="9"/>
  <c r="L1204" i="9"/>
  <c r="K1204" i="9"/>
  <c r="J1204" i="9"/>
  <c r="P1203" i="9"/>
  <c r="O1203" i="9"/>
  <c r="N1203" i="9"/>
  <c r="M1203" i="9"/>
  <c r="L1203" i="9"/>
  <c r="K1203" i="9"/>
  <c r="J1203" i="9"/>
  <c r="P1202" i="9"/>
  <c r="O1202" i="9"/>
  <c r="N1202" i="9"/>
  <c r="M1202" i="9"/>
  <c r="L1202" i="9"/>
  <c r="K1202" i="9"/>
  <c r="J1202" i="9"/>
  <c r="P1201" i="9"/>
  <c r="O1201" i="9"/>
  <c r="N1201" i="9"/>
  <c r="M1201" i="9"/>
  <c r="L1201" i="9"/>
  <c r="K1201" i="9"/>
  <c r="J1201" i="9"/>
  <c r="P1200" i="9"/>
  <c r="O1200" i="9"/>
  <c r="N1200" i="9"/>
  <c r="M1200" i="9"/>
  <c r="L1200" i="9"/>
  <c r="K1200" i="9"/>
  <c r="J1200" i="9"/>
  <c r="P1199" i="9"/>
  <c r="O1199" i="9"/>
  <c r="N1199" i="9"/>
  <c r="M1199" i="9"/>
  <c r="L1199" i="9"/>
  <c r="K1199" i="9"/>
  <c r="J1199" i="9"/>
  <c r="P1198" i="9"/>
  <c r="O1198" i="9"/>
  <c r="N1198" i="9"/>
  <c r="M1198" i="9"/>
  <c r="L1198" i="9"/>
  <c r="K1198" i="9"/>
  <c r="J1198" i="9"/>
  <c r="P1197" i="9"/>
  <c r="O1197" i="9"/>
  <c r="N1197" i="9"/>
  <c r="M1197" i="9"/>
  <c r="L1197" i="9"/>
  <c r="K1197" i="9"/>
  <c r="J1197" i="9"/>
  <c r="P1196" i="9"/>
  <c r="O1196" i="9"/>
  <c r="N1196" i="9"/>
  <c r="M1196" i="9"/>
  <c r="L1196" i="9"/>
  <c r="K1196" i="9"/>
  <c r="J1196" i="9"/>
  <c r="P1195" i="9"/>
  <c r="O1195" i="9"/>
  <c r="N1195" i="9"/>
  <c r="M1195" i="9"/>
  <c r="L1195" i="9"/>
  <c r="K1195" i="9"/>
  <c r="J1195" i="9"/>
  <c r="P1194" i="9"/>
  <c r="O1194" i="9"/>
  <c r="N1194" i="9"/>
  <c r="M1194" i="9"/>
  <c r="L1194" i="9"/>
  <c r="K1194" i="9"/>
  <c r="J1194" i="9"/>
  <c r="P1193" i="9"/>
  <c r="O1193" i="9"/>
  <c r="N1193" i="9"/>
  <c r="M1193" i="9"/>
  <c r="L1193" i="9"/>
  <c r="K1193" i="9"/>
  <c r="J1193" i="9"/>
  <c r="P1192" i="9"/>
  <c r="O1192" i="9"/>
  <c r="N1192" i="9"/>
  <c r="M1192" i="9"/>
  <c r="L1192" i="9"/>
  <c r="K1192" i="9"/>
  <c r="J1192" i="9"/>
  <c r="P1191" i="9"/>
  <c r="O1191" i="9"/>
  <c r="N1191" i="9"/>
  <c r="M1191" i="9"/>
  <c r="L1191" i="9"/>
  <c r="K1191" i="9"/>
  <c r="J1191" i="9"/>
  <c r="P1190" i="9"/>
  <c r="O1190" i="9"/>
  <c r="N1190" i="9"/>
  <c r="M1190" i="9"/>
  <c r="L1190" i="9"/>
  <c r="K1190" i="9"/>
  <c r="J1190" i="9"/>
  <c r="P1189" i="9"/>
  <c r="O1189" i="9"/>
  <c r="N1189" i="9"/>
  <c r="M1189" i="9"/>
  <c r="L1189" i="9"/>
  <c r="K1189" i="9"/>
  <c r="J1189" i="9"/>
  <c r="P1188" i="9"/>
  <c r="O1188" i="9"/>
  <c r="N1188" i="9"/>
  <c r="M1188" i="9"/>
  <c r="L1188" i="9"/>
  <c r="K1188" i="9"/>
  <c r="J1188" i="9"/>
  <c r="P1187" i="9"/>
  <c r="O1187" i="9"/>
  <c r="N1187" i="9"/>
  <c r="M1187" i="9"/>
  <c r="L1187" i="9"/>
  <c r="K1187" i="9"/>
  <c r="J1187" i="9"/>
  <c r="P1186" i="9"/>
  <c r="O1186" i="9"/>
  <c r="N1186" i="9"/>
  <c r="M1186" i="9"/>
  <c r="L1186" i="9"/>
  <c r="K1186" i="9"/>
  <c r="J1186" i="9"/>
  <c r="P1185" i="9"/>
  <c r="O1185" i="9"/>
  <c r="N1185" i="9"/>
  <c r="M1185" i="9"/>
  <c r="L1185" i="9"/>
  <c r="K1185" i="9"/>
  <c r="J1185" i="9"/>
  <c r="P1184" i="9"/>
  <c r="O1184" i="9"/>
  <c r="N1184" i="9"/>
  <c r="M1184" i="9"/>
  <c r="L1184" i="9"/>
  <c r="K1184" i="9"/>
  <c r="J1184" i="9"/>
  <c r="P1183" i="9"/>
  <c r="O1183" i="9"/>
  <c r="N1183" i="9"/>
  <c r="M1183" i="9"/>
  <c r="L1183" i="9"/>
  <c r="K1183" i="9"/>
  <c r="J1183" i="9"/>
  <c r="P1182" i="9"/>
  <c r="O1182" i="9"/>
  <c r="N1182" i="9"/>
  <c r="M1182" i="9"/>
  <c r="L1182" i="9"/>
  <c r="K1182" i="9"/>
  <c r="J1182" i="9"/>
  <c r="O1181" i="9"/>
  <c r="N1181" i="9"/>
  <c r="M1181" i="9"/>
  <c r="L1181" i="9"/>
  <c r="K1181" i="9"/>
  <c r="J1181" i="9"/>
  <c r="P1180" i="9"/>
  <c r="O1180" i="9"/>
  <c r="N1180" i="9"/>
  <c r="M1180" i="9"/>
  <c r="L1180" i="9"/>
  <c r="K1180" i="9"/>
  <c r="J1180" i="9"/>
  <c r="P1179" i="9"/>
  <c r="O1179" i="9"/>
  <c r="N1179" i="9"/>
  <c r="M1179" i="9"/>
  <c r="L1179" i="9"/>
  <c r="K1179" i="9"/>
  <c r="J1179" i="9"/>
  <c r="P1178" i="9"/>
  <c r="O1178" i="9"/>
  <c r="N1178" i="9"/>
  <c r="M1178" i="9"/>
  <c r="L1178" i="9"/>
  <c r="K1178" i="9"/>
  <c r="J1178" i="9"/>
  <c r="P1177" i="9"/>
  <c r="O1177" i="9"/>
  <c r="N1177" i="9"/>
  <c r="M1177" i="9"/>
  <c r="L1177" i="9"/>
  <c r="K1177" i="9"/>
  <c r="J1177" i="9"/>
  <c r="P1176" i="9"/>
  <c r="O1176" i="9"/>
  <c r="N1176" i="9"/>
  <c r="M1176" i="9"/>
  <c r="L1176" i="9"/>
  <c r="K1176" i="9"/>
  <c r="J1176" i="9"/>
  <c r="P1175" i="9"/>
  <c r="O1175" i="9"/>
  <c r="N1175" i="9"/>
  <c r="M1175" i="9"/>
  <c r="L1175" i="9"/>
  <c r="K1175" i="9"/>
  <c r="J1175" i="9"/>
  <c r="P1174" i="9"/>
  <c r="O1174" i="9"/>
  <c r="N1174" i="9"/>
  <c r="M1174" i="9"/>
  <c r="L1174" i="9"/>
  <c r="K1174" i="9"/>
  <c r="J1174" i="9"/>
  <c r="P1173" i="9"/>
  <c r="O1173" i="9"/>
  <c r="N1173" i="9"/>
  <c r="M1173" i="9"/>
  <c r="L1173" i="9"/>
  <c r="K1173" i="9"/>
  <c r="J1173" i="9"/>
  <c r="P1172" i="9"/>
  <c r="O1172" i="9"/>
  <c r="N1172" i="9"/>
  <c r="M1172" i="9"/>
  <c r="L1172" i="9"/>
  <c r="K1172" i="9"/>
  <c r="J1172" i="9"/>
  <c r="P1171" i="9"/>
  <c r="O1171" i="9"/>
  <c r="N1171" i="9"/>
  <c r="M1171" i="9"/>
  <c r="L1171" i="9"/>
  <c r="K1171" i="9"/>
  <c r="J1171" i="9"/>
  <c r="P1170" i="9"/>
  <c r="O1170" i="9"/>
  <c r="N1170" i="9"/>
  <c r="M1170" i="9"/>
  <c r="L1170" i="9"/>
  <c r="K1170" i="9"/>
  <c r="J1170" i="9"/>
  <c r="P1169" i="9"/>
  <c r="O1169" i="9"/>
  <c r="N1169" i="9"/>
  <c r="M1169" i="9"/>
  <c r="L1169" i="9"/>
  <c r="K1169" i="9"/>
  <c r="J1169" i="9"/>
  <c r="P1168" i="9"/>
  <c r="O1168" i="9"/>
  <c r="N1168" i="9"/>
  <c r="M1168" i="9"/>
  <c r="L1168" i="9"/>
  <c r="K1168" i="9"/>
  <c r="J1168" i="9"/>
  <c r="P1167" i="9"/>
  <c r="O1167" i="9"/>
  <c r="N1167" i="9"/>
  <c r="M1167" i="9"/>
  <c r="L1167" i="9"/>
  <c r="K1167" i="9"/>
  <c r="J1167" i="9"/>
  <c r="P1166" i="9"/>
  <c r="O1166" i="9"/>
  <c r="N1166" i="9"/>
  <c r="M1166" i="9"/>
  <c r="L1166" i="9"/>
  <c r="K1166" i="9"/>
  <c r="J1166" i="9"/>
  <c r="P1165" i="9"/>
  <c r="O1165" i="9"/>
  <c r="N1165" i="9"/>
  <c r="M1165" i="9"/>
  <c r="L1165" i="9"/>
  <c r="K1165" i="9"/>
  <c r="J1165" i="9"/>
  <c r="P1164" i="9"/>
  <c r="O1164" i="9"/>
  <c r="N1164" i="9"/>
  <c r="M1164" i="9"/>
  <c r="L1164" i="9"/>
  <c r="K1164" i="9"/>
  <c r="J1164" i="9"/>
  <c r="P1163" i="9"/>
  <c r="O1163" i="9"/>
  <c r="N1163" i="9"/>
  <c r="M1163" i="9"/>
  <c r="L1163" i="9"/>
  <c r="K1163" i="9"/>
  <c r="J1163" i="9"/>
  <c r="P1162" i="9"/>
  <c r="O1162" i="9"/>
  <c r="N1162" i="9"/>
  <c r="M1162" i="9"/>
  <c r="L1162" i="9"/>
  <c r="K1162" i="9"/>
  <c r="J1162" i="9"/>
  <c r="P1161" i="9"/>
  <c r="O1161" i="9"/>
  <c r="N1161" i="9"/>
  <c r="M1161" i="9"/>
  <c r="L1161" i="9"/>
  <c r="K1161" i="9"/>
  <c r="J1161" i="9"/>
  <c r="P1160" i="9"/>
  <c r="O1160" i="9"/>
  <c r="N1160" i="9"/>
  <c r="M1160" i="9"/>
  <c r="L1160" i="9"/>
  <c r="K1160" i="9"/>
  <c r="J1160" i="9"/>
  <c r="P1159" i="9"/>
  <c r="O1159" i="9"/>
  <c r="N1159" i="9"/>
  <c r="M1159" i="9"/>
  <c r="L1159" i="9"/>
  <c r="K1159" i="9"/>
  <c r="J1159" i="9"/>
  <c r="P1158" i="9"/>
  <c r="O1158" i="9"/>
  <c r="N1158" i="9"/>
  <c r="M1158" i="9"/>
  <c r="L1158" i="9"/>
  <c r="K1158" i="9"/>
  <c r="J1158" i="9"/>
  <c r="P1157" i="9"/>
  <c r="O1157" i="9"/>
  <c r="N1157" i="9"/>
  <c r="M1157" i="9"/>
  <c r="L1157" i="9"/>
  <c r="K1157" i="9"/>
  <c r="J1157" i="9"/>
  <c r="P1156" i="9"/>
  <c r="O1156" i="9"/>
  <c r="N1156" i="9"/>
  <c r="M1156" i="9"/>
  <c r="L1156" i="9"/>
  <c r="K1156" i="9"/>
  <c r="J1156" i="9"/>
  <c r="P1155" i="9"/>
  <c r="O1155" i="9"/>
  <c r="N1155" i="9"/>
  <c r="M1155" i="9"/>
  <c r="L1155" i="9"/>
  <c r="K1155" i="9"/>
  <c r="J1155" i="9"/>
  <c r="P1154" i="9"/>
  <c r="O1154" i="9"/>
  <c r="N1154" i="9"/>
  <c r="M1154" i="9"/>
  <c r="L1154" i="9"/>
  <c r="K1154" i="9"/>
  <c r="J1154" i="9"/>
  <c r="O1153" i="9"/>
  <c r="N1153" i="9"/>
  <c r="M1153" i="9"/>
  <c r="L1153" i="9"/>
  <c r="K1153" i="9"/>
  <c r="J1153" i="9"/>
  <c r="P1152" i="9"/>
  <c r="O1152" i="9"/>
  <c r="N1152" i="9"/>
  <c r="M1152" i="9"/>
  <c r="L1152" i="9"/>
  <c r="K1152" i="9"/>
  <c r="J1152" i="9"/>
  <c r="O1151" i="9"/>
  <c r="N1151" i="9"/>
  <c r="M1151" i="9"/>
  <c r="L1151" i="9"/>
  <c r="K1151" i="9"/>
  <c r="J1151" i="9"/>
  <c r="P1150" i="9"/>
  <c r="O1150" i="9"/>
  <c r="N1150" i="9"/>
  <c r="M1150" i="9"/>
  <c r="L1150" i="9"/>
  <c r="K1150" i="9"/>
  <c r="J1150" i="9"/>
  <c r="O1149" i="9"/>
  <c r="N1149" i="9"/>
  <c r="M1149" i="9"/>
  <c r="L1149" i="9"/>
  <c r="K1149" i="9"/>
  <c r="J1149" i="9"/>
  <c r="P1148" i="9"/>
  <c r="O1148" i="9"/>
  <c r="N1148" i="9"/>
  <c r="M1148" i="9"/>
  <c r="L1148" i="9"/>
  <c r="K1148" i="9"/>
  <c r="J1148" i="9"/>
  <c r="P1147" i="9"/>
  <c r="O1147" i="9"/>
  <c r="N1147" i="9"/>
  <c r="M1147" i="9"/>
  <c r="L1147" i="9"/>
  <c r="K1147" i="9"/>
  <c r="J1147" i="9"/>
  <c r="P1146" i="9"/>
  <c r="O1146" i="9"/>
  <c r="N1146" i="9"/>
  <c r="M1146" i="9"/>
  <c r="L1146" i="9"/>
  <c r="K1146" i="9"/>
  <c r="J1146" i="9"/>
  <c r="P1145" i="9"/>
  <c r="O1145" i="9"/>
  <c r="N1145" i="9"/>
  <c r="M1145" i="9"/>
  <c r="L1145" i="9"/>
  <c r="K1145" i="9"/>
  <c r="J1145" i="9"/>
  <c r="P1144" i="9"/>
  <c r="O1144" i="9"/>
  <c r="N1144" i="9"/>
  <c r="M1144" i="9"/>
  <c r="L1144" i="9"/>
  <c r="K1144" i="9"/>
  <c r="J1144" i="9"/>
  <c r="P1143" i="9"/>
  <c r="O1143" i="9"/>
  <c r="N1143" i="9"/>
  <c r="M1143" i="9"/>
  <c r="L1143" i="9"/>
  <c r="K1143" i="9"/>
  <c r="J1143" i="9"/>
  <c r="O1142" i="9"/>
  <c r="N1142" i="9"/>
  <c r="M1142" i="9"/>
  <c r="L1142" i="9"/>
  <c r="K1142" i="9"/>
  <c r="J1142" i="9"/>
  <c r="P1141" i="9"/>
  <c r="O1141" i="9"/>
  <c r="N1141" i="9"/>
  <c r="M1141" i="9"/>
  <c r="L1141" i="9"/>
  <c r="K1141" i="9"/>
  <c r="J1141" i="9"/>
  <c r="O1140" i="9"/>
  <c r="N1140" i="9"/>
  <c r="M1140" i="9"/>
  <c r="L1140" i="9"/>
  <c r="K1140" i="9"/>
  <c r="J1140" i="9"/>
  <c r="P1139" i="9"/>
  <c r="O1139" i="9"/>
  <c r="N1139" i="9"/>
  <c r="M1139" i="9"/>
  <c r="L1139" i="9"/>
  <c r="K1139" i="9"/>
  <c r="J1139" i="9"/>
  <c r="O1138" i="9"/>
  <c r="N1138" i="9"/>
  <c r="M1138" i="9"/>
  <c r="L1138" i="9"/>
  <c r="K1138" i="9"/>
  <c r="J1138" i="9"/>
  <c r="P1137" i="9"/>
  <c r="O1137" i="9"/>
  <c r="N1137" i="9"/>
  <c r="M1137" i="9"/>
  <c r="L1137" i="9"/>
  <c r="K1137" i="9"/>
  <c r="J1137" i="9"/>
  <c r="P1136" i="9"/>
  <c r="O1136" i="9"/>
  <c r="N1136" i="9"/>
  <c r="M1136" i="9"/>
  <c r="L1136" i="9"/>
  <c r="K1136" i="9"/>
  <c r="J1136" i="9"/>
  <c r="P1135" i="9"/>
  <c r="O1135" i="9"/>
  <c r="N1135" i="9"/>
  <c r="M1135" i="9"/>
  <c r="L1135" i="9"/>
  <c r="K1135" i="9"/>
  <c r="J1135" i="9"/>
  <c r="P1134" i="9"/>
  <c r="O1134" i="9"/>
  <c r="N1134" i="9"/>
  <c r="M1134" i="9"/>
  <c r="L1134" i="9"/>
  <c r="K1134" i="9"/>
  <c r="J1134" i="9"/>
  <c r="P1133" i="9"/>
  <c r="O1133" i="9"/>
  <c r="N1133" i="9"/>
  <c r="M1133" i="9"/>
  <c r="L1133" i="9"/>
  <c r="K1133" i="9"/>
  <c r="J1133" i="9"/>
  <c r="P1132" i="9"/>
  <c r="O1132" i="9"/>
  <c r="N1132" i="9"/>
  <c r="M1132" i="9"/>
  <c r="L1132" i="9"/>
  <c r="K1132" i="9"/>
  <c r="J1132" i="9"/>
  <c r="P1131" i="9"/>
  <c r="O1131" i="9"/>
  <c r="N1131" i="9"/>
  <c r="M1131" i="9"/>
  <c r="L1131" i="9"/>
  <c r="K1131" i="9"/>
  <c r="J1131" i="9"/>
  <c r="P1130" i="9"/>
  <c r="O1130" i="9"/>
  <c r="N1130" i="9"/>
  <c r="M1130" i="9"/>
  <c r="L1130" i="9"/>
  <c r="K1130" i="9"/>
  <c r="J1130" i="9"/>
  <c r="P1129" i="9"/>
  <c r="O1129" i="9"/>
  <c r="N1129" i="9"/>
  <c r="M1129" i="9"/>
  <c r="L1129" i="9"/>
  <c r="K1129" i="9"/>
  <c r="J1129" i="9"/>
  <c r="P1128" i="9"/>
  <c r="O1128" i="9"/>
  <c r="N1128" i="9"/>
  <c r="M1128" i="9"/>
  <c r="L1128" i="9"/>
  <c r="K1128" i="9"/>
  <c r="J1128" i="9"/>
  <c r="O1127" i="9"/>
  <c r="N1127" i="9"/>
  <c r="M1127" i="9"/>
  <c r="L1127" i="9"/>
  <c r="K1127" i="9"/>
  <c r="J1127" i="9"/>
  <c r="P1126" i="9"/>
  <c r="O1126" i="9"/>
  <c r="N1126" i="9"/>
  <c r="M1126" i="9"/>
  <c r="L1126" i="9"/>
  <c r="K1126" i="9"/>
  <c r="J1126" i="9"/>
  <c r="P1125" i="9"/>
  <c r="O1125" i="9"/>
  <c r="N1125" i="9"/>
  <c r="M1125" i="9"/>
  <c r="L1125" i="9"/>
  <c r="K1125" i="9"/>
  <c r="J1125" i="9"/>
  <c r="P1124" i="9"/>
  <c r="O1124" i="9"/>
  <c r="N1124" i="9"/>
  <c r="M1124" i="9"/>
  <c r="L1124" i="9"/>
  <c r="K1124" i="9"/>
  <c r="J1124" i="9"/>
  <c r="P1123" i="9"/>
  <c r="O1123" i="9"/>
  <c r="N1123" i="9"/>
  <c r="M1123" i="9"/>
  <c r="L1123" i="9"/>
  <c r="K1123" i="9"/>
  <c r="J1123" i="9"/>
  <c r="P1122" i="9"/>
  <c r="O1122" i="9"/>
  <c r="N1122" i="9"/>
  <c r="M1122" i="9"/>
  <c r="L1122" i="9"/>
  <c r="K1122" i="9"/>
  <c r="J1122" i="9"/>
  <c r="P1121" i="9"/>
  <c r="O1121" i="9"/>
  <c r="N1121" i="9"/>
  <c r="M1121" i="9"/>
  <c r="L1121" i="9"/>
  <c r="K1121" i="9"/>
  <c r="J1121" i="9"/>
  <c r="P1120" i="9"/>
  <c r="O1120" i="9"/>
  <c r="N1120" i="9"/>
  <c r="M1120" i="9"/>
  <c r="L1120" i="9"/>
  <c r="K1120" i="9"/>
  <c r="J1120" i="9"/>
  <c r="P1119" i="9"/>
  <c r="O1119" i="9"/>
  <c r="N1119" i="9"/>
  <c r="M1119" i="9"/>
  <c r="L1119" i="9"/>
  <c r="K1119" i="9"/>
  <c r="J1119" i="9"/>
  <c r="P1118" i="9"/>
  <c r="O1118" i="9"/>
  <c r="N1118" i="9"/>
  <c r="M1118" i="9"/>
  <c r="L1118" i="9"/>
  <c r="K1118" i="9"/>
  <c r="J1118" i="9"/>
  <c r="P1117" i="9"/>
  <c r="O1117" i="9"/>
  <c r="N1117" i="9"/>
  <c r="M1117" i="9"/>
  <c r="L1117" i="9"/>
  <c r="K1117" i="9"/>
  <c r="J1117" i="9"/>
  <c r="P1116" i="9"/>
  <c r="O1116" i="9"/>
  <c r="N1116" i="9"/>
  <c r="M1116" i="9"/>
  <c r="L1116" i="9"/>
  <c r="K1116" i="9"/>
  <c r="J1116" i="9"/>
  <c r="P1115" i="9"/>
  <c r="O1115" i="9"/>
  <c r="N1115" i="9"/>
  <c r="M1115" i="9"/>
  <c r="L1115" i="9"/>
  <c r="K1115" i="9"/>
  <c r="J1115" i="9"/>
  <c r="P1114" i="9"/>
  <c r="O1114" i="9"/>
  <c r="N1114" i="9"/>
  <c r="M1114" i="9"/>
  <c r="L1114" i="9"/>
  <c r="K1114" i="9"/>
  <c r="J1114" i="9"/>
  <c r="O1113" i="9"/>
  <c r="N1113" i="9"/>
  <c r="M1113" i="9"/>
  <c r="L1113" i="9"/>
  <c r="K1113" i="9"/>
  <c r="J1113" i="9"/>
  <c r="O1112" i="9"/>
  <c r="N1112" i="9"/>
  <c r="M1112" i="9"/>
  <c r="L1112" i="9"/>
  <c r="K1112" i="9"/>
  <c r="J1112" i="9"/>
  <c r="P1111" i="9"/>
  <c r="O1111" i="9"/>
  <c r="N1111" i="9"/>
  <c r="M1111" i="9"/>
  <c r="L1111" i="9"/>
  <c r="K1111" i="9"/>
  <c r="J1111" i="9"/>
  <c r="P1110" i="9"/>
  <c r="O1110" i="9"/>
  <c r="N1110" i="9"/>
  <c r="M1110" i="9"/>
  <c r="L1110" i="9"/>
  <c r="K1110" i="9"/>
  <c r="J1110" i="9"/>
  <c r="O1109" i="9"/>
  <c r="N1109" i="9"/>
  <c r="M1109" i="9"/>
  <c r="L1109" i="9"/>
  <c r="K1109" i="9"/>
  <c r="J1109" i="9"/>
  <c r="P1108" i="9"/>
  <c r="O1108" i="9"/>
  <c r="N1108" i="9"/>
  <c r="M1108" i="9"/>
  <c r="L1108" i="9"/>
  <c r="K1108" i="9"/>
  <c r="J1108" i="9"/>
  <c r="P1107" i="9"/>
  <c r="O1107" i="9"/>
  <c r="N1107" i="9"/>
  <c r="M1107" i="9"/>
  <c r="L1107" i="9"/>
  <c r="K1107" i="9"/>
  <c r="J1107" i="9"/>
  <c r="P1106" i="9"/>
  <c r="O1106" i="9"/>
  <c r="N1106" i="9"/>
  <c r="M1106" i="9"/>
  <c r="L1106" i="9"/>
  <c r="K1106" i="9"/>
  <c r="J1106" i="9"/>
  <c r="P1105" i="9"/>
  <c r="O1105" i="9"/>
  <c r="N1105" i="9"/>
  <c r="M1105" i="9"/>
  <c r="L1105" i="9"/>
  <c r="K1105" i="9"/>
  <c r="J1105" i="9"/>
  <c r="P1104" i="9"/>
  <c r="O1104" i="9"/>
  <c r="N1104" i="9"/>
  <c r="M1104" i="9"/>
  <c r="L1104" i="9"/>
  <c r="K1104" i="9"/>
  <c r="J1104" i="9"/>
  <c r="P1103" i="9"/>
  <c r="O1103" i="9"/>
  <c r="N1103" i="9"/>
  <c r="M1103" i="9"/>
  <c r="L1103" i="9"/>
  <c r="K1103" i="9"/>
  <c r="J1103" i="9"/>
  <c r="P1102" i="9"/>
  <c r="O1102" i="9"/>
  <c r="N1102" i="9"/>
  <c r="M1102" i="9"/>
  <c r="L1102" i="9"/>
  <c r="K1102" i="9"/>
  <c r="J1102" i="9"/>
  <c r="P1101" i="9"/>
  <c r="O1101" i="9"/>
  <c r="N1101" i="9"/>
  <c r="M1101" i="9"/>
  <c r="L1101" i="9"/>
  <c r="K1101" i="9"/>
  <c r="J1101" i="9"/>
  <c r="P1100" i="9"/>
  <c r="O1100" i="9"/>
  <c r="N1100" i="9"/>
  <c r="M1100" i="9"/>
  <c r="L1100" i="9"/>
  <c r="K1100" i="9"/>
  <c r="J1100" i="9"/>
  <c r="P1099" i="9"/>
  <c r="O1099" i="9"/>
  <c r="N1099" i="9"/>
  <c r="M1099" i="9"/>
  <c r="L1099" i="9"/>
  <c r="K1099" i="9"/>
  <c r="J1099" i="9"/>
  <c r="P1098" i="9"/>
  <c r="O1098" i="9"/>
  <c r="N1098" i="9"/>
  <c r="M1098" i="9"/>
  <c r="L1098" i="9"/>
  <c r="K1098" i="9"/>
  <c r="J1098" i="9"/>
  <c r="P1097" i="9"/>
  <c r="O1097" i="9"/>
  <c r="N1097" i="9"/>
  <c r="M1097" i="9"/>
  <c r="L1097" i="9"/>
  <c r="K1097" i="9"/>
  <c r="J1097" i="9"/>
  <c r="P1096" i="9"/>
  <c r="O1096" i="9"/>
  <c r="N1096" i="9"/>
  <c r="M1096" i="9"/>
  <c r="L1096" i="9"/>
  <c r="K1096" i="9"/>
  <c r="J1096" i="9"/>
  <c r="P1095" i="9"/>
  <c r="O1095" i="9"/>
  <c r="N1095" i="9"/>
  <c r="M1095" i="9"/>
  <c r="L1095" i="9"/>
  <c r="K1095" i="9"/>
  <c r="J1095" i="9"/>
  <c r="P1094" i="9"/>
  <c r="O1094" i="9"/>
  <c r="N1094" i="9"/>
  <c r="M1094" i="9"/>
  <c r="L1094" i="9"/>
  <c r="K1094" i="9"/>
  <c r="J1094" i="9"/>
  <c r="P1093" i="9"/>
  <c r="O1093" i="9"/>
  <c r="N1093" i="9"/>
  <c r="M1093" i="9"/>
  <c r="L1093" i="9"/>
  <c r="K1093" i="9"/>
  <c r="J1093" i="9"/>
  <c r="P1092" i="9"/>
  <c r="O1092" i="9"/>
  <c r="N1092" i="9"/>
  <c r="M1092" i="9"/>
  <c r="L1092" i="9"/>
  <c r="K1092" i="9"/>
  <c r="J1092" i="9"/>
  <c r="P1091" i="9"/>
  <c r="O1091" i="9"/>
  <c r="N1091" i="9"/>
  <c r="M1091" i="9"/>
  <c r="L1091" i="9"/>
  <c r="K1091" i="9"/>
  <c r="J1091" i="9"/>
  <c r="O1090" i="9"/>
  <c r="N1090" i="9"/>
  <c r="M1090" i="9"/>
  <c r="L1090" i="9"/>
  <c r="K1090" i="9"/>
  <c r="J1090" i="9"/>
  <c r="P1089" i="9"/>
  <c r="O1089" i="9"/>
  <c r="N1089" i="9"/>
  <c r="M1089" i="9"/>
  <c r="L1089" i="9"/>
  <c r="K1089" i="9"/>
  <c r="J1089" i="9"/>
  <c r="P1088" i="9"/>
  <c r="O1088" i="9"/>
  <c r="N1088" i="9"/>
  <c r="M1088" i="9"/>
  <c r="L1088" i="9"/>
  <c r="K1088" i="9"/>
  <c r="J1088" i="9"/>
  <c r="P1087" i="9"/>
  <c r="O1087" i="9"/>
  <c r="N1087" i="9"/>
  <c r="M1087" i="9"/>
  <c r="L1087" i="9"/>
  <c r="K1087" i="9"/>
  <c r="J1087" i="9"/>
  <c r="P1086" i="9"/>
  <c r="O1086" i="9"/>
  <c r="N1086" i="9"/>
  <c r="M1086" i="9"/>
  <c r="L1086" i="9"/>
  <c r="K1086" i="9"/>
  <c r="J1086" i="9"/>
  <c r="P1085" i="9"/>
  <c r="O1085" i="9"/>
  <c r="N1085" i="9"/>
  <c r="M1085" i="9"/>
  <c r="L1085" i="9"/>
  <c r="K1085" i="9"/>
  <c r="J1085" i="9"/>
  <c r="P1084" i="9"/>
  <c r="O1084" i="9"/>
  <c r="N1084" i="9"/>
  <c r="M1084" i="9"/>
  <c r="L1084" i="9"/>
  <c r="K1084" i="9"/>
  <c r="J1084" i="9"/>
  <c r="P1083" i="9"/>
  <c r="O1083" i="9"/>
  <c r="N1083" i="9"/>
  <c r="M1083" i="9"/>
  <c r="L1083" i="9"/>
  <c r="K1083" i="9"/>
  <c r="J1083" i="9"/>
  <c r="P1082" i="9"/>
  <c r="O1082" i="9"/>
  <c r="N1082" i="9"/>
  <c r="M1082" i="9"/>
  <c r="L1082" i="9"/>
  <c r="K1082" i="9"/>
  <c r="J1082" i="9"/>
  <c r="P1081" i="9"/>
  <c r="O1081" i="9"/>
  <c r="N1081" i="9"/>
  <c r="M1081" i="9"/>
  <c r="L1081" i="9"/>
  <c r="K1081" i="9"/>
  <c r="J1081" i="9"/>
  <c r="P1080" i="9"/>
  <c r="O1080" i="9"/>
  <c r="N1080" i="9"/>
  <c r="M1080" i="9"/>
  <c r="L1080" i="9"/>
  <c r="K1080" i="9"/>
  <c r="J1080" i="9"/>
  <c r="P1079" i="9"/>
  <c r="O1079" i="9"/>
  <c r="N1079" i="9"/>
  <c r="M1079" i="9"/>
  <c r="L1079" i="9"/>
  <c r="K1079" i="9"/>
  <c r="J1079" i="9"/>
  <c r="O1078" i="9"/>
  <c r="N1078" i="9"/>
  <c r="M1078" i="9"/>
  <c r="L1078" i="9"/>
  <c r="K1078" i="9"/>
  <c r="J1078" i="9"/>
  <c r="P1077" i="9"/>
  <c r="O1077" i="9"/>
  <c r="N1077" i="9"/>
  <c r="M1077" i="9"/>
  <c r="L1077" i="9"/>
  <c r="K1077" i="9"/>
  <c r="J1077" i="9"/>
  <c r="P1076" i="9"/>
  <c r="O1076" i="9"/>
  <c r="N1076" i="9"/>
  <c r="M1076" i="9"/>
  <c r="L1076" i="9"/>
  <c r="K1076" i="9"/>
  <c r="J1076" i="9"/>
  <c r="P1075" i="9"/>
  <c r="O1075" i="9"/>
  <c r="N1075" i="9"/>
  <c r="M1075" i="9"/>
  <c r="L1075" i="9"/>
  <c r="K1075" i="9"/>
  <c r="J1075" i="9"/>
  <c r="P1074" i="9"/>
  <c r="O1074" i="9"/>
  <c r="N1074" i="9"/>
  <c r="M1074" i="9"/>
  <c r="L1074" i="9"/>
  <c r="K1074" i="9"/>
  <c r="J1074" i="9"/>
  <c r="P1073" i="9"/>
  <c r="O1073" i="9"/>
  <c r="N1073" i="9"/>
  <c r="M1073" i="9"/>
  <c r="L1073" i="9"/>
  <c r="K1073" i="9"/>
  <c r="J1073" i="9"/>
  <c r="P1072" i="9"/>
  <c r="O1072" i="9"/>
  <c r="N1072" i="9"/>
  <c r="M1072" i="9"/>
  <c r="L1072" i="9"/>
  <c r="K1072" i="9"/>
  <c r="J1072" i="9"/>
  <c r="P1071" i="9"/>
  <c r="O1071" i="9"/>
  <c r="N1071" i="9"/>
  <c r="M1071" i="9"/>
  <c r="L1071" i="9"/>
  <c r="K1071" i="9"/>
  <c r="J1071" i="9"/>
  <c r="P1070" i="9"/>
  <c r="O1070" i="9"/>
  <c r="N1070" i="9"/>
  <c r="M1070" i="9"/>
  <c r="L1070" i="9"/>
  <c r="K1070" i="9"/>
  <c r="J1070" i="9"/>
  <c r="P1069" i="9"/>
  <c r="O1069" i="9"/>
  <c r="N1069" i="9"/>
  <c r="M1069" i="9"/>
  <c r="L1069" i="9"/>
  <c r="K1069" i="9"/>
  <c r="J1069" i="9"/>
  <c r="P1068" i="9"/>
  <c r="O1068" i="9"/>
  <c r="N1068" i="9"/>
  <c r="M1068" i="9"/>
  <c r="L1068" i="9"/>
  <c r="K1068" i="9"/>
  <c r="J1068" i="9"/>
  <c r="P1067" i="9"/>
  <c r="O1067" i="9"/>
  <c r="N1067" i="9"/>
  <c r="M1067" i="9"/>
  <c r="L1067" i="9"/>
  <c r="K1067" i="9"/>
  <c r="J1067" i="9"/>
  <c r="P1066" i="9"/>
  <c r="O1066" i="9"/>
  <c r="N1066" i="9"/>
  <c r="M1066" i="9"/>
  <c r="L1066" i="9"/>
  <c r="K1066" i="9"/>
  <c r="J1066" i="9"/>
  <c r="P1065" i="9"/>
  <c r="O1065" i="9"/>
  <c r="N1065" i="9"/>
  <c r="M1065" i="9"/>
  <c r="L1065" i="9"/>
  <c r="K1065" i="9"/>
  <c r="J1065" i="9"/>
  <c r="P1064" i="9"/>
  <c r="O1064" i="9"/>
  <c r="N1064" i="9"/>
  <c r="M1064" i="9"/>
  <c r="L1064" i="9"/>
  <c r="K1064" i="9"/>
  <c r="J1064" i="9"/>
  <c r="P1063" i="9"/>
  <c r="O1063" i="9"/>
  <c r="N1063" i="9"/>
  <c r="M1063" i="9"/>
  <c r="L1063" i="9"/>
  <c r="K1063" i="9"/>
  <c r="J1063" i="9"/>
  <c r="P1062" i="9"/>
  <c r="O1062" i="9"/>
  <c r="N1062" i="9"/>
  <c r="M1062" i="9"/>
  <c r="L1062" i="9"/>
  <c r="K1062" i="9"/>
  <c r="J1062" i="9"/>
  <c r="P1061" i="9"/>
  <c r="O1061" i="9"/>
  <c r="N1061" i="9"/>
  <c r="M1061" i="9"/>
  <c r="L1061" i="9"/>
  <c r="K1061" i="9"/>
  <c r="J1061" i="9"/>
  <c r="P1060" i="9"/>
  <c r="O1060" i="9"/>
  <c r="N1060" i="9"/>
  <c r="M1060" i="9"/>
  <c r="L1060" i="9"/>
  <c r="K1060" i="9"/>
  <c r="J1060" i="9"/>
  <c r="P1059" i="9"/>
  <c r="O1059" i="9"/>
  <c r="N1059" i="9"/>
  <c r="M1059" i="9"/>
  <c r="L1059" i="9"/>
  <c r="K1059" i="9"/>
  <c r="J1059" i="9"/>
  <c r="P1058" i="9"/>
  <c r="O1058" i="9"/>
  <c r="N1058" i="9"/>
  <c r="M1058" i="9"/>
  <c r="L1058" i="9"/>
  <c r="K1058" i="9"/>
  <c r="J1058" i="9"/>
  <c r="P1057" i="9"/>
  <c r="O1057" i="9"/>
  <c r="N1057" i="9"/>
  <c r="M1057" i="9"/>
  <c r="L1057" i="9"/>
  <c r="K1057" i="9"/>
  <c r="J1057" i="9"/>
  <c r="P1056" i="9"/>
  <c r="O1056" i="9"/>
  <c r="N1056" i="9"/>
  <c r="M1056" i="9"/>
  <c r="L1056" i="9"/>
  <c r="K1056" i="9"/>
  <c r="J1056" i="9"/>
  <c r="P1055" i="9"/>
  <c r="O1055" i="9"/>
  <c r="N1055" i="9"/>
  <c r="M1055" i="9"/>
  <c r="L1055" i="9"/>
  <c r="K1055" i="9"/>
  <c r="J1055" i="9"/>
  <c r="P1054" i="9"/>
  <c r="O1054" i="9"/>
  <c r="N1054" i="9"/>
  <c r="M1054" i="9"/>
  <c r="L1054" i="9"/>
  <c r="K1054" i="9"/>
  <c r="J1054" i="9"/>
  <c r="P1053" i="9"/>
  <c r="O1053" i="9"/>
  <c r="N1053" i="9"/>
  <c r="M1053" i="9"/>
  <c r="L1053" i="9"/>
  <c r="K1053" i="9"/>
  <c r="J1053" i="9"/>
  <c r="P1052" i="9"/>
  <c r="O1052" i="9"/>
  <c r="N1052" i="9"/>
  <c r="M1052" i="9"/>
  <c r="L1052" i="9"/>
  <c r="K1052" i="9"/>
  <c r="J1052" i="9"/>
  <c r="P1051" i="9"/>
  <c r="O1051" i="9"/>
  <c r="N1051" i="9"/>
  <c r="M1051" i="9"/>
  <c r="L1051" i="9"/>
  <c r="K1051" i="9"/>
  <c r="J1051" i="9"/>
  <c r="P1050" i="9"/>
  <c r="O1050" i="9"/>
  <c r="N1050" i="9"/>
  <c r="M1050" i="9"/>
  <c r="L1050" i="9"/>
  <c r="K1050" i="9"/>
  <c r="J1050" i="9"/>
  <c r="P1049" i="9"/>
  <c r="O1049" i="9"/>
  <c r="N1049" i="9"/>
  <c r="M1049" i="9"/>
  <c r="L1049" i="9"/>
  <c r="K1049" i="9"/>
  <c r="J1049" i="9"/>
  <c r="P1048" i="9"/>
  <c r="O1048" i="9"/>
  <c r="N1048" i="9"/>
  <c r="M1048" i="9"/>
  <c r="L1048" i="9"/>
  <c r="K1048" i="9"/>
  <c r="J1048" i="9"/>
  <c r="P1047" i="9"/>
  <c r="O1047" i="9"/>
  <c r="N1047" i="9"/>
  <c r="M1047" i="9"/>
  <c r="L1047" i="9"/>
  <c r="K1047" i="9"/>
  <c r="J1047" i="9"/>
  <c r="P1046" i="9"/>
  <c r="O1046" i="9"/>
  <c r="N1046" i="9"/>
  <c r="M1046" i="9"/>
  <c r="L1046" i="9"/>
  <c r="K1046" i="9"/>
  <c r="J1046" i="9"/>
  <c r="P1045" i="9"/>
  <c r="O1045" i="9"/>
  <c r="N1045" i="9"/>
  <c r="M1045" i="9"/>
  <c r="L1045" i="9"/>
  <c r="K1045" i="9"/>
  <c r="J1045" i="9"/>
  <c r="P1044" i="9"/>
  <c r="O1044" i="9"/>
  <c r="N1044" i="9"/>
  <c r="M1044" i="9"/>
  <c r="L1044" i="9"/>
  <c r="K1044" i="9"/>
  <c r="J1044" i="9"/>
  <c r="P1043" i="9"/>
  <c r="O1043" i="9"/>
  <c r="N1043" i="9"/>
  <c r="M1043" i="9"/>
  <c r="L1043" i="9"/>
  <c r="K1043" i="9"/>
  <c r="J1043" i="9"/>
  <c r="P1042" i="9"/>
  <c r="O1042" i="9"/>
  <c r="N1042" i="9"/>
  <c r="M1042" i="9"/>
  <c r="L1042" i="9"/>
  <c r="K1042" i="9"/>
  <c r="J1042" i="9"/>
  <c r="P1041" i="9"/>
  <c r="O1041" i="9"/>
  <c r="N1041" i="9"/>
  <c r="M1041" i="9"/>
  <c r="L1041" i="9"/>
  <c r="K1041" i="9"/>
  <c r="J1041" i="9"/>
  <c r="P1040" i="9"/>
  <c r="O1040" i="9"/>
  <c r="N1040" i="9"/>
  <c r="M1040" i="9"/>
  <c r="L1040" i="9"/>
  <c r="K1040" i="9"/>
  <c r="J1040" i="9"/>
  <c r="P1039" i="9"/>
  <c r="O1039" i="9"/>
  <c r="N1039" i="9"/>
  <c r="M1039" i="9"/>
  <c r="L1039" i="9"/>
  <c r="K1039" i="9"/>
  <c r="J1039" i="9"/>
  <c r="P1038" i="9"/>
  <c r="O1038" i="9"/>
  <c r="N1038" i="9"/>
  <c r="M1038" i="9"/>
  <c r="L1038" i="9"/>
  <c r="K1038" i="9"/>
  <c r="J1038" i="9"/>
  <c r="P1037" i="9"/>
  <c r="O1037" i="9"/>
  <c r="N1037" i="9"/>
  <c r="M1037" i="9"/>
  <c r="L1037" i="9"/>
  <c r="K1037" i="9"/>
  <c r="J1037" i="9"/>
  <c r="P1036" i="9"/>
  <c r="O1036" i="9"/>
  <c r="N1036" i="9"/>
  <c r="M1036" i="9"/>
  <c r="L1036" i="9"/>
  <c r="K1036" i="9"/>
  <c r="J1036" i="9"/>
  <c r="P1035" i="9"/>
  <c r="O1035" i="9"/>
  <c r="N1035" i="9"/>
  <c r="M1035" i="9"/>
  <c r="L1035" i="9"/>
  <c r="K1035" i="9"/>
  <c r="J1035" i="9"/>
  <c r="P1034" i="9"/>
  <c r="O1034" i="9"/>
  <c r="N1034" i="9"/>
  <c r="M1034" i="9"/>
  <c r="L1034" i="9"/>
  <c r="K1034" i="9"/>
  <c r="J1034" i="9"/>
  <c r="P1033" i="9"/>
  <c r="O1033" i="9"/>
  <c r="N1033" i="9"/>
  <c r="M1033" i="9"/>
  <c r="L1033" i="9"/>
  <c r="K1033" i="9"/>
  <c r="J1033" i="9"/>
  <c r="P1032" i="9"/>
  <c r="O1032" i="9"/>
  <c r="N1032" i="9"/>
  <c r="M1032" i="9"/>
  <c r="L1032" i="9"/>
  <c r="K1032" i="9"/>
  <c r="J1032" i="9"/>
  <c r="P1031" i="9"/>
  <c r="O1031" i="9"/>
  <c r="N1031" i="9"/>
  <c r="M1031" i="9"/>
  <c r="L1031" i="9"/>
  <c r="K1031" i="9"/>
  <c r="J1031" i="9"/>
  <c r="P1030" i="9"/>
  <c r="O1030" i="9"/>
  <c r="N1030" i="9"/>
  <c r="M1030" i="9"/>
  <c r="L1030" i="9"/>
  <c r="K1030" i="9"/>
  <c r="J1030" i="9"/>
  <c r="P1029" i="9"/>
  <c r="O1029" i="9"/>
  <c r="N1029" i="9"/>
  <c r="M1029" i="9"/>
  <c r="L1029" i="9"/>
  <c r="K1029" i="9"/>
  <c r="J1029" i="9"/>
  <c r="P1028" i="9"/>
  <c r="O1028" i="9"/>
  <c r="N1028" i="9"/>
  <c r="M1028" i="9"/>
  <c r="L1028" i="9"/>
  <c r="K1028" i="9"/>
  <c r="J1028" i="9"/>
  <c r="P1027" i="9"/>
  <c r="O1027" i="9"/>
  <c r="N1027" i="9"/>
  <c r="M1027" i="9"/>
  <c r="L1027" i="9"/>
  <c r="K1027" i="9"/>
  <c r="J1027" i="9"/>
  <c r="P1026" i="9"/>
  <c r="O1026" i="9"/>
  <c r="N1026" i="9"/>
  <c r="M1026" i="9"/>
  <c r="L1026" i="9"/>
  <c r="K1026" i="9"/>
  <c r="J1026" i="9"/>
  <c r="P1025" i="9"/>
  <c r="O1025" i="9"/>
  <c r="N1025" i="9"/>
  <c r="M1025" i="9"/>
  <c r="L1025" i="9"/>
  <c r="K1025" i="9"/>
  <c r="J1025" i="9"/>
  <c r="P1024" i="9"/>
  <c r="O1024" i="9"/>
  <c r="N1024" i="9"/>
  <c r="M1024" i="9"/>
  <c r="L1024" i="9"/>
  <c r="K1024" i="9"/>
  <c r="J1024" i="9"/>
  <c r="P1023" i="9"/>
  <c r="O1023" i="9"/>
  <c r="N1023" i="9"/>
  <c r="M1023" i="9"/>
  <c r="L1023" i="9"/>
  <c r="K1023" i="9"/>
  <c r="J1023" i="9"/>
  <c r="P1022" i="9"/>
  <c r="O1022" i="9"/>
  <c r="N1022" i="9"/>
  <c r="M1022" i="9"/>
  <c r="L1022" i="9"/>
  <c r="K1022" i="9"/>
  <c r="J1022" i="9"/>
  <c r="O1021" i="9"/>
  <c r="N1021" i="9"/>
  <c r="M1021" i="9"/>
  <c r="L1021" i="9"/>
  <c r="K1021" i="9"/>
  <c r="J1021" i="9"/>
  <c r="P1020" i="9"/>
  <c r="O1020" i="9"/>
  <c r="N1020" i="9"/>
  <c r="M1020" i="9"/>
  <c r="L1020" i="9"/>
  <c r="K1020" i="9"/>
  <c r="J1020" i="9"/>
  <c r="P1019" i="9"/>
  <c r="O1019" i="9"/>
  <c r="N1019" i="9"/>
  <c r="M1019" i="9"/>
  <c r="L1019" i="9"/>
  <c r="K1019" i="9"/>
  <c r="J1019" i="9"/>
  <c r="P1018" i="9"/>
  <c r="O1018" i="9"/>
  <c r="N1018" i="9"/>
  <c r="M1018" i="9"/>
  <c r="L1018" i="9"/>
  <c r="K1018" i="9"/>
  <c r="J1018" i="9"/>
  <c r="P1017" i="9"/>
  <c r="O1017" i="9"/>
  <c r="N1017" i="9"/>
  <c r="M1017" i="9"/>
  <c r="L1017" i="9"/>
  <c r="K1017" i="9"/>
  <c r="J1017" i="9"/>
  <c r="P1016" i="9"/>
  <c r="O1016" i="9"/>
  <c r="N1016" i="9"/>
  <c r="M1016" i="9"/>
  <c r="L1016" i="9"/>
  <c r="K1016" i="9"/>
  <c r="J1016" i="9"/>
  <c r="P1015" i="9"/>
  <c r="O1015" i="9"/>
  <c r="N1015" i="9"/>
  <c r="M1015" i="9"/>
  <c r="L1015" i="9"/>
  <c r="K1015" i="9"/>
  <c r="J1015" i="9"/>
  <c r="P1014" i="9"/>
  <c r="O1014" i="9"/>
  <c r="N1014" i="9"/>
  <c r="M1014" i="9"/>
  <c r="L1014" i="9"/>
  <c r="K1014" i="9"/>
  <c r="J1014" i="9"/>
  <c r="P1013" i="9"/>
  <c r="O1013" i="9"/>
  <c r="N1013" i="9"/>
  <c r="M1013" i="9"/>
  <c r="L1013" i="9"/>
  <c r="K1013" i="9"/>
  <c r="J1013" i="9"/>
  <c r="P1012" i="9"/>
  <c r="O1012" i="9"/>
  <c r="N1012" i="9"/>
  <c r="M1012" i="9"/>
  <c r="L1012" i="9"/>
  <c r="K1012" i="9"/>
  <c r="J1012" i="9"/>
  <c r="P1011" i="9"/>
  <c r="O1011" i="9"/>
  <c r="N1011" i="9"/>
  <c r="M1011" i="9"/>
  <c r="L1011" i="9"/>
  <c r="K1011" i="9"/>
  <c r="J1011" i="9"/>
  <c r="P1010" i="9"/>
  <c r="O1010" i="9"/>
  <c r="N1010" i="9"/>
  <c r="M1010" i="9"/>
  <c r="L1010" i="9"/>
  <c r="K1010" i="9"/>
  <c r="J1010" i="9"/>
  <c r="P1009" i="9"/>
  <c r="O1009" i="9"/>
  <c r="N1009" i="9"/>
  <c r="M1009" i="9"/>
  <c r="L1009" i="9"/>
  <c r="K1009" i="9"/>
  <c r="J1009" i="9"/>
  <c r="P1008" i="9"/>
  <c r="O1008" i="9"/>
  <c r="N1008" i="9"/>
  <c r="M1008" i="9"/>
  <c r="L1008" i="9"/>
  <c r="K1008" i="9"/>
  <c r="J1008" i="9"/>
  <c r="P1007" i="9"/>
  <c r="O1007" i="9"/>
  <c r="N1007" i="9"/>
  <c r="M1007" i="9"/>
  <c r="L1007" i="9"/>
  <c r="K1007" i="9"/>
  <c r="J1007" i="9"/>
  <c r="P1006" i="9"/>
  <c r="O1006" i="9"/>
  <c r="N1006" i="9"/>
  <c r="M1006" i="9"/>
  <c r="L1006" i="9"/>
  <c r="K1006" i="9"/>
  <c r="J1006" i="9"/>
  <c r="P1005" i="9"/>
  <c r="O1005" i="9"/>
  <c r="N1005" i="9"/>
  <c r="M1005" i="9"/>
  <c r="L1005" i="9"/>
  <c r="K1005" i="9"/>
  <c r="J1005" i="9"/>
  <c r="P1004" i="9"/>
  <c r="O1004" i="9"/>
  <c r="N1004" i="9"/>
  <c r="M1004" i="9"/>
  <c r="L1004" i="9"/>
  <c r="K1004" i="9"/>
  <c r="J1004" i="9"/>
  <c r="O1003" i="9"/>
  <c r="N1003" i="9"/>
  <c r="M1003" i="9"/>
  <c r="L1003" i="9"/>
  <c r="K1003" i="9"/>
  <c r="J1003" i="9"/>
  <c r="P1002" i="9"/>
  <c r="O1002" i="9"/>
  <c r="N1002" i="9"/>
  <c r="M1002" i="9"/>
  <c r="L1002" i="9"/>
  <c r="K1002" i="9"/>
  <c r="J1002" i="9"/>
  <c r="P1001" i="9"/>
  <c r="O1001" i="9"/>
  <c r="N1001" i="9"/>
  <c r="M1001" i="9"/>
  <c r="L1001" i="9"/>
  <c r="K1001" i="9"/>
  <c r="J1001" i="9"/>
  <c r="P1000" i="9"/>
  <c r="O1000" i="9"/>
  <c r="N1000" i="9"/>
  <c r="M1000" i="9"/>
  <c r="L1000" i="9"/>
  <c r="K1000" i="9"/>
  <c r="J1000" i="9"/>
  <c r="P999" i="9"/>
  <c r="O999" i="9"/>
  <c r="N999" i="9"/>
  <c r="M999" i="9"/>
  <c r="L999" i="9"/>
  <c r="K999" i="9"/>
  <c r="J999" i="9"/>
  <c r="P998" i="9"/>
  <c r="O998" i="9"/>
  <c r="N998" i="9"/>
  <c r="M998" i="9"/>
  <c r="L998" i="9"/>
  <c r="K998" i="9"/>
  <c r="J998" i="9"/>
  <c r="P997" i="9"/>
  <c r="O997" i="9"/>
  <c r="N997" i="9"/>
  <c r="M997" i="9"/>
  <c r="L997" i="9"/>
  <c r="K997" i="9"/>
  <c r="J997" i="9"/>
  <c r="P996" i="9"/>
  <c r="O996" i="9"/>
  <c r="N996" i="9"/>
  <c r="M996" i="9"/>
  <c r="L996" i="9"/>
  <c r="K996" i="9"/>
  <c r="J996" i="9"/>
  <c r="P995" i="9"/>
  <c r="O995" i="9"/>
  <c r="N995" i="9"/>
  <c r="M995" i="9"/>
  <c r="L995" i="9"/>
  <c r="K995" i="9"/>
  <c r="J995" i="9"/>
  <c r="P994" i="9"/>
  <c r="O994" i="9"/>
  <c r="N994" i="9"/>
  <c r="M994" i="9"/>
  <c r="L994" i="9"/>
  <c r="K994" i="9"/>
  <c r="J994" i="9"/>
  <c r="P993" i="9"/>
  <c r="O993" i="9"/>
  <c r="N993" i="9"/>
  <c r="M993" i="9"/>
  <c r="L993" i="9"/>
  <c r="K993" i="9"/>
  <c r="J993" i="9"/>
  <c r="P992" i="9"/>
  <c r="O992" i="9"/>
  <c r="N992" i="9"/>
  <c r="M992" i="9"/>
  <c r="L992" i="9"/>
  <c r="K992" i="9"/>
  <c r="J992" i="9"/>
  <c r="P991" i="9"/>
  <c r="O991" i="9"/>
  <c r="N991" i="9"/>
  <c r="M991" i="9"/>
  <c r="L991" i="9"/>
  <c r="K991" i="9"/>
  <c r="J991" i="9"/>
  <c r="P990" i="9"/>
  <c r="O990" i="9"/>
  <c r="N990" i="9"/>
  <c r="M990" i="9"/>
  <c r="L990" i="9"/>
  <c r="K990" i="9"/>
  <c r="J990" i="9"/>
  <c r="P989" i="9"/>
  <c r="O989" i="9"/>
  <c r="N989" i="9"/>
  <c r="M989" i="9"/>
  <c r="L989" i="9"/>
  <c r="K989" i="9"/>
  <c r="J989" i="9"/>
  <c r="O988" i="9"/>
  <c r="N988" i="9"/>
  <c r="M988" i="9"/>
  <c r="L988" i="9"/>
  <c r="K988" i="9"/>
  <c r="J988" i="9"/>
  <c r="P987" i="9"/>
  <c r="O987" i="9"/>
  <c r="N987" i="9"/>
  <c r="M987" i="9"/>
  <c r="L987" i="9"/>
  <c r="K987" i="9"/>
  <c r="J987" i="9"/>
  <c r="P986" i="9"/>
  <c r="O986" i="9"/>
  <c r="N986" i="9"/>
  <c r="M986" i="9"/>
  <c r="L986" i="9"/>
  <c r="K986" i="9"/>
  <c r="J986" i="9"/>
  <c r="P985" i="9"/>
  <c r="O985" i="9"/>
  <c r="N985" i="9"/>
  <c r="M985" i="9"/>
  <c r="L985" i="9"/>
  <c r="K985" i="9"/>
  <c r="J985" i="9"/>
  <c r="P984" i="9"/>
  <c r="O984" i="9"/>
  <c r="N984" i="9"/>
  <c r="M984" i="9"/>
  <c r="L984" i="9"/>
  <c r="K984" i="9"/>
  <c r="J984" i="9"/>
  <c r="P983" i="9"/>
  <c r="O983" i="9"/>
  <c r="N983" i="9"/>
  <c r="M983" i="9"/>
  <c r="L983" i="9"/>
  <c r="K983" i="9"/>
  <c r="J983" i="9"/>
  <c r="P982" i="9"/>
  <c r="O982" i="9"/>
  <c r="N982" i="9"/>
  <c r="M982" i="9"/>
  <c r="L982" i="9"/>
  <c r="K982" i="9"/>
  <c r="J982" i="9"/>
  <c r="O981" i="9"/>
  <c r="N981" i="9"/>
  <c r="M981" i="9"/>
  <c r="L981" i="9"/>
  <c r="K981" i="9"/>
  <c r="J981" i="9"/>
  <c r="P980" i="9"/>
  <c r="O980" i="9"/>
  <c r="N980" i="9"/>
  <c r="M980" i="9"/>
  <c r="L980" i="9"/>
  <c r="K980" i="9"/>
  <c r="J980" i="9"/>
  <c r="P979" i="9"/>
  <c r="O979" i="9"/>
  <c r="N979" i="9"/>
  <c r="M979" i="9"/>
  <c r="L979" i="9"/>
  <c r="K979" i="9"/>
  <c r="J979" i="9"/>
  <c r="P978" i="9"/>
  <c r="O978" i="9"/>
  <c r="N978" i="9"/>
  <c r="M978" i="9"/>
  <c r="L978" i="9"/>
  <c r="K978" i="9"/>
  <c r="J978" i="9"/>
  <c r="P977" i="9"/>
  <c r="O977" i="9"/>
  <c r="N977" i="9"/>
  <c r="M977" i="9"/>
  <c r="L977" i="9"/>
  <c r="K977" i="9"/>
  <c r="J977" i="9"/>
  <c r="P976" i="9"/>
  <c r="O976" i="9"/>
  <c r="N976" i="9"/>
  <c r="M976" i="9"/>
  <c r="L976" i="9"/>
  <c r="K976" i="9"/>
  <c r="J976" i="9"/>
  <c r="P975" i="9"/>
  <c r="O975" i="9"/>
  <c r="N975" i="9"/>
  <c r="M975" i="9"/>
  <c r="L975" i="9"/>
  <c r="K975" i="9"/>
  <c r="J975" i="9"/>
  <c r="P974" i="9"/>
  <c r="O974" i="9"/>
  <c r="N974" i="9"/>
  <c r="M974" i="9"/>
  <c r="L974" i="9"/>
  <c r="K974" i="9"/>
  <c r="J974" i="9"/>
  <c r="P973" i="9"/>
  <c r="O973" i="9"/>
  <c r="N973" i="9"/>
  <c r="M973" i="9"/>
  <c r="L973" i="9"/>
  <c r="K973" i="9"/>
  <c r="J973" i="9"/>
  <c r="P972" i="9"/>
  <c r="O972" i="9"/>
  <c r="N972" i="9"/>
  <c r="M972" i="9"/>
  <c r="L972" i="9"/>
  <c r="K972" i="9"/>
  <c r="J972" i="9"/>
  <c r="P971" i="9"/>
  <c r="O971" i="9"/>
  <c r="N971" i="9"/>
  <c r="M971" i="9"/>
  <c r="L971" i="9"/>
  <c r="K971" i="9"/>
  <c r="J971" i="9"/>
  <c r="P970" i="9"/>
  <c r="O970" i="9"/>
  <c r="N970" i="9"/>
  <c r="M970" i="9"/>
  <c r="L970" i="9"/>
  <c r="K970" i="9"/>
  <c r="J970" i="9"/>
  <c r="P969" i="9"/>
  <c r="O969" i="9"/>
  <c r="N969" i="9"/>
  <c r="M969" i="9"/>
  <c r="L969" i="9"/>
  <c r="K969" i="9"/>
  <c r="J969" i="9"/>
  <c r="P968" i="9"/>
  <c r="O968" i="9"/>
  <c r="N968" i="9"/>
  <c r="M968" i="9"/>
  <c r="L968" i="9"/>
  <c r="K968" i="9"/>
  <c r="J968" i="9"/>
  <c r="P967" i="9"/>
  <c r="O967" i="9"/>
  <c r="N967" i="9"/>
  <c r="M967" i="9"/>
  <c r="L967" i="9"/>
  <c r="K967" i="9"/>
  <c r="J967" i="9"/>
  <c r="P966" i="9"/>
  <c r="O966" i="9"/>
  <c r="N966" i="9"/>
  <c r="M966" i="9"/>
  <c r="L966" i="9"/>
  <c r="K966" i="9"/>
  <c r="J966" i="9"/>
  <c r="P965" i="9"/>
  <c r="O965" i="9"/>
  <c r="N965" i="9"/>
  <c r="M965" i="9"/>
  <c r="L965" i="9"/>
  <c r="K965" i="9"/>
  <c r="J965" i="9"/>
  <c r="P964" i="9"/>
  <c r="O964" i="9"/>
  <c r="N964" i="9"/>
  <c r="M964" i="9"/>
  <c r="L964" i="9"/>
  <c r="K964" i="9"/>
  <c r="J964" i="9"/>
  <c r="P963" i="9"/>
  <c r="O963" i="9"/>
  <c r="N963" i="9"/>
  <c r="M963" i="9"/>
  <c r="L963" i="9"/>
  <c r="K963" i="9"/>
  <c r="J963" i="9"/>
  <c r="P962" i="9"/>
  <c r="O962" i="9"/>
  <c r="N962" i="9"/>
  <c r="M962" i="9"/>
  <c r="L962" i="9"/>
  <c r="K962" i="9"/>
  <c r="J962" i="9"/>
  <c r="P961" i="9"/>
  <c r="O961" i="9"/>
  <c r="N961" i="9"/>
  <c r="M961" i="9"/>
  <c r="L961" i="9"/>
  <c r="K961" i="9"/>
  <c r="J961" i="9"/>
  <c r="P960" i="9"/>
  <c r="O960" i="9"/>
  <c r="N960" i="9"/>
  <c r="M960" i="9"/>
  <c r="L960" i="9"/>
  <c r="K960" i="9"/>
  <c r="J960" i="9"/>
  <c r="P959" i="9"/>
  <c r="O959" i="9"/>
  <c r="N959" i="9"/>
  <c r="M959" i="9"/>
  <c r="L959" i="9"/>
  <c r="K959" i="9"/>
  <c r="J959" i="9"/>
  <c r="P958" i="9"/>
  <c r="O958" i="9"/>
  <c r="N958" i="9"/>
  <c r="M958" i="9"/>
  <c r="L958" i="9"/>
  <c r="K958" i="9"/>
  <c r="J958" i="9"/>
  <c r="P957" i="9"/>
  <c r="O957" i="9"/>
  <c r="N957" i="9"/>
  <c r="M957" i="9"/>
  <c r="L957" i="9"/>
  <c r="K957" i="9"/>
  <c r="J957" i="9"/>
  <c r="P956" i="9"/>
  <c r="O956" i="9"/>
  <c r="N956" i="9"/>
  <c r="M956" i="9"/>
  <c r="L956" i="9"/>
  <c r="K956" i="9"/>
  <c r="J956" i="9"/>
  <c r="P955" i="9"/>
  <c r="O955" i="9"/>
  <c r="N955" i="9"/>
  <c r="M955" i="9"/>
  <c r="L955" i="9"/>
  <c r="K955" i="9"/>
  <c r="J955" i="9"/>
  <c r="P954" i="9"/>
  <c r="O954" i="9"/>
  <c r="N954" i="9"/>
  <c r="M954" i="9"/>
  <c r="L954" i="9"/>
  <c r="K954" i="9"/>
  <c r="J954" i="9"/>
  <c r="P953" i="9"/>
  <c r="O953" i="9"/>
  <c r="N953" i="9"/>
  <c r="M953" i="9"/>
  <c r="L953" i="9"/>
  <c r="K953" i="9"/>
  <c r="J953" i="9"/>
  <c r="P952" i="9"/>
  <c r="O952" i="9"/>
  <c r="N952" i="9"/>
  <c r="M952" i="9"/>
  <c r="L952" i="9"/>
  <c r="K952" i="9"/>
  <c r="J952" i="9"/>
  <c r="P951" i="9"/>
  <c r="O951" i="9"/>
  <c r="N951" i="9"/>
  <c r="M951" i="9"/>
  <c r="L951" i="9"/>
  <c r="K951" i="9"/>
  <c r="J951" i="9"/>
  <c r="P950" i="9"/>
  <c r="O950" i="9"/>
  <c r="N950" i="9"/>
  <c r="M950" i="9"/>
  <c r="L950" i="9"/>
  <c r="K950" i="9"/>
  <c r="J950" i="9"/>
  <c r="P949" i="9"/>
  <c r="O949" i="9"/>
  <c r="N949" i="9"/>
  <c r="M949" i="9"/>
  <c r="L949" i="9"/>
  <c r="K949" i="9"/>
  <c r="J949" i="9"/>
  <c r="P948" i="9"/>
  <c r="O948" i="9"/>
  <c r="N948" i="9"/>
  <c r="M948" i="9"/>
  <c r="L948" i="9"/>
  <c r="K948" i="9"/>
  <c r="J948" i="9"/>
  <c r="P947" i="9"/>
  <c r="O947" i="9"/>
  <c r="N947" i="9"/>
  <c r="M947" i="9"/>
  <c r="L947" i="9"/>
  <c r="K947" i="9"/>
  <c r="J947" i="9"/>
  <c r="P946" i="9"/>
  <c r="O946" i="9"/>
  <c r="N946" i="9"/>
  <c r="M946" i="9"/>
  <c r="L946" i="9"/>
  <c r="K946" i="9"/>
  <c r="J946" i="9"/>
  <c r="P945" i="9"/>
  <c r="O945" i="9"/>
  <c r="N945" i="9"/>
  <c r="M945" i="9"/>
  <c r="L945" i="9"/>
  <c r="K945" i="9"/>
  <c r="J945" i="9"/>
  <c r="P944" i="9"/>
  <c r="O944" i="9"/>
  <c r="N944" i="9"/>
  <c r="M944" i="9"/>
  <c r="L944" i="9"/>
  <c r="K944" i="9"/>
  <c r="J944" i="9"/>
  <c r="P943" i="9"/>
  <c r="O943" i="9"/>
  <c r="N943" i="9"/>
  <c r="M943" i="9"/>
  <c r="L943" i="9"/>
  <c r="K943" i="9"/>
  <c r="J943" i="9"/>
  <c r="P942" i="9"/>
  <c r="O942" i="9"/>
  <c r="N942" i="9"/>
  <c r="M942" i="9"/>
  <c r="L942" i="9"/>
  <c r="K942" i="9"/>
  <c r="J942" i="9"/>
  <c r="P941" i="9"/>
  <c r="O941" i="9"/>
  <c r="N941" i="9"/>
  <c r="M941" i="9"/>
  <c r="L941" i="9"/>
  <c r="K941" i="9"/>
  <c r="J941" i="9"/>
  <c r="P940" i="9"/>
  <c r="O940" i="9"/>
  <c r="N940" i="9"/>
  <c r="M940" i="9"/>
  <c r="L940" i="9"/>
  <c r="K940" i="9"/>
  <c r="J940" i="9"/>
  <c r="P939" i="9"/>
  <c r="O939" i="9"/>
  <c r="N939" i="9"/>
  <c r="M939" i="9"/>
  <c r="L939" i="9"/>
  <c r="K939" i="9"/>
  <c r="J939" i="9"/>
  <c r="P938" i="9"/>
  <c r="O938" i="9"/>
  <c r="N938" i="9"/>
  <c r="M938" i="9"/>
  <c r="L938" i="9"/>
  <c r="K938" i="9"/>
  <c r="J938" i="9"/>
  <c r="P937" i="9"/>
  <c r="O937" i="9"/>
  <c r="N937" i="9"/>
  <c r="M937" i="9"/>
  <c r="L937" i="9"/>
  <c r="K937" i="9"/>
  <c r="J937" i="9"/>
  <c r="P936" i="9"/>
  <c r="O936" i="9"/>
  <c r="N936" i="9"/>
  <c r="M936" i="9"/>
  <c r="L936" i="9"/>
  <c r="K936" i="9"/>
  <c r="J936" i="9"/>
  <c r="P935" i="9"/>
  <c r="O935" i="9"/>
  <c r="N935" i="9"/>
  <c r="M935" i="9"/>
  <c r="L935" i="9"/>
  <c r="K935" i="9"/>
  <c r="J935" i="9"/>
  <c r="P934" i="9"/>
  <c r="O934" i="9"/>
  <c r="N934" i="9"/>
  <c r="M934" i="9"/>
  <c r="L934" i="9"/>
  <c r="K934" i="9"/>
  <c r="J934" i="9"/>
  <c r="P933" i="9"/>
  <c r="O933" i="9"/>
  <c r="N933" i="9"/>
  <c r="M933" i="9"/>
  <c r="L933" i="9"/>
  <c r="K933" i="9"/>
  <c r="J933" i="9"/>
  <c r="P932" i="9"/>
  <c r="O932" i="9"/>
  <c r="N932" i="9"/>
  <c r="M932" i="9"/>
  <c r="L932" i="9"/>
  <c r="K932" i="9"/>
  <c r="J932" i="9"/>
  <c r="P931" i="9"/>
  <c r="O931" i="9"/>
  <c r="N931" i="9"/>
  <c r="M931" i="9"/>
  <c r="L931" i="9"/>
  <c r="K931" i="9"/>
  <c r="J931" i="9"/>
  <c r="P930" i="9"/>
  <c r="O930" i="9"/>
  <c r="N930" i="9"/>
  <c r="M930" i="9"/>
  <c r="L930" i="9"/>
  <c r="K930" i="9"/>
  <c r="J930" i="9"/>
  <c r="P929" i="9"/>
  <c r="O929" i="9"/>
  <c r="N929" i="9"/>
  <c r="M929" i="9"/>
  <c r="L929" i="9"/>
  <c r="K929" i="9"/>
  <c r="J929" i="9"/>
  <c r="P928" i="9"/>
  <c r="O928" i="9"/>
  <c r="N928" i="9"/>
  <c r="M928" i="9"/>
  <c r="L928" i="9"/>
  <c r="K928" i="9"/>
  <c r="J928" i="9"/>
  <c r="P927" i="9"/>
  <c r="O927" i="9"/>
  <c r="N927" i="9"/>
  <c r="M927" i="9"/>
  <c r="L927" i="9"/>
  <c r="K927" i="9"/>
  <c r="J927" i="9"/>
  <c r="P926" i="9"/>
  <c r="O926" i="9"/>
  <c r="N926" i="9"/>
  <c r="M926" i="9"/>
  <c r="L926" i="9"/>
  <c r="K926" i="9"/>
  <c r="J926" i="9"/>
  <c r="O925" i="9"/>
  <c r="N925" i="9"/>
  <c r="M925" i="9"/>
  <c r="L925" i="9"/>
  <c r="K925" i="9"/>
  <c r="J925" i="9"/>
  <c r="O924" i="9"/>
  <c r="N924" i="9"/>
  <c r="M924" i="9"/>
  <c r="L924" i="9"/>
  <c r="K924" i="9"/>
  <c r="J924" i="9"/>
  <c r="P923" i="9"/>
  <c r="O923" i="9"/>
  <c r="N923" i="9"/>
  <c r="M923" i="9"/>
  <c r="L923" i="9"/>
  <c r="K923" i="9"/>
  <c r="J923" i="9"/>
  <c r="P922" i="9"/>
  <c r="O922" i="9"/>
  <c r="N922" i="9"/>
  <c r="M922" i="9"/>
  <c r="L922" i="9"/>
  <c r="K922" i="9"/>
  <c r="J922" i="9"/>
  <c r="P921" i="9"/>
  <c r="O921" i="9"/>
  <c r="N921" i="9"/>
  <c r="M921" i="9"/>
  <c r="L921" i="9"/>
  <c r="K921" i="9"/>
  <c r="J921" i="9"/>
  <c r="P920" i="9"/>
  <c r="O920" i="9"/>
  <c r="N920" i="9"/>
  <c r="M920" i="9"/>
  <c r="L920" i="9"/>
  <c r="K920" i="9"/>
  <c r="J920" i="9"/>
  <c r="P919" i="9"/>
  <c r="O919" i="9"/>
  <c r="N919" i="9"/>
  <c r="M919" i="9"/>
  <c r="L919" i="9"/>
  <c r="K919" i="9"/>
  <c r="J919" i="9"/>
  <c r="P918" i="9"/>
  <c r="O918" i="9"/>
  <c r="N918" i="9"/>
  <c r="M918" i="9"/>
  <c r="L918" i="9"/>
  <c r="K918" i="9"/>
  <c r="J918" i="9"/>
  <c r="P917" i="9"/>
  <c r="O917" i="9"/>
  <c r="N917" i="9"/>
  <c r="M917" i="9"/>
  <c r="L917" i="9"/>
  <c r="K917" i="9"/>
  <c r="J917" i="9"/>
  <c r="P916" i="9"/>
  <c r="O916" i="9"/>
  <c r="N916" i="9"/>
  <c r="M916" i="9"/>
  <c r="L916" i="9"/>
  <c r="K916" i="9"/>
  <c r="J916" i="9"/>
  <c r="P915" i="9"/>
  <c r="O915" i="9"/>
  <c r="N915" i="9"/>
  <c r="M915" i="9"/>
  <c r="L915" i="9"/>
  <c r="K915" i="9"/>
  <c r="J915" i="9"/>
  <c r="P914" i="9"/>
  <c r="O914" i="9"/>
  <c r="N914" i="9"/>
  <c r="M914" i="9"/>
  <c r="L914" i="9"/>
  <c r="K914" i="9"/>
  <c r="J914" i="9"/>
  <c r="P913" i="9"/>
  <c r="O913" i="9"/>
  <c r="N913" i="9"/>
  <c r="M913" i="9"/>
  <c r="L913" i="9"/>
  <c r="K913" i="9"/>
  <c r="J913" i="9"/>
  <c r="P912" i="9"/>
  <c r="O912" i="9"/>
  <c r="N912" i="9"/>
  <c r="M912" i="9"/>
  <c r="L912" i="9"/>
  <c r="K912" i="9"/>
  <c r="J912" i="9"/>
  <c r="P911" i="9"/>
  <c r="O911" i="9"/>
  <c r="N911" i="9"/>
  <c r="M911" i="9"/>
  <c r="L911" i="9"/>
  <c r="K911" i="9"/>
  <c r="J911" i="9"/>
  <c r="P910" i="9"/>
  <c r="O910" i="9"/>
  <c r="N910" i="9"/>
  <c r="M910" i="9"/>
  <c r="L910" i="9"/>
  <c r="K910" i="9"/>
  <c r="J910" i="9"/>
  <c r="P909" i="9"/>
  <c r="O909" i="9"/>
  <c r="N909" i="9"/>
  <c r="M909" i="9"/>
  <c r="L909" i="9"/>
  <c r="K909" i="9"/>
  <c r="J909" i="9"/>
  <c r="P908" i="9"/>
  <c r="O908" i="9"/>
  <c r="N908" i="9"/>
  <c r="M908" i="9"/>
  <c r="L908" i="9"/>
  <c r="K908" i="9"/>
  <c r="J908" i="9"/>
  <c r="P907" i="9"/>
  <c r="O907" i="9"/>
  <c r="N907" i="9"/>
  <c r="M907" i="9"/>
  <c r="L907" i="9"/>
  <c r="K907" i="9"/>
  <c r="J907" i="9"/>
  <c r="P906" i="9"/>
  <c r="O906" i="9"/>
  <c r="N906" i="9"/>
  <c r="M906" i="9"/>
  <c r="L906" i="9"/>
  <c r="K906" i="9"/>
  <c r="J906" i="9"/>
  <c r="P905" i="9"/>
  <c r="O905" i="9"/>
  <c r="N905" i="9"/>
  <c r="M905" i="9"/>
  <c r="L905" i="9"/>
  <c r="K905" i="9"/>
  <c r="J905" i="9"/>
  <c r="P904" i="9"/>
  <c r="O904" i="9"/>
  <c r="N904" i="9"/>
  <c r="M904" i="9"/>
  <c r="L904" i="9"/>
  <c r="K904" i="9"/>
  <c r="J904" i="9"/>
  <c r="P903" i="9"/>
  <c r="O903" i="9"/>
  <c r="N903" i="9"/>
  <c r="M903" i="9"/>
  <c r="L903" i="9"/>
  <c r="K903" i="9"/>
  <c r="J903" i="9"/>
  <c r="P902" i="9"/>
  <c r="O902" i="9"/>
  <c r="N902" i="9"/>
  <c r="M902" i="9"/>
  <c r="L902" i="9"/>
  <c r="K902" i="9"/>
  <c r="J902" i="9"/>
  <c r="P901" i="9"/>
  <c r="O901" i="9"/>
  <c r="N901" i="9"/>
  <c r="M901" i="9"/>
  <c r="L901" i="9"/>
  <c r="K901" i="9"/>
  <c r="J901" i="9"/>
  <c r="P900" i="9"/>
  <c r="O900" i="9"/>
  <c r="N900" i="9"/>
  <c r="M900" i="9"/>
  <c r="L900" i="9"/>
  <c r="K900" i="9"/>
  <c r="J900" i="9"/>
  <c r="P899" i="9"/>
  <c r="O899" i="9"/>
  <c r="N899" i="9"/>
  <c r="M899" i="9"/>
  <c r="L899" i="9"/>
  <c r="K899" i="9"/>
  <c r="J899" i="9"/>
  <c r="P898" i="9"/>
  <c r="O898" i="9"/>
  <c r="N898" i="9"/>
  <c r="M898" i="9"/>
  <c r="L898" i="9"/>
  <c r="K898" i="9"/>
  <c r="J898" i="9"/>
  <c r="P897" i="9"/>
  <c r="O897" i="9"/>
  <c r="N897" i="9"/>
  <c r="M897" i="9"/>
  <c r="L897" i="9"/>
  <c r="K897" i="9"/>
  <c r="J897" i="9"/>
  <c r="P896" i="9"/>
  <c r="O896" i="9"/>
  <c r="N896" i="9"/>
  <c r="M896" i="9"/>
  <c r="L896" i="9"/>
  <c r="K896" i="9"/>
  <c r="J896" i="9"/>
  <c r="P895" i="9"/>
  <c r="O895" i="9"/>
  <c r="N895" i="9"/>
  <c r="M895" i="9"/>
  <c r="L895" i="9"/>
  <c r="K895" i="9"/>
  <c r="J895" i="9"/>
  <c r="P894" i="9"/>
  <c r="O894" i="9"/>
  <c r="N894" i="9"/>
  <c r="M894" i="9"/>
  <c r="L894" i="9"/>
  <c r="K894" i="9"/>
  <c r="J894" i="9"/>
  <c r="P893" i="9"/>
  <c r="O893" i="9"/>
  <c r="N893" i="9"/>
  <c r="M893" i="9"/>
  <c r="L893" i="9"/>
  <c r="K893" i="9"/>
  <c r="J893" i="9"/>
  <c r="P892" i="9"/>
  <c r="O892" i="9"/>
  <c r="N892" i="9"/>
  <c r="M892" i="9"/>
  <c r="L892" i="9"/>
  <c r="K892" i="9"/>
  <c r="J892" i="9"/>
  <c r="P891" i="9"/>
  <c r="O891" i="9"/>
  <c r="N891" i="9"/>
  <c r="M891" i="9"/>
  <c r="L891" i="9"/>
  <c r="K891" i="9"/>
  <c r="J891" i="9"/>
  <c r="O890" i="9"/>
  <c r="N890" i="9"/>
  <c r="M890" i="9"/>
  <c r="L890" i="9"/>
  <c r="K890" i="9"/>
  <c r="J890" i="9"/>
  <c r="P889" i="9"/>
  <c r="O889" i="9"/>
  <c r="N889" i="9"/>
  <c r="M889" i="9"/>
  <c r="L889" i="9"/>
  <c r="K889" i="9"/>
  <c r="J889" i="9"/>
  <c r="P888" i="9"/>
  <c r="O888" i="9"/>
  <c r="N888" i="9"/>
  <c r="M888" i="9"/>
  <c r="L888" i="9"/>
  <c r="K888" i="9"/>
  <c r="J888" i="9"/>
  <c r="P887" i="9"/>
  <c r="O887" i="9"/>
  <c r="N887" i="9"/>
  <c r="M887" i="9"/>
  <c r="L887" i="9"/>
  <c r="K887" i="9"/>
  <c r="J887" i="9"/>
  <c r="P886" i="9"/>
  <c r="O886" i="9"/>
  <c r="N886" i="9"/>
  <c r="M886" i="9"/>
  <c r="L886" i="9"/>
  <c r="K886" i="9"/>
  <c r="J886" i="9"/>
  <c r="P885" i="9"/>
  <c r="O885" i="9"/>
  <c r="N885" i="9"/>
  <c r="M885" i="9"/>
  <c r="L885" i="9"/>
  <c r="K885" i="9"/>
  <c r="J885" i="9"/>
  <c r="P884" i="9"/>
  <c r="O884" i="9"/>
  <c r="N884" i="9"/>
  <c r="M884" i="9"/>
  <c r="L884" i="9"/>
  <c r="K884" i="9"/>
  <c r="J884" i="9"/>
  <c r="P883" i="9"/>
  <c r="O883" i="9"/>
  <c r="N883" i="9"/>
  <c r="M883" i="9"/>
  <c r="L883" i="9"/>
  <c r="K883" i="9"/>
  <c r="J883" i="9"/>
  <c r="P882" i="9"/>
  <c r="O882" i="9"/>
  <c r="N882" i="9"/>
  <c r="M882" i="9"/>
  <c r="L882" i="9"/>
  <c r="K882" i="9"/>
  <c r="J882" i="9"/>
  <c r="P881" i="9"/>
  <c r="O881" i="9"/>
  <c r="N881" i="9"/>
  <c r="M881" i="9"/>
  <c r="L881" i="9"/>
  <c r="K881" i="9"/>
  <c r="J881" i="9"/>
  <c r="P880" i="9"/>
  <c r="O880" i="9"/>
  <c r="N880" i="9"/>
  <c r="M880" i="9"/>
  <c r="L880" i="9"/>
  <c r="K880" i="9"/>
  <c r="J880" i="9"/>
  <c r="P879" i="9"/>
  <c r="O879" i="9"/>
  <c r="N879" i="9"/>
  <c r="M879" i="9"/>
  <c r="L879" i="9"/>
  <c r="K879" i="9"/>
  <c r="J879" i="9"/>
  <c r="P878" i="9"/>
  <c r="O878" i="9"/>
  <c r="N878" i="9"/>
  <c r="M878" i="9"/>
  <c r="L878" i="9"/>
  <c r="K878" i="9"/>
  <c r="J878" i="9"/>
  <c r="P877" i="9"/>
  <c r="O877" i="9"/>
  <c r="N877" i="9"/>
  <c r="M877" i="9"/>
  <c r="L877" i="9"/>
  <c r="K877" i="9"/>
  <c r="J877" i="9"/>
  <c r="P876" i="9"/>
  <c r="O876" i="9"/>
  <c r="N876" i="9"/>
  <c r="M876" i="9"/>
  <c r="L876" i="9"/>
  <c r="K876" i="9"/>
  <c r="J876" i="9"/>
  <c r="P875" i="9"/>
  <c r="O875" i="9"/>
  <c r="N875" i="9"/>
  <c r="M875" i="9"/>
  <c r="L875" i="9"/>
  <c r="K875" i="9"/>
  <c r="J875" i="9"/>
  <c r="P874" i="9"/>
  <c r="O874" i="9"/>
  <c r="N874" i="9"/>
  <c r="M874" i="9"/>
  <c r="L874" i="9"/>
  <c r="K874" i="9"/>
  <c r="J874" i="9"/>
  <c r="P873" i="9"/>
  <c r="O873" i="9"/>
  <c r="N873" i="9"/>
  <c r="M873" i="9"/>
  <c r="L873" i="9"/>
  <c r="K873" i="9"/>
  <c r="J873" i="9"/>
  <c r="P872" i="9"/>
  <c r="O872" i="9"/>
  <c r="N872" i="9"/>
  <c r="M872" i="9"/>
  <c r="L872" i="9"/>
  <c r="K872" i="9"/>
  <c r="J872" i="9"/>
  <c r="P871" i="9"/>
  <c r="O871" i="9"/>
  <c r="N871" i="9"/>
  <c r="M871" i="9"/>
  <c r="L871" i="9"/>
  <c r="K871" i="9"/>
  <c r="J871" i="9"/>
  <c r="P870" i="9"/>
  <c r="O870" i="9"/>
  <c r="N870" i="9"/>
  <c r="M870" i="9"/>
  <c r="L870" i="9"/>
  <c r="K870" i="9"/>
  <c r="J870" i="9"/>
  <c r="P869" i="9"/>
  <c r="O869" i="9"/>
  <c r="N869" i="9"/>
  <c r="M869" i="9"/>
  <c r="L869" i="9"/>
  <c r="K869" i="9"/>
  <c r="J869" i="9"/>
  <c r="P868" i="9"/>
  <c r="O868" i="9"/>
  <c r="N868" i="9"/>
  <c r="M868" i="9"/>
  <c r="L868" i="9"/>
  <c r="K868" i="9"/>
  <c r="J868" i="9"/>
  <c r="P867" i="9"/>
  <c r="O867" i="9"/>
  <c r="N867" i="9"/>
  <c r="M867" i="9"/>
  <c r="L867" i="9"/>
  <c r="K867" i="9"/>
  <c r="J867" i="9"/>
  <c r="P866" i="9"/>
  <c r="O866" i="9"/>
  <c r="N866" i="9"/>
  <c r="M866" i="9"/>
  <c r="L866" i="9"/>
  <c r="K866" i="9"/>
  <c r="J866" i="9"/>
  <c r="P865" i="9"/>
  <c r="O865" i="9"/>
  <c r="N865" i="9"/>
  <c r="M865" i="9"/>
  <c r="L865" i="9"/>
  <c r="K865" i="9"/>
  <c r="J865" i="9"/>
  <c r="P864" i="9"/>
  <c r="O864" i="9"/>
  <c r="N864" i="9"/>
  <c r="M864" i="9"/>
  <c r="L864" i="9"/>
  <c r="K864" i="9"/>
  <c r="J864" i="9"/>
  <c r="P863" i="9"/>
  <c r="O863" i="9"/>
  <c r="N863" i="9"/>
  <c r="M863" i="9"/>
  <c r="L863" i="9"/>
  <c r="K863" i="9"/>
  <c r="J863" i="9"/>
  <c r="P862" i="9"/>
  <c r="O862" i="9"/>
  <c r="N862" i="9"/>
  <c r="M862" i="9"/>
  <c r="L862" i="9"/>
  <c r="K862" i="9"/>
  <c r="J862" i="9"/>
  <c r="P861" i="9"/>
  <c r="O861" i="9"/>
  <c r="N861" i="9"/>
  <c r="M861" i="9"/>
  <c r="L861" i="9"/>
  <c r="K861" i="9"/>
  <c r="J861" i="9"/>
  <c r="P860" i="9"/>
  <c r="O860" i="9"/>
  <c r="N860" i="9"/>
  <c r="M860" i="9"/>
  <c r="L860" i="9"/>
  <c r="K860" i="9"/>
  <c r="J860" i="9"/>
  <c r="P859" i="9"/>
  <c r="O859" i="9"/>
  <c r="N859" i="9"/>
  <c r="M859" i="9"/>
  <c r="L859" i="9"/>
  <c r="K859" i="9"/>
  <c r="J859" i="9"/>
  <c r="P858" i="9"/>
  <c r="O858" i="9"/>
  <c r="N858" i="9"/>
  <c r="M858" i="9"/>
  <c r="L858" i="9"/>
  <c r="K858" i="9"/>
  <c r="J858" i="9"/>
  <c r="P857" i="9"/>
  <c r="O857" i="9"/>
  <c r="N857" i="9"/>
  <c r="M857" i="9"/>
  <c r="L857" i="9"/>
  <c r="K857" i="9"/>
  <c r="J857" i="9"/>
  <c r="P856" i="9"/>
  <c r="O856" i="9"/>
  <c r="N856" i="9"/>
  <c r="M856" i="9"/>
  <c r="L856" i="9"/>
  <c r="K856" i="9"/>
  <c r="J856" i="9"/>
  <c r="P855" i="9"/>
  <c r="O855" i="9"/>
  <c r="N855" i="9"/>
  <c r="M855" i="9"/>
  <c r="L855" i="9"/>
  <c r="K855" i="9"/>
  <c r="J855" i="9"/>
  <c r="P854" i="9"/>
  <c r="O854" i="9"/>
  <c r="N854" i="9"/>
  <c r="M854" i="9"/>
  <c r="L854" i="9"/>
  <c r="K854" i="9"/>
  <c r="J854" i="9"/>
  <c r="P853" i="9"/>
  <c r="O853" i="9"/>
  <c r="N853" i="9"/>
  <c r="M853" i="9"/>
  <c r="L853" i="9"/>
  <c r="K853" i="9"/>
  <c r="J853" i="9"/>
  <c r="P852" i="9"/>
  <c r="O852" i="9"/>
  <c r="N852" i="9"/>
  <c r="M852" i="9"/>
  <c r="L852" i="9"/>
  <c r="K852" i="9"/>
  <c r="J852" i="9"/>
  <c r="P851" i="9"/>
  <c r="O851" i="9"/>
  <c r="N851" i="9"/>
  <c r="M851" i="9"/>
  <c r="L851" i="9"/>
  <c r="K851" i="9"/>
  <c r="J851" i="9"/>
  <c r="P850" i="9"/>
  <c r="O850" i="9"/>
  <c r="N850" i="9"/>
  <c r="M850" i="9"/>
  <c r="L850" i="9"/>
  <c r="K850" i="9"/>
  <c r="J850" i="9"/>
  <c r="P849" i="9"/>
  <c r="O849" i="9"/>
  <c r="N849" i="9"/>
  <c r="M849" i="9"/>
  <c r="L849" i="9"/>
  <c r="K849" i="9"/>
  <c r="J849" i="9"/>
  <c r="P848" i="9"/>
  <c r="O848" i="9"/>
  <c r="N848" i="9"/>
  <c r="M848" i="9"/>
  <c r="L848" i="9"/>
  <c r="K848" i="9"/>
  <c r="J848" i="9"/>
  <c r="P847" i="9"/>
  <c r="O847" i="9"/>
  <c r="N847" i="9"/>
  <c r="M847" i="9"/>
  <c r="L847" i="9"/>
  <c r="K847" i="9"/>
  <c r="J847" i="9"/>
  <c r="P846" i="9"/>
  <c r="O846" i="9"/>
  <c r="N846" i="9"/>
  <c r="M846" i="9"/>
  <c r="L846" i="9"/>
  <c r="K846" i="9"/>
  <c r="J846" i="9"/>
  <c r="P845" i="9"/>
  <c r="O845" i="9"/>
  <c r="N845" i="9"/>
  <c r="M845" i="9"/>
  <c r="L845" i="9"/>
  <c r="K845" i="9"/>
  <c r="J845" i="9"/>
  <c r="P844" i="9"/>
  <c r="O844" i="9"/>
  <c r="N844" i="9"/>
  <c r="M844" i="9"/>
  <c r="L844" i="9"/>
  <c r="K844" i="9"/>
  <c r="J844" i="9"/>
  <c r="P843" i="9"/>
  <c r="O843" i="9"/>
  <c r="N843" i="9"/>
  <c r="M843" i="9"/>
  <c r="L843" i="9"/>
  <c r="K843" i="9"/>
  <c r="J843" i="9"/>
  <c r="P842" i="9"/>
  <c r="O842" i="9"/>
  <c r="N842" i="9"/>
  <c r="M842" i="9"/>
  <c r="L842" i="9"/>
  <c r="K842" i="9"/>
  <c r="J842" i="9"/>
  <c r="P841" i="9"/>
  <c r="O841" i="9"/>
  <c r="N841" i="9"/>
  <c r="M841" i="9"/>
  <c r="L841" i="9"/>
  <c r="K841" i="9"/>
  <c r="J841" i="9"/>
  <c r="P840" i="9"/>
  <c r="O840" i="9"/>
  <c r="N840" i="9"/>
  <c r="M840" i="9"/>
  <c r="L840" i="9"/>
  <c r="K840" i="9"/>
  <c r="J840" i="9"/>
  <c r="P839" i="9"/>
  <c r="O839" i="9"/>
  <c r="N839" i="9"/>
  <c r="M839" i="9"/>
  <c r="L839" i="9"/>
  <c r="K839" i="9"/>
  <c r="J839" i="9"/>
  <c r="P838" i="9"/>
  <c r="O838" i="9"/>
  <c r="N838" i="9"/>
  <c r="M838" i="9"/>
  <c r="L838" i="9"/>
  <c r="K838" i="9"/>
  <c r="J838" i="9"/>
  <c r="P837" i="9"/>
  <c r="O837" i="9"/>
  <c r="N837" i="9"/>
  <c r="M837" i="9"/>
  <c r="L837" i="9"/>
  <c r="K837" i="9"/>
  <c r="J837" i="9"/>
  <c r="P836" i="9"/>
  <c r="O836" i="9"/>
  <c r="N836" i="9"/>
  <c r="M836" i="9"/>
  <c r="L836" i="9"/>
  <c r="K836" i="9"/>
  <c r="J836" i="9"/>
  <c r="P835" i="9"/>
  <c r="O835" i="9"/>
  <c r="N835" i="9"/>
  <c r="M835" i="9"/>
  <c r="L835" i="9"/>
  <c r="K835" i="9"/>
  <c r="J835" i="9"/>
  <c r="P834" i="9"/>
  <c r="O834" i="9"/>
  <c r="N834" i="9"/>
  <c r="M834" i="9"/>
  <c r="L834" i="9"/>
  <c r="K834" i="9"/>
  <c r="J834" i="9"/>
  <c r="O833" i="9"/>
  <c r="N833" i="9"/>
  <c r="M833" i="9"/>
  <c r="L833" i="9"/>
  <c r="K833" i="9"/>
  <c r="J833" i="9"/>
  <c r="P832" i="9"/>
  <c r="O832" i="9"/>
  <c r="N832" i="9"/>
  <c r="M832" i="9"/>
  <c r="L832" i="9"/>
  <c r="K832" i="9"/>
  <c r="J832" i="9"/>
  <c r="P831" i="9"/>
  <c r="O831" i="9"/>
  <c r="N831" i="9"/>
  <c r="M831" i="9"/>
  <c r="L831" i="9"/>
  <c r="K831" i="9"/>
  <c r="J831" i="9"/>
  <c r="P830" i="9"/>
  <c r="O830" i="9"/>
  <c r="N830" i="9"/>
  <c r="M830" i="9"/>
  <c r="L830" i="9"/>
  <c r="K830" i="9"/>
  <c r="J830" i="9"/>
  <c r="P829" i="9"/>
  <c r="O829" i="9"/>
  <c r="N829" i="9"/>
  <c r="M829" i="9"/>
  <c r="L829" i="9"/>
  <c r="K829" i="9"/>
  <c r="J829" i="9"/>
  <c r="P828" i="9"/>
  <c r="O828" i="9"/>
  <c r="N828" i="9"/>
  <c r="M828" i="9"/>
  <c r="L828" i="9"/>
  <c r="K828" i="9"/>
  <c r="J828" i="9"/>
  <c r="P827" i="9"/>
  <c r="O827" i="9"/>
  <c r="N827" i="9"/>
  <c r="M827" i="9"/>
  <c r="L827" i="9"/>
  <c r="K827" i="9"/>
  <c r="J827" i="9"/>
  <c r="P826" i="9"/>
  <c r="O826" i="9"/>
  <c r="N826" i="9"/>
  <c r="M826" i="9"/>
  <c r="L826" i="9"/>
  <c r="K826" i="9"/>
  <c r="J826" i="9"/>
  <c r="P825" i="9"/>
  <c r="O825" i="9"/>
  <c r="N825" i="9"/>
  <c r="M825" i="9"/>
  <c r="L825" i="9"/>
  <c r="K825" i="9"/>
  <c r="J825" i="9"/>
  <c r="P824" i="9"/>
  <c r="O824" i="9"/>
  <c r="N824" i="9"/>
  <c r="M824" i="9"/>
  <c r="L824" i="9"/>
  <c r="K824" i="9"/>
  <c r="J824" i="9"/>
  <c r="P823" i="9"/>
  <c r="O823" i="9"/>
  <c r="N823" i="9"/>
  <c r="M823" i="9"/>
  <c r="L823" i="9"/>
  <c r="K823" i="9"/>
  <c r="J823" i="9"/>
  <c r="P822" i="9"/>
  <c r="O822" i="9"/>
  <c r="N822" i="9"/>
  <c r="M822" i="9"/>
  <c r="L822" i="9"/>
  <c r="K822" i="9"/>
  <c r="J822" i="9"/>
  <c r="P821" i="9"/>
  <c r="O821" i="9"/>
  <c r="N821" i="9"/>
  <c r="M821" i="9"/>
  <c r="L821" i="9"/>
  <c r="K821" i="9"/>
  <c r="J821" i="9"/>
  <c r="P820" i="9"/>
  <c r="O820" i="9"/>
  <c r="N820" i="9"/>
  <c r="M820" i="9"/>
  <c r="L820" i="9"/>
  <c r="K820" i="9"/>
  <c r="J820" i="9"/>
  <c r="P819" i="9"/>
  <c r="O819" i="9"/>
  <c r="N819" i="9"/>
  <c r="M819" i="9"/>
  <c r="L819" i="9"/>
  <c r="K819" i="9"/>
  <c r="J819" i="9"/>
  <c r="P818" i="9"/>
  <c r="O818" i="9"/>
  <c r="N818" i="9"/>
  <c r="M818" i="9"/>
  <c r="L818" i="9"/>
  <c r="K818" i="9"/>
  <c r="J818" i="9"/>
  <c r="P817" i="9"/>
  <c r="O817" i="9"/>
  <c r="N817" i="9"/>
  <c r="M817" i="9"/>
  <c r="L817" i="9"/>
  <c r="K817" i="9"/>
  <c r="J817" i="9"/>
  <c r="P816" i="9"/>
  <c r="O816" i="9"/>
  <c r="N816" i="9"/>
  <c r="M816" i="9"/>
  <c r="L816" i="9"/>
  <c r="K816" i="9"/>
  <c r="J816" i="9"/>
  <c r="P815" i="9"/>
  <c r="O815" i="9"/>
  <c r="N815" i="9"/>
  <c r="M815" i="9"/>
  <c r="L815" i="9"/>
  <c r="K815" i="9"/>
  <c r="J815" i="9"/>
  <c r="P814" i="9"/>
  <c r="O814" i="9"/>
  <c r="N814" i="9"/>
  <c r="M814" i="9"/>
  <c r="L814" i="9"/>
  <c r="K814" i="9"/>
  <c r="J814" i="9"/>
  <c r="P813" i="9"/>
  <c r="O813" i="9"/>
  <c r="N813" i="9"/>
  <c r="M813" i="9"/>
  <c r="L813" i="9"/>
  <c r="K813" i="9"/>
  <c r="J813" i="9"/>
  <c r="P812" i="9"/>
  <c r="O812" i="9"/>
  <c r="N812" i="9"/>
  <c r="M812" i="9"/>
  <c r="L812" i="9"/>
  <c r="K812" i="9"/>
  <c r="J812" i="9"/>
  <c r="P811" i="9"/>
  <c r="O811" i="9"/>
  <c r="N811" i="9"/>
  <c r="M811" i="9"/>
  <c r="L811" i="9"/>
  <c r="K811" i="9"/>
  <c r="J811" i="9"/>
  <c r="P810" i="9"/>
  <c r="O810" i="9"/>
  <c r="N810" i="9"/>
  <c r="M810" i="9"/>
  <c r="L810" i="9"/>
  <c r="K810" i="9"/>
  <c r="J810" i="9"/>
  <c r="P809" i="9"/>
  <c r="O809" i="9"/>
  <c r="N809" i="9"/>
  <c r="M809" i="9"/>
  <c r="L809" i="9"/>
  <c r="K809" i="9"/>
  <c r="J809" i="9"/>
  <c r="P808" i="9"/>
  <c r="O808" i="9"/>
  <c r="N808" i="9"/>
  <c r="M808" i="9"/>
  <c r="L808" i="9"/>
  <c r="K808" i="9"/>
  <c r="J808" i="9"/>
  <c r="P807" i="9"/>
  <c r="O807" i="9"/>
  <c r="N807" i="9"/>
  <c r="M807" i="9"/>
  <c r="L807" i="9"/>
  <c r="K807" i="9"/>
  <c r="J807" i="9"/>
  <c r="P806" i="9"/>
  <c r="O806" i="9"/>
  <c r="N806" i="9"/>
  <c r="M806" i="9"/>
  <c r="L806" i="9"/>
  <c r="K806" i="9"/>
  <c r="J806" i="9"/>
  <c r="P805" i="9"/>
  <c r="O805" i="9"/>
  <c r="N805" i="9"/>
  <c r="M805" i="9"/>
  <c r="L805" i="9"/>
  <c r="K805" i="9"/>
  <c r="J805" i="9"/>
  <c r="P804" i="9"/>
  <c r="O804" i="9"/>
  <c r="N804" i="9"/>
  <c r="M804" i="9"/>
  <c r="L804" i="9"/>
  <c r="K804" i="9"/>
  <c r="J804" i="9"/>
  <c r="P803" i="9"/>
  <c r="O803" i="9"/>
  <c r="N803" i="9"/>
  <c r="M803" i="9"/>
  <c r="L803" i="9"/>
  <c r="K803" i="9"/>
  <c r="J803" i="9"/>
  <c r="P802" i="9"/>
  <c r="O802" i="9"/>
  <c r="N802" i="9"/>
  <c r="M802" i="9"/>
  <c r="L802" i="9"/>
  <c r="K802" i="9"/>
  <c r="J802" i="9"/>
  <c r="P801" i="9"/>
  <c r="O801" i="9"/>
  <c r="N801" i="9"/>
  <c r="M801" i="9"/>
  <c r="L801" i="9"/>
  <c r="K801" i="9"/>
  <c r="J801" i="9"/>
  <c r="P800" i="9"/>
  <c r="O800" i="9"/>
  <c r="N800" i="9"/>
  <c r="M800" i="9"/>
  <c r="L800" i="9"/>
  <c r="K800" i="9"/>
  <c r="J800" i="9"/>
  <c r="P799" i="9"/>
  <c r="O799" i="9"/>
  <c r="N799" i="9"/>
  <c r="M799" i="9"/>
  <c r="L799" i="9"/>
  <c r="K799" i="9"/>
  <c r="J799" i="9"/>
  <c r="P798" i="9"/>
  <c r="O798" i="9"/>
  <c r="N798" i="9"/>
  <c r="M798" i="9"/>
  <c r="L798" i="9"/>
  <c r="K798" i="9"/>
  <c r="J798" i="9"/>
  <c r="P797" i="9"/>
  <c r="O797" i="9"/>
  <c r="N797" i="9"/>
  <c r="M797" i="9"/>
  <c r="L797" i="9"/>
  <c r="K797" i="9"/>
  <c r="J797" i="9"/>
  <c r="P796" i="9"/>
  <c r="O796" i="9"/>
  <c r="N796" i="9"/>
  <c r="M796" i="9"/>
  <c r="L796" i="9"/>
  <c r="K796" i="9"/>
  <c r="J796" i="9"/>
  <c r="P795" i="9"/>
  <c r="O795" i="9"/>
  <c r="N795" i="9"/>
  <c r="M795" i="9"/>
  <c r="L795" i="9"/>
  <c r="K795" i="9"/>
  <c r="J795" i="9"/>
  <c r="P794" i="9"/>
  <c r="O794" i="9"/>
  <c r="N794" i="9"/>
  <c r="M794" i="9"/>
  <c r="L794" i="9"/>
  <c r="K794" i="9"/>
  <c r="J794" i="9"/>
  <c r="P793" i="9"/>
  <c r="O793" i="9"/>
  <c r="N793" i="9"/>
  <c r="M793" i="9"/>
  <c r="L793" i="9"/>
  <c r="K793" i="9"/>
  <c r="J793" i="9"/>
  <c r="P792" i="9"/>
  <c r="O792" i="9"/>
  <c r="N792" i="9"/>
  <c r="M792" i="9"/>
  <c r="L792" i="9"/>
  <c r="K792" i="9"/>
  <c r="J792" i="9"/>
  <c r="P791" i="9"/>
  <c r="O791" i="9"/>
  <c r="N791" i="9"/>
  <c r="M791" i="9"/>
  <c r="L791" i="9"/>
  <c r="K791" i="9"/>
  <c r="J791" i="9"/>
  <c r="P790" i="9"/>
  <c r="O790" i="9"/>
  <c r="N790" i="9"/>
  <c r="M790" i="9"/>
  <c r="L790" i="9"/>
  <c r="K790" i="9"/>
  <c r="J790" i="9"/>
  <c r="P789" i="9"/>
  <c r="O789" i="9"/>
  <c r="N789" i="9"/>
  <c r="M789" i="9"/>
  <c r="L789" i="9"/>
  <c r="K789" i="9"/>
  <c r="J789" i="9"/>
  <c r="P788" i="9"/>
  <c r="O788" i="9"/>
  <c r="N788" i="9"/>
  <c r="M788" i="9"/>
  <c r="L788" i="9"/>
  <c r="K788" i="9"/>
  <c r="J788" i="9"/>
  <c r="P787" i="9"/>
  <c r="O787" i="9"/>
  <c r="N787" i="9"/>
  <c r="M787" i="9"/>
  <c r="L787" i="9"/>
  <c r="K787" i="9"/>
  <c r="J787" i="9"/>
  <c r="P786" i="9"/>
  <c r="O786" i="9"/>
  <c r="N786" i="9"/>
  <c r="M786" i="9"/>
  <c r="L786" i="9"/>
  <c r="K786" i="9"/>
  <c r="J786" i="9"/>
  <c r="P785" i="9"/>
  <c r="O785" i="9"/>
  <c r="N785" i="9"/>
  <c r="M785" i="9"/>
  <c r="L785" i="9"/>
  <c r="K785" i="9"/>
  <c r="J785" i="9"/>
  <c r="P784" i="9"/>
  <c r="O784" i="9"/>
  <c r="N784" i="9"/>
  <c r="M784" i="9"/>
  <c r="L784" i="9"/>
  <c r="K784" i="9"/>
  <c r="J784" i="9"/>
  <c r="P783" i="9"/>
  <c r="O783" i="9"/>
  <c r="N783" i="9"/>
  <c r="M783" i="9"/>
  <c r="L783" i="9"/>
  <c r="K783" i="9"/>
  <c r="J783" i="9"/>
  <c r="P782" i="9"/>
  <c r="O782" i="9"/>
  <c r="N782" i="9"/>
  <c r="M782" i="9"/>
  <c r="L782" i="9"/>
  <c r="K782" i="9"/>
  <c r="J782" i="9"/>
  <c r="P781" i="9"/>
  <c r="O781" i="9"/>
  <c r="N781" i="9"/>
  <c r="M781" i="9"/>
  <c r="L781" i="9"/>
  <c r="K781" i="9"/>
  <c r="J781" i="9"/>
  <c r="P780" i="9"/>
  <c r="O780" i="9"/>
  <c r="N780" i="9"/>
  <c r="M780" i="9"/>
  <c r="L780" i="9"/>
  <c r="K780" i="9"/>
  <c r="J780" i="9"/>
  <c r="P779" i="9"/>
  <c r="O779" i="9"/>
  <c r="N779" i="9"/>
  <c r="M779" i="9"/>
  <c r="L779" i="9"/>
  <c r="K779" i="9"/>
  <c r="J779" i="9"/>
  <c r="P778" i="9"/>
  <c r="O778" i="9"/>
  <c r="N778" i="9"/>
  <c r="M778" i="9"/>
  <c r="L778" i="9"/>
  <c r="K778" i="9"/>
  <c r="J778" i="9"/>
  <c r="P777" i="9"/>
  <c r="O777" i="9"/>
  <c r="N777" i="9"/>
  <c r="M777" i="9"/>
  <c r="L777" i="9"/>
  <c r="K777" i="9"/>
  <c r="J777" i="9"/>
  <c r="P776" i="9"/>
  <c r="O776" i="9"/>
  <c r="N776" i="9"/>
  <c r="M776" i="9"/>
  <c r="L776" i="9"/>
  <c r="K776" i="9"/>
  <c r="J776" i="9"/>
  <c r="P775" i="9"/>
  <c r="O775" i="9"/>
  <c r="N775" i="9"/>
  <c r="M775" i="9"/>
  <c r="L775" i="9"/>
  <c r="K775" i="9"/>
  <c r="J775" i="9"/>
  <c r="P774" i="9"/>
  <c r="O774" i="9"/>
  <c r="N774" i="9"/>
  <c r="M774" i="9"/>
  <c r="L774" i="9"/>
  <c r="K774" i="9"/>
  <c r="J774" i="9"/>
  <c r="P773" i="9"/>
  <c r="O773" i="9"/>
  <c r="N773" i="9"/>
  <c r="M773" i="9"/>
  <c r="L773" i="9"/>
  <c r="K773" i="9"/>
  <c r="J773" i="9"/>
  <c r="P772" i="9"/>
  <c r="O772" i="9"/>
  <c r="N772" i="9"/>
  <c r="M772" i="9"/>
  <c r="L772" i="9"/>
  <c r="K772" i="9"/>
  <c r="J772" i="9"/>
  <c r="P771" i="9"/>
  <c r="O771" i="9"/>
  <c r="N771" i="9"/>
  <c r="M771" i="9"/>
  <c r="L771" i="9"/>
  <c r="K771" i="9"/>
  <c r="J771" i="9"/>
  <c r="P770" i="9"/>
  <c r="O770" i="9"/>
  <c r="N770" i="9"/>
  <c r="M770" i="9"/>
  <c r="L770" i="9"/>
  <c r="K770" i="9"/>
  <c r="J770" i="9"/>
  <c r="P769" i="9"/>
  <c r="O769" i="9"/>
  <c r="N769" i="9"/>
  <c r="M769" i="9"/>
  <c r="L769" i="9"/>
  <c r="K769" i="9"/>
  <c r="J769" i="9"/>
  <c r="P768" i="9"/>
  <c r="O768" i="9"/>
  <c r="N768" i="9"/>
  <c r="M768" i="9"/>
  <c r="L768" i="9"/>
  <c r="K768" i="9"/>
  <c r="J768" i="9"/>
  <c r="P767" i="9"/>
  <c r="O767" i="9"/>
  <c r="N767" i="9"/>
  <c r="M767" i="9"/>
  <c r="L767" i="9"/>
  <c r="K767" i="9"/>
  <c r="J767" i="9"/>
  <c r="P766" i="9"/>
  <c r="O766" i="9"/>
  <c r="N766" i="9"/>
  <c r="M766" i="9"/>
  <c r="L766" i="9"/>
  <c r="K766" i="9"/>
  <c r="J766" i="9"/>
  <c r="P765" i="9"/>
  <c r="O765" i="9"/>
  <c r="N765" i="9"/>
  <c r="M765" i="9"/>
  <c r="L765" i="9"/>
  <c r="K765" i="9"/>
  <c r="J765" i="9"/>
  <c r="P764" i="9"/>
  <c r="O764" i="9"/>
  <c r="N764" i="9"/>
  <c r="M764" i="9"/>
  <c r="L764" i="9"/>
  <c r="K764" i="9"/>
  <c r="J764" i="9"/>
  <c r="P763" i="9"/>
  <c r="O763" i="9"/>
  <c r="N763" i="9"/>
  <c r="M763" i="9"/>
  <c r="L763" i="9"/>
  <c r="K763" i="9"/>
  <c r="J763" i="9"/>
  <c r="P762" i="9"/>
  <c r="O762" i="9"/>
  <c r="N762" i="9"/>
  <c r="M762" i="9"/>
  <c r="L762" i="9"/>
  <c r="K762" i="9"/>
  <c r="J762" i="9"/>
  <c r="P761" i="9"/>
  <c r="O761" i="9"/>
  <c r="N761" i="9"/>
  <c r="M761" i="9"/>
  <c r="L761" i="9"/>
  <c r="K761" i="9"/>
  <c r="J761" i="9"/>
  <c r="P760" i="9"/>
  <c r="O760" i="9"/>
  <c r="N760" i="9"/>
  <c r="M760" i="9"/>
  <c r="L760" i="9"/>
  <c r="K760" i="9"/>
  <c r="J760" i="9"/>
  <c r="P759" i="9"/>
  <c r="O759" i="9"/>
  <c r="N759" i="9"/>
  <c r="M759" i="9"/>
  <c r="L759" i="9"/>
  <c r="K759" i="9"/>
  <c r="J759" i="9"/>
  <c r="P758" i="9"/>
  <c r="O758" i="9"/>
  <c r="N758" i="9"/>
  <c r="M758" i="9"/>
  <c r="L758" i="9"/>
  <c r="K758" i="9"/>
  <c r="J758" i="9"/>
  <c r="P757" i="9"/>
  <c r="O757" i="9"/>
  <c r="N757" i="9"/>
  <c r="M757" i="9"/>
  <c r="L757" i="9"/>
  <c r="K757" i="9"/>
  <c r="J757" i="9"/>
  <c r="P756" i="9"/>
  <c r="O756" i="9"/>
  <c r="N756" i="9"/>
  <c r="M756" i="9"/>
  <c r="L756" i="9"/>
  <c r="K756" i="9"/>
  <c r="J756" i="9"/>
  <c r="P755" i="9"/>
  <c r="O755" i="9"/>
  <c r="N755" i="9"/>
  <c r="M755" i="9"/>
  <c r="L755" i="9"/>
  <c r="K755" i="9"/>
  <c r="J755" i="9"/>
  <c r="P754" i="9"/>
  <c r="O754" i="9"/>
  <c r="N754" i="9"/>
  <c r="M754" i="9"/>
  <c r="L754" i="9"/>
  <c r="K754" i="9"/>
  <c r="J754" i="9"/>
  <c r="P753" i="9"/>
  <c r="O753" i="9"/>
  <c r="N753" i="9"/>
  <c r="M753" i="9"/>
  <c r="L753" i="9"/>
  <c r="K753" i="9"/>
  <c r="J753" i="9"/>
  <c r="P752" i="9"/>
  <c r="O752" i="9"/>
  <c r="N752" i="9"/>
  <c r="M752" i="9"/>
  <c r="L752" i="9"/>
  <c r="K752" i="9"/>
  <c r="J752" i="9"/>
  <c r="P751" i="9"/>
  <c r="O751" i="9"/>
  <c r="N751" i="9"/>
  <c r="M751" i="9"/>
  <c r="L751" i="9"/>
  <c r="K751" i="9"/>
  <c r="J751" i="9"/>
  <c r="P750" i="9"/>
  <c r="O750" i="9"/>
  <c r="N750" i="9"/>
  <c r="M750" i="9"/>
  <c r="L750" i="9"/>
  <c r="K750" i="9"/>
  <c r="J750" i="9"/>
  <c r="P749" i="9"/>
  <c r="O749" i="9"/>
  <c r="N749" i="9"/>
  <c r="M749" i="9"/>
  <c r="L749" i="9"/>
  <c r="K749" i="9"/>
  <c r="J749" i="9"/>
  <c r="P748" i="9"/>
  <c r="O748" i="9"/>
  <c r="N748" i="9"/>
  <c r="M748" i="9"/>
  <c r="L748" i="9"/>
  <c r="K748" i="9"/>
  <c r="J748" i="9"/>
  <c r="P747" i="9"/>
  <c r="O747" i="9"/>
  <c r="N747" i="9"/>
  <c r="M747" i="9"/>
  <c r="L747" i="9"/>
  <c r="K747" i="9"/>
  <c r="J747" i="9"/>
  <c r="P746" i="9"/>
  <c r="O746" i="9"/>
  <c r="N746" i="9"/>
  <c r="M746" i="9"/>
  <c r="L746" i="9"/>
  <c r="K746" i="9"/>
  <c r="J746" i="9"/>
  <c r="P745" i="9"/>
  <c r="O745" i="9"/>
  <c r="N745" i="9"/>
  <c r="M745" i="9"/>
  <c r="L745" i="9"/>
  <c r="K745" i="9"/>
  <c r="J745" i="9"/>
  <c r="P744" i="9"/>
  <c r="O744" i="9"/>
  <c r="N744" i="9"/>
  <c r="M744" i="9"/>
  <c r="L744" i="9"/>
  <c r="K744" i="9"/>
  <c r="J744" i="9"/>
  <c r="P743" i="9"/>
  <c r="O743" i="9"/>
  <c r="N743" i="9"/>
  <c r="M743" i="9"/>
  <c r="L743" i="9"/>
  <c r="K743" i="9"/>
  <c r="J743" i="9"/>
  <c r="P742" i="9"/>
  <c r="O742" i="9"/>
  <c r="N742" i="9"/>
  <c r="M742" i="9"/>
  <c r="L742" i="9"/>
  <c r="K742" i="9"/>
  <c r="J742" i="9"/>
  <c r="P741" i="9"/>
  <c r="O741" i="9"/>
  <c r="N741" i="9"/>
  <c r="M741" i="9"/>
  <c r="L741" i="9"/>
  <c r="K741" i="9"/>
  <c r="J741" i="9"/>
  <c r="P740" i="9"/>
  <c r="O740" i="9"/>
  <c r="N740" i="9"/>
  <c r="M740" i="9"/>
  <c r="L740" i="9"/>
  <c r="K740" i="9"/>
  <c r="J740" i="9"/>
  <c r="P739" i="9"/>
  <c r="O739" i="9"/>
  <c r="N739" i="9"/>
  <c r="M739" i="9"/>
  <c r="L739" i="9"/>
  <c r="K739" i="9"/>
  <c r="J739" i="9"/>
  <c r="P738" i="9"/>
  <c r="O738" i="9"/>
  <c r="N738" i="9"/>
  <c r="M738" i="9"/>
  <c r="L738" i="9"/>
  <c r="K738" i="9"/>
  <c r="J738" i="9"/>
  <c r="O737" i="9"/>
  <c r="N737" i="9"/>
  <c r="M737" i="9"/>
  <c r="L737" i="9"/>
  <c r="K737" i="9"/>
  <c r="J737" i="9"/>
  <c r="P736" i="9"/>
  <c r="O736" i="9"/>
  <c r="N736" i="9"/>
  <c r="M736" i="9"/>
  <c r="L736" i="9"/>
  <c r="K736" i="9"/>
  <c r="J736" i="9"/>
  <c r="P735" i="9"/>
  <c r="O735" i="9"/>
  <c r="N735" i="9"/>
  <c r="M735" i="9"/>
  <c r="L735" i="9"/>
  <c r="K735" i="9"/>
  <c r="J735" i="9"/>
  <c r="P734" i="9"/>
  <c r="O734" i="9"/>
  <c r="N734" i="9"/>
  <c r="M734" i="9"/>
  <c r="L734" i="9"/>
  <c r="K734" i="9"/>
  <c r="J734" i="9"/>
  <c r="P733" i="9"/>
  <c r="O733" i="9"/>
  <c r="N733" i="9"/>
  <c r="M733" i="9"/>
  <c r="L733" i="9"/>
  <c r="K733" i="9"/>
  <c r="J733" i="9"/>
  <c r="P732" i="9"/>
  <c r="O732" i="9"/>
  <c r="N732" i="9"/>
  <c r="M732" i="9"/>
  <c r="L732" i="9"/>
  <c r="K732" i="9"/>
  <c r="J732" i="9"/>
  <c r="P731" i="9"/>
  <c r="O731" i="9"/>
  <c r="N731" i="9"/>
  <c r="M731" i="9"/>
  <c r="L731" i="9"/>
  <c r="K731" i="9"/>
  <c r="J731" i="9"/>
  <c r="P730" i="9"/>
  <c r="O730" i="9"/>
  <c r="N730" i="9"/>
  <c r="M730" i="9"/>
  <c r="L730" i="9"/>
  <c r="K730" i="9"/>
  <c r="J730" i="9"/>
  <c r="P729" i="9"/>
  <c r="O729" i="9"/>
  <c r="N729" i="9"/>
  <c r="M729" i="9"/>
  <c r="L729" i="9"/>
  <c r="K729" i="9"/>
  <c r="J729" i="9"/>
  <c r="P728" i="9"/>
  <c r="O728" i="9"/>
  <c r="N728" i="9"/>
  <c r="M728" i="9"/>
  <c r="L728" i="9"/>
  <c r="K728" i="9"/>
  <c r="J728" i="9"/>
  <c r="P727" i="9"/>
  <c r="O727" i="9"/>
  <c r="N727" i="9"/>
  <c r="M727" i="9"/>
  <c r="L727" i="9"/>
  <c r="K727" i="9"/>
  <c r="J727" i="9"/>
  <c r="P726" i="9"/>
  <c r="O726" i="9"/>
  <c r="N726" i="9"/>
  <c r="M726" i="9"/>
  <c r="L726" i="9"/>
  <c r="K726" i="9"/>
  <c r="J726" i="9"/>
  <c r="P725" i="9"/>
  <c r="O725" i="9"/>
  <c r="N725" i="9"/>
  <c r="M725" i="9"/>
  <c r="L725" i="9"/>
  <c r="K725" i="9"/>
  <c r="J725" i="9"/>
  <c r="P724" i="9"/>
  <c r="O724" i="9"/>
  <c r="N724" i="9"/>
  <c r="M724" i="9"/>
  <c r="L724" i="9"/>
  <c r="K724" i="9"/>
  <c r="J724" i="9"/>
  <c r="P723" i="9"/>
  <c r="O723" i="9"/>
  <c r="N723" i="9"/>
  <c r="M723" i="9"/>
  <c r="L723" i="9"/>
  <c r="K723" i="9"/>
  <c r="J723" i="9"/>
  <c r="P722" i="9"/>
  <c r="O722" i="9"/>
  <c r="N722" i="9"/>
  <c r="M722" i="9"/>
  <c r="L722" i="9"/>
  <c r="K722" i="9"/>
  <c r="J722" i="9"/>
  <c r="P721" i="9"/>
  <c r="O721" i="9"/>
  <c r="N721" i="9"/>
  <c r="M721" i="9"/>
  <c r="L721" i="9"/>
  <c r="K721" i="9"/>
  <c r="J721" i="9"/>
  <c r="P720" i="9"/>
  <c r="O720" i="9"/>
  <c r="N720" i="9"/>
  <c r="M720" i="9"/>
  <c r="L720" i="9"/>
  <c r="K720" i="9"/>
  <c r="J720" i="9"/>
  <c r="P719" i="9"/>
  <c r="O719" i="9"/>
  <c r="N719" i="9"/>
  <c r="M719" i="9"/>
  <c r="L719" i="9"/>
  <c r="K719" i="9"/>
  <c r="J719" i="9"/>
  <c r="P718" i="9"/>
  <c r="O718" i="9"/>
  <c r="N718" i="9"/>
  <c r="M718" i="9"/>
  <c r="L718" i="9"/>
  <c r="K718" i="9"/>
  <c r="J718" i="9"/>
  <c r="P717" i="9"/>
  <c r="O717" i="9"/>
  <c r="N717" i="9"/>
  <c r="M717" i="9"/>
  <c r="L717" i="9"/>
  <c r="K717" i="9"/>
  <c r="J717" i="9"/>
  <c r="P716" i="9"/>
  <c r="O716" i="9"/>
  <c r="N716" i="9"/>
  <c r="M716" i="9"/>
  <c r="L716" i="9"/>
  <c r="K716" i="9"/>
  <c r="J716" i="9"/>
  <c r="P715" i="9"/>
  <c r="O715" i="9"/>
  <c r="N715" i="9"/>
  <c r="M715" i="9"/>
  <c r="L715" i="9"/>
  <c r="K715" i="9"/>
  <c r="J715" i="9"/>
  <c r="O714" i="9"/>
  <c r="N714" i="9"/>
  <c r="M714" i="9"/>
  <c r="L714" i="9"/>
  <c r="K714" i="9"/>
  <c r="J714" i="9"/>
  <c r="P713" i="9"/>
  <c r="O713" i="9"/>
  <c r="N713" i="9"/>
  <c r="M713" i="9"/>
  <c r="L713" i="9"/>
  <c r="K713" i="9"/>
  <c r="J713" i="9"/>
  <c r="P712" i="9"/>
  <c r="O712" i="9"/>
  <c r="N712" i="9"/>
  <c r="M712" i="9"/>
  <c r="L712" i="9"/>
  <c r="K712" i="9"/>
  <c r="J712" i="9"/>
  <c r="P711" i="9"/>
  <c r="O711" i="9"/>
  <c r="N711" i="9"/>
  <c r="M711" i="9"/>
  <c r="L711" i="9"/>
  <c r="K711" i="9"/>
  <c r="J711" i="9"/>
  <c r="P710" i="9"/>
  <c r="O710" i="9"/>
  <c r="N710" i="9"/>
  <c r="M710" i="9"/>
  <c r="L710" i="9"/>
  <c r="K710" i="9"/>
  <c r="J710" i="9"/>
  <c r="P709" i="9"/>
  <c r="O709" i="9"/>
  <c r="N709" i="9"/>
  <c r="M709" i="9"/>
  <c r="L709" i="9"/>
  <c r="K709" i="9"/>
  <c r="J709" i="9"/>
  <c r="P708" i="9"/>
  <c r="O708" i="9"/>
  <c r="N708" i="9"/>
  <c r="M708" i="9"/>
  <c r="L708" i="9"/>
  <c r="K708" i="9"/>
  <c r="J708" i="9"/>
  <c r="P707" i="9"/>
  <c r="O707" i="9"/>
  <c r="N707" i="9"/>
  <c r="M707" i="9"/>
  <c r="L707" i="9"/>
  <c r="K707" i="9"/>
  <c r="J707" i="9"/>
  <c r="P706" i="9"/>
  <c r="O706" i="9"/>
  <c r="N706" i="9"/>
  <c r="M706" i="9"/>
  <c r="L706" i="9"/>
  <c r="K706" i="9"/>
  <c r="J706" i="9"/>
  <c r="P705" i="9"/>
  <c r="O705" i="9"/>
  <c r="N705" i="9"/>
  <c r="M705" i="9"/>
  <c r="L705" i="9"/>
  <c r="K705" i="9"/>
  <c r="J705" i="9"/>
  <c r="P704" i="9"/>
  <c r="O704" i="9"/>
  <c r="N704" i="9"/>
  <c r="M704" i="9"/>
  <c r="L704" i="9"/>
  <c r="K704" i="9"/>
  <c r="J704" i="9"/>
  <c r="P703" i="9"/>
  <c r="O703" i="9"/>
  <c r="N703" i="9"/>
  <c r="M703" i="9"/>
  <c r="L703" i="9"/>
  <c r="K703" i="9"/>
  <c r="J703" i="9"/>
  <c r="O702" i="9"/>
  <c r="N702" i="9"/>
  <c r="M702" i="9"/>
  <c r="L702" i="9"/>
  <c r="K702" i="9"/>
  <c r="J702" i="9"/>
  <c r="P701" i="9"/>
  <c r="O701" i="9"/>
  <c r="N701" i="9"/>
  <c r="M701" i="9"/>
  <c r="L701" i="9"/>
  <c r="K701" i="9"/>
  <c r="J701" i="9"/>
  <c r="P700" i="9"/>
  <c r="O700" i="9"/>
  <c r="N700" i="9"/>
  <c r="M700" i="9"/>
  <c r="L700" i="9"/>
  <c r="K700" i="9"/>
  <c r="J700" i="9"/>
  <c r="P699" i="9"/>
  <c r="O699" i="9"/>
  <c r="N699" i="9"/>
  <c r="M699" i="9"/>
  <c r="L699" i="9"/>
  <c r="K699" i="9"/>
  <c r="J699" i="9"/>
  <c r="P698" i="9"/>
  <c r="O698" i="9"/>
  <c r="N698" i="9"/>
  <c r="M698" i="9"/>
  <c r="L698" i="9"/>
  <c r="K698" i="9"/>
  <c r="J698" i="9"/>
  <c r="P697" i="9"/>
  <c r="O697" i="9"/>
  <c r="N697" i="9"/>
  <c r="M697" i="9"/>
  <c r="L697" i="9"/>
  <c r="K697" i="9"/>
  <c r="J697" i="9"/>
  <c r="P696" i="9"/>
  <c r="O696" i="9"/>
  <c r="N696" i="9"/>
  <c r="M696" i="9"/>
  <c r="L696" i="9"/>
  <c r="K696" i="9"/>
  <c r="J696" i="9"/>
  <c r="P695" i="9"/>
  <c r="O695" i="9"/>
  <c r="N695" i="9"/>
  <c r="M695" i="9"/>
  <c r="L695" i="9"/>
  <c r="K695" i="9"/>
  <c r="J695" i="9"/>
  <c r="P694" i="9"/>
  <c r="O694" i="9"/>
  <c r="N694" i="9"/>
  <c r="M694" i="9"/>
  <c r="L694" i="9"/>
  <c r="K694" i="9"/>
  <c r="J694" i="9"/>
  <c r="P693" i="9"/>
  <c r="O693" i="9"/>
  <c r="N693" i="9"/>
  <c r="M693" i="9"/>
  <c r="L693" i="9"/>
  <c r="K693" i="9"/>
  <c r="J693" i="9"/>
  <c r="P692" i="9"/>
  <c r="O692" i="9"/>
  <c r="N692" i="9"/>
  <c r="M692" i="9"/>
  <c r="L692" i="9"/>
  <c r="K692" i="9"/>
  <c r="J692" i="9"/>
  <c r="P691" i="9"/>
  <c r="O691" i="9"/>
  <c r="N691" i="9"/>
  <c r="M691" i="9"/>
  <c r="L691" i="9"/>
  <c r="K691" i="9"/>
  <c r="J691" i="9"/>
  <c r="P690" i="9"/>
  <c r="O690" i="9"/>
  <c r="N690" i="9"/>
  <c r="M690" i="9"/>
  <c r="L690" i="9"/>
  <c r="K690" i="9"/>
  <c r="J690" i="9"/>
  <c r="P689" i="9"/>
  <c r="O689" i="9"/>
  <c r="N689" i="9"/>
  <c r="M689" i="9"/>
  <c r="L689" i="9"/>
  <c r="K689" i="9"/>
  <c r="J689" i="9"/>
  <c r="P688" i="9"/>
  <c r="O688" i="9"/>
  <c r="N688" i="9"/>
  <c r="M688" i="9"/>
  <c r="L688" i="9"/>
  <c r="K688" i="9"/>
  <c r="J688" i="9"/>
  <c r="P687" i="9"/>
  <c r="O687" i="9"/>
  <c r="N687" i="9"/>
  <c r="M687" i="9"/>
  <c r="L687" i="9"/>
  <c r="K687" i="9"/>
  <c r="J687" i="9"/>
  <c r="P686" i="9"/>
  <c r="O686" i="9"/>
  <c r="N686" i="9"/>
  <c r="M686" i="9"/>
  <c r="L686" i="9"/>
  <c r="K686" i="9"/>
  <c r="J686" i="9"/>
  <c r="P685" i="9"/>
  <c r="O685" i="9"/>
  <c r="N685" i="9"/>
  <c r="M685" i="9"/>
  <c r="L685" i="9"/>
  <c r="K685" i="9"/>
  <c r="J685" i="9"/>
  <c r="P684" i="9"/>
  <c r="O684" i="9"/>
  <c r="N684" i="9"/>
  <c r="M684" i="9"/>
  <c r="L684" i="9"/>
  <c r="K684" i="9"/>
  <c r="J684" i="9"/>
  <c r="P683" i="9"/>
  <c r="O683" i="9"/>
  <c r="N683" i="9"/>
  <c r="M683" i="9"/>
  <c r="L683" i="9"/>
  <c r="K683" i="9"/>
  <c r="J683" i="9"/>
  <c r="P682" i="9"/>
  <c r="O682" i="9"/>
  <c r="N682" i="9"/>
  <c r="M682" i="9"/>
  <c r="L682" i="9"/>
  <c r="K682" i="9"/>
  <c r="J682" i="9"/>
  <c r="P681" i="9"/>
  <c r="O681" i="9"/>
  <c r="N681" i="9"/>
  <c r="M681" i="9"/>
  <c r="L681" i="9"/>
  <c r="K681" i="9"/>
  <c r="J681" i="9"/>
  <c r="P680" i="9"/>
  <c r="O680" i="9"/>
  <c r="N680" i="9"/>
  <c r="M680" i="9"/>
  <c r="L680" i="9"/>
  <c r="K680" i="9"/>
  <c r="J680" i="9"/>
  <c r="P679" i="9"/>
  <c r="O679" i="9"/>
  <c r="N679" i="9"/>
  <c r="M679" i="9"/>
  <c r="L679" i="9"/>
  <c r="K679" i="9"/>
  <c r="J679" i="9"/>
  <c r="P678" i="9"/>
  <c r="O678" i="9"/>
  <c r="N678" i="9"/>
  <c r="M678" i="9"/>
  <c r="L678" i="9"/>
  <c r="K678" i="9"/>
  <c r="J678" i="9"/>
  <c r="P677" i="9"/>
  <c r="O677" i="9"/>
  <c r="N677" i="9"/>
  <c r="M677" i="9"/>
  <c r="L677" i="9"/>
  <c r="K677" i="9"/>
  <c r="J677" i="9"/>
  <c r="P676" i="9"/>
  <c r="O676" i="9"/>
  <c r="N676" i="9"/>
  <c r="M676" i="9"/>
  <c r="L676" i="9"/>
  <c r="K676" i="9"/>
  <c r="J676" i="9"/>
  <c r="P675" i="9"/>
  <c r="O675" i="9"/>
  <c r="N675" i="9"/>
  <c r="M675" i="9"/>
  <c r="L675" i="9"/>
  <c r="K675" i="9"/>
  <c r="J675" i="9"/>
  <c r="P674" i="9"/>
  <c r="O674" i="9"/>
  <c r="N674" i="9"/>
  <c r="M674" i="9"/>
  <c r="L674" i="9"/>
  <c r="K674" i="9"/>
  <c r="J674" i="9"/>
  <c r="P673" i="9"/>
  <c r="O673" i="9"/>
  <c r="N673" i="9"/>
  <c r="M673" i="9"/>
  <c r="L673" i="9"/>
  <c r="K673" i="9"/>
  <c r="J673" i="9"/>
  <c r="P672" i="9"/>
  <c r="O672" i="9"/>
  <c r="N672" i="9"/>
  <c r="M672" i="9"/>
  <c r="L672" i="9"/>
  <c r="K672" i="9"/>
  <c r="J672" i="9"/>
  <c r="P671" i="9"/>
  <c r="O671" i="9"/>
  <c r="N671" i="9"/>
  <c r="M671" i="9"/>
  <c r="L671" i="9"/>
  <c r="K671" i="9"/>
  <c r="J671" i="9"/>
  <c r="P670" i="9"/>
  <c r="O670" i="9"/>
  <c r="N670" i="9"/>
  <c r="M670" i="9"/>
  <c r="L670" i="9"/>
  <c r="K670" i="9"/>
  <c r="J670" i="9"/>
  <c r="P669" i="9"/>
  <c r="O669" i="9"/>
  <c r="N669" i="9"/>
  <c r="M669" i="9"/>
  <c r="L669" i="9"/>
  <c r="K669" i="9"/>
  <c r="J669" i="9"/>
  <c r="P668" i="9"/>
  <c r="O668" i="9"/>
  <c r="N668" i="9"/>
  <c r="M668" i="9"/>
  <c r="L668" i="9"/>
  <c r="K668" i="9"/>
  <c r="J668" i="9"/>
  <c r="P667" i="9"/>
  <c r="O667" i="9"/>
  <c r="N667" i="9"/>
  <c r="M667" i="9"/>
  <c r="L667" i="9"/>
  <c r="K667" i="9"/>
  <c r="J667" i="9"/>
  <c r="P666" i="9"/>
  <c r="O666" i="9"/>
  <c r="N666" i="9"/>
  <c r="M666" i="9"/>
  <c r="L666" i="9"/>
  <c r="K666" i="9"/>
  <c r="J666" i="9"/>
  <c r="P665" i="9"/>
  <c r="O665" i="9"/>
  <c r="N665" i="9"/>
  <c r="M665" i="9"/>
  <c r="L665" i="9"/>
  <c r="K665" i="9"/>
  <c r="J665" i="9"/>
  <c r="P664" i="9"/>
  <c r="O664" i="9"/>
  <c r="N664" i="9"/>
  <c r="M664" i="9"/>
  <c r="L664" i="9"/>
  <c r="K664" i="9"/>
  <c r="J664" i="9"/>
  <c r="P663" i="9"/>
  <c r="O663" i="9"/>
  <c r="N663" i="9"/>
  <c r="M663" i="9"/>
  <c r="L663" i="9"/>
  <c r="K663" i="9"/>
  <c r="J663" i="9"/>
  <c r="P662" i="9"/>
  <c r="O662" i="9"/>
  <c r="N662" i="9"/>
  <c r="M662" i="9"/>
  <c r="L662" i="9"/>
  <c r="K662" i="9"/>
  <c r="J662" i="9"/>
  <c r="P661" i="9"/>
  <c r="O661" i="9"/>
  <c r="N661" i="9"/>
  <c r="M661" i="9"/>
  <c r="L661" i="9"/>
  <c r="K661" i="9"/>
  <c r="J661" i="9"/>
  <c r="P660" i="9"/>
  <c r="O660" i="9"/>
  <c r="N660" i="9"/>
  <c r="M660" i="9"/>
  <c r="L660" i="9"/>
  <c r="K660" i="9"/>
  <c r="J660" i="9"/>
  <c r="P659" i="9"/>
  <c r="O659" i="9"/>
  <c r="N659" i="9"/>
  <c r="M659" i="9"/>
  <c r="L659" i="9"/>
  <c r="K659" i="9"/>
  <c r="J659" i="9"/>
  <c r="P658" i="9"/>
  <c r="O658" i="9"/>
  <c r="N658" i="9"/>
  <c r="M658" i="9"/>
  <c r="L658" i="9"/>
  <c r="K658" i="9"/>
  <c r="J658" i="9"/>
  <c r="P657" i="9"/>
  <c r="O657" i="9"/>
  <c r="N657" i="9"/>
  <c r="M657" i="9"/>
  <c r="L657" i="9"/>
  <c r="K657" i="9"/>
  <c r="J657" i="9"/>
  <c r="P656" i="9"/>
  <c r="O656" i="9"/>
  <c r="N656" i="9"/>
  <c r="M656" i="9"/>
  <c r="L656" i="9"/>
  <c r="K656" i="9"/>
  <c r="J656" i="9"/>
  <c r="P655" i="9"/>
  <c r="O655" i="9"/>
  <c r="N655" i="9"/>
  <c r="M655" i="9"/>
  <c r="L655" i="9"/>
  <c r="K655" i="9"/>
  <c r="J655" i="9"/>
  <c r="P654" i="9"/>
  <c r="O654" i="9"/>
  <c r="N654" i="9"/>
  <c r="M654" i="9"/>
  <c r="L654" i="9"/>
  <c r="K654" i="9"/>
  <c r="J654" i="9"/>
  <c r="P653" i="9"/>
  <c r="O653" i="9"/>
  <c r="N653" i="9"/>
  <c r="M653" i="9"/>
  <c r="L653" i="9"/>
  <c r="K653" i="9"/>
  <c r="J653" i="9"/>
  <c r="P652" i="9"/>
  <c r="O652" i="9"/>
  <c r="N652" i="9"/>
  <c r="M652" i="9"/>
  <c r="L652" i="9"/>
  <c r="K652" i="9"/>
  <c r="J652" i="9"/>
  <c r="P651" i="9"/>
  <c r="O651" i="9"/>
  <c r="N651" i="9"/>
  <c r="M651" i="9"/>
  <c r="L651" i="9"/>
  <c r="K651" i="9"/>
  <c r="J651" i="9"/>
  <c r="P650" i="9"/>
  <c r="O650" i="9"/>
  <c r="N650" i="9"/>
  <c r="M650" i="9"/>
  <c r="L650" i="9"/>
  <c r="K650" i="9"/>
  <c r="J650" i="9"/>
  <c r="P649" i="9"/>
  <c r="O649" i="9"/>
  <c r="N649" i="9"/>
  <c r="M649" i="9"/>
  <c r="L649" i="9"/>
  <c r="K649" i="9"/>
  <c r="J649" i="9"/>
  <c r="P648" i="9"/>
  <c r="O648" i="9"/>
  <c r="N648" i="9"/>
  <c r="M648" i="9"/>
  <c r="L648" i="9"/>
  <c r="K648" i="9"/>
  <c r="J648" i="9"/>
  <c r="P647" i="9"/>
  <c r="O647" i="9"/>
  <c r="N647" i="9"/>
  <c r="M647" i="9"/>
  <c r="L647" i="9"/>
  <c r="K647" i="9"/>
  <c r="J647" i="9"/>
  <c r="P646" i="9"/>
  <c r="O646" i="9"/>
  <c r="N646" i="9"/>
  <c r="M646" i="9"/>
  <c r="L646" i="9"/>
  <c r="K646" i="9"/>
  <c r="J646" i="9"/>
  <c r="O645" i="9"/>
  <c r="N645" i="9"/>
  <c r="M645" i="9"/>
  <c r="L645" i="9"/>
  <c r="K645" i="9"/>
  <c r="J645" i="9"/>
  <c r="P644" i="9"/>
  <c r="O644" i="9"/>
  <c r="N644" i="9"/>
  <c r="M644" i="9"/>
  <c r="L644" i="9"/>
  <c r="K644" i="9"/>
  <c r="J644" i="9"/>
  <c r="P643" i="9"/>
  <c r="O643" i="9"/>
  <c r="N643" i="9"/>
  <c r="M643" i="9"/>
  <c r="L643" i="9"/>
  <c r="K643" i="9"/>
  <c r="J643" i="9"/>
  <c r="P642" i="9"/>
  <c r="O642" i="9"/>
  <c r="N642" i="9"/>
  <c r="M642" i="9"/>
  <c r="L642" i="9"/>
  <c r="K642" i="9"/>
  <c r="J642" i="9"/>
  <c r="P641" i="9"/>
  <c r="O641" i="9"/>
  <c r="N641" i="9"/>
  <c r="M641" i="9"/>
  <c r="L641" i="9"/>
  <c r="K641" i="9"/>
  <c r="J641" i="9"/>
  <c r="P640" i="9"/>
  <c r="O640" i="9"/>
  <c r="N640" i="9"/>
  <c r="M640" i="9"/>
  <c r="L640" i="9"/>
  <c r="K640" i="9"/>
  <c r="J640" i="9"/>
  <c r="P639" i="9"/>
  <c r="O639" i="9"/>
  <c r="N639" i="9"/>
  <c r="M639" i="9"/>
  <c r="L639" i="9"/>
  <c r="K639" i="9"/>
  <c r="J639" i="9"/>
  <c r="P638" i="9"/>
  <c r="O638" i="9"/>
  <c r="N638" i="9"/>
  <c r="M638" i="9"/>
  <c r="L638" i="9"/>
  <c r="K638" i="9"/>
  <c r="J638" i="9"/>
  <c r="P637" i="9"/>
  <c r="O637" i="9"/>
  <c r="N637" i="9"/>
  <c r="M637" i="9"/>
  <c r="L637" i="9"/>
  <c r="K637" i="9"/>
  <c r="J637" i="9"/>
  <c r="P636" i="9"/>
  <c r="O636" i="9"/>
  <c r="N636" i="9"/>
  <c r="M636" i="9"/>
  <c r="L636" i="9"/>
  <c r="K636" i="9"/>
  <c r="J636" i="9"/>
  <c r="P635" i="9"/>
  <c r="O635" i="9"/>
  <c r="N635" i="9"/>
  <c r="M635" i="9"/>
  <c r="L635" i="9"/>
  <c r="K635" i="9"/>
  <c r="J635" i="9"/>
  <c r="P634" i="9"/>
  <c r="O634" i="9"/>
  <c r="N634" i="9"/>
  <c r="M634" i="9"/>
  <c r="L634" i="9"/>
  <c r="K634" i="9"/>
  <c r="J634" i="9"/>
  <c r="P633" i="9"/>
  <c r="O633" i="9"/>
  <c r="N633" i="9"/>
  <c r="M633" i="9"/>
  <c r="L633" i="9"/>
  <c r="K633" i="9"/>
  <c r="J633" i="9"/>
  <c r="P632" i="9"/>
  <c r="O632" i="9"/>
  <c r="N632" i="9"/>
  <c r="M632" i="9"/>
  <c r="L632" i="9"/>
  <c r="K632" i="9"/>
  <c r="J632" i="9"/>
  <c r="P631" i="9"/>
  <c r="O631" i="9"/>
  <c r="N631" i="9"/>
  <c r="M631" i="9"/>
  <c r="L631" i="9"/>
  <c r="K631" i="9"/>
  <c r="J631" i="9"/>
  <c r="P630" i="9"/>
  <c r="O630" i="9"/>
  <c r="N630" i="9"/>
  <c r="M630" i="9"/>
  <c r="L630" i="9"/>
  <c r="K630" i="9"/>
  <c r="J630" i="9"/>
  <c r="P629" i="9"/>
  <c r="O629" i="9"/>
  <c r="N629" i="9"/>
  <c r="M629" i="9"/>
  <c r="L629" i="9"/>
  <c r="K629" i="9"/>
  <c r="J629" i="9"/>
  <c r="P628" i="9"/>
  <c r="O628" i="9"/>
  <c r="N628" i="9"/>
  <c r="M628" i="9"/>
  <c r="L628" i="9"/>
  <c r="K628" i="9"/>
  <c r="J628" i="9"/>
  <c r="P627" i="9"/>
  <c r="O627" i="9"/>
  <c r="N627" i="9"/>
  <c r="M627" i="9"/>
  <c r="L627" i="9"/>
  <c r="K627" i="9"/>
  <c r="J627" i="9"/>
  <c r="P626" i="9"/>
  <c r="O626" i="9"/>
  <c r="N626" i="9"/>
  <c r="M626" i="9"/>
  <c r="L626" i="9"/>
  <c r="K626" i="9"/>
  <c r="J626" i="9"/>
  <c r="P625" i="9"/>
  <c r="O625" i="9"/>
  <c r="N625" i="9"/>
  <c r="M625" i="9"/>
  <c r="L625" i="9"/>
  <c r="K625" i="9"/>
  <c r="J625" i="9"/>
  <c r="P624" i="9"/>
  <c r="O624" i="9"/>
  <c r="N624" i="9"/>
  <c r="M624" i="9"/>
  <c r="L624" i="9"/>
  <c r="K624" i="9"/>
  <c r="J624" i="9"/>
  <c r="P623" i="9"/>
  <c r="O623" i="9"/>
  <c r="N623" i="9"/>
  <c r="M623" i="9"/>
  <c r="L623" i="9"/>
  <c r="K623" i="9"/>
  <c r="J623" i="9"/>
  <c r="P622" i="9"/>
  <c r="O622" i="9"/>
  <c r="N622" i="9"/>
  <c r="M622" i="9"/>
  <c r="L622" i="9"/>
  <c r="K622" i="9"/>
  <c r="J622" i="9"/>
  <c r="P621" i="9"/>
  <c r="O621" i="9"/>
  <c r="N621" i="9"/>
  <c r="M621" i="9"/>
  <c r="L621" i="9"/>
  <c r="K621" i="9"/>
  <c r="J621" i="9"/>
  <c r="P620" i="9"/>
  <c r="O620" i="9"/>
  <c r="N620" i="9"/>
  <c r="M620" i="9"/>
  <c r="L620" i="9"/>
  <c r="K620" i="9"/>
  <c r="J620" i="9"/>
  <c r="P619" i="9"/>
  <c r="O619" i="9"/>
  <c r="N619" i="9"/>
  <c r="M619" i="9"/>
  <c r="L619" i="9"/>
  <c r="K619" i="9"/>
  <c r="J619" i="9"/>
  <c r="P618" i="9"/>
  <c r="O618" i="9"/>
  <c r="N618" i="9"/>
  <c r="M618" i="9"/>
  <c r="L618" i="9"/>
  <c r="K618" i="9"/>
  <c r="J618" i="9"/>
  <c r="O617" i="9"/>
  <c r="N617" i="9"/>
  <c r="M617" i="9"/>
  <c r="L617" i="9"/>
  <c r="K617" i="9"/>
  <c r="J617" i="9"/>
  <c r="P616" i="9"/>
  <c r="O616" i="9"/>
  <c r="N616" i="9"/>
  <c r="M616" i="9"/>
  <c r="L616" i="9"/>
  <c r="K616" i="9"/>
  <c r="J616" i="9"/>
  <c r="P615" i="9"/>
  <c r="O615" i="9"/>
  <c r="N615" i="9"/>
  <c r="M615" i="9"/>
  <c r="L615" i="9"/>
  <c r="K615" i="9"/>
  <c r="J615" i="9"/>
  <c r="P614" i="9"/>
  <c r="O614" i="9"/>
  <c r="N614" i="9"/>
  <c r="M614" i="9"/>
  <c r="L614" i="9"/>
  <c r="K614" i="9"/>
  <c r="J614" i="9"/>
  <c r="P613" i="9"/>
  <c r="O613" i="9"/>
  <c r="N613" i="9"/>
  <c r="M613" i="9"/>
  <c r="L613" i="9"/>
  <c r="K613" i="9"/>
  <c r="J613" i="9"/>
  <c r="P612" i="9"/>
  <c r="O612" i="9"/>
  <c r="N612" i="9"/>
  <c r="M612" i="9"/>
  <c r="L612" i="9"/>
  <c r="K612" i="9"/>
  <c r="J612" i="9"/>
  <c r="P611" i="9"/>
  <c r="O611" i="9"/>
  <c r="N611" i="9"/>
  <c r="M611" i="9"/>
  <c r="L611" i="9"/>
  <c r="K611" i="9"/>
  <c r="J611" i="9"/>
  <c r="P610" i="9"/>
  <c r="O610" i="9"/>
  <c r="N610" i="9"/>
  <c r="M610" i="9"/>
  <c r="L610" i="9"/>
  <c r="K610" i="9"/>
  <c r="J610" i="9"/>
  <c r="P609" i="9"/>
  <c r="O609" i="9"/>
  <c r="N609" i="9"/>
  <c r="M609" i="9"/>
  <c r="L609" i="9"/>
  <c r="K609" i="9"/>
  <c r="J609" i="9"/>
  <c r="P608" i="9"/>
  <c r="O608" i="9"/>
  <c r="N608" i="9"/>
  <c r="M608" i="9"/>
  <c r="L608" i="9"/>
  <c r="K608" i="9"/>
  <c r="J608" i="9"/>
  <c r="P607" i="9"/>
  <c r="O607" i="9"/>
  <c r="N607" i="9"/>
  <c r="M607" i="9"/>
  <c r="L607" i="9"/>
  <c r="K607" i="9"/>
  <c r="J607" i="9"/>
  <c r="P606" i="9"/>
  <c r="O606" i="9"/>
  <c r="N606" i="9"/>
  <c r="M606" i="9"/>
  <c r="L606" i="9"/>
  <c r="K606" i="9"/>
  <c r="J606" i="9"/>
  <c r="P605" i="9"/>
  <c r="O605" i="9"/>
  <c r="N605" i="9"/>
  <c r="M605" i="9"/>
  <c r="L605" i="9"/>
  <c r="K605" i="9"/>
  <c r="J605" i="9"/>
  <c r="P604" i="9"/>
  <c r="O604" i="9"/>
  <c r="N604" i="9"/>
  <c r="M604" i="9"/>
  <c r="L604" i="9"/>
  <c r="K604" i="9"/>
  <c r="J604" i="9"/>
  <c r="P603" i="9"/>
  <c r="O603" i="9"/>
  <c r="N603" i="9"/>
  <c r="M603" i="9"/>
  <c r="L603" i="9"/>
  <c r="K603" i="9"/>
  <c r="J603" i="9"/>
  <c r="P602" i="9"/>
  <c r="O602" i="9"/>
  <c r="N602" i="9"/>
  <c r="M602" i="9"/>
  <c r="L602" i="9"/>
  <c r="K602" i="9"/>
  <c r="J602" i="9"/>
  <c r="P601" i="9"/>
  <c r="O601" i="9"/>
  <c r="N601" i="9"/>
  <c r="M601" i="9"/>
  <c r="L601" i="9"/>
  <c r="K601" i="9"/>
  <c r="J601" i="9"/>
  <c r="P600" i="9"/>
  <c r="O600" i="9"/>
  <c r="N600" i="9"/>
  <c r="M600" i="9"/>
  <c r="L600" i="9"/>
  <c r="K600" i="9"/>
  <c r="J600" i="9"/>
  <c r="P599" i="9"/>
  <c r="O599" i="9"/>
  <c r="N599" i="9"/>
  <c r="M599" i="9"/>
  <c r="L599" i="9"/>
  <c r="K599" i="9"/>
  <c r="J599" i="9"/>
  <c r="P598" i="9"/>
  <c r="O598" i="9"/>
  <c r="N598" i="9"/>
  <c r="M598" i="9"/>
  <c r="L598" i="9"/>
  <c r="K598" i="9"/>
  <c r="J598" i="9"/>
  <c r="P597" i="9"/>
  <c r="O597" i="9"/>
  <c r="N597" i="9"/>
  <c r="M597" i="9"/>
  <c r="L597" i="9"/>
  <c r="K597" i="9"/>
  <c r="J597" i="9"/>
  <c r="P596" i="9"/>
  <c r="O596" i="9"/>
  <c r="N596" i="9"/>
  <c r="M596" i="9"/>
  <c r="L596" i="9"/>
  <c r="K596" i="9"/>
  <c r="J596" i="9"/>
  <c r="P595" i="9"/>
  <c r="O595" i="9"/>
  <c r="N595" i="9"/>
  <c r="M595" i="9"/>
  <c r="L595" i="9"/>
  <c r="K595" i="9"/>
  <c r="J595" i="9"/>
  <c r="P594" i="9"/>
  <c r="O594" i="9"/>
  <c r="N594" i="9"/>
  <c r="M594" i="9"/>
  <c r="L594" i="9"/>
  <c r="K594" i="9"/>
  <c r="J594" i="9"/>
  <c r="P593" i="9"/>
  <c r="O593" i="9"/>
  <c r="N593" i="9"/>
  <c r="M593" i="9"/>
  <c r="L593" i="9"/>
  <c r="K593" i="9"/>
  <c r="J593" i="9"/>
  <c r="P592" i="9"/>
  <c r="O592" i="9"/>
  <c r="N592" i="9"/>
  <c r="M592" i="9"/>
  <c r="L592" i="9"/>
  <c r="K592" i="9"/>
  <c r="J592" i="9"/>
  <c r="P591" i="9"/>
  <c r="O591" i="9"/>
  <c r="N591" i="9"/>
  <c r="M591" i="9"/>
  <c r="L591" i="9"/>
  <c r="K591" i="9"/>
  <c r="J591" i="9"/>
  <c r="P590" i="9"/>
  <c r="O590" i="9"/>
  <c r="N590" i="9"/>
  <c r="M590" i="9"/>
  <c r="L590" i="9"/>
  <c r="K590" i="9"/>
  <c r="J590" i="9"/>
  <c r="P589" i="9"/>
  <c r="O589" i="9"/>
  <c r="N589" i="9"/>
  <c r="M589" i="9"/>
  <c r="L589" i="9"/>
  <c r="K589" i="9"/>
  <c r="J589" i="9"/>
  <c r="P588" i="9"/>
  <c r="O588" i="9"/>
  <c r="N588" i="9"/>
  <c r="M588" i="9"/>
  <c r="L588" i="9"/>
  <c r="K588" i="9"/>
  <c r="J588" i="9"/>
  <c r="O587" i="9"/>
  <c r="N587" i="9"/>
  <c r="M587" i="9"/>
  <c r="L587" i="9"/>
  <c r="K587" i="9"/>
  <c r="J587" i="9"/>
  <c r="P586" i="9"/>
  <c r="O586" i="9"/>
  <c r="N586" i="9"/>
  <c r="M586" i="9"/>
  <c r="L586" i="9"/>
  <c r="K586" i="9"/>
  <c r="J586" i="9"/>
  <c r="P585" i="9"/>
  <c r="O585" i="9"/>
  <c r="N585" i="9"/>
  <c r="M585" i="9"/>
  <c r="L585" i="9"/>
  <c r="K585" i="9"/>
  <c r="J585" i="9"/>
  <c r="P584" i="9"/>
  <c r="O584" i="9"/>
  <c r="N584" i="9"/>
  <c r="M584" i="9"/>
  <c r="L584" i="9"/>
  <c r="K584" i="9"/>
  <c r="J584" i="9"/>
  <c r="P583" i="9"/>
  <c r="O583" i="9"/>
  <c r="N583" i="9"/>
  <c r="M583" i="9"/>
  <c r="L583" i="9"/>
  <c r="K583" i="9"/>
  <c r="J583" i="9"/>
  <c r="P582" i="9"/>
  <c r="O582" i="9"/>
  <c r="N582" i="9"/>
  <c r="M582" i="9"/>
  <c r="L582" i="9"/>
  <c r="K582" i="9"/>
  <c r="J582" i="9"/>
  <c r="P581" i="9"/>
  <c r="O581" i="9"/>
  <c r="N581" i="9"/>
  <c r="M581" i="9"/>
  <c r="L581" i="9"/>
  <c r="K581" i="9"/>
  <c r="J581" i="9"/>
  <c r="P580" i="9"/>
  <c r="O580" i="9"/>
  <c r="N580" i="9"/>
  <c r="M580" i="9"/>
  <c r="L580" i="9"/>
  <c r="K580" i="9"/>
  <c r="J580" i="9"/>
  <c r="P579" i="9"/>
  <c r="O579" i="9"/>
  <c r="N579" i="9"/>
  <c r="M579" i="9"/>
  <c r="L579" i="9"/>
  <c r="K579" i="9"/>
  <c r="J579" i="9"/>
  <c r="P578" i="9"/>
  <c r="O578" i="9"/>
  <c r="N578" i="9"/>
  <c r="M578" i="9"/>
  <c r="L578" i="9"/>
  <c r="K578" i="9"/>
  <c r="J578" i="9"/>
  <c r="P577" i="9"/>
  <c r="O577" i="9"/>
  <c r="N577" i="9"/>
  <c r="M577" i="9"/>
  <c r="L577" i="9"/>
  <c r="K577" i="9"/>
  <c r="J577" i="9"/>
  <c r="O576" i="9"/>
  <c r="N576" i="9"/>
  <c r="M576" i="9"/>
  <c r="L576" i="9"/>
  <c r="K576" i="9"/>
  <c r="J576" i="9"/>
  <c r="P575" i="9"/>
  <c r="O575" i="9"/>
  <c r="N575" i="9"/>
  <c r="M575" i="9"/>
  <c r="L575" i="9"/>
  <c r="K575" i="9"/>
  <c r="J575" i="9"/>
  <c r="P574" i="9"/>
  <c r="O574" i="9"/>
  <c r="N574" i="9"/>
  <c r="M574" i="9"/>
  <c r="L574" i="9"/>
  <c r="K574" i="9"/>
  <c r="J574" i="9"/>
  <c r="P573" i="9"/>
  <c r="O573" i="9"/>
  <c r="N573" i="9"/>
  <c r="M573" i="9"/>
  <c r="L573" i="9"/>
  <c r="K573" i="9"/>
  <c r="J573" i="9"/>
  <c r="P572" i="9"/>
  <c r="O572" i="9"/>
  <c r="N572" i="9"/>
  <c r="M572" i="9"/>
  <c r="L572" i="9"/>
  <c r="K572" i="9"/>
  <c r="J572" i="9"/>
  <c r="P571" i="9"/>
  <c r="O571" i="9"/>
  <c r="N571" i="9"/>
  <c r="M571" i="9"/>
  <c r="L571" i="9"/>
  <c r="K571" i="9"/>
  <c r="J571" i="9"/>
  <c r="P570" i="9"/>
  <c r="O570" i="9"/>
  <c r="N570" i="9"/>
  <c r="M570" i="9"/>
  <c r="L570" i="9"/>
  <c r="K570" i="9"/>
  <c r="J570" i="9"/>
  <c r="P569" i="9"/>
  <c r="O569" i="9"/>
  <c r="N569" i="9"/>
  <c r="M569" i="9"/>
  <c r="L569" i="9"/>
  <c r="K569" i="9"/>
  <c r="J569" i="9"/>
  <c r="P568" i="9"/>
  <c r="O568" i="9"/>
  <c r="N568" i="9"/>
  <c r="M568" i="9"/>
  <c r="L568" i="9"/>
  <c r="K568" i="9"/>
  <c r="J568" i="9"/>
  <c r="P567" i="9"/>
  <c r="O567" i="9"/>
  <c r="N567" i="9"/>
  <c r="M567" i="9"/>
  <c r="L567" i="9"/>
  <c r="K567" i="9"/>
  <c r="J567" i="9"/>
  <c r="P566" i="9"/>
  <c r="O566" i="9"/>
  <c r="N566" i="9"/>
  <c r="M566" i="9"/>
  <c r="L566" i="9"/>
  <c r="K566" i="9"/>
  <c r="J566" i="9"/>
  <c r="P565" i="9"/>
  <c r="O565" i="9"/>
  <c r="N565" i="9"/>
  <c r="M565" i="9"/>
  <c r="L565" i="9"/>
  <c r="K565" i="9"/>
  <c r="J565" i="9"/>
  <c r="P564" i="9"/>
  <c r="O564" i="9"/>
  <c r="N564" i="9"/>
  <c r="M564" i="9"/>
  <c r="L564" i="9"/>
  <c r="K564" i="9"/>
  <c r="J564" i="9"/>
  <c r="P563" i="9"/>
  <c r="O563" i="9"/>
  <c r="N563" i="9"/>
  <c r="M563" i="9"/>
  <c r="L563" i="9"/>
  <c r="K563" i="9"/>
  <c r="J563" i="9"/>
  <c r="P562" i="9"/>
  <c r="O562" i="9"/>
  <c r="N562" i="9"/>
  <c r="M562" i="9"/>
  <c r="L562" i="9"/>
  <c r="K562" i="9"/>
  <c r="J562" i="9"/>
  <c r="P561" i="9"/>
  <c r="O561" i="9"/>
  <c r="N561" i="9"/>
  <c r="M561" i="9"/>
  <c r="L561" i="9"/>
  <c r="K561" i="9"/>
  <c r="J561" i="9"/>
  <c r="P560" i="9"/>
  <c r="O560" i="9"/>
  <c r="N560" i="9"/>
  <c r="M560" i="9"/>
  <c r="L560" i="9"/>
  <c r="K560" i="9"/>
  <c r="J560" i="9"/>
  <c r="P559" i="9"/>
  <c r="O559" i="9"/>
  <c r="N559" i="9"/>
  <c r="M559" i="9"/>
  <c r="L559" i="9"/>
  <c r="K559" i="9"/>
  <c r="J559" i="9"/>
  <c r="P558" i="9"/>
  <c r="O558" i="9"/>
  <c r="N558" i="9"/>
  <c r="M558" i="9"/>
  <c r="L558" i="9"/>
  <c r="K558" i="9"/>
  <c r="J558" i="9"/>
  <c r="P557" i="9"/>
  <c r="O557" i="9"/>
  <c r="N557" i="9"/>
  <c r="M557" i="9"/>
  <c r="L557" i="9"/>
  <c r="K557" i="9"/>
  <c r="J557" i="9"/>
  <c r="P556" i="9"/>
  <c r="O556" i="9"/>
  <c r="N556" i="9"/>
  <c r="M556" i="9"/>
  <c r="L556" i="9"/>
  <c r="K556" i="9"/>
  <c r="J556" i="9"/>
  <c r="P555" i="9"/>
  <c r="O555" i="9"/>
  <c r="N555" i="9"/>
  <c r="M555" i="9"/>
  <c r="L555" i="9"/>
  <c r="K555" i="9"/>
  <c r="J555" i="9"/>
  <c r="O554" i="9"/>
  <c r="N554" i="9"/>
  <c r="M554" i="9"/>
  <c r="L554" i="9"/>
  <c r="K554" i="9"/>
  <c r="J554" i="9"/>
  <c r="P553" i="9"/>
  <c r="O553" i="9"/>
  <c r="N553" i="9"/>
  <c r="M553" i="9"/>
  <c r="L553" i="9"/>
  <c r="K553" i="9"/>
  <c r="J553" i="9"/>
  <c r="P552" i="9"/>
  <c r="O552" i="9"/>
  <c r="N552" i="9"/>
  <c r="M552" i="9"/>
  <c r="L552" i="9"/>
  <c r="K552" i="9"/>
  <c r="J552" i="9"/>
  <c r="P551" i="9"/>
  <c r="O551" i="9"/>
  <c r="N551" i="9"/>
  <c r="M551" i="9"/>
  <c r="L551" i="9"/>
  <c r="K551" i="9"/>
  <c r="J551" i="9"/>
  <c r="P550" i="9"/>
  <c r="O550" i="9"/>
  <c r="N550" i="9"/>
  <c r="M550" i="9"/>
  <c r="L550" i="9"/>
  <c r="K550" i="9"/>
  <c r="J550" i="9"/>
  <c r="O549" i="9"/>
  <c r="N549" i="9"/>
  <c r="M549" i="9"/>
  <c r="L549" i="9"/>
  <c r="K549" i="9"/>
  <c r="J549" i="9"/>
  <c r="O548" i="9"/>
  <c r="N548" i="9"/>
  <c r="M548" i="9"/>
  <c r="L548" i="9"/>
  <c r="K548" i="9"/>
  <c r="J548" i="9"/>
  <c r="P547" i="9"/>
  <c r="O547" i="9"/>
  <c r="N547" i="9"/>
  <c r="M547" i="9"/>
  <c r="L547" i="9"/>
  <c r="K547" i="9"/>
  <c r="J547" i="9"/>
  <c r="P546" i="9"/>
  <c r="O546" i="9"/>
  <c r="N546" i="9"/>
  <c r="M546" i="9"/>
  <c r="L546" i="9"/>
  <c r="K546" i="9"/>
  <c r="J546" i="9"/>
  <c r="P545" i="9"/>
  <c r="O545" i="9"/>
  <c r="N545" i="9"/>
  <c r="M545" i="9"/>
  <c r="L545" i="9"/>
  <c r="K545" i="9"/>
  <c r="J545" i="9"/>
  <c r="P544" i="9"/>
  <c r="O544" i="9"/>
  <c r="N544" i="9"/>
  <c r="M544" i="9"/>
  <c r="L544" i="9"/>
  <c r="K544" i="9"/>
  <c r="J544" i="9"/>
  <c r="P543" i="9"/>
  <c r="O543" i="9"/>
  <c r="N543" i="9"/>
  <c r="M543" i="9"/>
  <c r="L543" i="9"/>
  <c r="K543" i="9"/>
  <c r="J543" i="9"/>
  <c r="P542" i="9"/>
  <c r="O542" i="9"/>
  <c r="N542" i="9"/>
  <c r="M542" i="9"/>
  <c r="L542" i="9"/>
  <c r="K542" i="9"/>
  <c r="J542" i="9"/>
  <c r="P541" i="9"/>
  <c r="O541" i="9"/>
  <c r="N541" i="9"/>
  <c r="M541" i="9"/>
  <c r="L541" i="9"/>
  <c r="K541" i="9"/>
  <c r="J541" i="9"/>
  <c r="P540" i="9"/>
  <c r="O540" i="9"/>
  <c r="N540" i="9"/>
  <c r="M540" i="9"/>
  <c r="L540" i="9"/>
  <c r="K540" i="9"/>
  <c r="J540" i="9"/>
  <c r="O539" i="9"/>
  <c r="N539" i="9"/>
  <c r="M539" i="9"/>
  <c r="L539" i="9"/>
  <c r="K539" i="9"/>
  <c r="J539" i="9"/>
  <c r="P538" i="9"/>
  <c r="F220" i="12" s="1"/>
  <c r="O538" i="9"/>
  <c r="N538" i="9"/>
  <c r="M538" i="9"/>
  <c r="L538" i="9"/>
  <c r="K538" i="9"/>
  <c r="J538" i="9"/>
  <c r="P537" i="9"/>
  <c r="F219" i="12" s="1"/>
  <c r="O537" i="9"/>
  <c r="N537" i="9"/>
  <c r="M537" i="9"/>
  <c r="L537" i="9"/>
  <c r="K537" i="9"/>
  <c r="J537" i="9"/>
  <c r="P536" i="9"/>
  <c r="F218" i="12" s="1"/>
  <c r="O536" i="9"/>
  <c r="N536" i="9"/>
  <c r="M536" i="9"/>
  <c r="L536" i="9"/>
  <c r="K536" i="9"/>
  <c r="J536" i="9"/>
  <c r="O535" i="9"/>
  <c r="N535" i="9"/>
  <c r="M535" i="9"/>
  <c r="L535" i="9"/>
  <c r="K535" i="9"/>
  <c r="J535" i="9"/>
  <c r="P534" i="9"/>
  <c r="F216" i="12" s="1"/>
  <c r="O534" i="9"/>
  <c r="N534" i="9"/>
  <c r="M534" i="9"/>
  <c r="L534" i="9"/>
  <c r="K534" i="9"/>
  <c r="J534" i="9"/>
  <c r="P533" i="9"/>
  <c r="F215" i="12" s="1"/>
  <c r="O533" i="9"/>
  <c r="N533" i="9"/>
  <c r="M533" i="9"/>
  <c r="L533" i="9"/>
  <c r="K533" i="9"/>
  <c r="J533" i="9"/>
  <c r="P532" i="9"/>
  <c r="F214" i="12" s="1"/>
  <c r="O532" i="9"/>
  <c r="N532" i="9"/>
  <c r="M532" i="9"/>
  <c r="L532" i="9"/>
  <c r="K532" i="9"/>
  <c r="J532" i="9"/>
  <c r="P531" i="9"/>
  <c r="O531" i="9"/>
  <c r="N531" i="9"/>
  <c r="M531" i="9"/>
  <c r="L531" i="9"/>
  <c r="K531" i="9"/>
  <c r="J531" i="9"/>
  <c r="P530" i="9"/>
  <c r="O530" i="9"/>
  <c r="N530" i="9"/>
  <c r="M530" i="9"/>
  <c r="L530" i="9"/>
  <c r="K530" i="9"/>
  <c r="J530" i="9"/>
  <c r="P529" i="9"/>
  <c r="O529" i="9"/>
  <c r="N529" i="9"/>
  <c r="M529" i="9"/>
  <c r="L529" i="9"/>
  <c r="K529" i="9"/>
  <c r="J529" i="9"/>
  <c r="P528" i="9"/>
  <c r="O528" i="9"/>
  <c r="N528" i="9"/>
  <c r="M528" i="9"/>
  <c r="L528" i="9"/>
  <c r="K528" i="9"/>
  <c r="J528" i="9"/>
  <c r="P527" i="9"/>
  <c r="F211" i="12" s="1"/>
  <c r="O527" i="9"/>
  <c r="N527" i="9"/>
  <c r="M527" i="9"/>
  <c r="L527" i="9"/>
  <c r="K527" i="9"/>
  <c r="J527" i="9"/>
  <c r="P526" i="9"/>
  <c r="O526" i="9"/>
  <c r="N526" i="9"/>
  <c r="M526" i="9"/>
  <c r="L526" i="9"/>
  <c r="K526" i="9"/>
  <c r="J526" i="9"/>
  <c r="P525" i="9"/>
  <c r="F209" i="12" s="1"/>
  <c r="O525" i="9"/>
  <c r="N525" i="9"/>
  <c r="M525" i="9"/>
  <c r="L525" i="9"/>
  <c r="K525" i="9"/>
  <c r="J525" i="9"/>
  <c r="O524" i="9"/>
  <c r="N524" i="9"/>
  <c r="M524" i="9"/>
  <c r="L524" i="9"/>
  <c r="K524" i="9"/>
  <c r="J524" i="9"/>
  <c r="P523" i="9"/>
  <c r="F207" i="12" s="1"/>
  <c r="O523" i="9"/>
  <c r="N523" i="9"/>
  <c r="M523" i="9"/>
  <c r="L523" i="9"/>
  <c r="K523" i="9"/>
  <c r="J523" i="9"/>
  <c r="P522" i="9"/>
  <c r="F206" i="12" s="1"/>
  <c r="O522" i="9"/>
  <c r="N522" i="9"/>
  <c r="M522" i="9"/>
  <c r="L522" i="9"/>
  <c r="K522" i="9"/>
  <c r="J522" i="9"/>
  <c r="P521" i="9"/>
  <c r="O521" i="9"/>
  <c r="N521" i="9"/>
  <c r="M521" i="9"/>
  <c r="L521" i="9"/>
  <c r="K521" i="9"/>
  <c r="J521" i="9"/>
  <c r="P520" i="9"/>
  <c r="F204" i="12" s="1"/>
  <c r="O520" i="9"/>
  <c r="N520" i="9"/>
  <c r="M520" i="9"/>
  <c r="L520" i="9"/>
  <c r="K520" i="9"/>
  <c r="J520" i="9"/>
  <c r="O519" i="9"/>
  <c r="N519" i="9"/>
  <c r="M519" i="9"/>
  <c r="L519" i="9"/>
  <c r="K519" i="9"/>
  <c r="J519" i="9"/>
  <c r="P518" i="9"/>
  <c r="F202" i="12" s="1"/>
  <c r="O518" i="9"/>
  <c r="N518" i="9"/>
  <c r="M518" i="9"/>
  <c r="L518" i="9"/>
  <c r="K518" i="9"/>
  <c r="J518" i="9"/>
  <c r="P517" i="9"/>
  <c r="F201" i="12" s="1"/>
  <c r="O517" i="9"/>
  <c r="N517" i="9"/>
  <c r="M517" i="9"/>
  <c r="L517" i="9"/>
  <c r="K517" i="9"/>
  <c r="J517" i="9"/>
  <c r="P516" i="9"/>
  <c r="F200" i="12" s="1"/>
  <c r="O516" i="9"/>
  <c r="N516" i="9"/>
  <c r="M516" i="9"/>
  <c r="L516" i="9"/>
  <c r="K516" i="9"/>
  <c r="J516" i="9"/>
  <c r="P515" i="9"/>
  <c r="F199" i="12" s="1"/>
  <c r="O515" i="9"/>
  <c r="N515" i="9"/>
  <c r="M515" i="9"/>
  <c r="L515" i="9"/>
  <c r="K515" i="9"/>
  <c r="J515" i="9"/>
  <c r="P514" i="9"/>
  <c r="O514" i="9"/>
  <c r="N514" i="9"/>
  <c r="M514" i="9"/>
  <c r="L514" i="9"/>
  <c r="K514" i="9"/>
  <c r="J514" i="9"/>
  <c r="P513" i="9"/>
  <c r="F197" i="12" s="1"/>
  <c r="O513" i="9"/>
  <c r="N513" i="9"/>
  <c r="M513" i="9"/>
  <c r="L513" i="9"/>
  <c r="K513" i="9"/>
  <c r="J513" i="9"/>
  <c r="P512" i="9"/>
  <c r="F196" i="12" s="1"/>
  <c r="O512" i="9"/>
  <c r="N512" i="9"/>
  <c r="M512" i="9"/>
  <c r="L512" i="9"/>
  <c r="K512" i="9"/>
  <c r="J512" i="9"/>
  <c r="P511" i="9"/>
  <c r="F195" i="12" s="1"/>
  <c r="O511" i="9"/>
  <c r="N511" i="9"/>
  <c r="M511" i="9"/>
  <c r="L511" i="9"/>
  <c r="K511" i="9"/>
  <c r="J511" i="9"/>
  <c r="O510" i="9"/>
  <c r="N510" i="9"/>
  <c r="M510" i="9"/>
  <c r="L510" i="9"/>
  <c r="K510" i="9"/>
  <c r="J510" i="9"/>
  <c r="P509" i="9"/>
  <c r="F193" i="12" s="1"/>
  <c r="O509" i="9"/>
  <c r="N509" i="9"/>
  <c r="M509" i="9"/>
  <c r="L509" i="9"/>
  <c r="K509" i="9"/>
  <c r="J509" i="9"/>
  <c r="P508" i="9"/>
  <c r="F192" i="12" s="1"/>
  <c r="O508" i="9"/>
  <c r="N508" i="9"/>
  <c r="M508" i="9"/>
  <c r="L508" i="9"/>
  <c r="K508" i="9"/>
  <c r="J508" i="9"/>
  <c r="P507" i="9"/>
  <c r="F191" i="12" s="1"/>
  <c r="O507" i="9"/>
  <c r="N507" i="9"/>
  <c r="M507" i="9"/>
  <c r="L507" i="9"/>
  <c r="K507" i="9"/>
  <c r="J507" i="9"/>
  <c r="P506" i="9"/>
  <c r="F190" i="12" s="1"/>
  <c r="O506" i="9"/>
  <c r="N506" i="9"/>
  <c r="M506" i="9"/>
  <c r="L506" i="9"/>
  <c r="K506" i="9"/>
  <c r="J506" i="9"/>
  <c r="O505" i="9"/>
  <c r="N505" i="9"/>
  <c r="M505" i="9"/>
  <c r="L505" i="9"/>
  <c r="K505" i="9"/>
  <c r="J505" i="9"/>
  <c r="P504" i="9"/>
  <c r="F188" i="12" s="1"/>
  <c r="O504" i="9"/>
  <c r="N504" i="9"/>
  <c r="M504" i="9"/>
  <c r="L504" i="9"/>
  <c r="K504" i="9"/>
  <c r="J504" i="9"/>
  <c r="P503" i="9"/>
  <c r="F187" i="12" s="1"/>
  <c r="O503" i="9"/>
  <c r="N503" i="9"/>
  <c r="M503" i="9"/>
  <c r="L503" i="9"/>
  <c r="K503" i="9"/>
  <c r="J503" i="9"/>
  <c r="P502" i="9"/>
  <c r="O502" i="9"/>
  <c r="N502" i="9"/>
  <c r="M502" i="9"/>
  <c r="L502" i="9"/>
  <c r="K502" i="9"/>
  <c r="J502" i="9"/>
  <c r="P501" i="9"/>
  <c r="F185" i="12" s="1"/>
  <c r="O501" i="9"/>
  <c r="N501" i="9"/>
  <c r="M501" i="9"/>
  <c r="L501" i="9"/>
  <c r="K501" i="9"/>
  <c r="J501" i="9"/>
  <c r="P500" i="9"/>
  <c r="F184" i="12" s="1"/>
  <c r="O500" i="9"/>
  <c r="N500" i="9"/>
  <c r="M500" i="9"/>
  <c r="L500" i="9"/>
  <c r="K500" i="9"/>
  <c r="J500" i="9"/>
  <c r="P499" i="9"/>
  <c r="F183" i="12" s="1"/>
  <c r="O499" i="9"/>
  <c r="N499" i="9"/>
  <c r="M499" i="9"/>
  <c r="L499" i="9"/>
  <c r="K499" i="9"/>
  <c r="J499" i="9"/>
  <c r="P498" i="9"/>
  <c r="O498" i="9"/>
  <c r="N498" i="9"/>
  <c r="M498" i="9"/>
  <c r="L498" i="9"/>
  <c r="K498" i="9"/>
  <c r="J498" i="9"/>
  <c r="P497" i="9"/>
  <c r="F181" i="12" s="1"/>
  <c r="O497" i="9"/>
  <c r="N497" i="9"/>
  <c r="M497" i="9"/>
  <c r="L497" i="9"/>
  <c r="K497" i="9"/>
  <c r="J497" i="9"/>
  <c r="P496" i="9"/>
  <c r="F180" i="12" s="1"/>
  <c r="O496" i="9"/>
  <c r="N496" i="9"/>
  <c r="M496" i="9"/>
  <c r="L496" i="9"/>
  <c r="K496" i="9"/>
  <c r="J496" i="9"/>
  <c r="P495" i="9"/>
  <c r="F179" i="12" s="1"/>
  <c r="O495" i="9"/>
  <c r="N495" i="9"/>
  <c r="M495" i="9"/>
  <c r="L495" i="9"/>
  <c r="K495" i="9"/>
  <c r="J495" i="9"/>
  <c r="P494" i="9"/>
  <c r="F178" i="12" s="1"/>
  <c r="O494" i="9"/>
  <c r="N494" i="9"/>
  <c r="M494" i="9"/>
  <c r="L494" i="9"/>
  <c r="K494" i="9"/>
  <c r="J494" i="9"/>
  <c r="P493" i="9"/>
  <c r="F177" i="12" s="1"/>
  <c r="O493" i="9"/>
  <c r="N493" i="9"/>
  <c r="M493" i="9"/>
  <c r="L493" i="9"/>
  <c r="K493" i="9"/>
  <c r="J493" i="9"/>
  <c r="P492" i="9"/>
  <c r="F176" i="12" s="1"/>
  <c r="O492" i="9"/>
  <c r="N492" i="9"/>
  <c r="M492" i="9"/>
  <c r="L492" i="9"/>
  <c r="K492" i="9"/>
  <c r="J492" i="9"/>
  <c r="P491" i="9"/>
  <c r="F175" i="12" s="1"/>
  <c r="O491" i="9"/>
  <c r="N491" i="9"/>
  <c r="M491" i="9"/>
  <c r="L491" i="9"/>
  <c r="K491" i="9"/>
  <c r="J491" i="9"/>
  <c r="P490" i="9"/>
  <c r="O490" i="9"/>
  <c r="N490" i="9"/>
  <c r="M490" i="9"/>
  <c r="L490" i="9"/>
  <c r="K490" i="9"/>
  <c r="J490" i="9"/>
  <c r="P489" i="9"/>
  <c r="F173" i="12" s="1"/>
  <c r="O489" i="9"/>
  <c r="N489" i="9"/>
  <c r="M489" i="9"/>
  <c r="L489" i="9"/>
  <c r="K489" i="9"/>
  <c r="J489" i="9"/>
  <c r="P488" i="9"/>
  <c r="F172" i="12" s="1"/>
  <c r="O488" i="9"/>
  <c r="N488" i="9"/>
  <c r="M488" i="9"/>
  <c r="L488" i="9"/>
  <c r="K488" i="9"/>
  <c r="J488" i="9"/>
  <c r="P487" i="9"/>
  <c r="F171" i="12" s="1"/>
  <c r="O487" i="9"/>
  <c r="N487" i="9"/>
  <c r="M487" i="9"/>
  <c r="L487" i="9"/>
  <c r="K487" i="9"/>
  <c r="J487" i="9"/>
  <c r="P486" i="9"/>
  <c r="O486" i="9"/>
  <c r="N486" i="9"/>
  <c r="M486" i="9"/>
  <c r="L486" i="9"/>
  <c r="K486" i="9"/>
  <c r="J486" i="9"/>
  <c r="P485" i="9"/>
  <c r="F169" i="12" s="1"/>
  <c r="O485" i="9"/>
  <c r="N485" i="9"/>
  <c r="M485" i="9"/>
  <c r="L485" i="9"/>
  <c r="K485" i="9"/>
  <c r="J485" i="9"/>
  <c r="P484" i="9"/>
  <c r="F168" i="12" s="1"/>
  <c r="O484" i="9"/>
  <c r="N484" i="9"/>
  <c r="M484" i="9"/>
  <c r="L484" i="9"/>
  <c r="K484" i="9"/>
  <c r="J484" i="9"/>
  <c r="P483" i="9"/>
  <c r="F167" i="12" s="1"/>
  <c r="O483" i="9"/>
  <c r="N483" i="9"/>
  <c r="M483" i="9"/>
  <c r="L483" i="9"/>
  <c r="K483" i="9"/>
  <c r="J483" i="9"/>
  <c r="P482" i="9"/>
  <c r="F166" i="12" s="1"/>
  <c r="O482" i="9"/>
  <c r="N482" i="9"/>
  <c r="M482" i="9"/>
  <c r="L482" i="9"/>
  <c r="K482" i="9"/>
  <c r="J482" i="9"/>
  <c r="P481" i="9"/>
  <c r="F165" i="12" s="1"/>
  <c r="O481" i="9"/>
  <c r="N481" i="9"/>
  <c r="M481" i="9"/>
  <c r="L481" i="9"/>
  <c r="K481" i="9"/>
  <c r="J481" i="9"/>
  <c r="P480" i="9"/>
  <c r="F164" i="12" s="1"/>
  <c r="O480" i="9"/>
  <c r="N480" i="9"/>
  <c r="M480" i="9"/>
  <c r="L480" i="9"/>
  <c r="K480" i="9"/>
  <c r="J480" i="9"/>
  <c r="P479" i="9"/>
  <c r="F163" i="12" s="1"/>
  <c r="O479" i="9"/>
  <c r="N479" i="9"/>
  <c r="M479" i="9"/>
  <c r="L479" i="9"/>
  <c r="K479" i="9"/>
  <c r="J479" i="9"/>
  <c r="P478" i="9"/>
  <c r="O478" i="9"/>
  <c r="N478" i="9"/>
  <c r="M478" i="9"/>
  <c r="L478" i="9"/>
  <c r="K478" i="9"/>
  <c r="J478" i="9"/>
  <c r="P477" i="9"/>
  <c r="F161" i="12" s="1"/>
  <c r="O477" i="9"/>
  <c r="N477" i="9"/>
  <c r="M477" i="9"/>
  <c r="L477" i="9"/>
  <c r="K477" i="9"/>
  <c r="J477" i="9"/>
  <c r="P476" i="9"/>
  <c r="F160" i="12" s="1"/>
  <c r="O476" i="9"/>
  <c r="N476" i="9"/>
  <c r="M476" i="9"/>
  <c r="L476" i="9"/>
  <c r="K476" i="9"/>
  <c r="J476" i="9"/>
  <c r="P475" i="9"/>
  <c r="F159" i="12" s="1"/>
  <c r="O475" i="9"/>
  <c r="N475" i="9"/>
  <c r="M475" i="9"/>
  <c r="L475" i="9"/>
  <c r="K475" i="9"/>
  <c r="J475" i="9"/>
  <c r="P474" i="9"/>
  <c r="O474" i="9"/>
  <c r="N474" i="9"/>
  <c r="M474" i="9"/>
  <c r="L474" i="9"/>
  <c r="K474" i="9"/>
  <c r="J474" i="9"/>
  <c r="P473" i="9"/>
  <c r="F157" i="12" s="1"/>
  <c r="O473" i="9"/>
  <c r="N473" i="9"/>
  <c r="M473" i="9"/>
  <c r="L473" i="9"/>
  <c r="K473" i="9"/>
  <c r="J473" i="9"/>
  <c r="P472" i="9"/>
  <c r="F156" i="12" s="1"/>
  <c r="O472" i="9"/>
  <c r="N472" i="9"/>
  <c r="M472" i="9"/>
  <c r="L472" i="9"/>
  <c r="K472" i="9"/>
  <c r="J472" i="9"/>
  <c r="P471" i="9"/>
  <c r="F155" i="12" s="1"/>
  <c r="O471" i="9"/>
  <c r="N471" i="9"/>
  <c r="M471" i="9"/>
  <c r="L471" i="9"/>
  <c r="K471" i="9"/>
  <c r="J471" i="9"/>
  <c r="P470" i="9"/>
  <c r="F154" i="12" s="1"/>
  <c r="O470" i="9"/>
  <c r="N470" i="9"/>
  <c r="M470" i="9"/>
  <c r="L470" i="9"/>
  <c r="K470" i="9"/>
  <c r="J470" i="9"/>
  <c r="P469" i="9"/>
  <c r="F153" i="12" s="1"/>
  <c r="O469" i="9"/>
  <c r="N469" i="9"/>
  <c r="M469" i="9"/>
  <c r="L469" i="9"/>
  <c r="K469" i="9"/>
  <c r="J469" i="9"/>
  <c r="P468" i="9"/>
  <c r="F152" i="12" s="1"/>
  <c r="O468" i="9"/>
  <c r="N468" i="9"/>
  <c r="M468" i="9"/>
  <c r="L468" i="9"/>
  <c r="K468" i="9"/>
  <c r="J468" i="9"/>
  <c r="P467" i="9"/>
  <c r="F151" i="12" s="1"/>
  <c r="O467" i="9"/>
  <c r="N467" i="9"/>
  <c r="M467" i="9"/>
  <c r="L467" i="9"/>
  <c r="K467" i="9"/>
  <c r="J467" i="9"/>
  <c r="P466" i="9"/>
  <c r="O466" i="9"/>
  <c r="N466" i="9"/>
  <c r="M466" i="9"/>
  <c r="L466" i="9"/>
  <c r="K466" i="9"/>
  <c r="J466" i="9"/>
  <c r="P465" i="9"/>
  <c r="F149" i="12" s="1"/>
  <c r="O465" i="9"/>
  <c r="N465" i="9"/>
  <c r="M465" i="9"/>
  <c r="L465" i="9"/>
  <c r="K465" i="9"/>
  <c r="J465" i="9"/>
  <c r="P464" i="9"/>
  <c r="O464" i="9"/>
  <c r="N464" i="9"/>
  <c r="M464" i="9"/>
  <c r="L464" i="9"/>
  <c r="K464" i="9"/>
  <c r="J464" i="9"/>
  <c r="P463" i="9"/>
  <c r="F148" i="12" s="1"/>
  <c r="O463" i="9"/>
  <c r="N463" i="9"/>
  <c r="M463" i="9"/>
  <c r="L463" i="9"/>
  <c r="K463" i="9"/>
  <c r="J463" i="9"/>
  <c r="P462" i="9"/>
  <c r="O462" i="9"/>
  <c r="N462" i="9"/>
  <c r="M462" i="9"/>
  <c r="L462" i="9"/>
  <c r="K462" i="9"/>
  <c r="J462" i="9"/>
  <c r="P461" i="9"/>
  <c r="F146" i="12" s="1"/>
  <c r="O461" i="9"/>
  <c r="N461" i="9"/>
  <c r="M461" i="9"/>
  <c r="L461" i="9"/>
  <c r="K461" i="9"/>
  <c r="J461" i="9"/>
  <c r="P460" i="9"/>
  <c r="F145" i="12" s="1"/>
  <c r="O460" i="9"/>
  <c r="N460" i="9"/>
  <c r="M460" i="9"/>
  <c r="L460" i="9"/>
  <c r="K460" i="9"/>
  <c r="J460" i="9"/>
  <c r="P459" i="9"/>
  <c r="F144" i="12" s="1"/>
  <c r="O459" i="9"/>
  <c r="N459" i="9"/>
  <c r="M459" i="9"/>
  <c r="L459" i="9"/>
  <c r="K459" i="9"/>
  <c r="J459" i="9"/>
  <c r="P458" i="9"/>
  <c r="F143" i="12" s="1"/>
  <c r="O458" i="9"/>
  <c r="N458" i="9"/>
  <c r="M458" i="9"/>
  <c r="L458" i="9"/>
  <c r="K458" i="9"/>
  <c r="J458" i="9"/>
  <c r="O457" i="9"/>
  <c r="N457" i="9"/>
  <c r="M457" i="9"/>
  <c r="L457" i="9"/>
  <c r="K457" i="9"/>
  <c r="J457" i="9"/>
  <c r="P456" i="9"/>
  <c r="F140" i="12" s="1"/>
  <c r="O456" i="9"/>
  <c r="N456" i="9"/>
  <c r="M456" i="9"/>
  <c r="L456" i="9"/>
  <c r="K456" i="9"/>
  <c r="J456" i="9"/>
  <c r="P455" i="9"/>
  <c r="O455" i="9"/>
  <c r="N455" i="9"/>
  <c r="M455" i="9"/>
  <c r="L455" i="9"/>
  <c r="K455" i="9"/>
  <c r="J455" i="9"/>
  <c r="P454" i="9"/>
  <c r="F138" i="12" s="1"/>
  <c r="O454" i="9"/>
  <c r="N454" i="9"/>
  <c r="M454" i="9"/>
  <c r="L454" i="9"/>
  <c r="K454" i="9"/>
  <c r="J454" i="9"/>
  <c r="P453" i="9"/>
  <c r="F137" i="12" s="1"/>
  <c r="O453" i="9"/>
  <c r="N453" i="9"/>
  <c r="M453" i="9"/>
  <c r="L453" i="9"/>
  <c r="K453" i="9"/>
  <c r="J453" i="9"/>
  <c r="P452" i="9"/>
  <c r="F136" i="12" s="1"/>
  <c r="O452" i="9"/>
  <c r="N452" i="9"/>
  <c r="M452" i="9"/>
  <c r="L452" i="9"/>
  <c r="K452" i="9"/>
  <c r="J452" i="9"/>
  <c r="P451" i="9"/>
  <c r="F135" i="12" s="1"/>
  <c r="O451" i="9"/>
  <c r="N451" i="9"/>
  <c r="M451" i="9"/>
  <c r="L451" i="9"/>
  <c r="K451" i="9"/>
  <c r="J451" i="9"/>
  <c r="P450" i="9"/>
  <c r="F134" i="12" s="1"/>
  <c r="O450" i="9"/>
  <c r="N450" i="9"/>
  <c r="M450" i="9"/>
  <c r="L450" i="9"/>
  <c r="K450" i="9"/>
  <c r="J450" i="9"/>
  <c r="P449" i="9"/>
  <c r="F133" i="12" s="1"/>
  <c r="O449" i="9"/>
  <c r="N449" i="9"/>
  <c r="M449" i="9"/>
  <c r="L449" i="9"/>
  <c r="K449" i="9"/>
  <c r="J449" i="9"/>
  <c r="P448" i="9"/>
  <c r="F132" i="12" s="1"/>
  <c r="O448" i="9"/>
  <c r="N448" i="9"/>
  <c r="M448" i="9"/>
  <c r="L448" i="9"/>
  <c r="K448" i="9"/>
  <c r="J448" i="9"/>
  <c r="P447" i="9"/>
  <c r="O447" i="9"/>
  <c r="N447" i="9"/>
  <c r="M447" i="9"/>
  <c r="L447" i="9"/>
  <c r="K447" i="9"/>
  <c r="J447" i="9"/>
  <c r="P446" i="9"/>
  <c r="F130" i="12" s="1"/>
  <c r="O446" i="9"/>
  <c r="N446" i="9"/>
  <c r="M446" i="9"/>
  <c r="L446" i="9"/>
  <c r="K446" i="9"/>
  <c r="J446" i="9"/>
  <c r="P445" i="9"/>
  <c r="F129" i="12" s="1"/>
  <c r="O445" i="9"/>
  <c r="N445" i="9"/>
  <c r="M445" i="9"/>
  <c r="L445" i="9"/>
  <c r="K445" i="9"/>
  <c r="J445" i="9"/>
  <c r="P444" i="9"/>
  <c r="F128" i="12" s="1"/>
  <c r="O444" i="9"/>
  <c r="N444" i="9"/>
  <c r="M444" i="9"/>
  <c r="L444" i="9"/>
  <c r="K444" i="9"/>
  <c r="J444" i="9"/>
  <c r="P443" i="9"/>
  <c r="O443" i="9"/>
  <c r="N443" i="9"/>
  <c r="M443" i="9"/>
  <c r="L443" i="9"/>
  <c r="K443" i="9"/>
  <c r="J443" i="9"/>
  <c r="P442" i="9"/>
  <c r="F126" i="12" s="1"/>
  <c r="O442" i="9"/>
  <c r="N442" i="9"/>
  <c r="M442" i="9"/>
  <c r="L442" i="9"/>
  <c r="K442" i="9"/>
  <c r="J442" i="9"/>
  <c r="P441" i="9"/>
  <c r="F125" i="12" s="1"/>
  <c r="O441" i="9"/>
  <c r="N441" i="9"/>
  <c r="M441" i="9"/>
  <c r="L441" i="9"/>
  <c r="K441" i="9"/>
  <c r="J441" i="9"/>
  <c r="P440" i="9"/>
  <c r="F124" i="12" s="1"/>
  <c r="O440" i="9"/>
  <c r="N440" i="9"/>
  <c r="M440" i="9"/>
  <c r="L440" i="9"/>
  <c r="K440" i="9"/>
  <c r="J440" i="9"/>
  <c r="O439" i="9"/>
  <c r="N439" i="9"/>
  <c r="M439" i="9"/>
  <c r="L439" i="9"/>
  <c r="K439" i="9"/>
  <c r="J439" i="9"/>
  <c r="P438" i="9"/>
  <c r="O438" i="9"/>
  <c r="N438" i="9"/>
  <c r="M438" i="9"/>
  <c r="L438" i="9"/>
  <c r="K438" i="9"/>
  <c r="J438" i="9"/>
  <c r="P437" i="9"/>
  <c r="O437" i="9"/>
  <c r="N437" i="9"/>
  <c r="M437" i="9"/>
  <c r="L437" i="9"/>
  <c r="K437" i="9"/>
  <c r="J437" i="9"/>
  <c r="P436" i="9"/>
  <c r="F122" i="12" s="1"/>
  <c r="O436" i="9"/>
  <c r="N436" i="9"/>
  <c r="M436" i="9"/>
  <c r="L436" i="9"/>
  <c r="K436" i="9"/>
  <c r="J436" i="9"/>
  <c r="P435" i="9"/>
  <c r="O435" i="9"/>
  <c r="N435" i="9"/>
  <c r="M435" i="9"/>
  <c r="L435" i="9"/>
  <c r="K435" i="9"/>
  <c r="J435" i="9"/>
  <c r="P434" i="9"/>
  <c r="F120" i="12" s="1"/>
  <c r="O434" i="9"/>
  <c r="N434" i="9"/>
  <c r="M434" i="9"/>
  <c r="L434" i="9"/>
  <c r="K434" i="9"/>
  <c r="J434" i="9"/>
  <c r="P433" i="9"/>
  <c r="F119" i="12" s="1"/>
  <c r="O433" i="9"/>
  <c r="N433" i="9"/>
  <c r="M433" i="9"/>
  <c r="L433" i="9"/>
  <c r="K433" i="9"/>
  <c r="J433" i="9"/>
  <c r="P432" i="9"/>
  <c r="F118" i="12" s="1"/>
  <c r="O432" i="9"/>
  <c r="N432" i="9"/>
  <c r="M432" i="9"/>
  <c r="L432" i="9"/>
  <c r="K432" i="9"/>
  <c r="J432" i="9"/>
  <c r="P431" i="9"/>
  <c r="O431" i="9"/>
  <c r="N431" i="9"/>
  <c r="M431" i="9"/>
  <c r="L431" i="9"/>
  <c r="K431" i="9"/>
  <c r="J431" i="9"/>
  <c r="P430" i="9"/>
  <c r="F116" i="12" s="1"/>
  <c r="O430" i="9"/>
  <c r="N430" i="9"/>
  <c r="M430" i="9"/>
  <c r="L430" i="9"/>
  <c r="K430" i="9"/>
  <c r="J430" i="9"/>
  <c r="O429" i="9"/>
  <c r="N429" i="9"/>
  <c r="M429" i="9"/>
  <c r="L429" i="9"/>
  <c r="K429" i="9"/>
  <c r="J429" i="9"/>
  <c r="P428" i="9"/>
  <c r="O428" i="9"/>
  <c r="N428" i="9"/>
  <c r="M428" i="9"/>
  <c r="L428" i="9"/>
  <c r="K428" i="9"/>
  <c r="J428" i="9"/>
  <c r="O427" i="9"/>
  <c r="N427" i="9"/>
  <c r="M427" i="9"/>
  <c r="L427" i="9"/>
  <c r="K427" i="9"/>
  <c r="J427" i="9"/>
  <c r="P426" i="9"/>
  <c r="F112" i="12" s="1"/>
  <c r="O426" i="9"/>
  <c r="N426" i="9"/>
  <c r="M426" i="9"/>
  <c r="L426" i="9"/>
  <c r="K426" i="9"/>
  <c r="J426" i="9"/>
  <c r="O425" i="9"/>
  <c r="N425" i="9"/>
  <c r="M425" i="9"/>
  <c r="L425" i="9"/>
  <c r="K425" i="9"/>
  <c r="J425" i="9"/>
  <c r="O424" i="9"/>
  <c r="N424" i="9"/>
  <c r="M424" i="9"/>
  <c r="L424" i="9"/>
  <c r="K424" i="9"/>
  <c r="J424" i="9"/>
  <c r="O423" i="9"/>
  <c r="N423" i="9"/>
  <c r="M423" i="9"/>
  <c r="L423" i="9"/>
  <c r="K423" i="9"/>
  <c r="J423" i="9"/>
  <c r="P422" i="9"/>
  <c r="F108" i="12" s="1"/>
  <c r="O422" i="9"/>
  <c r="N422" i="9"/>
  <c r="M422" i="9"/>
  <c r="L422" i="9"/>
  <c r="K422" i="9"/>
  <c r="J422" i="9"/>
  <c r="P421" i="9"/>
  <c r="F107" i="12" s="1"/>
  <c r="O421" i="9"/>
  <c r="N421" i="9"/>
  <c r="M421" i="9"/>
  <c r="L421" i="9"/>
  <c r="K421" i="9"/>
  <c r="J421" i="9"/>
  <c r="P420" i="9"/>
  <c r="F106" i="12" s="1"/>
  <c r="O420" i="9"/>
  <c r="N420" i="9"/>
  <c r="M420" i="9"/>
  <c r="L420" i="9"/>
  <c r="K420" i="9"/>
  <c r="J420" i="9"/>
  <c r="P419" i="9"/>
  <c r="O419" i="9"/>
  <c r="N419" i="9"/>
  <c r="M419" i="9"/>
  <c r="L419" i="9"/>
  <c r="K419" i="9"/>
  <c r="J419" i="9"/>
  <c r="P418" i="9"/>
  <c r="F104" i="12" s="1"/>
  <c r="O418" i="9"/>
  <c r="N418" i="9"/>
  <c r="M418" i="9"/>
  <c r="L418" i="9"/>
  <c r="K418" i="9"/>
  <c r="J418" i="9"/>
  <c r="O417" i="9"/>
  <c r="N417" i="9"/>
  <c r="M417" i="9"/>
  <c r="L417" i="9"/>
  <c r="K417" i="9"/>
  <c r="J417" i="9"/>
  <c r="P416" i="9"/>
  <c r="O416" i="9"/>
  <c r="N416" i="9"/>
  <c r="M416" i="9"/>
  <c r="L416" i="9"/>
  <c r="K416" i="9"/>
  <c r="J416" i="9"/>
  <c r="O415" i="9"/>
  <c r="N415" i="9"/>
  <c r="M415" i="9"/>
  <c r="L415" i="9"/>
  <c r="K415" i="9"/>
  <c r="J415" i="9"/>
  <c r="P414" i="9"/>
  <c r="F100" i="12" s="1"/>
  <c r="O414" i="9"/>
  <c r="N414" i="9"/>
  <c r="M414" i="9"/>
  <c r="L414" i="9"/>
  <c r="K414" i="9"/>
  <c r="J414" i="9"/>
  <c r="P413" i="9"/>
  <c r="F99" i="12" s="1"/>
  <c r="O413" i="9"/>
  <c r="N413" i="9"/>
  <c r="M413" i="9"/>
  <c r="L413" i="9"/>
  <c r="K413" i="9"/>
  <c r="J413" i="9"/>
  <c r="P412" i="9"/>
  <c r="F98" i="12" s="1"/>
  <c r="O412" i="9"/>
  <c r="N412" i="9"/>
  <c r="M412" i="9"/>
  <c r="L412" i="9"/>
  <c r="K412" i="9"/>
  <c r="J412" i="9"/>
  <c r="P411" i="9"/>
  <c r="F97" i="12" s="1"/>
  <c r="O411" i="9"/>
  <c r="N411" i="9"/>
  <c r="M411" i="9"/>
  <c r="L411" i="9"/>
  <c r="K411" i="9"/>
  <c r="J411" i="9"/>
  <c r="P410" i="9"/>
  <c r="F96" i="12" s="1"/>
  <c r="O410" i="9"/>
  <c r="N410" i="9"/>
  <c r="M410" i="9"/>
  <c r="L410" i="9"/>
  <c r="K410" i="9"/>
  <c r="J410" i="9"/>
  <c r="P409" i="9"/>
  <c r="F95" i="12" s="1"/>
  <c r="O409" i="9"/>
  <c r="N409" i="9"/>
  <c r="M409" i="9"/>
  <c r="L409" i="9"/>
  <c r="K409" i="9"/>
  <c r="J409" i="9"/>
  <c r="P408" i="9"/>
  <c r="F94" i="12" s="1"/>
  <c r="O408" i="9"/>
  <c r="N408" i="9"/>
  <c r="M408" i="9"/>
  <c r="L408" i="9"/>
  <c r="K408" i="9"/>
  <c r="J408" i="9"/>
  <c r="P407" i="9"/>
  <c r="O407" i="9"/>
  <c r="N407" i="9"/>
  <c r="M407" i="9"/>
  <c r="L407" i="9"/>
  <c r="K407" i="9"/>
  <c r="J407" i="9"/>
  <c r="P406" i="9"/>
  <c r="F91" i="12" s="1"/>
  <c r="O406" i="9"/>
  <c r="N406" i="9"/>
  <c r="M406" i="9"/>
  <c r="L406" i="9"/>
  <c r="K406" i="9"/>
  <c r="J406" i="9"/>
  <c r="P405" i="9"/>
  <c r="F90" i="12" s="1"/>
  <c r="O405" i="9"/>
  <c r="N405" i="9"/>
  <c r="M405" i="9"/>
  <c r="L405" i="9"/>
  <c r="K405" i="9"/>
  <c r="J405" i="9"/>
  <c r="P404" i="9"/>
  <c r="F89" i="12" s="1"/>
  <c r="O404" i="9"/>
  <c r="N404" i="9"/>
  <c r="M404" i="9"/>
  <c r="L404" i="9"/>
  <c r="K404" i="9"/>
  <c r="J404" i="9"/>
  <c r="P403" i="9"/>
  <c r="F88" i="12" s="1"/>
  <c r="O403" i="9"/>
  <c r="N403" i="9"/>
  <c r="M403" i="9"/>
  <c r="L403" i="9"/>
  <c r="K403" i="9"/>
  <c r="J403" i="9"/>
  <c r="P402" i="9"/>
  <c r="F87" i="12" s="1"/>
  <c r="O402" i="9"/>
  <c r="N402" i="9"/>
  <c r="M402" i="9"/>
  <c r="L402" i="9"/>
  <c r="K402" i="9"/>
  <c r="J402" i="9"/>
  <c r="O401" i="9"/>
  <c r="N401" i="9"/>
  <c r="M401" i="9"/>
  <c r="L401" i="9"/>
  <c r="K401" i="9"/>
  <c r="J401" i="9"/>
  <c r="P400" i="9"/>
  <c r="F85" i="12" s="1"/>
  <c r="O400" i="9"/>
  <c r="N400" i="9"/>
  <c r="M400" i="9"/>
  <c r="L400" i="9"/>
  <c r="K400" i="9"/>
  <c r="J400" i="9"/>
  <c r="O399" i="9"/>
  <c r="N399" i="9"/>
  <c r="M399" i="9"/>
  <c r="L399" i="9"/>
  <c r="K399" i="9"/>
  <c r="J399" i="9"/>
  <c r="P398" i="9"/>
  <c r="F83" i="12" s="1"/>
  <c r="O398" i="9"/>
  <c r="N398" i="9"/>
  <c r="M398" i="9"/>
  <c r="L398" i="9"/>
  <c r="K398" i="9"/>
  <c r="J398" i="9"/>
  <c r="O397" i="9"/>
  <c r="N397" i="9"/>
  <c r="M397" i="9"/>
  <c r="L397" i="9"/>
  <c r="K397" i="9"/>
  <c r="J397" i="9"/>
  <c r="P396" i="9"/>
  <c r="O396" i="9"/>
  <c r="N396" i="9"/>
  <c r="M396" i="9"/>
  <c r="L396" i="9"/>
  <c r="K396" i="9"/>
  <c r="J396" i="9"/>
  <c r="P395" i="9"/>
  <c r="F79" i="12" s="1"/>
  <c r="O395" i="9"/>
  <c r="N395" i="9"/>
  <c r="M395" i="9"/>
  <c r="L395" i="9"/>
  <c r="K395" i="9"/>
  <c r="J395" i="9"/>
  <c r="P394" i="9"/>
  <c r="O394" i="9"/>
  <c r="N394" i="9"/>
  <c r="M394" i="9"/>
  <c r="L394" i="9"/>
  <c r="K394" i="9"/>
  <c r="J394" i="9"/>
  <c r="P393" i="9"/>
  <c r="O393" i="9"/>
  <c r="N393" i="9"/>
  <c r="M393" i="9"/>
  <c r="L393" i="9"/>
  <c r="K393" i="9"/>
  <c r="J393" i="9"/>
  <c r="P392" i="9"/>
  <c r="F74" i="12" s="1"/>
  <c r="O392" i="9"/>
  <c r="N392" i="9"/>
  <c r="M392" i="9"/>
  <c r="L392" i="9"/>
  <c r="K392" i="9"/>
  <c r="J392" i="9"/>
  <c r="P391" i="9"/>
  <c r="F73" i="12" s="1"/>
  <c r="O391" i="9"/>
  <c r="N391" i="9"/>
  <c r="M391" i="9"/>
  <c r="L391" i="9"/>
  <c r="K391" i="9"/>
  <c r="J391" i="9"/>
  <c r="O390" i="9"/>
  <c r="N390" i="9"/>
  <c r="M390" i="9"/>
  <c r="L390" i="9"/>
  <c r="K390" i="9"/>
  <c r="J390" i="9"/>
  <c r="P389" i="9"/>
  <c r="O389" i="9"/>
  <c r="N389" i="9"/>
  <c r="M389" i="9"/>
  <c r="L389" i="9"/>
  <c r="K389" i="9"/>
  <c r="J389" i="9"/>
  <c r="O388" i="9"/>
  <c r="N388" i="9"/>
  <c r="M388" i="9"/>
  <c r="L388" i="9"/>
  <c r="K388" i="9"/>
  <c r="J388" i="9"/>
  <c r="P387" i="9"/>
  <c r="O387" i="9"/>
  <c r="N387" i="9"/>
  <c r="M387" i="9"/>
  <c r="L387" i="9"/>
  <c r="K387" i="9"/>
  <c r="J387" i="9"/>
  <c r="O386" i="9"/>
  <c r="N386" i="9"/>
  <c r="M386" i="9"/>
  <c r="L386" i="9"/>
  <c r="K386" i="9"/>
  <c r="J386" i="9"/>
  <c r="P385" i="9"/>
  <c r="O385" i="9"/>
  <c r="N385" i="9"/>
  <c r="M385" i="9"/>
  <c r="L385" i="9"/>
  <c r="K385" i="9"/>
  <c r="J385" i="9"/>
  <c r="P384" i="9"/>
  <c r="O384" i="9"/>
  <c r="N384" i="9"/>
  <c r="M384" i="9"/>
  <c r="L384" i="9"/>
  <c r="K384" i="9"/>
  <c r="J384" i="9"/>
  <c r="P383" i="9"/>
  <c r="O383" i="9"/>
  <c r="N383" i="9"/>
  <c r="M383" i="9"/>
  <c r="L383" i="9"/>
  <c r="K383" i="9"/>
  <c r="J383" i="9"/>
  <c r="P382" i="9"/>
  <c r="O382" i="9"/>
  <c r="N382" i="9"/>
  <c r="M382" i="9"/>
  <c r="L382" i="9"/>
  <c r="K382" i="9"/>
  <c r="J382" i="9"/>
  <c r="P381" i="9"/>
  <c r="O381" i="9"/>
  <c r="N381" i="9"/>
  <c r="M381" i="9"/>
  <c r="L381" i="9"/>
  <c r="K381" i="9"/>
  <c r="J381" i="9"/>
  <c r="P380" i="9"/>
  <c r="O380" i="9"/>
  <c r="N380" i="9"/>
  <c r="M380" i="9"/>
  <c r="L380" i="9"/>
  <c r="K380" i="9"/>
  <c r="J380" i="9"/>
  <c r="P379" i="9"/>
  <c r="O379" i="9"/>
  <c r="N379" i="9"/>
  <c r="M379" i="9"/>
  <c r="L379" i="9"/>
  <c r="K379" i="9"/>
  <c r="J379" i="9"/>
  <c r="P378" i="9"/>
  <c r="O378" i="9"/>
  <c r="N378" i="9"/>
  <c r="M378" i="9"/>
  <c r="L378" i="9"/>
  <c r="K378" i="9"/>
  <c r="J378" i="9"/>
  <c r="P377" i="9"/>
  <c r="O377" i="9"/>
  <c r="N377" i="9"/>
  <c r="M377" i="9"/>
  <c r="L377" i="9"/>
  <c r="K377" i="9"/>
  <c r="J377" i="9"/>
  <c r="P376" i="9"/>
  <c r="O376" i="9"/>
  <c r="N376" i="9"/>
  <c r="M376" i="9"/>
  <c r="L376" i="9"/>
  <c r="K376" i="9"/>
  <c r="J376" i="9"/>
  <c r="O375" i="9"/>
  <c r="N375" i="9"/>
  <c r="M375" i="9"/>
  <c r="L375" i="9"/>
  <c r="K375" i="9"/>
  <c r="J375" i="9"/>
  <c r="P374" i="9"/>
  <c r="O374" i="9"/>
  <c r="N374" i="9"/>
  <c r="M374" i="9"/>
  <c r="L374" i="9"/>
  <c r="K374" i="9"/>
  <c r="J374" i="9"/>
  <c r="P373" i="9"/>
  <c r="O373" i="9"/>
  <c r="N373" i="9"/>
  <c r="M373" i="9"/>
  <c r="L373" i="9"/>
  <c r="K373" i="9"/>
  <c r="J373" i="9"/>
  <c r="P372" i="9"/>
  <c r="O372" i="9"/>
  <c r="N372" i="9"/>
  <c r="M372" i="9"/>
  <c r="L372" i="9"/>
  <c r="K372" i="9"/>
  <c r="J372" i="9"/>
  <c r="P371" i="9"/>
  <c r="O371" i="9"/>
  <c r="N371" i="9"/>
  <c r="M371" i="9"/>
  <c r="L371" i="9"/>
  <c r="K371" i="9"/>
  <c r="J371" i="9"/>
  <c r="P370" i="9"/>
  <c r="O370" i="9"/>
  <c r="N370" i="9"/>
  <c r="M370" i="9"/>
  <c r="L370" i="9"/>
  <c r="K370" i="9"/>
  <c r="J370" i="9"/>
  <c r="P369" i="9"/>
  <c r="O369" i="9"/>
  <c r="N369" i="9"/>
  <c r="M369" i="9"/>
  <c r="L369" i="9"/>
  <c r="K369" i="9"/>
  <c r="J369" i="9"/>
  <c r="P368" i="9"/>
  <c r="O368" i="9"/>
  <c r="N368" i="9"/>
  <c r="M368" i="9"/>
  <c r="L368" i="9"/>
  <c r="K368" i="9"/>
  <c r="J368" i="9"/>
  <c r="P367" i="9"/>
  <c r="O367" i="9"/>
  <c r="N367" i="9"/>
  <c r="M367" i="9"/>
  <c r="L367" i="9"/>
  <c r="K367" i="9"/>
  <c r="J367" i="9"/>
  <c r="O366" i="9"/>
  <c r="N366" i="9"/>
  <c r="M366" i="9"/>
  <c r="L366" i="9"/>
  <c r="K366" i="9"/>
  <c r="J366" i="9"/>
  <c r="P365" i="9"/>
  <c r="O365" i="9"/>
  <c r="N365" i="9"/>
  <c r="M365" i="9"/>
  <c r="L365" i="9"/>
  <c r="K365" i="9"/>
  <c r="J365" i="9"/>
  <c r="P364" i="9"/>
  <c r="O364" i="9"/>
  <c r="N364" i="9"/>
  <c r="M364" i="9"/>
  <c r="L364" i="9"/>
  <c r="K364" i="9"/>
  <c r="J364" i="9"/>
  <c r="P363" i="9"/>
  <c r="O363" i="9"/>
  <c r="N363" i="9"/>
  <c r="M363" i="9"/>
  <c r="L363" i="9"/>
  <c r="K363" i="9"/>
  <c r="J363" i="9"/>
  <c r="P362" i="9"/>
  <c r="O362" i="9"/>
  <c r="N362" i="9"/>
  <c r="M362" i="9"/>
  <c r="L362" i="9"/>
  <c r="K362" i="9"/>
  <c r="J362" i="9"/>
  <c r="O361" i="9"/>
  <c r="N361" i="9"/>
  <c r="M361" i="9"/>
  <c r="L361" i="9"/>
  <c r="K361" i="9"/>
  <c r="J361" i="9"/>
  <c r="O360" i="9"/>
  <c r="N360" i="9"/>
  <c r="M360" i="9"/>
  <c r="L360" i="9"/>
  <c r="K360" i="9"/>
  <c r="J360" i="9"/>
  <c r="P359" i="9"/>
  <c r="O359" i="9"/>
  <c r="N359" i="9"/>
  <c r="M359" i="9"/>
  <c r="L359" i="9"/>
  <c r="K359" i="9"/>
  <c r="J359" i="9"/>
  <c r="P358" i="9"/>
  <c r="O358" i="9"/>
  <c r="N358" i="9"/>
  <c r="M358" i="9"/>
  <c r="L358" i="9"/>
  <c r="K358" i="9"/>
  <c r="J358" i="9"/>
  <c r="O357" i="9"/>
  <c r="N357" i="9"/>
  <c r="M357" i="9"/>
  <c r="L357" i="9"/>
  <c r="K357" i="9"/>
  <c r="J357" i="9"/>
  <c r="P356" i="9"/>
  <c r="O356" i="9"/>
  <c r="N356" i="9"/>
  <c r="M356" i="9"/>
  <c r="L356" i="9"/>
  <c r="K356" i="9"/>
  <c r="J356" i="9"/>
  <c r="P355" i="9"/>
  <c r="O355" i="9"/>
  <c r="N355" i="9"/>
  <c r="M355" i="9"/>
  <c r="L355" i="9"/>
  <c r="K355" i="9"/>
  <c r="J355" i="9"/>
  <c r="P354" i="9"/>
  <c r="O354" i="9"/>
  <c r="N354" i="9"/>
  <c r="M354" i="9"/>
  <c r="L354" i="9"/>
  <c r="K354" i="9"/>
  <c r="J354" i="9"/>
  <c r="P353" i="9"/>
  <c r="O353" i="9"/>
  <c r="N353" i="9"/>
  <c r="M353" i="9"/>
  <c r="L353" i="9"/>
  <c r="K353" i="9"/>
  <c r="J353" i="9"/>
  <c r="F127" i="12" l="1"/>
  <c r="F139" i="12"/>
  <c r="F147" i="12"/>
  <c r="F158" i="12"/>
  <c r="F170" i="12"/>
  <c r="F182" i="12"/>
  <c r="F222" i="12"/>
  <c r="F117" i="12"/>
  <c r="F205" i="12"/>
  <c r="F212" i="12"/>
  <c r="F131" i="12"/>
  <c r="F150" i="12"/>
  <c r="F162" i="12"/>
  <c r="F174" i="12"/>
  <c r="F186" i="12"/>
  <c r="F114" i="12"/>
  <c r="F121" i="12"/>
  <c r="F105" i="12"/>
  <c r="F213" i="12"/>
  <c r="F102" i="12"/>
  <c r="F78" i="12"/>
  <c r="F76" i="12"/>
  <c r="F80" i="12"/>
  <c r="F81" i="12"/>
  <c r="F93" i="12"/>
  <c r="F92" i="12"/>
  <c r="F77" i="12"/>
  <c r="F75" i="12"/>
  <c r="F34" i="12"/>
  <c r="F60" i="12"/>
  <c r="F43" i="12"/>
  <c r="F46" i="12"/>
  <c r="F71" i="12"/>
  <c r="F65" i="12"/>
  <c r="F53" i="12"/>
  <c r="F39" i="12"/>
  <c r="F48" i="12"/>
  <c r="F44" i="12"/>
  <c r="F50" i="12"/>
  <c r="F57" i="12"/>
  <c r="F63" i="12"/>
  <c r="F51" i="12"/>
  <c r="F58" i="12"/>
  <c r="F37" i="12"/>
  <c r="F36" i="12"/>
  <c r="F55" i="12"/>
  <c r="F59" i="12"/>
  <c r="F64" i="12"/>
  <c r="F45" i="12"/>
  <c r="F52" i="12"/>
  <c r="F62" i="12"/>
  <c r="F66" i="12"/>
  <c r="F54" i="12"/>
  <c r="F61" i="12"/>
  <c r="F68" i="12"/>
  <c r="F40" i="12"/>
  <c r="F35" i="12"/>
  <c r="F49" i="12"/>
  <c r="F34" i="19"/>
  <c r="D33" i="19"/>
  <c r="E33" i="19" s="1"/>
  <c r="J33" i="19" s="1"/>
  <c r="F33" i="19" l="1"/>
  <c r="K18" i="20" s="1"/>
  <c r="B18" i="20" s="1"/>
  <c r="F17" i="19"/>
  <c r="U13" i="20" s="1"/>
  <c r="K19" i="20" l="1"/>
  <c r="B13" i="20"/>
  <c r="U19" i="20"/>
  <c r="F14" i="19"/>
  <c r="F15" i="19"/>
  <c r="F16" i="19"/>
  <c r="I12" i="20" l="1"/>
  <c r="F26" i="19"/>
  <c r="F36" i="19" s="1"/>
  <c r="S39" i="5"/>
  <c r="B12" i="20" l="1"/>
  <c r="B19" i="20" s="1"/>
  <c r="B20" i="20" s="1"/>
  <c r="I19" i="20"/>
  <c r="K39" i="5"/>
  <c r="J39" i="5"/>
  <c r="S17" i="5"/>
  <c r="O638" i="6" l="1"/>
  <c r="S14" i="5" l="1"/>
  <c r="S10" i="5"/>
  <c r="S18" i="5"/>
  <c r="S13" i="5"/>
  <c r="S9" i="5"/>
  <c r="S7" i="5"/>
  <c r="M43" i="5"/>
  <c r="X43" i="5" s="1"/>
  <c r="S43" i="5" l="1"/>
  <c r="P43" i="5"/>
  <c r="E18" i="19"/>
  <c r="E19" i="19"/>
  <c r="E20" i="19"/>
  <c r="D21" i="19"/>
  <c r="E21" i="19" s="1"/>
  <c r="C26" i="19"/>
  <c r="E26" i="19" l="1"/>
  <c r="D26" i="19"/>
  <c r="A30" i="15"/>
  <c r="A29" i="15"/>
  <c r="A28" i="15"/>
  <c r="A27" i="15"/>
  <c r="A26" i="15"/>
  <c r="A31" i="15"/>
  <c r="E35" i="5"/>
  <c r="Q31" i="5" l="1"/>
  <c r="G31" i="5"/>
  <c r="F31" i="5"/>
  <c r="E31" i="5"/>
  <c r="D31" i="5"/>
  <c r="B31" i="5" l="1"/>
  <c r="C31" i="5"/>
  <c r="P1585" i="9" l="1"/>
  <c r="L617" i="6" l="1"/>
  <c r="N382" i="6" l="1"/>
  <c r="N71" i="6"/>
  <c r="Q71" i="6" s="1"/>
  <c r="N72" i="6"/>
  <c r="Q72" i="6" s="1"/>
  <c r="N73" i="6"/>
  <c r="Q73" i="6" s="1"/>
  <c r="N74" i="6"/>
  <c r="Q74" i="6" s="1"/>
  <c r="N75" i="6"/>
  <c r="Q75" i="6" s="1"/>
  <c r="N78" i="6"/>
  <c r="N79" i="6"/>
  <c r="Q79" i="6" s="1"/>
  <c r="N80" i="6"/>
  <c r="Q80" i="6" s="1"/>
  <c r="N81" i="6"/>
  <c r="Q81" i="6" s="1"/>
  <c r="N82" i="6"/>
  <c r="Q82" i="6" s="1"/>
  <c r="N83" i="6"/>
  <c r="Q83" i="6" s="1"/>
  <c r="N84" i="6"/>
  <c r="Q84" i="6" s="1"/>
  <c r="N85" i="6"/>
  <c r="Q85" i="6" s="1"/>
  <c r="N86" i="6"/>
  <c r="Q86" i="6" s="1"/>
  <c r="N87" i="6"/>
  <c r="Q87" i="6" s="1"/>
  <c r="N88" i="6"/>
  <c r="Q88" i="6" s="1"/>
  <c r="N89" i="6"/>
  <c r="Q89" i="6" s="1"/>
  <c r="N90" i="6"/>
  <c r="Q90" i="6" s="1"/>
  <c r="N91" i="6"/>
  <c r="Q91" i="6" s="1"/>
  <c r="N92" i="6"/>
  <c r="Q92" i="6" s="1"/>
  <c r="N93" i="6"/>
  <c r="Q93" i="6" s="1"/>
  <c r="N94" i="6"/>
  <c r="Q94" i="6" s="1"/>
  <c r="N95" i="6"/>
  <c r="Q95" i="6" s="1"/>
  <c r="N96" i="6"/>
  <c r="Q96" i="6" s="1"/>
  <c r="N98" i="6"/>
  <c r="Q98" i="6" s="1"/>
  <c r="N99" i="6"/>
  <c r="Q99" i="6" s="1"/>
  <c r="N100" i="6"/>
  <c r="Q100" i="6" s="1"/>
  <c r="N102" i="6"/>
  <c r="Q102" i="6" s="1"/>
  <c r="N103" i="6"/>
  <c r="Q103" i="6" s="1"/>
  <c r="N104" i="6"/>
  <c r="Q104" i="6" s="1"/>
  <c r="N105" i="6"/>
  <c r="Q105" i="6" s="1"/>
  <c r="N106" i="6"/>
  <c r="Q106" i="6" s="1"/>
  <c r="N107" i="6"/>
  <c r="Q107" i="6" s="1"/>
  <c r="N108" i="6"/>
  <c r="Q108" i="6" s="1"/>
  <c r="N109" i="6"/>
  <c r="Q109" i="6" s="1"/>
  <c r="N110" i="6"/>
  <c r="Q110" i="6" s="1"/>
  <c r="N111" i="6"/>
  <c r="Q111" i="6" s="1"/>
  <c r="N112" i="6"/>
  <c r="Q112" i="6" s="1"/>
  <c r="N113" i="6"/>
  <c r="Q113" i="6" s="1"/>
  <c r="N114" i="6"/>
  <c r="Q114" i="6" s="1"/>
  <c r="N115" i="6"/>
  <c r="Q115" i="6" s="1"/>
  <c r="N116" i="6"/>
  <c r="Q116" i="6" s="1"/>
  <c r="N117" i="6"/>
  <c r="N118" i="6"/>
  <c r="N119" i="6"/>
  <c r="N120" i="6"/>
  <c r="N121" i="6"/>
  <c r="N122" i="6"/>
  <c r="N123" i="6"/>
  <c r="N124" i="6"/>
  <c r="N125" i="6"/>
  <c r="N126" i="6"/>
  <c r="N127" i="6"/>
  <c r="N128" i="6"/>
  <c r="N129" i="6"/>
  <c r="N130" i="6"/>
  <c r="N131" i="6"/>
  <c r="N134" i="6"/>
  <c r="N136" i="6"/>
  <c r="N137" i="6"/>
  <c r="Q137" i="6" s="1"/>
  <c r="N149" i="6"/>
  <c r="Q149" i="6" s="1"/>
  <c r="N157" i="6"/>
  <c r="N39" i="6"/>
  <c r="Q39" i="6" s="1"/>
  <c r="N40" i="6"/>
  <c r="N41" i="6"/>
  <c r="N42" i="6"/>
  <c r="Q42" i="6" s="1"/>
  <c r="N43" i="6"/>
  <c r="Q43" i="6" s="1"/>
  <c r="N44" i="6"/>
  <c r="Q44" i="6" s="1"/>
  <c r="N45" i="6"/>
  <c r="Q45" i="6" s="1"/>
  <c r="N46" i="6"/>
  <c r="Q46" i="6" s="1"/>
  <c r="N47" i="6"/>
  <c r="Q47" i="6" s="1"/>
  <c r="N48" i="6"/>
  <c r="N49" i="6"/>
  <c r="Q49" i="6" s="1"/>
  <c r="N50" i="6"/>
  <c r="Q50" i="6" s="1"/>
  <c r="N51" i="6"/>
  <c r="Q51" i="6" s="1"/>
  <c r="N52" i="6"/>
  <c r="Q52" i="6" s="1"/>
  <c r="N53" i="6"/>
  <c r="Q53" i="6" s="1"/>
  <c r="N54" i="6"/>
  <c r="Q54" i="6" s="1"/>
  <c r="N55" i="6"/>
  <c r="Q55" i="6" s="1"/>
  <c r="N56" i="6"/>
  <c r="Q56" i="6" s="1"/>
  <c r="Q63" i="6"/>
  <c r="Q64" i="6"/>
  <c r="Q65" i="6"/>
  <c r="N66" i="6"/>
  <c r="Q66" i="6" s="1"/>
  <c r="N67" i="6"/>
  <c r="Q67" i="6" s="1"/>
  <c r="N68" i="6"/>
  <c r="Q68" i="6" s="1"/>
  <c r="N69" i="6"/>
  <c r="Q69" i="6" s="1"/>
  <c r="N70" i="6"/>
  <c r="N460" i="6"/>
  <c r="Q460" i="6" s="1"/>
  <c r="N461" i="6"/>
  <c r="N462" i="6"/>
  <c r="Q41" i="6" l="1"/>
  <c r="Q722" i="6" s="1"/>
  <c r="N722" i="6"/>
  <c r="Q723" i="6"/>
  <c r="Q40" i="6"/>
  <c r="Q703" i="6" s="1"/>
  <c r="N703" i="6"/>
  <c r="Q78" i="6"/>
  <c r="Q48" i="6"/>
  <c r="Q707" i="6" s="1"/>
  <c r="N707" i="6"/>
  <c r="R70" i="6"/>
  <c r="Q157" i="6"/>
  <c r="R157" i="6"/>
  <c r="R124" i="6"/>
  <c r="Q124" i="6"/>
  <c r="R462" i="6"/>
  <c r="Q462" i="6"/>
  <c r="R123" i="6"/>
  <c r="Q123" i="6"/>
  <c r="R134" i="6"/>
  <c r="Q134" i="6"/>
  <c r="R122" i="6"/>
  <c r="Q122" i="6"/>
  <c r="R120" i="6"/>
  <c r="Q120" i="6"/>
  <c r="R131" i="6"/>
  <c r="Q131" i="6"/>
  <c r="R130" i="6"/>
  <c r="Q130" i="6"/>
  <c r="R129" i="6"/>
  <c r="Q129" i="6"/>
  <c r="S70" i="6"/>
  <c r="R117" i="6"/>
  <c r="Q117" i="6"/>
  <c r="R127" i="6"/>
  <c r="Q127" i="6"/>
  <c r="R136" i="6"/>
  <c r="Q136" i="6"/>
  <c r="R133" i="6"/>
  <c r="Q133" i="6"/>
  <c r="R119" i="6"/>
  <c r="Q119" i="6"/>
  <c r="R118" i="6"/>
  <c r="Q118" i="6"/>
  <c r="R128" i="6"/>
  <c r="Q128" i="6"/>
  <c r="R126" i="6"/>
  <c r="Q126" i="6"/>
  <c r="R461" i="6"/>
  <c r="Q461" i="6"/>
  <c r="R121" i="6"/>
  <c r="Q121" i="6"/>
  <c r="R125" i="6"/>
  <c r="Q125" i="6"/>
  <c r="R382" i="6"/>
  <c r="Q382" i="6"/>
  <c r="R137" i="6"/>
  <c r="R106" i="6"/>
  <c r="R104" i="6"/>
  <c r="R113" i="6"/>
  <c r="R111" i="6"/>
  <c r="R116" i="6"/>
  <c r="R110" i="6"/>
  <c r="R112" i="6"/>
  <c r="R114" i="6"/>
  <c r="R108" i="6"/>
  <c r="R107" i="6"/>
  <c r="R105" i="6"/>
  <c r="R103" i="6"/>
  <c r="R95" i="6"/>
  <c r="R83" i="6"/>
  <c r="R99" i="6"/>
  <c r="R86" i="6"/>
  <c r="R72" i="6"/>
  <c r="R98" i="6"/>
  <c r="R85" i="6"/>
  <c r="R71" i="6"/>
  <c r="R47" i="6"/>
  <c r="R44" i="6"/>
  <c r="R42" i="6"/>
  <c r="R56" i="6"/>
  <c r="R53" i="6"/>
  <c r="R45" i="6"/>
  <c r="R55" i="6"/>
  <c r="R69" i="6"/>
  <c r="R67" i="6"/>
  <c r="R46" i="6"/>
  <c r="R52" i="6"/>
  <c r="R51" i="6"/>
  <c r="R66" i="6"/>
  <c r="R50" i="6"/>
  <c r="R43" i="6"/>
  <c r="R41" i="6"/>
  <c r="R722" i="6" s="1"/>
  <c r="R68" i="6"/>
  <c r="R65" i="6"/>
  <c r="R49" i="6"/>
  <c r="R63" i="6"/>
  <c r="R54" i="6"/>
  <c r="R40" i="6"/>
  <c r="R64" i="6"/>
  <c r="R48" i="6"/>
  <c r="R707" i="6" s="1"/>
  <c r="R39" i="6"/>
  <c r="R115" i="6"/>
  <c r="R109" i="6"/>
  <c r="R96" i="6"/>
  <c r="R93" i="6"/>
  <c r="R84" i="6"/>
  <c r="R81" i="6"/>
  <c r="R94" i="6"/>
  <c r="R82" i="6"/>
  <c r="R92" i="6"/>
  <c r="R80" i="6"/>
  <c r="R91" i="6"/>
  <c r="R79" i="6"/>
  <c r="R90" i="6"/>
  <c r="R78" i="6"/>
  <c r="W78" i="6" s="1"/>
  <c r="R89" i="6"/>
  <c r="R75" i="6"/>
  <c r="R102" i="6"/>
  <c r="R88" i="6"/>
  <c r="R74" i="6"/>
  <c r="R100" i="6"/>
  <c r="R87" i="6"/>
  <c r="R73" i="6"/>
  <c r="R460" i="6"/>
  <c r="Q617" i="6" l="1"/>
  <c r="W133" i="6"/>
  <c r="R703" i="6"/>
  <c r="R723" i="6"/>
  <c r="W70" i="6"/>
  <c r="W157" i="6"/>
  <c r="A88" i="8" l="1"/>
  <c r="P1090" i="9" l="1"/>
  <c r="P714" i="9"/>
  <c r="P439" i="9"/>
  <c r="P423" i="9"/>
  <c r="F109" i="12" s="1"/>
  <c r="P505" i="9"/>
  <c r="F189" i="12" s="1"/>
  <c r="P415" i="9"/>
  <c r="F101" i="12" s="1"/>
  <c r="P417" i="9"/>
  <c r="P535" i="9"/>
  <c r="F217" i="12" s="1"/>
  <c r="P1021" i="9"/>
  <c r="P981" i="9"/>
  <c r="P1379" i="9"/>
  <c r="P26" i="9"/>
  <c r="P519" i="9"/>
  <c r="P27" i="9"/>
  <c r="P1078" i="9"/>
  <c r="P1112" i="9"/>
  <c r="P924" i="9"/>
  <c r="P1266" i="9"/>
  <c r="P1209" i="9"/>
  <c r="P1397" i="9"/>
  <c r="P890" i="9"/>
  <c r="P833" i="9"/>
  <c r="P457" i="9"/>
  <c r="F103" i="12" l="1"/>
  <c r="P1466" i="9"/>
  <c r="F210" i="12" s="1"/>
  <c r="P425" i="9"/>
  <c r="F111" i="12" s="1"/>
  <c r="P1364" i="9"/>
  <c r="P988" i="9"/>
  <c r="P1300" i="9"/>
  <c r="P1140" i="9"/>
  <c r="P1459" i="9"/>
  <c r="F203" i="12" s="1"/>
  <c r="P1142" i="9"/>
  <c r="P1153" i="9"/>
  <c r="P548" i="9"/>
  <c r="P1328" i="9"/>
  <c r="P1127" i="9"/>
  <c r="P1339" i="9"/>
  <c r="P587" i="9"/>
  <c r="P1109" i="9"/>
  <c r="P360" i="9"/>
  <c r="P576" i="9"/>
  <c r="P1138" i="9"/>
  <c r="P737" i="9"/>
  <c r="P1003" i="9"/>
  <c r="F123" i="12" s="1"/>
  <c r="P1149" i="9"/>
  <c r="P424" i="9"/>
  <c r="P1151" i="9"/>
  <c r="F110" i="12" l="1"/>
  <c r="F41" i="12"/>
  <c r="N632" i="6"/>
  <c r="M632" i="6"/>
  <c r="L632" i="6"/>
  <c r="O149" i="6" l="1"/>
  <c r="Z854" i="6"/>
  <c r="C222" i="12" s="1"/>
  <c r="Y854" i="6"/>
  <c r="X854" i="6"/>
  <c r="W854" i="6"/>
  <c r="V854" i="6"/>
  <c r="U854" i="6"/>
  <c r="T854" i="6"/>
  <c r="S854" i="6"/>
  <c r="R854" i="6"/>
  <c r="Q854" i="6"/>
  <c r="P854" i="6"/>
  <c r="N854" i="6"/>
  <c r="M854" i="6"/>
  <c r="L854" i="6"/>
  <c r="C854" i="6"/>
  <c r="Y853" i="6"/>
  <c r="V853" i="6"/>
  <c r="U853" i="6"/>
  <c r="T853" i="6"/>
  <c r="S853" i="6"/>
  <c r="R853" i="6"/>
  <c r="Q853" i="6"/>
  <c r="P853" i="6"/>
  <c r="N853" i="6"/>
  <c r="M853" i="6"/>
  <c r="L853" i="6"/>
  <c r="C853" i="6"/>
  <c r="Z852" i="6"/>
  <c r="C220" i="12" s="1"/>
  <c r="Y852" i="6"/>
  <c r="X852" i="6"/>
  <c r="W852" i="6"/>
  <c r="V852" i="6"/>
  <c r="U852" i="6"/>
  <c r="T852" i="6"/>
  <c r="S852" i="6"/>
  <c r="R852" i="6"/>
  <c r="Q852" i="6"/>
  <c r="P852" i="6"/>
  <c r="N852" i="6"/>
  <c r="M852" i="6"/>
  <c r="L852" i="6"/>
  <c r="C852" i="6"/>
  <c r="Z851" i="6"/>
  <c r="C219" i="12" s="1"/>
  <c r="Y851" i="6"/>
  <c r="X851" i="6"/>
  <c r="W851" i="6"/>
  <c r="V851" i="6"/>
  <c r="U851" i="6"/>
  <c r="T851" i="6"/>
  <c r="S851" i="6"/>
  <c r="R851" i="6"/>
  <c r="Q851" i="6"/>
  <c r="P851" i="6"/>
  <c r="N851" i="6"/>
  <c r="M851" i="6"/>
  <c r="L851" i="6"/>
  <c r="C851" i="6"/>
  <c r="Z850" i="6"/>
  <c r="C218" i="12" s="1"/>
  <c r="Y850" i="6"/>
  <c r="X850" i="6"/>
  <c r="W850" i="6"/>
  <c r="V850" i="6"/>
  <c r="U850" i="6"/>
  <c r="T850" i="6"/>
  <c r="S850" i="6"/>
  <c r="R850" i="6"/>
  <c r="Q850" i="6"/>
  <c r="P850" i="6"/>
  <c r="N850" i="6"/>
  <c r="M850" i="6"/>
  <c r="L850" i="6"/>
  <c r="C850" i="6"/>
  <c r="Y849" i="6"/>
  <c r="V849" i="6"/>
  <c r="U849" i="6"/>
  <c r="T849" i="6"/>
  <c r="S849" i="6"/>
  <c r="R849" i="6"/>
  <c r="Q849" i="6"/>
  <c r="P849" i="6"/>
  <c r="N849" i="6"/>
  <c r="M849" i="6"/>
  <c r="L849" i="6"/>
  <c r="C849" i="6"/>
  <c r="Z848" i="6"/>
  <c r="C216" i="12" s="1"/>
  <c r="Y848" i="6"/>
  <c r="X848" i="6"/>
  <c r="W848" i="6"/>
  <c r="V848" i="6"/>
  <c r="U848" i="6"/>
  <c r="T848" i="6"/>
  <c r="S848" i="6"/>
  <c r="R848" i="6"/>
  <c r="Q848" i="6"/>
  <c r="P848" i="6"/>
  <c r="N848" i="6"/>
  <c r="M848" i="6"/>
  <c r="L848" i="6"/>
  <c r="C848" i="6"/>
  <c r="Y847" i="6"/>
  <c r="V847" i="6"/>
  <c r="U847" i="6"/>
  <c r="T847" i="6"/>
  <c r="S847" i="6"/>
  <c r="R847" i="6"/>
  <c r="Q847" i="6"/>
  <c r="P847" i="6"/>
  <c r="N847" i="6"/>
  <c r="M847" i="6"/>
  <c r="L847" i="6"/>
  <c r="C847" i="6"/>
  <c r="Z846" i="6"/>
  <c r="C214" i="12" s="1"/>
  <c r="Y846" i="6"/>
  <c r="X846" i="6"/>
  <c r="W846" i="6"/>
  <c r="V846" i="6"/>
  <c r="U846" i="6"/>
  <c r="T846" i="6"/>
  <c r="S846" i="6"/>
  <c r="R846" i="6"/>
  <c r="Q846" i="6"/>
  <c r="P846" i="6"/>
  <c r="N846" i="6"/>
  <c r="M846" i="6"/>
  <c r="L846" i="6"/>
  <c r="C846" i="6"/>
  <c r="Z845" i="6"/>
  <c r="C213" i="12" s="1"/>
  <c r="Y845" i="6"/>
  <c r="X845" i="6"/>
  <c r="W845" i="6"/>
  <c r="V845" i="6"/>
  <c r="U845" i="6"/>
  <c r="T845" i="6"/>
  <c r="S845" i="6"/>
  <c r="R845" i="6"/>
  <c r="Q845" i="6"/>
  <c r="P845" i="6"/>
  <c r="N845" i="6"/>
  <c r="M845" i="6"/>
  <c r="L845" i="6"/>
  <c r="C845" i="6"/>
  <c r="Z844" i="6"/>
  <c r="C212" i="12" s="1"/>
  <c r="Y844" i="6"/>
  <c r="X844" i="6"/>
  <c r="W844" i="6"/>
  <c r="V844" i="6"/>
  <c r="U844" i="6"/>
  <c r="T844" i="6"/>
  <c r="S844" i="6"/>
  <c r="R844" i="6"/>
  <c r="Q844" i="6"/>
  <c r="P844" i="6"/>
  <c r="N844" i="6"/>
  <c r="M844" i="6"/>
  <c r="L844" i="6"/>
  <c r="C844" i="6"/>
  <c r="Z843" i="6"/>
  <c r="C211" i="12" s="1"/>
  <c r="Y843" i="6"/>
  <c r="X843" i="6"/>
  <c r="W843" i="6"/>
  <c r="V843" i="6"/>
  <c r="U843" i="6"/>
  <c r="T843" i="6"/>
  <c r="S843" i="6"/>
  <c r="R843" i="6"/>
  <c r="Q843" i="6"/>
  <c r="P843" i="6"/>
  <c r="N843" i="6"/>
  <c r="M843" i="6"/>
  <c r="L843" i="6"/>
  <c r="C843" i="6"/>
  <c r="Y842" i="6"/>
  <c r="V842" i="6"/>
  <c r="U842" i="6"/>
  <c r="T842" i="6"/>
  <c r="S842" i="6"/>
  <c r="R842" i="6"/>
  <c r="Q842" i="6"/>
  <c r="P842" i="6"/>
  <c r="N842" i="6"/>
  <c r="M842" i="6"/>
  <c r="L842" i="6"/>
  <c r="C842" i="6"/>
  <c r="Y841" i="6"/>
  <c r="V841" i="6"/>
  <c r="U841" i="6"/>
  <c r="T841" i="6"/>
  <c r="S841" i="6"/>
  <c r="R841" i="6"/>
  <c r="Q841" i="6"/>
  <c r="P841" i="6"/>
  <c r="N841" i="6"/>
  <c r="M841" i="6"/>
  <c r="L841" i="6"/>
  <c r="C841" i="6"/>
  <c r="Y840" i="6"/>
  <c r="V840" i="6"/>
  <c r="U840" i="6"/>
  <c r="T840" i="6"/>
  <c r="S840" i="6"/>
  <c r="R840" i="6"/>
  <c r="Q840" i="6"/>
  <c r="P840" i="6"/>
  <c r="N840" i="6"/>
  <c r="M840" i="6"/>
  <c r="L840" i="6"/>
  <c r="C840" i="6"/>
  <c r="Z839" i="6"/>
  <c r="C207" i="12" s="1"/>
  <c r="Y839" i="6"/>
  <c r="X839" i="6"/>
  <c r="W839" i="6"/>
  <c r="V839" i="6"/>
  <c r="U839" i="6"/>
  <c r="T839" i="6"/>
  <c r="S839" i="6"/>
  <c r="R839" i="6"/>
  <c r="Q839" i="6"/>
  <c r="P839" i="6"/>
  <c r="N839" i="6"/>
  <c r="M839" i="6"/>
  <c r="L839" i="6"/>
  <c r="C839" i="6"/>
  <c r="Y838" i="6"/>
  <c r="V838" i="6"/>
  <c r="U838" i="6"/>
  <c r="T838" i="6"/>
  <c r="S838" i="6"/>
  <c r="R838" i="6"/>
  <c r="Q838" i="6"/>
  <c r="P838" i="6"/>
  <c r="N838" i="6"/>
  <c r="M838" i="6"/>
  <c r="L838" i="6"/>
  <c r="C838" i="6"/>
  <c r="Y837" i="6"/>
  <c r="V837" i="6"/>
  <c r="U837" i="6"/>
  <c r="T837" i="6"/>
  <c r="S837" i="6"/>
  <c r="R837" i="6"/>
  <c r="Q837" i="6"/>
  <c r="P837" i="6"/>
  <c r="N837" i="6"/>
  <c r="M837" i="6"/>
  <c r="L837" i="6"/>
  <c r="C837" i="6"/>
  <c r="Z836" i="6"/>
  <c r="C204" i="12" s="1"/>
  <c r="Y836" i="6"/>
  <c r="X836" i="6"/>
  <c r="W836" i="6"/>
  <c r="V836" i="6"/>
  <c r="U836" i="6"/>
  <c r="T836" i="6"/>
  <c r="S836" i="6"/>
  <c r="R836" i="6"/>
  <c r="Q836" i="6"/>
  <c r="P836" i="6"/>
  <c r="N836" i="6"/>
  <c r="M836" i="6"/>
  <c r="L836" i="6"/>
  <c r="C836" i="6"/>
  <c r="Y835" i="6"/>
  <c r="V835" i="6"/>
  <c r="U835" i="6"/>
  <c r="T835" i="6"/>
  <c r="S835" i="6"/>
  <c r="R835" i="6"/>
  <c r="Q835" i="6"/>
  <c r="P835" i="6"/>
  <c r="N835" i="6"/>
  <c r="M835" i="6"/>
  <c r="L835" i="6"/>
  <c r="C835" i="6"/>
  <c r="Y834" i="6"/>
  <c r="V834" i="6"/>
  <c r="U834" i="6"/>
  <c r="T834" i="6"/>
  <c r="S834" i="6"/>
  <c r="R834" i="6"/>
  <c r="Q834" i="6"/>
  <c r="P834" i="6"/>
  <c r="N834" i="6"/>
  <c r="M834" i="6"/>
  <c r="L834" i="6"/>
  <c r="C834" i="6"/>
  <c r="Z833" i="6"/>
  <c r="C201" i="12" s="1"/>
  <c r="Y833" i="6"/>
  <c r="X833" i="6"/>
  <c r="W833" i="6"/>
  <c r="V833" i="6"/>
  <c r="U833" i="6"/>
  <c r="T833" i="6"/>
  <c r="S833" i="6"/>
  <c r="R833" i="6"/>
  <c r="Q833" i="6"/>
  <c r="P833" i="6"/>
  <c r="N833" i="6"/>
  <c r="M833" i="6"/>
  <c r="L833" i="6"/>
  <c r="C833" i="6"/>
  <c r="Y832" i="6"/>
  <c r="V832" i="6"/>
  <c r="U832" i="6"/>
  <c r="T832" i="6"/>
  <c r="S832" i="6"/>
  <c r="R832" i="6"/>
  <c r="Q832" i="6"/>
  <c r="P832" i="6"/>
  <c r="N832" i="6"/>
  <c r="M832" i="6"/>
  <c r="L832" i="6"/>
  <c r="C832" i="6"/>
  <c r="Y831" i="6"/>
  <c r="V831" i="6"/>
  <c r="U831" i="6"/>
  <c r="T831" i="6"/>
  <c r="S831" i="6"/>
  <c r="R831" i="6"/>
  <c r="Q831" i="6"/>
  <c r="P831" i="6"/>
  <c r="N831" i="6"/>
  <c r="M831" i="6"/>
  <c r="L831" i="6"/>
  <c r="C831" i="6"/>
  <c r="Y830" i="6"/>
  <c r="V830" i="6"/>
  <c r="U830" i="6"/>
  <c r="T830" i="6"/>
  <c r="S830" i="6"/>
  <c r="R830" i="6"/>
  <c r="Q830" i="6"/>
  <c r="P830" i="6"/>
  <c r="N830" i="6"/>
  <c r="M830" i="6"/>
  <c r="L830" i="6"/>
  <c r="C830" i="6"/>
  <c r="Y829" i="6"/>
  <c r="V829" i="6"/>
  <c r="U829" i="6"/>
  <c r="T829" i="6"/>
  <c r="S829" i="6"/>
  <c r="R829" i="6"/>
  <c r="Q829" i="6"/>
  <c r="P829" i="6"/>
  <c r="N829" i="6"/>
  <c r="M829" i="6"/>
  <c r="L829" i="6"/>
  <c r="C829" i="6"/>
  <c r="Z828" i="6"/>
  <c r="C196" i="12" s="1"/>
  <c r="Y828" i="6"/>
  <c r="X828" i="6"/>
  <c r="W828" i="6"/>
  <c r="V828" i="6"/>
  <c r="U828" i="6"/>
  <c r="T828" i="6"/>
  <c r="S828" i="6"/>
  <c r="R828" i="6"/>
  <c r="Q828" i="6"/>
  <c r="P828" i="6"/>
  <c r="N828" i="6"/>
  <c r="M828" i="6"/>
  <c r="L828" i="6"/>
  <c r="C828" i="6"/>
  <c r="Y827" i="6"/>
  <c r="V827" i="6"/>
  <c r="U827" i="6"/>
  <c r="T827" i="6"/>
  <c r="S827" i="6"/>
  <c r="R827" i="6"/>
  <c r="Q827" i="6"/>
  <c r="P827" i="6"/>
  <c r="N827" i="6"/>
  <c r="M827" i="6"/>
  <c r="L827" i="6"/>
  <c r="C827" i="6"/>
  <c r="Y826" i="6"/>
  <c r="V826" i="6"/>
  <c r="U826" i="6"/>
  <c r="T826" i="6"/>
  <c r="S826" i="6"/>
  <c r="R826" i="6"/>
  <c r="Q826" i="6"/>
  <c r="P826" i="6"/>
  <c r="N826" i="6"/>
  <c r="M826" i="6"/>
  <c r="L826" i="6"/>
  <c r="C826" i="6"/>
  <c r="Y825" i="6"/>
  <c r="V825" i="6"/>
  <c r="U825" i="6"/>
  <c r="T825" i="6"/>
  <c r="S825" i="6"/>
  <c r="R825" i="6"/>
  <c r="Q825" i="6"/>
  <c r="P825" i="6"/>
  <c r="N825" i="6"/>
  <c r="M825" i="6"/>
  <c r="L825" i="6"/>
  <c r="C825" i="6"/>
  <c r="Z824" i="6"/>
  <c r="C192" i="12" s="1"/>
  <c r="Y824" i="6"/>
  <c r="X824" i="6"/>
  <c r="W824" i="6"/>
  <c r="V824" i="6"/>
  <c r="U824" i="6"/>
  <c r="T824" i="6"/>
  <c r="S824" i="6"/>
  <c r="R824" i="6"/>
  <c r="Q824" i="6"/>
  <c r="P824" i="6"/>
  <c r="N824" i="6"/>
  <c r="M824" i="6"/>
  <c r="L824" i="6"/>
  <c r="C824" i="6"/>
  <c r="Y823" i="6"/>
  <c r="V823" i="6"/>
  <c r="U823" i="6"/>
  <c r="T823" i="6"/>
  <c r="S823" i="6"/>
  <c r="R823" i="6"/>
  <c r="Q823" i="6"/>
  <c r="P823" i="6"/>
  <c r="N823" i="6"/>
  <c r="M823" i="6"/>
  <c r="L823" i="6"/>
  <c r="C823" i="6"/>
  <c r="Y822" i="6"/>
  <c r="V822" i="6"/>
  <c r="U822" i="6"/>
  <c r="T822" i="6"/>
  <c r="S822" i="6"/>
  <c r="R822" i="6"/>
  <c r="Q822" i="6"/>
  <c r="P822" i="6"/>
  <c r="N822" i="6"/>
  <c r="M822" i="6"/>
  <c r="L822" i="6"/>
  <c r="C822" i="6"/>
  <c r="Y821" i="6"/>
  <c r="V821" i="6"/>
  <c r="U821" i="6"/>
  <c r="T821" i="6"/>
  <c r="S821" i="6"/>
  <c r="R821" i="6"/>
  <c r="Q821" i="6"/>
  <c r="P821" i="6"/>
  <c r="N821" i="6"/>
  <c r="M821" i="6"/>
  <c r="L821" i="6"/>
  <c r="C821" i="6"/>
  <c r="Y820" i="6"/>
  <c r="V820" i="6"/>
  <c r="U820" i="6"/>
  <c r="T820" i="6"/>
  <c r="S820" i="6"/>
  <c r="R820" i="6"/>
  <c r="Q820" i="6"/>
  <c r="P820" i="6"/>
  <c r="N820" i="6"/>
  <c r="M820" i="6"/>
  <c r="L820" i="6"/>
  <c r="C820" i="6"/>
  <c r="Y819" i="6"/>
  <c r="V819" i="6"/>
  <c r="U819" i="6"/>
  <c r="T819" i="6"/>
  <c r="S819" i="6"/>
  <c r="R819" i="6"/>
  <c r="Q819" i="6"/>
  <c r="P819" i="6"/>
  <c r="N819" i="6"/>
  <c r="M819" i="6"/>
  <c r="L819" i="6"/>
  <c r="C819" i="6"/>
  <c r="Y818" i="6"/>
  <c r="V818" i="6"/>
  <c r="U818" i="6"/>
  <c r="T818" i="6"/>
  <c r="S818" i="6"/>
  <c r="R818" i="6"/>
  <c r="Q818" i="6"/>
  <c r="P818" i="6"/>
  <c r="N818" i="6"/>
  <c r="M818" i="6"/>
  <c r="L818" i="6"/>
  <c r="C818" i="6"/>
  <c r="Y817" i="6"/>
  <c r="V817" i="6"/>
  <c r="U817" i="6"/>
  <c r="T817" i="6"/>
  <c r="S817" i="6"/>
  <c r="R817" i="6"/>
  <c r="Q817" i="6"/>
  <c r="P817" i="6"/>
  <c r="N817" i="6"/>
  <c r="M817" i="6"/>
  <c r="L817" i="6"/>
  <c r="C817" i="6"/>
  <c r="Z816" i="6"/>
  <c r="C184" i="12" s="1"/>
  <c r="Y816" i="6"/>
  <c r="X816" i="6"/>
  <c r="W816" i="6"/>
  <c r="V816" i="6"/>
  <c r="U816" i="6"/>
  <c r="T816" i="6"/>
  <c r="S816" i="6"/>
  <c r="R816" i="6"/>
  <c r="Q816" i="6"/>
  <c r="P816" i="6"/>
  <c r="N816" i="6"/>
  <c r="M816" i="6"/>
  <c r="L816" i="6"/>
  <c r="C816" i="6"/>
  <c r="Y815" i="6"/>
  <c r="V815" i="6"/>
  <c r="U815" i="6"/>
  <c r="T815" i="6"/>
  <c r="S815" i="6"/>
  <c r="R815" i="6"/>
  <c r="Q815" i="6"/>
  <c r="P815" i="6"/>
  <c r="N815" i="6"/>
  <c r="M815" i="6"/>
  <c r="L815" i="6"/>
  <c r="C815" i="6"/>
  <c r="Y814" i="6"/>
  <c r="V814" i="6"/>
  <c r="U814" i="6"/>
  <c r="T814" i="6"/>
  <c r="S814" i="6"/>
  <c r="R814" i="6"/>
  <c r="Q814" i="6"/>
  <c r="P814" i="6"/>
  <c r="N814" i="6"/>
  <c r="M814" i="6"/>
  <c r="L814" i="6"/>
  <c r="C814" i="6"/>
  <c r="Y813" i="6"/>
  <c r="V813" i="6"/>
  <c r="U813" i="6"/>
  <c r="T813" i="6"/>
  <c r="S813" i="6"/>
  <c r="R813" i="6"/>
  <c r="Q813" i="6"/>
  <c r="P813" i="6"/>
  <c r="N813" i="6"/>
  <c r="M813" i="6"/>
  <c r="L813" i="6"/>
  <c r="C813" i="6"/>
  <c r="Z812" i="6"/>
  <c r="C180" i="12" s="1"/>
  <c r="Y812" i="6"/>
  <c r="X812" i="6"/>
  <c r="W812" i="6"/>
  <c r="V812" i="6"/>
  <c r="U812" i="6"/>
  <c r="T812" i="6"/>
  <c r="S812" i="6"/>
  <c r="R812" i="6"/>
  <c r="Q812" i="6"/>
  <c r="P812" i="6"/>
  <c r="N812" i="6"/>
  <c r="M812" i="6"/>
  <c r="L812" i="6"/>
  <c r="C812" i="6"/>
  <c r="Y811" i="6"/>
  <c r="V811" i="6"/>
  <c r="U811" i="6"/>
  <c r="T811" i="6"/>
  <c r="S811" i="6"/>
  <c r="R811" i="6"/>
  <c r="Q811" i="6"/>
  <c r="P811" i="6"/>
  <c r="N811" i="6"/>
  <c r="M811" i="6"/>
  <c r="L811" i="6"/>
  <c r="C811" i="6"/>
  <c r="Z810" i="6"/>
  <c r="C178" i="12" s="1"/>
  <c r="Y810" i="6"/>
  <c r="X810" i="6"/>
  <c r="W810" i="6"/>
  <c r="V810" i="6"/>
  <c r="U810" i="6"/>
  <c r="T810" i="6"/>
  <c r="S810" i="6"/>
  <c r="R810" i="6"/>
  <c r="Q810" i="6"/>
  <c r="P810" i="6"/>
  <c r="N810" i="6"/>
  <c r="M810" i="6"/>
  <c r="L810" i="6"/>
  <c r="C810" i="6"/>
  <c r="Z809" i="6"/>
  <c r="C177" i="12" s="1"/>
  <c r="Y809" i="6"/>
  <c r="X809" i="6"/>
  <c r="W809" i="6"/>
  <c r="V809" i="6"/>
  <c r="U809" i="6"/>
  <c r="T809" i="6"/>
  <c r="S809" i="6"/>
  <c r="R809" i="6"/>
  <c r="Q809" i="6"/>
  <c r="P809" i="6"/>
  <c r="N809" i="6"/>
  <c r="M809" i="6"/>
  <c r="L809" i="6"/>
  <c r="C809" i="6"/>
  <c r="Z808" i="6"/>
  <c r="C176" i="12" s="1"/>
  <c r="Y808" i="6"/>
  <c r="X808" i="6"/>
  <c r="W808" i="6"/>
  <c r="V808" i="6"/>
  <c r="U808" i="6"/>
  <c r="T808" i="6"/>
  <c r="S808" i="6"/>
  <c r="R808" i="6"/>
  <c r="Q808" i="6"/>
  <c r="P808" i="6"/>
  <c r="N808" i="6"/>
  <c r="M808" i="6"/>
  <c r="L808" i="6"/>
  <c r="C808" i="6"/>
  <c r="Y807" i="6"/>
  <c r="V807" i="6"/>
  <c r="U807" i="6"/>
  <c r="T807" i="6"/>
  <c r="S807" i="6"/>
  <c r="R807" i="6"/>
  <c r="Q807" i="6"/>
  <c r="P807" i="6"/>
  <c r="N807" i="6"/>
  <c r="M807" i="6"/>
  <c r="L807" i="6"/>
  <c r="C807" i="6"/>
  <c r="Y806" i="6"/>
  <c r="V806" i="6"/>
  <c r="U806" i="6"/>
  <c r="T806" i="6"/>
  <c r="S806" i="6"/>
  <c r="R806" i="6"/>
  <c r="Q806" i="6"/>
  <c r="P806" i="6"/>
  <c r="N806" i="6"/>
  <c r="M806" i="6"/>
  <c r="L806" i="6"/>
  <c r="C806" i="6"/>
  <c r="Z805" i="6"/>
  <c r="C173" i="12" s="1"/>
  <c r="Y805" i="6"/>
  <c r="X805" i="6"/>
  <c r="W805" i="6"/>
  <c r="V805" i="6"/>
  <c r="U805" i="6"/>
  <c r="T805" i="6"/>
  <c r="S805" i="6"/>
  <c r="R805" i="6"/>
  <c r="Q805" i="6"/>
  <c r="P805" i="6"/>
  <c r="N805" i="6"/>
  <c r="M805" i="6"/>
  <c r="L805" i="6"/>
  <c r="C805" i="6"/>
  <c r="Y804" i="6"/>
  <c r="V804" i="6"/>
  <c r="U804" i="6"/>
  <c r="T804" i="6"/>
  <c r="S804" i="6"/>
  <c r="R804" i="6"/>
  <c r="Q804" i="6"/>
  <c r="P804" i="6"/>
  <c r="N804" i="6"/>
  <c r="M804" i="6"/>
  <c r="L804" i="6"/>
  <c r="C804" i="6"/>
  <c r="Z803" i="6"/>
  <c r="C171" i="12" s="1"/>
  <c r="Y803" i="6"/>
  <c r="X803" i="6"/>
  <c r="W803" i="6"/>
  <c r="V803" i="6"/>
  <c r="U803" i="6"/>
  <c r="T803" i="6"/>
  <c r="S803" i="6"/>
  <c r="R803" i="6"/>
  <c r="Q803" i="6"/>
  <c r="P803" i="6"/>
  <c r="N803" i="6"/>
  <c r="M803" i="6"/>
  <c r="L803" i="6"/>
  <c r="C803" i="6"/>
  <c r="Y802" i="6"/>
  <c r="V802" i="6"/>
  <c r="U802" i="6"/>
  <c r="T802" i="6"/>
  <c r="S802" i="6"/>
  <c r="R802" i="6"/>
  <c r="Q802" i="6"/>
  <c r="P802" i="6"/>
  <c r="N802" i="6"/>
  <c r="M802" i="6"/>
  <c r="L802" i="6"/>
  <c r="C802" i="6"/>
  <c r="Z801" i="6"/>
  <c r="C169" i="12" s="1"/>
  <c r="Y801" i="6"/>
  <c r="X801" i="6"/>
  <c r="W801" i="6"/>
  <c r="V801" i="6"/>
  <c r="U801" i="6"/>
  <c r="T801" i="6"/>
  <c r="S801" i="6"/>
  <c r="R801" i="6"/>
  <c r="Q801" i="6"/>
  <c r="P801" i="6"/>
  <c r="N801" i="6"/>
  <c r="M801" i="6"/>
  <c r="L801" i="6"/>
  <c r="C801" i="6"/>
  <c r="Z800" i="6"/>
  <c r="C168" i="12" s="1"/>
  <c r="Y800" i="6"/>
  <c r="X800" i="6"/>
  <c r="W800" i="6"/>
  <c r="V800" i="6"/>
  <c r="U800" i="6"/>
  <c r="T800" i="6"/>
  <c r="S800" i="6"/>
  <c r="R800" i="6"/>
  <c r="Q800" i="6"/>
  <c r="P800" i="6"/>
  <c r="N800" i="6"/>
  <c r="M800" i="6"/>
  <c r="L800" i="6"/>
  <c r="C800" i="6"/>
  <c r="Z799" i="6"/>
  <c r="C167" i="12" s="1"/>
  <c r="Y799" i="6"/>
  <c r="X799" i="6"/>
  <c r="W799" i="6"/>
  <c r="V799" i="6"/>
  <c r="U799" i="6"/>
  <c r="T799" i="6"/>
  <c r="S799" i="6"/>
  <c r="R799" i="6"/>
  <c r="Q799" i="6"/>
  <c r="P799" i="6"/>
  <c r="N799" i="6"/>
  <c r="M799" i="6"/>
  <c r="L799" i="6"/>
  <c r="C799" i="6"/>
  <c r="Z798" i="6"/>
  <c r="C166" i="12" s="1"/>
  <c r="Y798" i="6"/>
  <c r="X798" i="6"/>
  <c r="W798" i="6"/>
  <c r="V798" i="6"/>
  <c r="U798" i="6"/>
  <c r="T798" i="6"/>
  <c r="S798" i="6"/>
  <c r="R798" i="6"/>
  <c r="Q798" i="6"/>
  <c r="P798" i="6"/>
  <c r="N798" i="6"/>
  <c r="M798" i="6"/>
  <c r="L798" i="6"/>
  <c r="C798" i="6"/>
  <c r="Z797" i="6"/>
  <c r="C165" i="12" s="1"/>
  <c r="Y797" i="6"/>
  <c r="X797" i="6"/>
  <c r="W797" i="6"/>
  <c r="V797" i="6"/>
  <c r="U797" i="6"/>
  <c r="T797" i="6"/>
  <c r="S797" i="6"/>
  <c r="R797" i="6"/>
  <c r="Q797" i="6"/>
  <c r="P797" i="6"/>
  <c r="N797" i="6"/>
  <c r="M797" i="6"/>
  <c r="L797" i="6"/>
  <c r="C797" i="6"/>
  <c r="Z796" i="6"/>
  <c r="C164" i="12" s="1"/>
  <c r="Y796" i="6"/>
  <c r="X796" i="6"/>
  <c r="W796" i="6"/>
  <c r="V796" i="6"/>
  <c r="U796" i="6"/>
  <c r="T796" i="6"/>
  <c r="S796" i="6"/>
  <c r="R796" i="6"/>
  <c r="Q796" i="6"/>
  <c r="P796" i="6"/>
  <c r="N796" i="6"/>
  <c r="M796" i="6"/>
  <c r="L796" i="6"/>
  <c r="C796" i="6"/>
  <c r="Y795" i="6"/>
  <c r="V795" i="6"/>
  <c r="U795" i="6"/>
  <c r="T795" i="6"/>
  <c r="S795" i="6"/>
  <c r="R795" i="6"/>
  <c r="Q795" i="6"/>
  <c r="P795" i="6"/>
  <c r="N795" i="6"/>
  <c r="M795" i="6"/>
  <c r="L795" i="6"/>
  <c r="C795" i="6"/>
  <c r="Y794" i="6"/>
  <c r="V794" i="6"/>
  <c r="U794" i="6"/>
  <c r="T794" i="6"/>
  <c r="S794" i="6"/>
  <c r="R794" i="6"/>
  <c r="Q794" i="6"/>
  <c r="P794" i="6"/>
  <c r="N794" i="6"/>
  <c r="M794" i="6"/>
  <c r="L794" i="6"/>
  <c r="C794" i="6"/>
  <c r="Z793" i="6"/>
  <c r="C161" i="12" s="1"/>
  <c r="Y793" i="6"/>
  <c r="X793" i="6"/>
  <c r="W793" i="6"/>
  <c r="V793" i="6"/>
  <c r="U793" i="6"/>
  <c r="T793" i="6"/>
  <c r="S793" i="6"/>
  <c r="R793" i="6"/>
  <c r="Q793" i="6"/>
  <c r="P793" i="6"/>
  <c r="N793" i="6"/>
  <c r="M793" i="6"/>
  <c r="L793" i="6"/>
  <c r="C793" i="6"/>
  <c r="Z792" i="6"/>
  <c r="C160" i="12" s="1"/>
  <c r="Y792" i="6"/>
  <c r="X792" i="6"/>
  <c r="W792" i="6"/>
  <c r="V792" i="6"/>
  <c r="U792" i="6"/>
  <c r="T792" i="6"/>
  <c r="S792" i="6"/>
  <c r="R792" i="6"/>
  <c r="Q792" i="6"/>
  <c r="P792" i="6"/>
  <c r="N792" i="6"/>
  <c r="M792" i="6"/>
  <c r="L792" i="6"/>
  <c r="C792" i="6"/>
  <c r="Z791" i="6"/>
  <c r="C159" i="12" s="1"/>
  <c r="Y791" i="6"/>
  <c r="X791" i="6"/>
  <c r="W791" i="6"/>
  <c r="V791" i="6"/>
  <c r="U791" i="6"/>
  <c r="T791" i="6"/>
  <c r="S791" i="6"/>
  <c r="R791" i="6"/>
  <c r="Q791" i="6"/>
  <c r="P791" i="6"/>
  <c r="N791" i="6"/>
  <c r="M791" i="6"/>
  <c r="L791" i="6"/>
  <c r="C791" i="6"/>
  <c r="Z790" i="6"/>
  <c r="C158" i="12" s="1"/>
  <c r="Y790" i="6"/>
  <c r="X790" i="6"/>
  <c r="W790" i="6"/>
  <c r="V790" i="6"/>
  <c r="U790" i="6"/>
  <c r="T790" i="6"/>
  <c r="S790" i="6"/>
  <c r="R790" i="6"/>
  <c r="Q790" i="6"/>
  <c r="P790" i="6"/>
  <c r="N790" i="6"/>
  <c r="M790" i="6"/>
  <c r="L790" i="6"/>
  <c r="C790" i="6"/>
  <c r="Z789" i="6"/>
  <c r="C157" i="12" s="1"/>
  <c r="Y789" i="6"/>
  <c r="X789" i="6"/>
  <c r="W789" i="6"/>
  <c r="V789" i="6"/>
  <c r="U789" i="6"/>
  <c r="T789" i="6"/>
  <c r="S789" i="6"/>
  <c r="R789" i="6"/>
  <c r="Q789" i="6"/>
  <c r="P789" i="6"/>
  <c r="N789" i="6"/>
  <c r="M789" i="6"/>
  <c r="L789" i="6"/>
  <c r="C789" i="6"/>
  <c r="Z788" i="6"/>
  <c r="C156" i="12" s="1"/>
  <c r="Y788" i="6"/>
  <c r="X788" i="6"/>
  <c r="W788" i="6"/>
  <c r="V788" i="6"/>
  <c r="U788" i="6"/>
  <c r="T788" i="6"/>
  <c r="S788" i="6"/>
  <c r="R788" i="6"/>
  <c r="Q788" i="6"/>
  <c r="P788" i="6"/>
  <c r="N788" i="6"/>
  <c r="M788" i="6"/>
  <c r="L788" i="6"/>
  <c r="C788" i="6"/>
  <c r="Z787" i="6"/>
  <c r="C155" i="12" s="1"/>
  <c r="Y787" i="6"/>
  <c r="X787" i="6"/>
  <c r="W787" i="6"/>
  <c r="V787" i="6"/>
  <c r="U787" i="6"/>
  <c r="T787" i="6"/>
  <c r="S787" i="6"/>
  <c r="R787" i="6"/>
  <c r="Q787" i="6"/>
  <c r="P787" i="6"/>
  <c r="N787" i="6"/>
  <c r="M787" i="6"/>
  <c r="L787" i="6"/>
  <c r="C787" i="6"/>
  <c r="Z786" i="6"/>
  <c r="C154" i="12" s="1"/>
  <c r="Y786" i="6"/>
  <c r="X786" i="6"/>
  <c r="W786" i="6"/>
  <c r="V786" i="6"/>
  <c r="U786" i="6"/>
  <c r="T786" i="6"/>
  <c r="S786" i="6"/>
  <c r="R786" i="6"/>
  <c r="Q786" i="6"/>
  <c r="P786" i="6"/>
  <c r="N786" i="6"/>
  <c r="M786" i="6"/>
  <c r="L786" i="6"/>
  <c r="C786" i="6"/>
  <c r="Z785" i="6"/>
  <c r="C153" i="12" s="1"/>
  <c r="Y785" i="6"/>
  <c r="X785" i="6"/>
  <c r="W785" i="6"/>
  <c r="V785" i="6"/>
  <c r="U785" i="6"/>
  <c r="T785" i="6"/>
  <c r="S785" i="6"/>
  <c r="R785" i="6"/>
  <c r="Q785" i="6"/>
  <c r="P785" i="6"/>
  <c r="N785" i="6"/>
  <c r="M785" i="6"/>
  <c r="L785" i="6"/>
  <c r="C785" i="6"/>
  <c r="Z784" i="6"/>
  <c r="C152" i="12" s="1"/>
  <c r="Y784" i="6"/>
  <c r="X784" i="6"/>
  <c r="W784" i="6"/>
  <c r="V784" i="6"/>
  <c r="U784" i="6"/>
  <c r="T784" i="6"/>
  <c r="S784" i="6"/>
  <c r="R784" i="6"/>
  <c r="Q784" i="6"/>
  <c r="P784" i="6"/>
  <c r="N784" i="6"/>
  <c r="M784" i="6"/>
  <c r="L784" i="6"/>
  <c r="C784" i="6"/>
  <c r="Z783" i="6"/>
  <c r="C151" i="12" s="1"/>
  <c r="Y783" i="6"/>
  <c r="X783" i="6"/>
  <c r="W783" i="6"/>
  <c r="V783" i="6"/>
  <c r="U783" i="6"/>
  <c r="T783" i="6"/>
  <c r="S783" i="6"/>
  <c r="R783" i="6"/>
  <c r="Q783" i="6"/>
  <c r="P783" i="6"/>
  <c r="N783" i="6"/>
  <c r="M783" i="6"/>
  <c r="L783" i="6"/>
  <c r="C783" i="6"/>
  <c r="Z782" i="6"/>
  <c r="C150" i="12" s="1"/>
  <c r="Y782" i="6"/>
  <c r="X782" i="6"/>
  <c r="W782" i="6"/>
  <c r="V782" i="6"/>
  <c r="U782" i="6"/>
  <c r="T782" i="6"/>
  <c r="S782" i="6"/>
  <c r="R782" i="6"/>
  <c r="Q782" i="6"/>
  <c r="P782" i="6"/>
  <c r="N782" i="6"/>
  <c r="M782" i="6"/>
  <c r="L782" i="6"/>
  <c r="C782" i="6"/>
  <c r="Z781" i="6"/>
  <c r="C149" i="12" s="1"/>
  <c r="Y781" i="6"/>
  <c r="X781" i="6"/>
  <c r="W781" i="6"/>
  <c r="V781" i="6"/>
  <c r="U781" i="6"/>
  <c r="T781" i="6"/>
  <c r="S781" i="6"/>
  <c r="R781" i="6"/>
  <c r="Q781" i="6"/>
  <c r="P781" i="6"/>
  <c r="N781" i="6"/>
  <c r="M781" i="6"/>
  <c r="L781" i="6"/>
  <c r="C781" i="6"/>
  <c r="Z780" i="6"/>
  <c r="C148" i="12" s="1"/>
  <c r="Y780" i="6"/>
  <c r="X780" i="6"/>
  <c r="W780" i="6"/>
  <c r="V780" i="6"/>
  <c r="U780" i="6"/>
  <c r="T780" i="6"/>
  <c r="S780" i="6"/>
  <c r="R780" i="6"/>
  <c r="Q780" i="6"/>
  <c r="P780" i="6"/>
  <c r="N780" i="6"/>
  <c r="M780" i="6"/>
  <c r="L780" i="6"/>
  <c r="C780" i="6"/>
  <c r="Y779" i="6"/>
  <c r="V779" i="6"/>
  <c r="U779" i="6"/>
  <c r="T779" i="6"/>
  <c r="S779" i="6"/>
  <c r="R779" i="6"/>
  <c r="Q779" i="6"/>
  <c r="P779" i="6"/>
  <c r="N779" i="6"/>
  <c r="M779" i="6"/>
  <c r="L779" i="6"/>
  <c r="C779" i="6"/>
  <c r="Y778" i="6"/>
  <c r="V778" i="6"/>
  <c r="U778" i="6"/>
  <c r="T778" i="6"/>
  <c r="S778" i="6"/>
  <c r="R778" i="6"/>
  <c r="Q778" i="6"/>
  <c r="P778" i="6"/>
  <c r="N778" i="6"/>
  <c r="M778" i="6"/>
  <c r="L778" i="6"/>
  <c r="C778" i="6"/>
  <c r="Y777" i="6"/>
  <c r="V777" i="6"/>
  <c r="U777" i="6"/>
  <c r="T777" i="6"/>
  <c r="S777" i="6"/>
  <c r="R777" i="6"/>
  <c r="Q777" i="6"/>
  <c r="P777" i="6"/>
  <c r="N777" i="6"/>
  <c r="M777" i="6"/>
  <c r="L777" i="6"/>
  <c r="C777" i="6"/>
  <c r="Y776" i="6"/>
  <c r="V776" i="6"/>
  <c r="U776" i="6"/>
  <c r="T776" i="6"/>
  <c r="S776" i="6"/>
  <c r="R776" i="6"/>
  <c r="Q776" i="6"/>
  <c r="P776" i="6"/>
  <c r="N776" i="6"/>
  <c r="M776" i="6"/>
  <c r="L776" i="6"/>
  <c r="C776" i="6"/>
  <c r="Y775" i="6"/>
  <c r="V775" i="6"/>
  <c r="U775" i="6"/>
  <c r="T775" i="6"/>
  <c r="S775" i="6"/>
  <c r="R775" i="6"/>
  <c r="Q775" i="6"/>
  <c r="P775" i="6"/>
  <c r="N775" i="6"/>
  <c r="M775" i="6"/>
  <c r="L775" i="6"/>
  <c r="C775" i="6"/>
  <c r="Y774" i="6"/>
  <c r="V774" i="6"/>
  <c r="U774" i="6"/>
  <c r="T774" i="6"/>
  <c r="S774" i="6"/>
  <c r="R774" i="6"/>
  <c r="Q774" i="6"/>
  <c r="P774" i="6"/>
  <c r="N774" i="6"/>
  <c r="M774" i="6"/>
  <c r="L774" i="6"/>
  <c r="C774" i="6"/>
  <c r="Y772" i="6"/>
  <c r="V772" i="6"/>
  <c r="U772" i="6"/>
  <c r="T772" i="6"/>
  <c r="S772" i="6"/>
  <c r="R772" i="6"/>
  <c r="Q772" i="6"/>
  <c r="P772" i="6"/>
  <c r="N772" i="6"/>
  <c r="M772" i="6"/>
  <c r="L772" i="6"/>
  <c r="C772" i="6"/>
  <c r="Z771" i="6"/>
  <c r="C139" i="12" s="1"/>
  <c r="Y771" i="6"/>
  <c r="X771" i="6"/>
  <c r="W771" i="6"/>
  <c r="V771" i="6"/>
  <c r="U771" i="6"/>
  <c r="T771" i="6"/>
  <c r="S771" i="6"/>
  <c r="R771" i="6"/>
  <c r="Q771" i="6"/>
  <c r="P771" i="6"/>
  <c r="N771" i="6"/>
  <c r="M771" i="6"/>
  <c r="L771" i="6"/>
  <c r="C771" i="6"/>
  <c r="Y770" i="6"/>
  <c r="V770" i="6"/>
  <c r="U770" i="6"/>
  <c r="T770" i="6"/>
  <c r="S770" i="6"/>
  <c r="R770" i="6"/>
  <c r="Q770" i="6"/>
  <c r="P770" i="6"/>
  <c r="N770" i="6"/>
  <c r="M770" i="6"/>
  <c r="L770" i="6"/>
  <c r="C770" i="6"/>
  <c r="Z769" i="6"/>
  <c r="C137" i="12" s="1"/>
  <c r="Y769" i="6"/>
  <c r="X769" i="6"/>
  <c r="W769" i="6"/>
  <c r="V769" i="6"/>
  <c r="U769" i="6"/>
  <c r="T769" i="6"/>
  <c r="S769" i="6"/>
  <c r="R769" i="6"/>
  <c r="Q769" i="6"/>
  <c r="P769" i="6"/>
  <c r="N769" i="6"/>
  <c r="M769" i="6"/>
  <c r="L769" i="6"/>
  <c r="C769" i="6"/>
  <c r="Z768" i="6"/>
  <c r="C136" i="12" s="1"/>
  <c r="Y768" i="6"/>
  <c r="X768" i="6"/>
  <c r="W768" i="6"/>
  <c r="V768" i="6"/>
  <c r="U768" i="6"/>
  <c r="T768" i="6"/>
  <c r="S768" i="6"/>
  <c r="R768" i="6"/>
  <c r="Q768" i="6"/>
  <c r="P768" i="6"/>
  <c r="N768" i="6"/>
  <c r="M768" i="6"/>
  <c r="L768" i="6"/>
  <c r="C768" i="6"/>
  <c r="Z767" i="6"/>
  <c r="C135" i="12" s="1"/>
  <c r="Y767" i="6"/>
  <c r="X767" i="6"/>
  <c r="W767" i="6"/>
  <c r="V767" i="6"/>
  <c r="U767" i="6"/>
  <c r="T767" i="6"/>
  <c r="S767" i="6"/>
  <c r="R767" i="6"/>
  <c r="Q767" i="6"/>
  <c r="P767" i="6"/>
  <c r="N767" i="6"/>
  <c r="M767" i="6"/>
  <c r="L767" i="6"/>
  <c r="C767" i="6"/>
  <c r="Y766" i="6"/>
  <c r="W766" i="6"/>
  <c r="V766" i="6"/>
  <c r="U766" i="6"/>
  <c r="T766" i="6"/>
  <c r="S766" i="6"/>
  <c r="R766" i="6"/>
  <c r="Q766" i="6"/>
  <c r="P766" i="6"/>
  <c r="N766" i="6"/>
  <c r="M766" i="6"/>
  <c r="L766" i="6"/>
  <c r="C766" i="6"/>
  <c r="Z765" i="6"/>
  <c r="C133" i="12" s="1"/>
  <c r="Y765" i="6"/>
  <c r="X765" i="6"/>
  <c r="W765" i="6"/>
  <c r="V765" i="6"/>
  <c r="U765" i="6"/>
  <c r="T765" i="6"/>
  <c r="S765" i="6"/>
  <c r="R765" i="6"/>
  <c r="Q765" i="6"/>
  <c r="P765" i="6"/>
  <c r="N765" i="6"/>
  <c r="M765" i="6"/>
  <c r="L765" i="6"/>
  <c r="C765" i="6"/>
  <c r="Z764" i="6"/>
  <c r="C132" i="12" s="1"/>
  <c r="Y764" i="6"/>
  <c r="X764" i="6"/>
  <c r="W764" i="6"/>
  <c r="V764" i="6"/>
  <c r="U764" i="6"/>
  <c r="T764" i="6"/>
  <c r="S764" i="6"/>
  <c r="R764" i="6"/>
  <c r="Q764" i="6"/>
  <c r="P764" i="6"/>
  <c r="N764" i="6"/>
  <c r="M764" i="6"/>
  <c r="L764" i="6"/>
  <c r="C764" i="6"/>
  <c r="Z763" i="6"/>
  <c r="C131" i="12" s="1"/>
  <c r="Y763" i="6"/>
  <c r="X763" i="6"/>
  <c r="W763" i="6"/>
  <c r="V763" i="6"/>
  <c r="U763" i="6"/>
  <c r="T763" i="6"/>
  <c r="S763" i="6"/>
  <c r="R763" i="6"/>
  <c r="Q763" i="6"/>
  <c r="P763" i="6"/>
  <c r="N763" i="6"/>
  <c r="M763" i="6"/>
  <c r="L763" i="6"/>
  <c r="C763" i="6"/>
  <c r="Z762" i="6"/>
  <c r="C130" i="12" s="1"/>
  <c r="Y762" i="6"/>
  <c r="X762" i="6"/>
  <c r="W762" i="6"/>
  <c r="V762" i="6"/>
  <c r="U762" i="6"/>
  <c r="T762" i="6"/>
  <c r="S762" i="6"/>
  <c r="R762" i="6"/>
  <c r="Q762" i="6"/>
  <c r="P762" i="6"/>
  <c r="N762" i="6"/>
  <c r="M762" i="6"/>
  <c r="L762" i="6"/>
  <c r="C762" i="6"/>
  <c r="Z761" i="6"/>
  <c r="C129" i="12" s="1"/>
  <c r="Y761" i="6"/>
  <c r="X761" i="6"/>
  <c r="W761" i="6"/>
  <c r="V761" i="6"/>
  <c r="U761" i="6"/>
  <c r="T761" i="6"/>
  <c r="S761" i="6"/>
  <c r="R761" i="6"/>
  <c r="Q761" i="6"/>
  <c r="P761" i="6"/>
  <c r="N761" i="6"/>
  <c r="M761" i="6"/>
  <c r="L761" i="6"/>
  <c r="C761" i="6"/>
  <c r="Z760" i="6"/>
  <c r="C128" i="12" s="1"/>
  <c r="Y760" i="6"/>
  <c r="X760" i="6"/>
  <c r="W760" i="6"/>
  <c r="V760" i="6"/>
  <c r="U760" i="6"/>
  <c r="T760" i="6"/>
  <c r="S760" i="6"/>
  <c r="R760" i="6"/>
  <c r="Q760" i="6"/>
  <c r="P760" i="6"/>
  <c r="N760" i="6"/>
  <c r="M760" i="6"/>
  <c r="L760" i="6"/>
  <c r="C760" i="6"/>
  <c r="Y759" i="6"/>
  <c r="V759" i="6"/>
  <c r="U759" i="6"/>
  <c r="T759" i="6"/>
  <c r="S759" i="6"/>
  <c r="R759" i="6"/>
  <c r="Q759" i="6"/>
  <c r="P759" i="6"/>
  <c r="N759" i="6"/>
  <c r="M759" i="6"/>
  <c r="L759" i="6"/>
  <c r="C759" i="6"/>
  <c r="Z758" i="6"/>
  <c r="C126" i="12" s="1"/>
  <c r="Y758" i="6"/>
  <c r="X758" i="6"/>
  <c r="W758" i="6"/>
  <c r="V758" i="6"/>
  <c r="U758" i="6"/>
  <c r="T758" i="6"/>
  <c r="S758" i="6"/>
  <c r="R758" i="6"/>
  <c r="Q758" i="6"/>
  <c r="P758" i="6"/>
  <c r="N758" i="6"/>
  <c r="M758" i="6"/>
  <c r="L758" i="6"/>
  <c r="C758" i="6"/>
  <c r="Y757" i="6"/>
  <c r="V757" i="6"/>
  <c r="U757" i="6"/>
  <c r="T757" i="6"/>
  <c r="S757" i="6"/>
  <c r="R757" i="6"/>
  <c r="Q757" i="6"/>
  <c r="P757" i="6"/>
  <c r="N757" i="6"/>
  <c r="M757" i="6"/>
  <c r="L757" i="6"/>
  <c r="C757" i="6"/>
  <c r="Z756" i="6"/>
  <c r="C124" i="12" s="1"/>
  <c r="Y756" i="6"/>
  <c r="X756" i="6"/>
  <c r="W756" i="6"/>
  <c r="V756" i="6"/>
  <c r="U756" i="6"/>
  <c r="T756" i="6"/>
  <c r="S756" i="6"/>
  <c r="R756" i="6"/>
  <c r="Q756" i="6"/>
  <c r="P756" i="6"/>
  <c r="N756" i="6"/>
  <c r="M756" i="6"/>
  <c r="L756" i="6"/>
  <c r="C756" i="6"/>
  <c r="Y755" i="6"/>
  <c r="V755" i="6"/>
  <c r="U755" i="6"/>
  <c r="T755" i="6"/>
  <c r="S755" i="6"/>
  <c r="R755" i="6"/>
  <c r="Q755" i="6"/>
  <c r="P755" i="6"/>
  <c r="N755" i="6"/>
  <c r="M755" i="6"/>
  <c r="L755" i="6"/>
  <c r="C755" i="6"/>
  <c r="Y754" i="6"/>
  <c r="V754" i="6"/>
  <c r="U754" i="6"/>
  <c r="T754" i="6"/>
  <c r="S754" i="6"/>
  <c r="R754" i="6"/>
  <c r="Q754" i="6"/>
  <c r="P754" i="6"/>
  <c r="N754" i="6"/>
  <c r="M754" i="6"/>
  <c r="L754" i="6"/>
  <c r="C754" i="6"/>
  <c r="Y753" i="6"/>
  <c r="V753" i="6"/>
  <c r="U753" i="6"/>
  <c r="T753" i="6"/>
  <c r="S753" i="6"/>
  <c r="R753" i="6"/>
  <c r="Q753" i="6"/>
  <c r="P753" i="6"/>
  <c r="N753" i="6"/>
  <c r="M753" i="6"/>
  <c r="L753" i="6"/>
  <c r="C753" i="6"/>
  <c r="Z752" i="6"/>
  <c r="C120" i="12" s="1"/>
  <c r="Y752" i="6"/>
  <c r="X752" i="6"/>
  <c r="W752" i="6"/>
  <c r="V752" i="6"/>
  <c r="U752" i="6"/>
  <c r="T752" i="6"/>
  <c r="S752" i="6"/>
  <c r="R752" i="6"/>
  <c r="Q752" i="6"/>
  <c r="P752" i="6"/>
  <c r="N752" i="6"/>
  <c r="M752" i="6"/>
  <c r="L752" i="6"/>
  <c r="C752" i="6"/>
  <c r="Y751" i="6"/>
  <c r="V751" i="6"/>
  <c r="U751" i="6"/>
  <c r="T751" i="6"/>
  <c r="S751" i="6"/>
  <c r="R751" i="6"/>
  <c r="Q751" i="6"/>
  <c r="P751" i="6"/>
  <c r="N751" i="6"/>
  <c r="M751" i="6"/>
  <c r="L751" i="6"/>
  <c r="C751" i="6"/>
  <c r="Y750" i="6"/>
  <c r="V750" i="6"/>
  <c r="U750" i="6"/>
  <c r="T750" i="6"/>
  <c r="S750" i="6"/>
  <c r="R750" i="6"/>
  <c r="Q750" i="6"/>
  <c r="P750" i="6"/>
  <c r="N750" i="6"/>
  <c r="M750" i="6"/>
  <c r="L750" i="6"/>
  <c r="C750" i="6"/>
  <c r="Z749" i="6"/>
  <c r="C117" i="12" s="1"/>
  <c r="R117" i="12" s="1"/>
  <c r="Y749" i="6"/>
  <c r="X749" i="6"/>
  <c r="W749" i="6"/>
  <c r="V749" i="6"/>
  <c r="U749" i="6"/>
  <c r="T749" i="6"/>
  <c r="S749" i="6"/>
  <c r="R749" i="6"/>
  <c r="Q749" i="6"/>
  <c r="P749" i="6"/>
  <c r="N749" i="6"/>
  <c r="M749" i="6"/>
  <c r="L749" i="6"/>
  <c r="C749" i="6"/>
  <c r="Z748" i="6"/>
  <c r="C116" i="12" s="1"/>
  <c r="R116" i="12" s="1"/>
  <c r="Y748" i="6"/>
  <c r="X748" i="6"/>
  <c r="W748" i="6"/>
  <c r="V748" i="6"/>
  <c r="U748" i="6"/>
  <c r="T748" i="6"/>
  <c r="S748" i="6"/>
  <c r="R748" i="6"/>
  <c r="Q748" i="6"/>
  <c r="P748" i="6"/>
  <c r="N748" i="6"/>
  <c r="M748" i="6"/>
  <c r="L748" i="6"/>
  <c r="C748" i="6"/>
  <c r="Y747" i="6"/>
  <c r="V747" i="6"/>
  <c r="U747" i="6"/>
  <c r="T747" i="6"/>
  <c r="S747" i="6"/>
  <c r="R747" i="6"/>
  <c r="Q747" i="6"/>
  <c r="P747" i="6"/>
  <c r="N747" i="6"/>
  <c r="M747" i="6"/>
  <c r="L747" i="6"/>
  <c r="C747" i="6"/>
  <c r="Y746" i="6"/>
  <c r="V746" i="6"/>
  <c r="U746" i="6"/>
  <c r="T746" i="6"/>
  <c r="S746" i="6"/>
  <c r="R746" i="6"/>
  <c r="Q746" i="6"/>
  <c r="P746" i="6"/>
  <c r="N746" i="6"/>
  <c r="M746" i="6"/>
  <c r="L746" i="6"/>
  <c r="C746" i="6"/>
  <c r="Y745" i="6"/>
  <c r="V745" i="6"/>
  <c r="U745" i="6"/>
  <c r="T745" i="6"/>
  <c r="S745" i="6"/>
  <c r="R745" i="6"/>
  <c r="Q745" i="6"/>
  <c r="P745" i="6"/>
  <c r="N745" i="6"/>
  <c r="M745" i="6"/>
  <c r="L745" i="6"/>
  <c r="C745" i="6"/>
  <c r="Z744" i="6"/>
  <c r="C112" i="12" s="1"/>
  <c r="Y744" i="6"/>
  <c r="X744" i="6"/>
  <c r="W744" i="6"/>
  <c r="V744" i="6"/>
  <c r="U744" i="6"/>
  <c r="T744" i="6"/>
  <c r="S744" i="6"/>
  <c r="R744" i="6"/>
  <c r="Q744" i="6"/>
  <c r="P744" i="6"/>
  <c r="N744" i="6"/>
  <c r="M744" i="6"/>
  <c r="L744" i="6"/>
  <c r="C744" i="6"/>
  <c r="Y743" i="6"/>
  <c r="V743" i="6"/>
  <c r="U743" i="6"/>
  <c r="T743" i="6"/>
  <c r="S743" i="6"/>
  <c r="R743" i="6"/>
  <c r="Q743" i="6"/>
  <c r="P743" i="6"/>
  <c r="N743" i="6"/>
  <c r="M743" i="6"/>
  <c r="L743" i="6"/>
  <c r="C743" i="6"/>
  <c r="Y742" i="6"/>
  <c r="V742" i="6"/>
  <c r="U742" i="6"/>
  <c r="T742" i="6"/>
  <c r="S742" i="6"/>
  <c r="R742" i="6"/>
  <c r="Q742" i="6"/>
  <c r="P742" i="6"/>
  <c r="N742" i="6"/>
  <c r="M742" i="6"/>
  <c r="L742" i="6"/>
  <c r="C742" i="6"/>
  <c r="Y741" i="6"/>
  <c r="V741" i="6"/>
  <c r="U741" i="6"/>
  <c r="T741" i="6"/>
  <c r="S741" i="6"/>
  <c r="R741" i="6"/>
  <c r="Q741" i="6"/>
  <c r="P741" i="6"/>
  <c r="N741" i="6"/>
  <c r="M741" i="6"/>
  <c r="L741" i="6"/>
  <c r="C741" i="6"/>
  <c r="Y740" i="6"/>
  <c r="V740" i="6"/>
  <c r="U740" i="6"/>
  <c r="T740" i="6"/>
  <c r="S740" i="6"/>
  <c r="R740" i="6"/>
  <c r="Q740" i="6"/>
  <c r="P740" i="6"/>
  <c r="N740" i="6"/>
  <c r="M740" i="6"/>
  <c r="L740" i="6"/>
  <c r="C740" i="6"/>
  <c r="Y739" i="6"/>
  <c r="V739" i="6"/>
  <c r="U739" i="6"/>
  <c r="T739" i="6"/>
  <c r="S739" i="6"/>
  <c r="R739" i="6"/>
  <c r="Q739" i="6"/>
  <c r="P739" i="6"/>
  <c r="N739" i="6"/>
  <c r="M739" i="6"/>
  <c r="L739" i="6"/>
  <c r="C739" i="6"/>
  <c r="Z738" i="6"/>
  <c r="C106" i="12" s="1"/>
  <c r="Y738" i="6"/>
  <c r="X738" i="6"/>
  <c r="W738" i="6"/>
  <c r="V738" i="6"/>
  <c r="U738" i="6"/>
  <c r="T738" i="6"/>
  <c r="S738" i="6"/>
  <c r="R738" i="6"/>
  <c r="Q738" i="6"/>
  <c r="P738" i="6"/>
  <c r="N738" i="6"/>
  <c r="M738" i="6"/>
  <c r="L738" i="6"/>
  <c r="C738" i="6"/>
  <c r="Z737" i="6"/>
  <c r="C105" i="12" s="1"/>
  <c r="Y737" i="6"/>
  <c r="X737" i="6"/>
  <c r="W737" i="6"/>
  <c r="V737" i="6"/>
  <c r="U737" i="6"/>
  <c r="T737" i="6"/>
  <c r="S737" i="6"/>
  <c r="R737" i="6"/>
  <c r="Q737" i="6"/>
  <c r="P737" i="6"/>
  <c r="N737" i="6"/>
  <c r="M737" i="6"/>
  <c r="L737" i="6"/>
  <c r="C737" i="6"/>
  <c r="Z736" i="6"/>
  <c r="C104" i="12" s="1"/>
  <c r="Y736" i="6"/>
  <c r="X736" i="6"/>
  <c r="W736" i="6"/>
  <c r="V736" i="6"/>
  <c r="U736" i="6"/>
  <c r="T736" i="6"/>
  <c r="S736" i="6"/>
  <c r="R736" i="6"/>
  <c r="Q736" i="6"/>
  <c r="P736" i="6"/>
  <c r="N736" i="6"/>
  <c r="M736" i="6"/>
  <c r="L736" i="6"/>
  <c r="C736" i="6"/>
  <c r="Y735" i="6"/>
  <c r="V735" i="6"/>
  <c r="U735" i="6"/>
  <c r="T735" i="6"/>
  <c r="S735" i="6"/>
  <c r="R735" i="6"/>
  <c r="Q735" i="6"/>
  <c r="P735" i="6"/>
  <c r="N735" i="6"/>
  <c r="M735" i="6"/>
  <c r="L735" i="6"/>
  <c r="C735" i="6"/>
  <c r="Y734" i="6"/>
  <c r="V734" i="6"/>
  <c r="U734" i="6"/>
  <c r="T734" i="6"/>
  <c r="S734" i="6"/>
  <c r="R734" i="6"/>
  <c r="Q734" i="6"/>
  <c r="P734" i="6"/>
  <c r="N734" i="6"/>
  <c r="M734" i="6"/>
  <c r="L734" i="6"/>
  <c r="C734" i="6"/>
  <c r="R149" i="6" l="1"/>
  <c r="W149" i="6" s="1"/>
  <c r="Y624" i="6"/>
  <c r="V624" i="6"/>
  <c r="U624" i="6"/>
  <c r="T624" i="6"/>
  <c r="S624" i="6"/>
  <c r="R624" i="6"/>
  <c r="Q624" i="6"/>
  <c r="P624" i="6"/>
  <c r="N624" i="6"/>
  <c r="M624" i="6"/>
  <c r="L624" i="6"/>
  <c r="C624" i="6"/>
  <c r="Y627" i="6"/>
  <c r="V627" i="6"/>
  <c r="U627" i="6"/>
  <c r="T627" i="6"/>
  <c r="S627" i="6"/>
  <c r="R627" i="6"/>
  <c r="Q627" i="6"/>
  <c r="P627" i="6"/>
  <c r="N627" i="6"/>
  <c r="M627" i="6"/>
  <c r="L627" i="6"/>
  <c r="C627" i="6"/>
  <c r="N37" i="6"/>
  <c r="S37" i="6" s="1"/>
  <c r="N36" i="6"/>
  <c r="R36" i="6" s="1"/>
  <c r="N35" i="6"/>
  <c r="R35" i="6" s="1"/>
  <c r="N34" i="6"/>
  <c r="S34" i="6" s="1"/>
  <c r="N33" i="6"/>
  <c r="S33" i="6" s="1"/>
  <c r="N32" i="6"/>
  <c r="S32" i="6" s="1"/>
  <c r="N31" i="6"/>
  <c r="S31" i="6" s="1"/>
  <c r="N30" i="6"/>
  <c r="S30" i="6" s="1"/>
  <c r="N29" i="6"/>
  <c r="S29" i="6" s="1"/>
  <c r="N28" i="6"/>
  <c r="R28" i="6" s="1"/>
  <c r="N27" i="6"/>
  <c r="R33" i="6" l="1"/>
  <c r="R34" i="6"/>
  <c r="S35" i="6"/>
  <c r="S36" i="6"/>
  <c r="S27" i="6"/>
  <c r="R27" i="6"/>
  <c r="S28" i="6"/>
  <c r="R29" i="6"/>
  <c r="R30" i="6"/>
  <c r="R31" i="6"/>
  <c r="R37" i="6"/>
  <c r="R32" i="6"/>
  <c r="A92" i="14" l="1"/>
  <c r="A93" i="14"/>
  <c r="A94" i="14"/>
  <c r="A95" i="14"/>
  <c r="A96" i="14"/>
  <c r="A97" i="14"/>
  <c r="A26" i="14"/>
  <c r="P319" i="9" l="1"/>
  <c r="Q22" i="9" s="1"/>
  <c r="P321" i="9"/>
  <c r="O321" i="9"/>
  <c r="N321" i="9"/>
  <c r="M321" i="9"/>
  <c r="L321" i="9"/>
  <c r="K321" i="9"/>
  <c r="J321" i="9"/>
  <c r="D321" i="9"/>
  <c r="P320" i="9"/>
  <c r="Q23" i="9" s="1"/>
  <c r="O320" i="9"/>
  <c r="N320" i="9"/>
  <c r="M320" i="9"/>
  <c r="L320" i="9"/>
  <c r="K320" i="9"/>
  <c r="J320" i="9"/>
  <c r="D320" i="9"/>
  <c r="O319" i="9"/>
  <c r="N319" i="9"/>
  <c r="M319" i="9"/>
  <c r="L319" i="9"/>
  <c r="K319" i="9"/>
  <c r="J319" i="9"/>
  <c r="D319" i="9"/>
  <c r="P318" i="9"/>
  <c r="O318" i="9"/>
  <c r="N318" i="9"/>
  <c r="M318" i="9"/>
  <c r="L318" i="9"/>
  <c r="K318" i="9"/>
  <c r="J318" i="9"/>
  <c r="D318" i="9"/>
  <c r="O317" i="9"/>
  <c r="N317" i="9"/>
  <c r="M317" i="9"/>
  <c r="L317" i="9"/>
  <c r="K317" i="9"/>
  <c r="J317" i="9"/>
  <c r="D317" i="9"/>
  <c r="P316" i="9"/>
  <c r="Q8" i="9" s="1"/>
  <c r="O316" i="9"/>
  <c r="N316" i="9"/>
  <c r="M316" i="9"/>
  <c r="L316" i="9"/>
  <c r="K316" i="9"/>
  <c r="J316" i="9"/>
  <c r="D316" i="9"/>
  <c r="P315" i="9"/>
  <c r="Q20" i="9" s="1"/>
  <c r="O315" i="9"/>
  <c r="N315" i="9"/>
  <c r="M315" i="9"/>
  <c r="L315" i="9"/>
  <c r="K315" i="9"/>
  <c r="J315" i="9"/>
  <c r="D315" i="9"/>
  <c r="P314" i="9"/>
  <c r="Q16" i="9" s="1"/>
  <c r="O314" i="9"/>
  <c r="N314" i="9"/>
  <c r="M314" i="9"/>
  <c r="L314" i="9"/>
  <c r="K314" i="9"/>
  <c r="J314" i="9"/>
  <c r="D314" i="9"/>
  <c r="P313" i="9"/>
  <c r="Q7" i="9" s="1"/>
  <c r="O313" i="9"/>
  <c r="N313" i="9"/>
  <c r="M313" i="9"/>
  <c r="L313" i="9"/>
  <c r="K313" i="9"/>
  <c r="J313" i="9"/>
  <c r="D313" i="9"/>
  <c r="P312" i="9"/>
  <c r="Q19" i="9" s="1"/>
  <c r="O312" i="9"/>
  <c r="N312" i="9"/>
  <c r="M312" i="9"/>
  <c r="L312" i="9"/>
  <c r="K312" i="9"/>
  <c r="J312" i="9"/>
  <c r="D312" i="9"/>
  <c r="P311" i="9"/>
  <c r="Q15" i="9" s="1"/>
  <c r="O311" i="9"/>
  <c r="N311" i="9"/>
  <c r="M311" i="9"/>
  <c r="L311" i="9"/>
  <c r="K311" i="9"/>
  <c r="J311" i="9"/>
  <c r="D311" i="9"/>
  <c r="P310" i="9"/>
  <c r="Q6" i="9" s="1"/>
  <c r="O310" i="9"/>
  <c r="N310" i="9"/>
  <c r="M310" i="9"/>
  <c r="L310" i="9"/>
  <c r="K310" i="9"/>
  <c r="J310" i="9"/>
  <c r="D310" i="9"/>
  <c r="O309" i="9"/>
  <c r="N309" i="9"/>
  <c r="M309" i="9"/>
  <c r="L309" i="9"/>
  <c r="K309" i="9"/>
  <c r="J309" i="9"/>
  <c r="D309" i="9"/>
  <c r="O308" i="9"/>
  <c r="N308" i="9"/>
  <c r="M308" i="9"/>
  <c r="L308" i="9"/>
  <c r="K308" i="9"/>
  <c r="J308" i="9"/>
  <c r="D308" i="9"/>
  <c r="P307" i="9"/>
  <c r="Q9" i="9" s="1"/>
  <c r="O307" i="9"/>
  <c r="N307" i="9"/>
  <c r="M307" i="9"/>
  <c r="L307" i="9"/>
  <c r="K307" i="9"/>
  <c r="J307" i="9"/>
  <c r="D307" i="9"/>
  <c r="O306" i="9"/>
  <c r="N306" i="9"/>
  <c r="M306" i="9"/>
  <c r="L306" i="9"/>
  <c r="K306" i="9"/>
  <c r="J306" i="9"/>
  <c r="D306" i="9"/>
  <c r="P305" i="9"/>
  <c r="O305" i="9"/>
  <c r="N305" i="9"/>
  <c r="M305" i="9"/>
  <c r="L305" i="9"/>
  <c r="K305" i="9"/>
  <c r="J305" i="9"/>
  <c r="D305" i="9"/>
  <c r="P304" i="9"/>
  <c r="Q5" i="9" s="1"/>
  <c r="O304" i="9"/>
  <c r="N304" i="9"/>
  <c r="M304" i="9"/>
  <c r="L304" i="9"/>
  <c r="K304" i="9"/>
  <c r="J304" i="9"/>
  <c r="D304" i="9"/>
  <c r="P303" i="9"/>
  <c r="Q14" i="9" s="1"/>
  <c r="O303" i="9"/>
  <c r="N303" i="9"/>
  <c r="M303" i="9"/>
  <c r="L303" i="9"/>
  <c r="K303" i="9"/>
  <c r="J303" i="9"/>
  <c r="D303" i="9"/>
  <c r="P302" i="9"/>
  <c r="Q4" i="9" s="1"/>
  <c r="O302" i="9"/>
  <c r="N302" i="9"/>
  <c r="M302" i="9"/>
  <c r="L302" i="9"/>
  <c r="K302" i="9"/>
  <c r="J302" i="9"/>
  <c r="D302" i="9"/>
  <c r="Q11" i="9" l="1"/>
  <c r="P1557" i="9"/>
  <c r="P1181" i="9"/>
  <c r="Q10" i="9"/>
  <c r="Q17" i="9"/>
  <c r="N3" i="12"/>
  <c r="M3" i="12"/>
  <c r="L3" i="12"/>
  <c r="K3" i="12"/>
  <c r="J3" i="12"/>
  <c r="I3" i="12"/>
  <c r="H3" i="12"/>
  <c r="G3" i="12"/>
  <c r="F3" i="12"/>
  <c r="E3" i="12"/>
  <c r="D3" i="12"/>
  <c r="P290" i="9"/>
  <c r="P6" i="9" s="1"/>
  <c r="O290" i="9"/>
  <c r="N290" i="9"/>
  <c r="M290" i="9"/>
  <c r="L290" i="9"/>
  <c r="K290" i="9"/>
  <c r="J290" i="9"/>
  <c r="D290" i="9"/>
  <c r="P289" i="9"/>
  <c r="P13" i="9" s="1"/>
  <c r="O289" i="9"/>
  <c r="N289" i="9"/>
  <c r="M289" i="9"/>
  <c r="L289" i="9"/>
  <c r="K289" i="9"/>
  <c r="J289" i="9"/>
  <c r="D289" i="9"/>
  <c r="P270" i="9"/>
  <c r="O6" i="9" s="1"/>
  <c r="O270" i="9"/>
  <c r="N270" i="9"/>
  <c r="M270" i="9"/>
  <c r="L270" i="9"/>
  <c r="K270" i="9"/>
  <c r="J270" i="9"/>
  <c r="D270" i="9"/>
  <c r="O269" i="9"/>
  <c r="N269" i="9"/>
  <c r="M269" i="9"/>
  <c r="L269" i="9"/>
  <c r="K269" i="9"/>
  <c r="J269" i="9"/>
  <c r="D269" i="9"/>
  <c r="P250" i="9"/>
  <c r="N6" i="9" s="1"/>
  <c r="O250" i="9"/>
  <c r="N250" i="9"/>
  <c r="M250" i="9"/>
  <c r="L250" i="9"/>
  <c r="K250" i="9"/>
  <c r="J250" i="9"/>
  <c r="D250" i="9"/>
  <c r="P249" i="9"/>
  <c r="N13" i="9" s="1"/>
  <c r="O249" i="9"/>
  <c r="N249" i="9"/>
  <c r="M249" i="9"/>
  <c r="L249" i="9"/>
  <c r="K249" i="9"/>
  <c r="J249" i="9"/>
  <c r="D249" i="9"/>
  <c r="P230" i="9"/>
  <c r="O230" i="9"/>
  <c r="N230" i="9"/>
  <c r="M230" i="9"/>
  <c r="L230" i="9"/>
  <c r="K230" i="9"/>
  <c r="J230" i="9"/>
  <c r="D230" i="9"/>
  <c r="P229" i="9"/>
  <c r="L13" i="9" s="1"/>
  <c r="O229" i="9"/>
  <c r="N229" i="9"/>
  <c r="M229" i="9"/>
  <c r="L229" i="9"/>
  <c r="K229" i="9"/>
  <c r="J229" i="9"/>
  <c r="D229" i="9"/>
  <c r="P210" i="9"/>
  <c r="O210" i="9"/>
  <c r="N210" i="9"/>
  <c r="M210" i="9"/>
  <c r="L210" i="9"/>
  <c r="K210" i="9"/>
  <c r="J210" i="9"/>
  <c r="D210" i="9"/>
  <c r="P209" i="9"/>
  <c r="K13" i="9" s="1"/>
  <c r="O209" i="9"/>
  <c r="N209" i="9"/>
  <c r="M209" i="9"/>
  <c r="L209" i="9"/>
  <c r="K209" i="9"/>
  <c r="J209" i="9"/>
  <c r="D209" i="9"/>
  <c r="O192" i="9"/>
  <c r="N192" i="9"/>
  <c r="M192" i="9"/>
  <c r="L192" i="9"/>
  <c r="K192" i="9"/>
  <c r="J192" i="9"/>
  <c r="D192" i="9"/>
  <c r="P189" i="9"/>
  <c r="O189" i="9"/>
  <c r="N189" i="9"/>
  <c r="M189" i="9"/>
  <c r="L189" i="9"/>
  <c r="K189" i="9"/>
  <c r="J189" i="9"/>
  <c r="D189" i="9"/>
  <c r="A30" i="10"/>
  <c r="A31" i="10"/>
  <c r="A32" i="10"/>
  <c r="A33" i="10"/>
  <c r="A34" i="10"/>
  <c r="A35" i="10"/>
  <c r="A36" i="10"/>
  <c r="A37" i="10"/>
  <c r="A38" i="10"/>
  <c r="A39" i="10"/>
  <c r="A40" i="10"/>
  <c r="A41" i="10"/>
  <c r="A42" i="10"/>
  <c r="A43" i="10"/>
  <c r="A44" i="10"/>
  <c r="A45" i="10"/>
  <c r="A46" i="10"/>
  <c r="A47" i="10"/>
  <c r="A48" i="10"/>
  <c r="A49" i="10"/>
  <c r="A50" i="10"/>
  <c r="A51" i="10"/>
  <c r="A52" i="10"/>
  <c r="A53" i="10"/>
  <c r="A54" i="10"/>
  <c r="A55" i="10"/>
  <c r="A56" i="10"/>
  <c r="A57" i="10"/>
  <c r="A58" i="10"/>
  <c r="N2276" i="3"/>
  <c r="N2275" i="3"/>
  <c r="N2274" i="3"/>
  <c r="N2273" i="3"/>
  <c r="N2272" i="3"/>
  <c r="N2271" i="3"/>
  <c r="N2270" i="3"/>
  <c r="N2269" i="3"/>
  <c r="N2268" i="3"/>
  <c r="N2267" i="3"/>
  <c r="N2266" i="3"/>
  <c r="N2265" i="3"/>
  <c r="N2264" i="3"/>
  <c r="N2263" i="3"/>
  <c r="N2262" i="3"/>
  <c r="N2261" i="3"/>
  <c r="N2260" i="3"/>
  <c r="N2259" i="3"/>
  <c r="N2258" i="3"/>
  <c r="N2257" i="3"/>
  <c r="N2256" i="3"/>
  <c r="N2255" i="3"/>
  <c r="N2254" i="3"/>
  <c r="N2253" i="3"/>
  <c r="N2252" i="3"/>
  <c r="N2251" i="3"/>
  <c r="N2250" i="3"/>
  <c r="N2249" i="3"/>
  <c r="N2248" i="3"/>
  <c r="N2247" i="3"/>
  <c r="N2246" i="3"/>
  <c r="N2245" i="3"/>
  <c r="N2244" i="3"/>
  <c r="N2243" i="3"/>
  <c r="N2242" i="3"/>
  <c r="N2241" i="3"/>
  <c r="N2240" i="3"/>
  <c r="N2239" i="3"/>
  <c r="N2238" i="3"/>
  <c r="N2237" i="3"/>
  <c r="N2236" i="3"/>
  <c r="N2235" i="3"/>
  <c r="N2234" i="3"/>
  <c r="N2233" i="3"/>
  <c r="N2232" i="3"/>
  <c r="N2231" i="3"/>
  <c r="N2230" i="3"/>
  <c r="N2229" i="3"/>
  <c r="N2228" i="3"/>
  <c r="N2227" i="3"/>
  <c r="N2226" i="3"/>
  <c r="N2225" i="3"/>
  <c r="N2224" i="3"/>
  <c r="N2223" i="3"/>
  <c r="N2222" i="3"/>
  <c r="N2221" i="3"/>
  <c r="N2220" i="3"/>
  <c r="N2219" i="3"/>
  <c r="N2218" i="3"/>
  <c r="N2217" i="3"/>
  <c r="N2216" i="3"/>
  <c r="N2215" i="3"/>
  <c r="N2214" i="3"/>
  <c r="N2213" i="3"/>
  <c r="N2212" i="3"/>
  <c r="N2211" i="3"/>
  <c r="N2210" i="3"/>
  <c r="N2209" i="3"/>
  <c r="N2208" i="3"/>
  <c r="N2207" i="3"/>
  <c r="N2206" i="3"/>
  <c r="N2205" i="3"/>
  <c r="N2204" i="3"/>
  <c r="N2203" i="3"/>
  <c r="N2202" i="3"/>
  <c r="N2201" i="3"/>
  <c r="N2200" i="3"/>
  <c r="N2199" i="3"/>
  <c r="N2198" i="3"/>
  <c r="N2197" i="3"/>
  <c r="N2196" i="3"/>
  <c r="N2195" i="3"/>
  <c r="N2194" i="3"/>
  <c r="N2193" i="3"/>
  <c r="N2192" i="3"/>
  <c r="N2191" i="3"/>
  <c r="N2190" i="3"/>
  <c r="N2189" i="3"/>
  <c r="N2188" i="3"/>
  <c r="N2187" i="3"/>
  <c r="N2186" i="3"/>
  <c r="N2185" i="3"/>
  <c r="N2184" i="3"/>
  <c r="N2183" i="3"/>
  <c r="N2182" i="3"/>
  <c r="N2181" i="3"/>
  <c r="N2180" i="3"/>
  <c r="N2179" i="3"/>
  <c r="N2178" i="3"/>
  <c r="N2177" i="3"/>
  <c r="N2176" i="3"/>
  <c r="N2175" i="3"/>
  <c r="N2174" i="3"/>
  <c r="N2173" i="3"/>
  <c r="N2172" i="3"/>
  <c r="N2171" i="3"/>
  <c r="N2170" i="3"/>
  <c r="N2169" i="3"/>
  <c r="N2168" i="3"/>
  <c r="N2167" i="3"/>
  <c r="N2166" i="3"/>
  <c r="N2165" i="3"/>
  <c r="N2164" i="3"/>
  <c r="N2163" i="3"/>
  <c r="N2162" i="3"/>
  <c r="N2161" i="3"/>
  <c r="N2160" i="3"/>
  <c r="N2159" i="3"/>
  <c r="N2158" i="3"/>
  <c r="N2157" i="3"/>
  <c r="N2156" i="3"/>
  <c r="N2155" i="3"/>
  <c r="N2154" i="3"/>
  <c r="N2153" i="3"/>
  <c r="N2152" i="3"/>
  <c r="N2151" i="3"/>
  <c r="N2150" i="3"/>
  <c r="N2149" i="3"/>
  <c r="N2148" i="3"/>
  <c r="N2147" i="3"/>
  <c r="N2146" i="3"/>
  <c r="N2145" i="3"/>
  <c r="N2144" i="3"/>
  <c r="N2143" i="3"/>
  <c r="N2142" i="3"/>
  <c r="N2141" i="3"/>
  <c r="N2140" i="3"/>
  <c r="N2139" i="3"/>
  <c r="N2138" i="3"/>
  <c r="N2137" i="3"/>
  <c r="N2136" i="3"/>
  <c r="N2135" i="3"/>
  <c r="N2134" i="3"/>
  <c r="N2133" i="3"/>
  <c r="N2132" i="3"/>
  <c r="N2131" i="3"/>
  <c r="N2130" i="3"/>
  <c r="N2129" i="3"/>
  <c r="N2128" i="3"/>
  <c r="N2127" i="3"/>
  <c r="N2126" i="3"/>
  <c r="N2125" i="3"/>
  <c r="N2124" i="3"/>
  <c r="N2123" i="3"/>
  <c r="N2122" i="3"/>
  <c r="N2121" i="3"/>
  <c r="N2120" i="3"/>
  <c r="N2119" i="3"/>
  <c r="N2118" i="3"/>
  <c r="N2117" i="3"/>
  <c r="N2116" i="3"/>
  <c r="N2115" i="3"/>
  <c r="N2114" i="3"/>
  <c r="N2113" i="3"/>
  <c r="N2112" i="3"/>
  <c r="N2111" i="3"/>
  <c r="N2110" i="3"/>
  <c r="N2109" i="3"/>
  <c r="N2108" i="3"/>
  <c r="N2107" i="3"/>
  <c r="N2106" i="3"/>
  <c r="N2105" i="3"/>
  <c r="N2104" i="3"/>
  <c r="N2103" i="3"/>
  <c r="N2102" i="3"/>
  <c r="N2101" i="3"/>
  <c r="N2100" i="3"/>
  <c r="N2099" i="3"/>
  <c r="N2098" i="3"/>
  <c r="N2097" i="3"/>
  <c r="N2096" i="3"/>
  <c r="N2095" i="3"/>
  <c r="N2094" i="3"/>
  <c r="N2093" i="3"/>
  <c r="N2092" i="3"/>
  <c r="N2091" i="3"/>
  <c r="N2090" i="3"/>
  <c r="N2089" i="3"/>
  <c r="N2088" i="3"/>
  <c r="N2087" i="3"/>
  <c r="N2086" i="3"/>
  <c r="N2085" i="3"/>
  <c r="N2084" i="3"/>
  <c r="N2083" i="3"/>
  <c r="N2082" i="3"/>
  <c r="N2081" i="3"/>
  <c r="N2080" i="3"/>
  <c r="N2079" i="3"/>
  <c r="N2078" i="3"/>
  <c r="N2077" i="3"/>
  <c r="N2076" i="3"/>
  <c r="N2075" i="3"/>
  <c r="N2074" i="3"/>
  <c r="N2073" i="3"/>
  <c r="N2072" i="3"/>
  <c r="N2071" i="3"/>
  <c r="N2070" i="3"/>
  <c r="N2069" i="3"/>
  <c r="N2068" i="3"/>
  <c r="N2067" i="3"/>
  <c r="N2066" i="3"/>
  <c r="N2065" i="3"/>
  <c r="N2064" i="3"/>
  <c r="N2063" i="3"/>
  <c r="N2062" i="3"/>
  <c r="N2061" i="3"/>
  <c r="N2060" i="3"/>
  <c r="N2059" i="3"/>
  <c r="N2058" i="3"/>
  <c r="N2057" i="3"/>
  <c r="N2056" i="3"/>
  <c r="N2055" i="3"/>
  <c r="N2054" i="3"/>
  <c r="N2053" i="3"/>
  <c r="N2052" i="3"/>
  <c r="N2051" i="3"/>
  <c r="N2050" i="3"/>
  <c r="N2049" i="3"/>
  <c r="N2048" i="3"/>
  <c r="N2047" i="3"/>
  <c r="N2046" i="3"/>
  <c r="N2045" i="3"/>
  <c r="N2044" i="3"/>
  <c r="N2043" i="3"/>
  <c r="N2042" i="3"/>
  <c r="N2041" i="3"/>
  <c r="N2040" i="3"/>
  <c r="N2039" i="3"/>
  <c r="N2038" i="3"/>
  <c r="N2037" i="3"/>
  <c r="N2036" i="3"/>
  <c r="N2035" i="3"/>
  <c r="N2034" i="3"/>
  <c r="N2033" i="3"/>
  <c r="N2032" i="3"/>
  <c r="N2031" i="3"/>
  <c r="N2030" i="3"/>
  <c r="N2029" i="3"/>
  <c r="N2028" i="3"/>
  <c r="N2027" i="3"/>
  <c r="N2026" i="3"/>
  <c r="N2025" i="3"/>
  <c r="N2024" i="3"/>
  <c r="N2023" i="3"/>
  <c r="N2022" i="3"/>
  <c r="N2021" i="3"/>
  <c r="N2020" i="3"/>
  <c r="N2019" i="3"/>
  <c r="N2018" i="3"/>
  <c r="N2017" i="3"/>
  <c r="N2016" i="3"/>
  <c r="N2015" i="3"/>
  <c r="N2014" i="3"/>
  <c r="N2013" i="3"/>
  <c r="N2012" i="3"/>
  <c r="N2011" i="3"/>
  <c r="N2010" i="3"/>
  <c r="N2009" i="3"/>
  <c r="N2008" i="3"/>
  <c r="N2007" i="3"/>
  <c r="N2006" i="3"/>
  <c r="N2005" i="3"/>
  <c r="N2004" i="3"/>
  <c r="N2003" i="3"/>
  <c r="N2002" i="3"/>
  <c r="N2001" i="3"/>
  <c r="N2000" i="3"/>
  <c r="N1999" i="3"/>
  <c r="N1998" i="3"/>
  <c r="N1997" i="3"/>
  <c r="N1996" i="3"/>
  <c r="N1995" i="3"/>
  <c r="N1994" i="3"/>
  <c r="N1993" i="3"/>
  <c r="N1992" i="3"/>
  <c r="N1991" i="3"/>
  <c r="N1990" i="3"/>
  <c r="N1989" i="3"/>
  <c r="N1988" i="3"/>
  <c r="N1987" i="3"/>
  <c r="N1986" i="3"/>
  <c r="N1985" i="3"/>
  <c r="N1984" i="3"/>
  <c r="N1983" i="3"/>
  <c r="N1982" i="3"/>
  <c r="N1981" i="3"/>
  <c r="N1980" i="3"/>
  <c r="N1979" i="3"/>
  <c r="N1978" i="3"/>
  <c r="N1977" i="3"/>
  <c r="N1976" i="3"/>
  <c r="N1975" i="3"/>
  <c r="N1974" i="3"/>
  <c r="N1973" i="3"/>
  <c r="N1972" i="3"/>
  <c r="N1971" i="3"/>
  <c r="N1970" i="3"/>
  <c r="N1969" i="3"/>
  <c r="N1968" i="3"/>
  <c r="N1967" i="3"/>
  <c r="N1966" i="3"/>
  <c r="N1965" i="3"/>
  <c r="N1964" i="3"/>
  <c r="N1963" i="3"/>
  <c r="N1962" i="3"/>
  <c r="N1961" i="3"/>
  <c r="N1960" i="3"/>
  <c r="N1959" i="3"/>
  <c r="N1958" i="3"/>
  <c r="N1957" i="3"/>
  <c r="N1956" i="3"/>
  <c r="N1955" i="3"/>
  <c r="N1954" i="3"/>
  <c r="N1953" i="3"/>
  <c r="N1952" i="3"/>
  <c r="N1951" i="3"/>
  <c r="N1950" i="3"/>
  <c r="N1949" i="3"/>
  <c r="N1948" i="3"/>
  <c r="N1947" i="3"/>
  <c r="N1946" i="3"/>
  <c r="N1945" i="3"/>
  <c r="N1944" i="3"/>
  <c r="N1943" i="3"/>
  <c r="N1942" i="3"/>
  <c r="N1941" i="3"/>
  <c r="N1940" i="3"/>
  <c r="N1939" i="3"/>
  <c r="N1938" i="3"/>
  <c r="N1937" i="3"/>
  <c r="N1936" i="3"/>
  <c r="N1935" i="3"/>
  <c r="N1934" i="3"/>
  <c r="N1933" i="3"/>
  <c r="N1932" i="3"/>
  <c r="N1931" i="3"/>
  <c r="N1930" i="3"/>
  <c r="N1929" i="3"/>
  <c r="N1928" i="3"/>
  <c r="N1927" i="3"/>
  <c r="N1926" i="3"/>
  <c r="N1925" i="3"/>
  <c r="N1924" i="3"/>
  <c r="N1923" i="3"/>
  <c r="N1922" i="3"/>
  <c r="N1921" i="3"/>
  <c r="N1920" i="3"/>
  <c r="N1919" i="3"/>
  <c r="N1918" i="3"/>
  <c r="N1917" i="3"/>
  <c r="N1916" i="3"/>
  <c r="N1915" i="3"/>
  <c r="N1914" i="3"/>
  <c r="N1913" i="3"/>
  <c r="N1912" i="3"/>
  <c r="N1911" i="3"/>
  <c r="N1910" i="3"/>
  <c r="N1909" i="3"/>
  <c r="N1908" i="3"/>
  <c r="N1907" i="3"/>
  <c r="N1906" i="3"/>
  <c r="N1905" i="3"/>
  <c r="N1904" i="3"/>
  <c r="N1903" i="3"/>
  <c r="N1902" i="3"/>
  <c r="N1901" i="3"/>
  <c r="N1900" i="3"/>
  <c r="N1899" i="3"/>
  <c r="N1898" i="3"/>
  <c r="N1897" i="3"/>
  <c r="N1896" i="3"/>
  <c r="N1895" i="3"/>
  <c r="N1894" i="3"/>
  <c r="N1893" i="3"/>
  <c r="N1892" i="3"/>
  <c r="N1891" i="3"/>
  <c r="N1890" i="3"/>
  <c r="N1889" i="3"/>
  <c r="N1888" i="3"/>
  <c r="N1887" i="3"/>
  <c r="N1886" i="3"/>
  <c r="N1885" i="3"/>
  <c r="N1884" i="3"/>
  <c r="N1883" i="3"/>
  <c r="N1882" i="3"/>
  <c r="N1881" i="3"/>
  <c r="N1880" i="3"/>
  <c r="N1879" i="3"/>
  <c r="N1878" i="3"/>
  <c r="N1877" i="3"/>
  <c r="N1876" i="3"/>
  <c r="N1875" i="3"/>
  <c r="N1874" i="3"/>
  <c r="N1873" i="3"/>
  <c r="N1872" i="3"/>
  <c r="N1871" i="3"/>
  <c r="N1870" i="3"/>
  <c r="N1869" i="3"/>
  <c r="N1868" i="3"/>
  <c r="N1867" i="3"/>
  <c r="N1866" i="3"/>
  <c r="N1865" i="3"/>
  <c r="N1864" i="3"/>
  <c r="N1863" i="3"/>
  <c r="N1862" i="3"/>
  <c r="N1861" i="3"/>
  <c r="N1860" i="3"/>
  <c r="N1859" i="3"/>
  <c r="N1858" i="3"/>
  <c r="N1857" i="3"/>
  <c r="N1856" i="3"/>
  <c r="N1855" i="3"/>
  <c r="N1854" i="3"/>
  <c r="N1853" i="3"/>
  <c r="N1852" i="3"/>
  <c r="N1851" i="3"/>
  <c r="N1850" i="3"/>
  <c r="N1849" i="3"/>
  <c r="N1848" i="3"/>
  <c r="N1847" i="3"/>
  <c r="N1846" i="3"/>
  <c r="N1845" i="3"/>
  <c r="N1844" i="3"/>
  <c r="N1843" i="3"/>
  <c r="N1842" i="3"/>
  <c r="N1841" i="3"/>
  <c r="N1840" i="3"/>
  <c r="N1839" i="3"/>
  <c r="N1838" i="3"/>
  <c r="N1837" i="3"/>
  <c r="N1836" i="3"/>
  <c r="N1835" i="3"/>
  <c r="N1834" i="3"/>
  <c r="N1833" i="3"/>
  <c r="N1832" i="3"/>
  <c r="N1831" i="3"/>
  <c r="N1830" i="3"/>
  <c r="N1829" i="3"/>
  <c r="N1828" i="3"/>
  <c r="N1827" i="3"/>
  <c r="N1826" i="3"/>
  <c r="N1825" i="3"/>
  <c r="N1824" i="3"/>
  <c r="N1823" i="3"/>
  <c r="N1822" i="3"/>
  <c r="N1821" i="3"/>
  <c r="N1820" i="3"/>
  <c r="N1819" i="3"/>
  <c r="N1818" i="3"/>
  <c r="N1817" i="3"/>
  <c r="N1816" i="3"/>
  <c r="N1815" i="3"/>
  <c r="N1814" i="3"/>
  <c r="N1813" i="3"/>
  <c r="N1812" i="3"/>
  <c r="N1811" i="3"/>
  <c r="N1810" i="3"/>
  <c r="N1809" i="3"/>
  <c r="N1808" i="3"/>
  <c r="N1807" i="3"/>
  <c r="N1806" i="3"/>
  <c r="N1805" i="3"/>
  <c r="N1804" i="3"/>
  <c r="N1803" i="3"/>
  <c r="N1802" i="3"/>
  <c r="N1801" i="3"/>
  <c r="N1800" i="3"/>
  <c r="N1799" i="3"/>
  <c r="N1798" i="3"/>
  <c r="N1797" i="3"/>
  <c r="N1796" i="3"/>
  <c r="N1795" i="3"/>
  <c r="N1794" i="3"/>
  <c r="N1793" i="3"/>
  <c r="N1792" i="3"/>
  <c r="N1791" i="3"/>
  <c r="N1790" i="3"/>
  <c r="N1789" i="3"/>
  <c r="N1788" i="3"/>
  <c r="N1787" i="3"/>
  <c r="N1786" i="3"/>
  <c r="N1785" i="3"/>
  <c r="N1784" i="3"/>
  <c r="N1783" i="3"/>
  <c r="N1782" i="3"/>
  <c r="N1781" i="3"/>
  <c r="N1780" i="3"/>
  <c r="N1779" i="3"/>
  <c r="N1778" i="3"/>
  <c r="N1777" i="3"/>
  <c r="N1776" i="3"/>
  <c r="N1775" i="3"/>
  <c r="N1774" i="3"/>
  <c r="N1773" i="3"/>
  <c r="N1772" i="3"/>
  <c r="N1771" i="3"/>
  <c r="N1770" i="3"/>
  <c r="N1769" i="3"/>
  <c r="N1768" i="3"/>
  <c r="N1767" i="3"/>
  <c r="N1766" i="3"/>
  <c r="N1765" i="3"/>
  <c r="N1764" i="3"/>
  <c r="N1763" i="3"/>
  <c r="N1762" i="3"/>
  <c r="N1761" i="3"/>
  <c r="N1760" i="3"/>
  <c r="N1759" i="3"/>
  <c r="N1758" i="3"/>
  <c r="N1757" i="3"/>
  <c r="N1756" i="3"/>
  <c r="N1755" i="3"/>
  <c r="N1754" i="3"/>
  <c r="N1753" i="3"/>
  <c r="N1752" i="3"/>
  <c r="N1751" i="3"/>
  <c r="N1750" i="3"/>
  <c r="N1749" i="3"/>
  <c r="N1748" i="3"/>
  <c r="N1747" i="3"/>
  <c r="N1746" i="3"/>
  <c r="N1745" i="3"/>
  <c r="N1744" i="3"/>
  <c r="N1743" i="3"/>
  <c r="N1742" i="3"/>
  <c r="N1741" i="3"/>
  <c r="N1740" i="3"/>
  <c r="N1739" i="3"/>
  <c r="N1738" i="3"/>
  <c r="N1737" i="3"/>
  <c r="N1736" i="3"/>
  <c r="N1735" i="3"/>
  <c r="N1734" i="3"/>
  <c r="N1733" i="3"/>
  <c r="N1732" i="3"/>
  <c r="N1731" i="3"/>
  <c r="N1730" i="3"/>
  <c r="N1729" i="3"/>
  <c r="N1728" i="3"/>
  <c r="N1727" i="3"/>
  <c r="N1726" i="3"/>
  <c r="N1725" i="3"/>
  <c r="N1724" i="3"/>
  <c r="N1723" i="3"/>
  <c r="N1722" i="3"/>
  <c r="N1721" i="3"/>
  <c r="N1719" i="3"/>
  <c r="N1718" i="3"/>
  <c r="N1717" i="3"/>
  <c r="N1716" i="3"/>
  <c r="N1715" i="3"/>
  <c r="N1714" i="3"/>
  <c r="N1713" i="3"/>
  <c r="N1712" i="3"/>
  <c r="N1711" i="3"/>
  <c r="N1710" i="3"/>
  <c r="N1709" i="3"/>
  <c r="N1708" i="3"/>
  <c r="N1707" i="3"/>
  <c r="N1706" i="3"/>
  <c r="N1705" i="3"/>
  <c r="N1704" i="3"/>
  <c r="N1703" i="3"/>
  <c r="N1702" i="3"/>
  <c r="N1701" i="3"/>
  <c r="N1700" i="3"/>
  <c r="N1699" i="3"/>
  <c r="N1698" i="3"/>
  <c r="N1697" i="3"/>
  <c r="N1696" i="3"/>
  <c r="N1695" i="3"/>
  <c r="N1694" i="3"/>
  <c r="N1693" i="3"/>
  <c r="N1692" i="3"/>
  <c r="N1691" i="3"/>
  <c r="N1690" i="3"/>
  <c r="N1689" i="3"/>
  <c r="N1688" i="3"/>
  <c r="N1687" i="3"/>
  <c r="N1686" i="3"/>
  <c r="N1685" i="3"/>
  <c r="N1684" i="3"/>
  <c r="N1683" i="3"/>
  <c r="N1682" i="3"/>
  <c r="N1681" i="3"/>
  <c r="N1680" i="3"/>
  <c r="N1679" i="3"/>
  <c r="N1678" i="3"/>
  <c r="N1677" i="3"/>
  <c r="N1676" i="3"/>
  <c r="N1675" i="3"/>
  <c r="N1674" i="3"/>
  <c r="N1673" i="3"/>
  <c r="N1672" i="3"/>
  <c r="N1671" i="3"/>
  <c r="N1670" i="3"/>
  <c r="N1669" i="3"/>
  <c r="N1668" i="3"/>
  <c r="N1667" i="3"/>
  <c r="N1666" i="3"/>
  <c r="N1665" i="3"/>
  <c r="N1664" i="3"/>
  <c r="N1663" i="3"/>
  <c r="N1662" i="3"/>
  <c r="N1661" i="3"/>
  <c r="N1660" i="3"/>
  <c r="N1659" i="3"/>
  <c r="N1658" i="3"/>
  <c r="N1657" i="3"/>
  <c r="N1656" i="3"/>
  <c r="N1655" i="3"/>
  <c r="N1654" i="3"/>
  <c r="N1653" i="3"/>
  <c r="N1652" i="3"/>
  <c r="N1651" i="3"/>
  <c r="N1650" i="3"/>
  <c r="N1649" i="3"/>
  <c r="N1648" i="3"/>
  <c r="N1647" i="3"/>
  <c r="N1646" i="3"/>
  <c r="N1645" i="3"/>
  <c r="N1644" i="3"/>
  <c r="N1643" i="3"/>
  <c r="N1642" i="3"/>
  <c r="N1641" i="3"/>
  <c r="N1640" i="3"/>
  <c r="N1639" i="3"/>
  <c r="N1638" i="3"/>
  <c r="N1637" i="3"/>
  <c r="N1636" i="3"/>
  <c r="N1635" i="3"/>
  <c r="N1634" i="3"/>
  <c r="N1633" i="3"/>
  <c r="N1632" i="3"/>
  <c r="N1631" i="3"/>
  <c r="N1630" i="3"/>
  <c r="N1629" i="3"/>
  <c r="N1628" i="3"/>
  <c r="N1627" i="3"/>
  <c r="N1626" i="3"/>
  <c r="N1625" i="3"/>
  <c r="N1624" i="3"/>
  <c r="N1623" i="3"/>
  <c r="N1622" i="3"/>
  <c r="N1621" i="3"/>
  <c r="N1620" i="3"/>
  <c r="N1619" i="3"/>
  <c r="N1618" i="3"/>
  <c r="N1617" i="3"/>
  <c r="N1616" i="3"/>
  <c r="N1615" i="3"/>
  <c r="N1614" i="3"/>
  <c r="N1613" i="3"/>
  <c r="N1612" i="3"/>
  <c r="N1611" i="3"/>
  <c r="N1610" i="3"/>
  <c r="N1609" i="3"/>
  <c r="N1608" i="3"/>
  <c r="N1607" i="3"/>
  <c r="N1606" i="3"/>
  <c r="N1605" i="3"/>
  <c r="N1604" i="3"/>
  <c r="N1603" i="3"/>
  <c r="N1602" i="3"/>
  <c r="N1601" i="3"/>
  <c r="N1600" i="3"/>
  <c r="N1599" i="3"/>
  <c r="N1598" i="3"/>
  <c r="N1597" i="3"/>
  <c r="N1596" i="3"/>
  <c r="N1595" i="3"/>
  <c r="N1594" i="3"/>
  <c r="N1593" i="3"/>
  <c r="N1592" i="3"/>
  <c r="N1591" i="3"/>
  <c r="N1590" i="3"/>
  <c r="N1589" i="3"/>
  <c r="N1588" i="3"/>
  <c r="N1587" i="3"/>
  <c r="N1586" i="3"/>
  <c r="N1585" i="3"/>
  <c r="N1584" i="3"/>
  <c r="N1583" i="3"/>
  <c r="N1582" i="3"/>
  <c r="N1581" i="3"/>
  <c r="N1580" i="3"/>
  <c r="N1579" i="3"/>
  <c r="N1578" i="3"/>
  <c r="N1577" i="3"/>
  <c r="N1576" i="3"/>
  <c r="N1575" i="3"/>
  <c r="N1574" i="3"/>
  <c r="N1573" i="3"/>
  <c r="N1572" i="3"/>
  <c r="N1571" i="3"/>
  <c r="N1570" i="3"/>
  <c r="N1569" i="3"/>
  <c r="N1568" i="3"/>
  <c r="N1567" i="3"/>
  <c r="N1566" i="3"/>
  <c r="N1565" i="3"/>
  <c r="N1564" i="3"/>
  <c r="D74" i="12" s="1"/>
  <c r="N1563" i="3"/>
  <c r="N1560" i="3"/>
  <c r="N1559" i="3"/>
  <c r="N1558" i="3"/>
  <c r="N1557" i="3"/>
  <c r="N1556" i="3"/>
  <c r="N1555" i="3"/>
  <c r="N1554" i="3"/>
  <c r="N1553" i="3"/>
  <c r="N1552" i="3"/>
  <c r="N1551" i="3"/>
  <c r="N1550" i="3"/>
  <c r="N1549" i="3"/>
  <c r="N1548" i="3"/>
  <c r="N1547" i="3"/>
  <c r="N1546" i="3"/>
  <c r="N1545" i="3"/>
  <c r="N1544" i="3"/>
  <c r="N1543" i="3"/>
  <c r="N1542" i="3"/>
  <c r="N1541" i="3"/>
  <c r="N1540" i="3"/>
  <c r="N1539" i="3"/>
  <c r="N1538" i="3"/>
  <c r="N1537" i="3"/>
  <c r="N1536" i="3"/>
  <c r="N1535" i="3"/>
  <c r="N1534" i="3"/>
  <c r="N1533" i="3"/>
  <c r="N1532" i="3"/>
  <c r="N1531" i="3"/>
  <c r="N1530" i="3"/>
  <c r="N1529" i="3"/>
  <c r="N1528" i="3"/>
  <c r="N1527" i="3"/>
  <c r="N1526" i="3"/>
  <c r="N1525" i="3"/>
  <c r="N1524" i="3"/>
  <c r="N1523" i="3"/>
  <c r="N1522" i="3"/>
  <c r="N1521" i="3"/>
  <c r="N1520" i="3"/>
  <c r="N1519" i="3"/>
  <c r="N1518" i="3"/>
  <c r="N1517" i="3"/>
  <c r="N1516" i="3"/>
  <c r="N1515" i="3"/>
  <c r="N1514" i="3"/>
  <c r="N1513" i="3"/>
  <c r="N1512" i="3"/>
  <c r="N1511" i="3"/>
  <c r="N1510" i="3"/>
  <c r="N1509" i="3"/>
  <c r="N1508" i="3"/>
  <c r="N1507" i="3"/>
  <c r="N1506" i="3"/>
  <c r="N1505" i="3"/>
  <c r="N1504" i="3"/>
  <c r="N1503" i="3"/>
  <c r="N1502" i="3"/>
  <c r="N1501" i="3"/>
  <c r="N1500" i="3"/>
  <c r="N1499" i="3"/>
  <c r="N1498" i="3"/>
  <c r="N1497" i="3"/>
  <c r="N1496" i="3"/>
  <c r="N1495" i="3"/>
  <c r="N1494" i="3"/>
  <c r="N1493" i="3"/>
  <c r="N1492" i="3"/>
  <c r="N1491" i="3"/>
  <c r="N1490" i="3"/>
  <c r="N1489" i="3"/>
  <c r="N1488" i="3"/>
  <c r="N1487" i="3"/>
  <c r="N1486" i="3"/>
  <c r="N1485" i="3"/>
  <c r="N1484" i="3"/>
  <c r="N1483" i="3"/>
  <c r="N1482" i="3"/>
  <c r="N1481" i="3"/>
  <c r="N1480" i="3"/>
  <c r="N1479" i="3"/>
  <c r="N1478" i="3"/>
  <c r="N1477" i="3"/>
  <c r="N1476" i="3"/>
  <c r="N1475" i="3"/>
  <c r="N1474" i="3"/>
  <c r="N1473" i="3"/>
  <c r="N1472" i="3"/>
  <c r="N1471" i="3"/>
  <c r="N1470" i="3"/>
  <c r="N1469" i="3"/>
  <c r="N1468" i="3"/>
  <c r="N1467" i="3"/>
  <c r="N1466" i="3"/>
  <c r="N1465" i="3"/>
  <c r="N1464" i="3"/>
  <c r="N1463" i="3"/>
  <c r="N1462" i="3"/>
  <c r="N1461" i="3"/>
  <c r="N1460" i="3"/>
  <c r="N1459" i="3"/>
  <c r="N1458" i="3"/>
  <c r="N1457" i="3"/>
  <c r="N1456" i="3"/>
  <c r="N1455" i="3"/>
  <c r="N1454" i="3"/>
  <c r="N1453" i="3"/>
  <c r="N1452" i="3"/>
  <c r="N1451" i="3"/>
  <c r="N1450" i="3"/>
  <c r="N1449" i="3"/>
  <c r="N1448" i="3"/>
  <c r="N1447" i="3"/>
  <c r="N1446" i="3"/>
  <c r="N1445" i="3"/>
  <c r="N1444" i="3"/>
  <c r="N1443" i="3"/>
  <c r="N1442" i="3"/>
  <c r="N1441" i="3"/>
  <c r="N1440" i="3"/>
  <c r="N1439" i="3"/>
  <c r="N1438" i="3"/>
  <c r="N1437" i="3"/>
  <c r="N1436" i="3"/>
  <c r="N1435" i="3"/>
  <c r="N1434" i="3"/>
  <c r="N1433" i="3"/>
  <c r="N1432" i="3"/>
  <c r="N1431" i="3"/>
  <c r="N1430" i="3"/>
  <c r="N1429" i="3"/>
  <c r="N1428" i="3"/>
  <c r="N1427" i="3"/>
  <c r="N1426" i="3"/>
  <c r="N1425" i="3"/>
  <c r="N1424" i="3"/>
  <c r="N1423" i="3"/>
  <c r="N1422" i="3"/>
  <c r="N1421" i="3"/>
  <c r="N1420" i="3"/>
  <c r="N1419" i="3"/>
  <c r="N1418" i="3"/>
  <c r="N1417" i="3"/>
  <c r="N1416" i="3"/>
  <c r="N1415" i="3"/>
  <c r="N1414" i="3"/>
  <c r="N1413" i="3"/>
  <c r="N1412" i="3"/>
  <c r="N1411" i="3"/>
  <c r="N1410" i="3"/>
  <c r="N1409" i="3"/>
  <c r="N1408" i="3"/>
  <c r="N1407" i="3"/>
  <c r="N1406" i="3"/>
  <c r="N1405" i="3"/>
  <c r="N1404" i="3"/>
  <c r="N1403" i="3"/>
  <c r="N1402" i="3"/>
  <c r="N1401" i="3"/>
  <c r="N1400" i="3"/>
  <c r="N1399" i="3"/>
  <c r="N1398" i="3"/>
  <c r="N1397" i="3"/>
  <c r="N1396" i="3"/>
  <c r="N1395" i="3"/>
  <c r="N1394" i="3"/>
  <c r="N1393" i="3"/>
  <c r="N1392" i="3"/>
  <c r="N1391" i="3"/>
  <c r="N1390" i="3"/>
  <c r="N1389" i="3"/>
  <c r="N1388" i="3"/>
  <c r="N1387" i="3"/>
  <c r="N1386" i="3"/>
  <c r="N1385" i="3"/>
  <c r="N1384" i="3"/>
  <c r="N1383" i="3"/>
  <c r="N1382" i="3"/>
  <c r="N1381" i="3"/>
  <c r="N1380" i="3"/>
  <c r="N1379" i="3"/>
  <c r="N1378" i="3"/>
  <c r="N1377" i="3"/>
  <c r="N1376" i="3"/>
  <c r="N1375" i="3"/>
  <c r="N1374" i="3"/>
  <c r="N1373" i="3"/>
  <c r="N1370" i="3"/>
  <c r="N1369" i="3"/>
  <c r="N1368" i="3"/>
  <c r="N1367" i="3"/>
  <c r="N1366" i="3"/>
  <c r="N1365" i="3"/>
  <c r="N1364" i="3"/>
  <c r="N1363" i="3"/>
  <c r="N1362" i="3"/>
  <c r="N1361" i="3"/>
  <c r="N1360" i="3"/>
  <c r="N1359" i="3"/>
  <c r="N1358" i="3"/>
  <c r="N1357" i="3"/>
  <c r="N1356" i="3"/>
  <c r="N1355" i="3"/>
  <c r="N1354" i="3"/>
  <c r="N1353" i="3"/>
  <c r="N1352" i="3"/>
  <c r="N1351" i="3"/>
  <c r="N1350" i="3"/>
  <c r="N1349" i="3"/>
  <c r="N1348" i="3"/>
  <c r="N1347" i="3"/>
  <c r="N1346" i="3"/>
  <c r="N1345" i="3"/>
  <c r="N1344" i="3"/>
  <c r="N1343" i="3"/>
  <c r="N1342" i="3"/>
  <c r="N1341" i="3"/>
  <c r="N1340" i="3"/>
  <c r="N1339" i="3"/>
  <c r="N1338" i="3"/>
  <c r="N1337" i="3"/>
  <c r="N1336" i="3"/>
  <c r="N1335" i="3"/>
  <c r="N1334" i="3"/>
  <c r="N1333" i="3"/>
  <c r="N1332" i="3"/>
  <c r="E222" i="12" s="1"/>
  <c r="N1331" i="3"/>
  <c r="E221" i="12" s="1"/>
  <c r="N1330" i="3"/>
  <c r="E220" i="12" s="1"/>
  <c r="N1329" i="3"/>
  <c r="E219" i="12" s="1"/>
  <c r="N1328" i="3"/>
  <c r="E218" i="12" s="1"/>
  <c r="N1327" i="3"/>
  <c r="E217" i="12" s="1"/>
  <c r="N1326" i="3"/>
  <c r="E216" i="12" s="1"/>
  <c r="N1325" i="3"/>
  <c r="E215" i="12" s="1"/>
  <c r="N1324" i="3"/>
  <c r="E214" i="12" s="1"/>
  <c r="N1323" i="3"/>
  <c r="N1322" i="3"/>
  <c r="N1321" i="3"/>
  <c r="E213" i="12" s="1"/>
  <c r="N1320" i="3"/>
  <c r="E212" i="12" s="1"/>
  <c r="N1319" i="3"/>
  <c r="E211" i="12" s="1"/>
  <c r="N1318" i="3"/>
  <c r="E210" i="12" s="1"/>
  <c r="N1317" i="3"/>
  <c r="E209" i="12" s="1"/>
  <c r="N1316" i="3"/>
  <c r="E208" i="12" s="1"/>
  <c r="N1315" i="3"/>
  <c r="E207" i="12" s="1"/>
  <c r="N1314" i="3"/>
  <c r="E206" i="12" s="1"/>
  <c r="N1313" i="3"/>
  <c r="E205" i="12" s="1"/>
  <c r="N1312" i="3"/>
  <c r="E204" i="12" s="1"/>
  <c r="N1311" i="3"/>
  <c r="E203" i="12" s="1"/>
  <c r="N1310" i="3"/>
  <c r="E202" i="12" s="1"/>
  <c r="N1309" i="3"/>
  <c r="E201" i="12" s="1"/>
  <c r="N1308" i="3"/>
  <c r="E200" i="12" s="1"/>
  <c r="N1307" i="3"/>
  <c r="E199" i="12" s="1"/>
  <c r="N1306" i="3"/>
  <c r="E198" i="12" s="1"/>
  <c r="N1305" i="3"/>
  <c r="E197" i="12" s="1"/>
  <c r="N1304" i="3"/>
  <c r="E196" i="12" s="1"/>
  <c r="N1303" i="3"/>
  <c r="E195" i="12" s="1"/>
  <c r="N1302" i="3"/>
  <c r="E194" i="12" s="1"/>
  <c r="N1301" i="3"/>
  <c r="E193" i="12" s="1"/>
  <c r="N1300" i="3"/>
  <c r="E192" i="12" s="1"/>
  <c r="N1299" i="3"/>
  <c r="E191" i="12" s="1"/>
  <c r="N1298" i="3"/>
  <c r="E190" i="12" s="1"/>
  <c r="N1297" i="3"/>
  <c r="E189" i="12" s="1"/>
  <c r="N1296" i="3"/>
  <c r="E188" i="12" s="1"/>
  <c r="N1295" i="3"/>
  <c r="E187" i="12" s="1"/>
  <c r="N1294" i="3"/>
  <c r="E186" i="12" s="1"/>
  <c r="N1293" i="3"/>
  <c r="E185" i="12" s="1"/>
  <c r="N1292" i="3"/>
  <c r="E184" i="12" s="1"/>
  <c r="N1291" i="3"/>
  <c r="E183" i="12" s="1"/>
  <c r="N1290" i="3"/>
  <c r="E182" i="12" s="1"/>
  <c r="N1289" i="3"/>
  <c r="E181" i="12" s="1"/>
  <c r="N1288" i="3"/>
  <c r="E180" i="12" s="1"/>
  <c r="N1287" i="3"/>
  <c r="E179" i="12" s="1"/>
  <c r="N1286" i="3"/>
  <c r="E178" i="12" s="1"/>
  <c r="N1285" i="3"/>
  <c r="E177" i="12" s="1"/>
  <c r="N1284" i="3"/>
  <c r="E176" i="12" s="1"/>
  <c r="N1283" i="3"/>
  <c r="E175" i="12" s="1"/>
  <c r="N1282" i="3"/>
  <c r="E174" i="12" s="1"/>
  <c r="N1281" i="3"/>
  <c r="E173" i="12" s="1"/>
  <c r="N1280" i="3"/>
  <c r="E172" i="12" s="1"/>
  <c r="N1279" i="3"/>
  <c r="E171" i="12" s="1"/>
  <c r="N1278" i="3"/>
  <c r="E170" i="12" s="1"/>
  <c r="N1277" i="3"/>
  <c r="E169" i="12" s="1"/>
  <c r="N1276" i="3"/>
  <c r="E168" i="12" s="1"/>
  <c r="N1275" i="3"/>
  <c r="E167" i="12" s="1"/>
  <c r="N1274" i="3"/>
  <c r="E166" i="12" s="1"/>
  <c r="N1273" i="3"/>
  <c r="E165" i="12" s="1"/>
  <c r="N1272" i="3"/>
  <c r="E164" i="12" s="1"/>
  <c r="N1271" i="3"/>
  <c r="E163" i="12" s="1"/>
  <c r="N1270" i="3"/>
  <c r="E162" i="12" s="1"/>
  <c r="N1269" i="3"/>
  <c r="E161" i="12" s="1"/>
  <c r="N1268" i="3"/>
  <c r="E160" i="12" s="1"/>
  <c r="N1267" i="3"/>
  <c r="E159" i="12" s="1"/>
  <c r="N1266" i="3"/>
  <c r="E158" i="12" s="1"/>
  <c r="N1265" i="3"/>
  <c r="E157" i="12" s="1"/>
  <c r="N1264" i="3"/>
  <c r="E156" i="12" s="1"/>
  <c r="N1263" i="3"/>
  <c r="E155" i="12" s="1"/>
  <c r="N1262" i="3"/>
  <c r="E154" i="12" s="1"/>
  <c r="N1261" i="3"/>
  <c r="E153" i="12" s="1"/>
  <c r="N1260" i="3"/>
  <c r="E152" i="12" s="1"/>
  <c r="N1259" i="3"/>
  <c r="E151" i="12" s="1"/>
  <c r="N1258" i="3"/>
  <c r="E150" i="12" s="1"/>
  <c r="N1257" i="3"/>
  <c r="E149" i="12" s="1"/>
  <c r="N1256" i="3"/>
  <c r="N1255" i="3"/>
  <c r="E148" i="12" s="1"/>
  <c r="N1254" i="3"/>
  <c r="E147" i="12" s="1"/>
  <c r="N1253" i="3"/>
  <c r="E146" i="12" s="1"/>
  <c r="N1252" i="3"/>
  <c r="E145" i="12" s="1"/>
  <c r="N1251" i="3"/>
  <c r="E144" i="12" s="1"/>
  <c r="N1250" i="3"/>
  <c r="E143" i="12" s="1"/>
  <c r="N1249" i="3"/>
  <c r="E142" i="12" s="1"/>
  <c r="N1248" i="3"/>
  <c r="E140" i="12" s="1"/>
  <c r="N1247" i="3"/>
  <c r="E139" i="12" s="1"/>
  <c r="N1246" i="3"/>
  <c r="E138" i="12" s="1"/>
  <c r="N1245" i="3"/>
  <c r="E137" i="12" s="1"/>
  <c r="N1244" i="3"/>
  <c r="E136" i="12" s="1"/>
  <c r="N1243" i="3"/>
  <c r="E135" i="12" s="1"/>
  <c r="N1242" i="3"/>
  <c r="E134" i="12" s="1"/>
  <c r="N1241" i="3"/>
  <c r="E133" i="12" s="1"/>
  <c r="N1240" i="3"/>
  <c r="E132" i="12" s="1"/>
  <c r="N1239" i="3"/>
  <c r="E131" i="12" s="1"/>
  <c r="N1238" i="3"/>
  <c r="E130" i="12" s="1"/>
  <c r="N1237" i="3"/>
  <c r="E129" i="12" s="1"/>
  <c r="N1236" i="3"/>
  <c r="E128" i="12" s="1"/>
  <c r="N1235" i="3"/>
  <c r="E127" i="12" s="1"/>
  <c r="N1234" i="3"/>
  <c r="E126" i="12" s="1"/>
  <c r="N1233" i="3"/>
  <c r="E125" i="12" s="1"/>
  <c r="N1232" i="3"/>
  <c r="E124" i="12" s="1"/>
  <c r="N1231" i="3"/>
  <c r="E123" i="12" s="1"/>
  <c r="N1230" i="3"/>
  <c r="N1229" i="3"/>
  <c r="N1228" i="3"/>
  <c r="E122" i="12" s="1"/>
  <c r="N1227" i="3"/>
  <c r="E121" i="12" s="1"/>
  <c r="N1226" i="3"/>
  <c r="E120" i="12" s="1"/>
  <c r="N1225" i="3"/>
  <c r="E119" i="12" s="1"/>
  <c r="N1224" i="3"/>
  <c r="E118" i="12" s="1"/>
  <c r="N1223" i="3"/>
  <c r="E117" i="12" s="1"/>
  <c r="N1222" i="3"/>
  <c r="E116" i="12" s="1"/>
  <c r="N1221" i="3"/>
  <c r="E115" i="12" s="1"/>
  <c r="N1220" i="3"/>
  <c r="E114" i="12" s="1"/>
  <c r="N1219" i="3"/>
  <c r="E113" i="12" s="1"/>
  <c r="N1218" i="3"/>
  <c r="E112" i="12" s="1"/>
  <c r="N1217" i="3"/>
  <c r="E111" i="12" s="1"/>
  <c r="N1216" i="3"/>
  <c r="E110" i="12" s="1"/>
  <c r="N1215" i="3"/>
  <c r="E109" i="12" s="1"/>
  <c r="N1214" i="3"/>
  <c r="E108" i="12" s="1"/>
  <c r="N1213" i="3"/>
  <c r="E107" i="12" s="1"/>
  <c r="N1212" i="3"/>
  <c r="E106" i="12" s="1"/>
  <c r="N1211" i="3"/>
  <c r="E105" i="12" s="1"/>
  <c r="N1210" i="3"/>
  <c r="E104" i="12" s="1"/>
  <c r="N1209" i="3"/>
  <c r="E103" i="12" s="1"/>
  <c r="N1208" i="3"/>
  <c r="E102" i="12" s="1"/>
  <c r="N1207" i="3"/>
  <c r="E101" i="12" s="1"/>
  <c r="N1206" i="3"/>
  <c r="E100" i="12" s="1"/>
  <c r="N1205" i="3"/>
  <c r="E99" i="12" s="1"/>
  <c r="N1204" i="3"/>
  <c r="E98" i="12" s="1"/>
  <c r="N1203" i="3"/>
  <c r="E97" i="12" s="1"/>
  <c r="N1202" i="3"/>
  <c r="E96" i="12" s="1"/>
  <c r="N1201" i="3"/>
  <c r="E95" i="12" s="1"/>
  <c r="N1200" i="3"/>
  <c r="E94" i="12" s="1"/>
  <c r="N1199" i="3"/>
  <c r="E93" i="12" s="1"/>
  <c r="N1198" i="3"/>
  <c r="N1197" i="3"/>
  <c r="E90" i="12" s="1"/>
  <c r="N1196" i="3"/>
  <c r="E89" i="12" s="1"/>
  <c r="N1195" i="3"/>
  <c r="E88" i="12" s="1"/>
  <c r="N1194" i="3"/>
  <c r="E87" i="12" s="1"/>
  <c r="N1193" i="3"/>
  <c r="E86" i="12" s="1"/>
  <c r="N1192" i="3"/>
  <c r="E85" i="12" s="1"/>
  <c r="N1191" i="3"/>
  <c r="E84" i="12" s="1"/>
  <c r="N1190" i="3"/>
  <c r="E83" i="12" s="1"/>
  <c r="N1189" i="3"/>
  <c r="N1188" i="3"/>
  <c r="E78" i="12" s="1"/>
  <c r="N1187" i="3"/>
  <c r="E77" i="12" s="1"/>
  <c r="N1186" i="3"/>
  <c r="E76" i="12" s="1"/>
  <c r="N1185" i="3"/>
  <c r="E75" i="12" s="1"/>
  <c r="N1184" i="3"/>
  <c r="E74" i="12" s="1"/>
  <c r="N1183" i="3"/>
  <c r="N1182" i="3"/>
  <c r="E72" i="12" s="1"/>
  <c r="N1181" i="3"/>
  <c r="E71" i="12" s="1"/>
  <c r="N1180" i="3"/>
  <c r="E70" i="12" s="1"/>
  <c r="N1179" i="3"/>
  <c r="E68" i="12" s="1"/>
  <c r="N1178" i="3"/>
  <c r="E67" i="12" s="1"/>
  <c r="N1177" i="3"/>
  <c r="E66" i="12" s="1"/>
  <c r="N1176" i="3"/>
  <c r="E65" i="12" s="1"/>
  <c r="N1175" i="3"/>
  <c r="E64" i="12" s="1"/>
  <c r="N1174" i="3"/>
  <c r="E63" i="12" s="1"/>
  <c r="N1173" i="3"/>
  <c r="E62" i="12" s="1"/>
  <c r="N1172" i="3"/>
  <c r="E61" i="12" s="1"/>
  <c r="N1171" i="3"/>
  <c r="E60" i="12" s="1"/>
  <c r="N1170" i="3"/>
  <c r="E59" i="12" s="1"/>
  <c r="N1169" i="3"/>
  <c r="E58" i="12" s="1"/>
  <c r="N1168" i="3"/>
  <c r="E57" i="12" s="1"/>
  <c r="N1167" i="3"/>
  <c r="E56" i="12" s="1"/>
  <c r="N1166" i="3"/>
  <c r="E55" i="12" s="1"/>
  <c r="N1165" i="3"/>
  <c r="E54" i="12" s="1"/>
  <c r="N1164" i="3"/>
  <c r="E53" i="12" s="1"/>
  <c r="N1163" i="3"/>
  <c r="E52" i="12" s="1"/>
  <c r="N1162" i="3"/>
  <c r="E51" i="12" s="1"/>
  <c r="N1161" i="3"/>
  <c r="E50" i="12" s="1"/>
  <c r="N1160" i="3"/>
  <c r="E49" i="12" s="1"/>
  <c r="N1159" i="3"/>
  <c r="E48" i="12" s="1"/>
  <c r="N1158" i="3"/>
  <c r="E47" i="12" s="1"/>
  <c r="N1157" i="3"/>
  <c r="E46" i="12" s="1"/>
  <c r="N1156" i="3"/>
  <c r="E45" i="12" s="1"/>
  <c r="N1155" i="3"/>
  <c r="E44" i="12" s="1"/>
  <c r="N1154" i="3"/>
  <c r="E43" i="12" s="1"/>
  <c r="N1153" i="3"/>
  <c r="E42" i="12" s="1"/>
  <c r="N1152" i="3"/>
  <c r="E41" i="12" s="1"/>
  <c r="N1151" i="3"/>
  <c r="E40" i="12" s="1"/>
  <c r="N1150" i="3"/>
  <c r="E39" i="12" s="1"/>
  <c r="N1149" i="3"/>
  <c r="E38" i="12" s="1"/>
  <c r="N1148" i="3"/>
  <c r="E37" i="12" s="1"/>
  <c r="N1147" i="3"/>
  <c r="E36" i="12" s="1"/>
  <c r="N1146" i="3"/>
  <c r="E35" i="12" s="1"/>
  <c r="N1145" i="3"/>
  <c r="E34" i="12" s="1"/>
  <c r="N1144" i="3"/>
  <c r="N1143" i="3"/>
  <c r="N1142" i="3"/>
  <c r="N1141" i="3"/>
  <c r="N1140" i="3"/>
  <c r="N1139" i="3"/>
  <c r="N1138" i="3"/>
  <c r="N1137" i="3"/>
  <c r="N1136" i="3"/>
  <c r="N1135" i="3"/>
  <c r="N1134" i="3"/>
  <c r="N1133" i="3"/>
  <c r="N1132" i="3"/>
  <c r="N1131" i="3"/>
  <c r="N1130" i="3"/>
  <c r="N1129" i="3"/>
  <c r="N1128" i="3"/>
  <c r="N1127" i="3"/>
  <c r="N1126" i="3"/>
  <c r="N1125" i="3"/>
  <c r="N1124" i="3"/>
  <c r="N1123" i="3"/>
  <c r="N1122" i="3"/>
  <c r="N1121" i="3"/>
  <c r="N1120" i="3"/>
  <c r="N1119" i="3"/>
  <c r="N1118" i="3"/>
  <c r="N1117" i="3"/>
  <c r="N1116" i="3"/>
  <c r="N1115" i="3"/>
  <c r="N1114" i="3"/>
  <c r="N1113" i="3"/>
  <c r="N1112" i="3"/>
  <c r="N1111" i="3"/>
  <c r="N1110" i="3"/>
  <c r="N1109" i="3"/>
  <c r="N1108" i="3"/>
  <c r="N1107" i="3"/>
  <c r="N1106" i="3"/>
  <c r="N1105" i="3"/>
  <c r="N1104" i="3"/>
  <c r="N1103" i="3"/>
  <c r="N1102" i="3"/>
  <c r="N1101" i="3"/>
  <c r="N1100" i="3"/>
  <c r="N1099" i="3"/>
  <c r="N1098" i="3"/>
  <c r="N1097" i="3"/>
  <c r="N1096" i="3"/>
  <c r="N1095" i="3"/>
  <c r="N1094" i="3"/>
  <c r="N1093" i="3"/>
  <c r="N1092" i="3"/>
  <c r="N1091" i="3"/>
  <c r="N1090" i="3"/>
  <c r="N1089" i="3"/>
  <c r="N1088" i="3"/>
  <c r="N1087" i="3"/>
  <c r="N1086" i="3"/>
  <c r="N1085" i="3"/>
  <c r="N1084" i="3"/>
  <c r="N1083" i="3"/>
  <c r="N1082" i="3"/>
  <c r="N1081" i="3"/>
  <c r="N1080" i="3"/>
  <c r="N1079" i="3"/>
  <c r="N1078" i="3"/>
  <c r="N1077" i="3"/>
  <c r="N1076" i="3"/>
  <c r="N1075" i="3"/>
  <c r="N1074" i="3"/>
  <c r="N1073" i="3"/>
  <c r="N1072" i="3"/>
  <c r="N1071" i="3"/>
  <c r="N1070" i="3"/>
  <c r="N1069" i="3"/>
  <c r="N1068" i="3"/>
  <c r="N1067" i="3"/>
  <c r="N1066" i="3"/>
  <c r="N1065" i="3"/>
  <c r="N1064" i="3"/>
  <c r="N1063" i="3"/>
  <c r="N1062" i="3"/>
  <c r="N1061" i="3"/>
  <c r="N1060" i="3"/>
  <c r="N1059" i="3"/>
  <c r="N1058" i="3"/>
  <c r="N1057" i="3"/>
  <c r="N1056" i="3"/>
  <c r="N1055" i="3"/>
  <c r="N1054" i="3"/>
  <c r="N1053" i="3"/>
  <c r="N1052" i="3"/>
  <c r="N1051" i="3"/>
  <c r="N1050" i="3"/>
  <c r="N1049" i="3"/>
  <c r="N1048" i="3"/>
  <c r="N1047" i="3"/>
  <c r="N1046" i="3"/>
  <c r="N1045" i="3"/>
  <c r="N1044" i="3"/>
  <c r="N1043" i="3"/>
  <c r="N1042" i="3"/>
  <c r="N1041" i="3"/>
  <c r="N1040" i="3"/>
  <c r="N1039" i="3"/>
  <c r="N1038" i="3"/>
  <c r="N1037" i="3"/>
  <c r="N1036" i="3"/>
  <c r="N1035" i="3"/>
  <c r="N1034" i="3"/>
  <c r="N1033" i="3"/>
  <c r="N1032" i="3"/>
  <c r="N1031" i="3"/>
  <c r="N1030" i="3"/>
  <c r="N1029" i="3"/>
  <c r="N1028" i="3"/>
  <c r="N1027" i="3"/>
  <c r="N1026" i="3"/>
  <c r="N1025" i="3"/>
  <c r="N1024" i="3"/>
  <c r="N1023" i="3"/>
  <c r="N1022" i="3"/>
  <c r="N1021" i="3"/>
  <c r="N1020" i="3"/>
  <c r="N1019" i="3"/>
  <c r="N1018" i="3"/>
  <c r="N1017" i="3"/>
  <c r="N1016" i="3"/>
  <c r="N1015" i="3"/>
  <c r="N1014" i="3"/>
  <c r="N1013" i="3"/>
  <c r="N1012" i="3"/>
  <c r="N1011" i="3"/>
  <c r="N1010" i="3"/>
  <c r="N1009" i="3"/>
  <c r="N1008" i="3"/>
  <c r="N1007" i="3"/>
  <c r="N1006" i="3"/>
  <c r="N1005" i="3"/>
  <c r="N1004" i="3"/>
  <c r="N1003" i="3"/>
  <c r="N1002" i="3"/>
  <c r="N1001" i="3"/>
  <c r="N1000" i="3"/>
  <c r="N999" i="3"/>
  <c r="N998" i="3"/>
  <c r="N997" i="3"/>
  <c r="N996" i="3"/>
  <c r="N995" i="3"/>
  <c r="N994" i="3"/>
  <c r="N993" i="3"/>
  <c r="N992" i="3"/>
  <c r="N991" i="3"/>
  <c r="N990" i="3"/>
  <c r="N989" i="3"/>
  <c r="N988" i="3"/>
  <c r="N987" i="3"/>
  <c r="N986" i="3"/>
  <c r="N985" i="3"/>
  <c r="N984" i="3"/>
  <c r="N983" i="3"/>
  <c r="N982" i="3"/>
  <c r="N981" i="3"/>
  <c r="N980" i="3"/>
  <c r="N979" i="3"/>
  <c r="N978" i="3"/>
  <c r="N977" i="3"/>
  <c r="N976" i="3"/>
  <c r="N975" i="3"/>
  <c r="N974" i="3"/>
  <c r="N973" i="3"/>
  <c r="N972" i="3"/>
  <c r="N971" i="3"/>
  <c r="N970" i="3"/>
  <c r="N969" i="3"/>
  <c r="N968" i="3"/>
  <c r="N967" i="3"/>
  <c r="N966" i="3"/>
  <c r="N965" i="3"/>
  <c r="N964" i="3"/>
  <c r="N963" i="3"/>
  <c r="N962" i="3"/>
  <c r="N961" i="3"/>
  <c r="N960" i="3"/>
  <c r="N959" i="3"/>
  <c r="N958" i="3"/>
  <c r="N957" i="3"/>
  <c r="N956" i="3"/>
  <c r="N955" i="3"/>
  <c r="N954" i="3"/>
  <c r="N953" i="3"/>
  <c r="N952" i="3"/>
  <c r="N951" i="3"/>
  <c r="N950" i="3"/>
  <c r="N949" i="3"/>
  <c r="N948" i="3"/>
  <c r="N947" i="3"/>
  <c r="N946" i="3"/>
  <c r="N945" i="3"/>
  <c r="N944" i="3"/>
  <c r="N943" i="3"/>
  <c r="N942" i="3"/>
  <c r="N941" i="3"/>
  <c r="N940" i="3"/>
  <c r="N939" i="3"/>
  <c r="N938" i="3"/>
  <c r="N937" i="3"/>
  <c r="N936" i="3"/>
  <c r="N935" i="3"/>
  <c r="N934" i="3"/>
  <c r="N933" i="3"/>
  <c r="N932" i="3"/>
  <c r="N931" i="3"/>
  <c r="N930" i="3"/>
  <c r="N929" i="3"/>
  <c r="N928" i="3"/>
  <c r="N927" i="3"/>
  <c r="N926" i="3"/>
  <c r="N925" i="3"/>
  <c r="N924" i="3"/>
  <c r="N923" i="3"/>
  <c r="N922" i="3"/>
  <c r="N921" i="3"/>
  <c r="N920" i="3"/>
  <c r="N919" i="3"/>
  <c r="N918" i="3"/>
  <c r="N917" i="3"/>
  <c r="N916" i="3"/>
  <c r="N915" i="3"/>
  <c r="N914" i="3"/>
  <c r="N913" i="3"/>
  <c r="N912" i="3"/>
  <c r="N911" i="3"/>
  <c r="N910" i="3"/>
  <c r="N909" i="3"/>
  <c r="N908" i="3"/>
  <c r="N907" i="3"/>
  <c r="N906" i="3"/>
  <c r="N905" i="3"/>
  <c r="N904" i="3"/>
  <c r="N903" i="3"/>
  <c r="N902" i="3"/>
  <c r="N901" i="3"/>
  <c r="N900" i="3"/>
  <c r="N899" i="3"/>
  <c r="N898" i="3"/>
  <c r="N897" i="3"/>
  <c r="N896" i="3"/>
  <c r="N895" i="3"/>
  <c r="N894" i="3"/>
  <c r="N893" i="3"/>
  <c r="N892" i="3"/>
  <c r="N891" i="3"/>
  <c r="N890" i="3"/>
  <c r="N889" i="3"/>
  <c r="N888" i="3"/>
  <c r="N887" i="3"/>
  <c r="N886" i="3"/>
  <c r="N885" i="3"/>
  <c r="N884" i="3"/>
  <c r="N883" i="3"/>
  <c r="N882" i="3"/>
  <c r="N881" i="3"/>
  <c r="N880" i="3"/>
  <c r="N879" i="3"/>
  <c r="N878" i="3"/>
  <c r="N877" i="3"/>
  <c r="N876" i="3"/>
  <c r="N875" i="3"/>
  <c r="N874" i="3"/>
  <c r="N873" i="3"/>
  <c r="N872" i="3"/>
  <c r="N871" i="3"/>
  <c r="N870" i="3"/>
  <c r="N869" i="3"/>
  <c r="N868" i="3"/>
  <c r="N867" i="3"/>
  <c r="N866" i="3"/>
  <c r="N865" i="3"/>
  <c r="N864" i="3"/>
  <c r="N863" i="3"/>
  <c r="N862" i="3"/>
  <c r="N861" i="3"/>
  <c r="N860" i="3"/>
  <c r="N859" i="3"/>
  <c r="N858" i="3"/>
  <c r="N857" i="3"/>
  <c r="N856" i="3"/>
  <c r="N855" i="3"/>
  <c r="N854" i="3"/>
  <c r="N853" i="3"/>
  <c r="N852" i="3"/>
  <c r="N851" i="3"/>
  <c r="N850" i="3"/>
  <c r="N849" i="3"/>
  <c r="N848" i="3"/>
  <c r="N847" i="3"/>
  <c r="N846" i="3"/>
  <c r="N845" i="3"/>
  <c r="N844" i="3"/>
  <c r="N843" i="3"/>
  <c r="N842" i="3"/>
  <c r="N841" i="3"/>
  <c r="N840" i="3"/>
  <c r="N839" i="3"/>
  <c r="N838" i="3"/>
  <c r="N837" i="3"/>
  <c r="N836" i="3"/>
  <c r="N835" i="3"/>
  <c r="N834" i="3"/>
  <c r="N833" i="3"/>
  <c r="N832" i="3"/>
  <c r="N831" i="3"/>
  <c r="N830" i="3"/>
  <c r="N829" i="3"/>
  <c r="N828" i="3"/>
  <c r="N827" i="3"/>
  <c r="N826" i="3"/>
  <c r="N825" i="3"/>
  <c r="N824" i="3"/>
  <c r="N823" i="3"/>
  <c r="N822" i="3"/>
  <c r="N821" i="3"/>
  <c r="N820" i="3"/>
  <c r="N819" i="3"/>
  <c r="N818" i="3"/>
  <c r="N817" i="3"/>
  <c r="N816" i="3"/>
  <c r="N815" i="3"/>
  <c r="N814" i="3"/>
  <c r="N813" i="3"/>
  <c r="N812" i="3"/>
  <c r="N811" i="3"/>
  <c r="N810" i="3"/>
  <c r="N809" i="3"/>
  <c r="N808" i="3"/>
  <c r="N807" i="3"/>
  <c r="N806" i="3"/>
  <c r="N805" i="3"/>
  <c r="N804" i="3"/>
  <c r="N803" i="3"/>
  <c r="N802" i="3"/>
  <c r="N801" i="3"/>
  <c r="N800" i="3"/>
  <c r="N799" i="3"/>
  <c r="N798" i="3"/>
  <c r="N797" i="3"/>
  <c r="N796" i="3"/>
  <c r="N795" i="3"/>
  <c r="N794" i="3"/>
  <c r="N793" i="3"/>
  <c r="N792" i="3"/>
  <c r="N791" i="3"/>
  <c r="N790" i="3"/>
  <c r="N789" i="3"/>
  <c r="N788" i="3"/>
  <c r="N787" i="3"/>
  <c r="N786" i="3"/>
  <c r="N785" i="3"/>
  <c r="N784" i="3"/>
  <c r="N783" i="3"/>
  <c r="N782" i="3"/>
  <c r="N781" i="3"/>
  <c r="N780" i="3"/>
  <c r="N779" i="3"/>
  <c r="N778" i="3"/>
  <c r="N777" i="3"/>
  <c r="N776" i="3"/>
  <c r="N775" i="3"/>
  <c r="N774" i="3"/>
  <c r="N773" i="3"/>
  <c r="N772" i="3"/>
  <c r="N771" i="3"/>
  <c r="N770" i="3"/>
  <c r="N769" i="3"/>
  <c r="N768" i="3"/>
  <c r="N767" i="3"/>
  <c r="N766" i="3"/>
  <c r="N765" i="3"/>
  <c r="N764" i="3"/>
  <c r="N763" i="3"/>
  <c r="N762" i="3"/>
  <c r="N761" i="3"/>
  <c r="N760" i="3"/>
  <c r="N759" i="3"/>
  <c r="N758" i="3"/>
  <c r="N757" i="3"/>
  <c r="N756" i="3"/>
  <c r="N755" i="3"/>
  <c r="N754" i="3"/>
  <c r="N753" i="3"/>
  <c r="N752" i="3"/>
  <c r="N751" i="3"/>
  <c r="N750" i="3"/>
  <c r="N749" i="3"/>
  <c r="N748" i="3"/>
  <c r="N747" i="3"/>
  <c r="N746" i="3"/>
  <c r="N745" i="3"/>
  <c r="N744" i="3"/>
  <c r="N743" i="3"/>
  <c r="N742" i="3"/>
  <c r="N741" i="3"/>
  <c r="N740" i="3"/>
  <c r="N739" i="3"/>
  <c r="N738" i="3"/>
  <c r="N737" i="3"/>
  <c r="N736" i="3"/>
  <c r="N735" i="3"/>
  <c r="N734" i="3"/>
  <c r="N733" i="3"/>
  <c r="N732" i="3"/>
  <c r="N731" i="3"/>
  <c r="N730" i="3"/>
  <c r="N729" i="3"/>
  <c r="N728" i="3"/>
  <c r="N727" i="3"/>
  <c r="N726" i="3"/>
  <c r="N725" i="3"/>
  <c r="N724" i="3"/>
  <c r="N723" i="3"/>
  <c r="N722" i="3"/>
  <c r="N721" i="3"/>
  <c r="N720" i="3"/>
  <c r="N719" i="3"/>
  <c r="N718" i="3"/>
  <c r="N717" i="3"/>
  <c r="N716" i="3"/>
  <c r="N715" i="3"/>
  <c r="N714" i="3"/>
  <c r="N713" i="3"/>
  <c r="N712" i="3"/>
  <c r="N711" i="3"/>
  <c r="N710" i="3"/>
  <c r="N709" i="3"/>
  <c r="N708" i="3"/>
  <c r="N707" i="3"/>
  <c r="N706" i="3"/>
  <c r="N705" i="3"/>
  <c r="N704" i="3"/>
  <c r="N703" i="3"/>
  <c r="N702" i="3"/>
  <c r="N701" i="3"/>
  <c r="N700" i="3"/>
  <c r="N699" i="3"/>
  <c r="N698" i="3"/>
  <c r="N697" i="3"/>
  <c r="N696" i="3"/>
  <c r="N695" i="3"/>
  <c r="N694" i="3"/>
  <c r="N693" i="3"/>
  <c r="N692" i="3"/>
  <c r="N691" i="3"/>
  <c r="N690" i="3"/>
  <c r="N689" i="3"/>
  <c r="N688" i="3"/>
  <c r="N687" i="3"/>
  <c r="N686" i="3"/>
  <c r="N685" i="3"/>
  <c r="N684" i="3"/>
  <c r="N683" i="3"/>
  <c r="N682" i="3"/>
  <c r="N681" i="3"/>
  <c r="N680" i="3"/>
  <c r="N679" i="3"/>
  <c r="N678" i="3"/>
  <c r="N677" i="3"/>
  <c r="N676" i="3"/>
  <c r="N675" i="3"/>
  <c r="N674" i="3"/>
  <c r="N673" i="3"/>
  <c r="N672" i="3"/>
  <c r="N671" i="3"/>
  <c r="N670" i="3"/>
  <c r="N669" i="3"/>
  <c r="N668" i="3"/>
  <c r="N667" i="3"/>
  <c r="N666" i="3"/>
  <c r="N665" i="3"/>
  <c r="N664" i="3"/>
  <c r="N663" i="3"/>
  <c r="N662" i="3"/>
  <c r="N661" i="3"/>
  <c r="N660" i="3"/>
  <c r="N659" i="3"/>
  <c r="N658" i="3"/>
  <c r="N657" i="3"/>
  <c r="N656" i="3"/>
  <c r="N655" i="3"/>
  <c r="N654" i="3"/>
  <c r="N653" i="3"/>
  <c r="N652" i="3"/>
  <c r="N651" i="3"/>
  <c r="N650" i="3"/>
  <c r="N649" i="3"/>
  <c r="N648" i="3"/>
  <c r="N647" i="3"/>
  <c r="N646" i="3"/>
  <c r="N645" i="3"/>
  <c r="N644" i="3"/>
  <c r="N643" i="3"/>
  <c r="N642" i="3"/>
  <c r="N641" i="3"/>
  <c r="N640" i="3"/>
  <c r="N639" i="3"/>
  <c r="N638" i="3"/>
  <c r="N637" i="3"/>
  <c r="N636" i="3"/>
  <c r="N635" i="3"/>
  <c r="N634" i="3"/>
  <c r="N633" i="3"/>
  <c r="N632" i="3"/>
  <c r="N631" i="3"/>
  <c r="N630" i="3"/>
  <c r="N629" i="3"/>
  <c r="N628" i="3"/>
  <c r="N627" i="3"/>
  <c r="N626" i="3"/>
  <c r="N625" i="3"/>
  <c r="N624" i="3"/>
  <c r="N623" i="3"/>
  <c r="N622" i="3"/>
  <c r="N621" i="3"/>
  <c r="N620" i="3"/>
  <c r="N619" i="3"/>
  <c r="N616" i="3"/>
  <c r="N615" i="3"/>
  <c r="N614" i="3"/>
  <c r="N613" i="3"/>
  <c r="N612" i="3"/>
  <c r="N611" i="3"/>
  <c r="N610" i="3"/>
  <c r="N609" i="3"/>
  <c r="N608" i="3"/>
  <c r="N607" i="3"/>
  <c r="N606" i="3"/>
  <c r="N605" i="3"/>
  <c r="N604" i="3"/>
  <c r="N603" i="3"/>
  <c r="N602" i="3"/>
  <c r="N601" i="3"/>
  <c r="N600" i="3"/>
  <c r="N599" i="3"/>
  <c r="N598" i="3"/>
  <c r="N597" i="3"/>
  <c r="N596" i="3"/>
  <c r="N595" i="3"/>
  <c r="N594" i="3"/>
  <c r="N593" i="3"/>
  <c r="N592" i="3"/>
  <c r="N591" i="3"/>
  <c r="N590" i="3"/>
  <c r="N589" i="3"/>
  <c r="N588" i="3"/>
  <c r="N587" i="3"/>
  <c r="N586" i="3"/>
  <c r="N585" i="3"/>
  <c r="N584" i="3"/>
  <c r="N583" i="3"/>
  <c r="N582" i="3"/>
  <c r="N581" i="3"/>
  <c r="N580" i="3"/>
  <c r="N579" i="3"/>
  <c r="N578" i="3"/>
  <c r="J222" i="12" s="1"/>
  <c r="N577" i="3"/>
  <c r="J221" i="12" s="1"/>
  <c r="N576" i="3"/>
  <c r="J220" i="12" s="1"/>
  <c r="N575" i="3"/>
  <c r="J219" i="12" s="1"/>
  <c r="N574" i="3"/>
  <c r="J218" i="12" s="1"/>
  <c r="N573" i="3"/>
  <c r="J217" i="12" s="1"/>
  <c r="N572" i="3"/>
  <c r="J216" i="12" s="1"/>
  <c r="N571" i="3"/>
  <c r="J215" i="12" s="1"/>
  <c r="N570" i="3"/>
  <c r="J214" i="12" s="1"/>
  <c r="N569" i="3"/>
  <c r="N568" i="3"/>
  <c r="N567" i="3"/>
  <c r="J213" i="12" s="1"/>
  <c r="N566" i="3"/>
  <c r="J212" i="12" s="1"/>
  <c r="N565" i="3"/>
  <c r="J211" i="12" s="1"/>
  <c r="N564" i="3"/>
  <c r="J210" i="12" s="1"/>
  <c r="N563" i="3"/>
  <c r="J209" i="12" s="1"/>
  <c r="N562" i="3"/>
  <c r="J208" i="12" s="1"/>
  <c r="N561" i="3"/>
  <c r="J207" i="12" s="1"/>
  <c r="N560" i="3"/>
  <c r="J206" i="12" s="1"/>
  <c r="N559" i="3"/>
  <c r="J205" i="12" s="1"/>
  <c r="N558" i="3"/>
  <c r="J204" i="12" s="1"/>
  <c r="N557" i="3"/>
  <c r="J203" i="12" s="1"/>
  <c r="N556" i="3"/>
  <c r="J202" i="12" s="1"/>
  <c r="N555" i="3"/>
  <c r="J201" i="12" s="1"/>
  <c r="N554" i="3"/>
  <c r="J200" i="12" s="1"/>
  <c r="N553" i="3"/>
  <c r="J199" i="12" s="1"/>
  <c r="N552" i="3"/>
  <c r="J198" i="12" s="1"/>
  <c r="N551" i="3"/>
  <c r="J197" i="12" s="1"/>
  <c r="N550" i="3"/>
  <c r="J196" i="12" s="1"/>
  <c r="N549" i="3"/>
  <c r="J195" i="12" s="1"/>
  <c r="N548" i="3"/>
  <c r="J194" i="12" s="1"/>
  <c r="N547" i="3"/>
  <c r="J193" i="12" s="1"/>
  <c r="N546" i="3"/>
  <c r="J192" i="12" s="1"/>
  <c r="N545" i="3"/>
  <c r="J191" i="12" s="1"/>
  <c r="N544" i="3"/>
  <c r="J190" i="12" s="1"/>
  <c r="N543" i="3"/>
  <c r="J189" i="12" s="1"/>
  <c r="N542" i="3"/>
  <c r="J188" i="12" s="1"/>
  <c r="N541" i="3"/>
  <c r="J187" i="12" s="1"/>
  <c r="N540" i="3"/>
  <c r="J186" i="12" s="1"/>
  <c r="N539" i="3"/>
  <c r="J185" i="12" s="1"/>
  <c r="N538" i="3"/>
  <c r="J184" i="12" s="1"/>
  <c r="N537" i="3"/>
  <c r="J183" i="12" s="1"/>
  <c r="N536" i="3"/>
  <c r="J182" i="12" s="1"/>
  <c r="N535" i="3"/>
  <c r="J181" i="12" s="1"/>
  <c r="N534" i="3"/>
  <c r="J180" i="12" s="1"/>
  <c r="N533" i="3"/>
  <c r="J179" i="12" s="1"/>
  <c r="N532" i="3"/>
  <c r="J178" i="12" s="1"/>
  <c r="N531" i="3"/>
  <c r="J177" i="12" s="1"/>
  <c r="N530" i="3"/>
  <c r="J176" i="12" s="1"/>
  <c r="N529" i="3"/>
  <c r="J175" i="12" s="1"/>
  <c r="N528" i="3"/>
  <c r="J174" i="12" s="1"/>
  <c r="N527" i="3"/>
  <c r="J173" i="12" s="1"/>
  <c r="N526" i="3"/>
  <c r="J172" i="12" s="1"/>
  <c r="N525" i="3"/>
  <c r="J171" i="12" s="1"/>
  <c r="N524" i="3"/>
  <c r="J170" i="12" s="1"/>
  <c r="N523" i="3"/>
  <c r="J169" i="12" s="1"/>
  <c r="N522" i="3"/>
  <c r="J168" i="12" s="1"/>
  <c r="N521" i="3"/>
  <c r="J167" i="12" s="1"/>
  <c r="N520" i="3"/>
  <c r="J166" i="12" s="1"/>
  <c r="N519" i="3"/>
  <c r="J165" i="12" s="1"/>
  <c r="N518" i="3"/>
  <c r="J164" i="12" s="1"/>
  <c r="N517" i="3"/>
  <c r="J163" i="12" s="1"/>
  <c r="N516" i="3"/>
  <c r="J162" i="12" s="1"/>
  <c r="N515" i="3"/>
  <c r="J161" i="12" s="1"/>
  <c r="N514" i="3"/>
  <c r="J160" i="12" s="1"/>
  <c r="N513" i="3"/>
  <c r="J159" i="12" s="1"/>
  <c r="N512" i="3"/>
  <c r="J158" i="12" s="1"/>
  <c r="N511" i="3"/>
  <c r="J157" i="12" s="1"/>
  <c r="N510" i="3"/>
  <c r="J156" i="12" s="1"/>
  <c r="N509" i="3"/>
  <c r="J155" i="12" s="1"/>
  <c r="N508" i="3"/>
  <c r="J154" i="12" s="1"/>
  <c r="N507" i="3"/>
  <c r="J153" i="12" s="1"/>
  <c r="N506" i="3"/>
  <c r="J152" i="12" s="1"/>
  <c r="N505" i="3"/>
  <c r="J151" i="12" s="1"/>
  <c r="N504" i="3"/>
  <c r="J150" i="12" s="1"/>
  <c r="N503" i="3"/>
  <c r="J149" i="12" s="1"/>
  <c r="N502" i="3"/>
  <c r="N501" i="3"/>
  <c r="J148" i="12" s="1"/>
  <c r="N500" i="3"/>
  <c r="J147" i="12" s="1"/>
  <c r="N499" i="3"/>
  <c r="J146" i="12" s="1"/>
  <c r="N498" i="3"/>
  <c r="J145" i="12" s="1"/>
  <c r="N497" i="3"/>
  <c r="J144" i="12" s="1"/>
  <c r="N496" i="3"/>
  <c r="J143" i="12" s="1"/>
  <c r="N495" i="3"/>
  <c r="J142" i="12" s="1"/>
  <c r="N494" i="3"/>
  <c r="J140" i="12" s="1"/>
  <c r="N493" i="3"/>
  <c r="J139" i="12" s="1"/>
  <c r="N492" i="3"/>
  <c r="J138" i="12" s="1"/>
  <c r="N491" i="3"/>
  <c r="J137" i="12" s="1"/>
  <c r="N490" i="3"/>
  <c r="J136" i="12" s="1"/>
  <c r="N489" i="3"/>
  <c r="J135" i="12" s="1"/>
  <c r="N488" i="3"/>
  <c r="J134" i="12" s="1"/>
  <c r="N487" i="3"/>
  <c r="J133" i="12" s="1"/>
  <c r="N486" i="3"/>
  <c r="J132" i="12" s="1"/>
  <c r="N485" i="3"/>
  <c r="J131" i="12" s="1"/>
  <c r="N484" i="3"/>
  <c r="J130" i="12" s="1"/>
  <c r="N483" i="3"/>
  <c r="J129" i="12" s="1"/>
  <c r="N482" i="3"/>
  <c r="J128" i="12" s="1"/>
  <c r="N481" i="3"/>
  <c r="J127" i="12" s="1"/>
  <c r="N480" i="3"/>
  <c r="J126" i="12" s="1"/>
  <c r="N479" i="3"/>
  <c r="J125" i="12" s="1"/>
  <c r="N478" i="3"/>
  <c r="J124" i="12" s="1"/>
  <c r="N477" i="3"/>
  <c r="J123" i="12" s="1"/>
  <c r="N476" i="3"/>
  <c r="N475" i="3"/>
  <c r="N474" i="3"/>
  <c r="J122" i="12" s="1"/>
  <c r="N473" i="3"/>
  <c r="J121" i="12" s="1"/>
  <c r="N472" i="3"/>
  <c r="J120" i="12" s="1"/>
  <c r="N471" i="3"/>
  <c r="J119" i="12" s="1"/>
  <c r="N470" i="3"/>
  <c r="J118" i="12" s="1"/>
  <c r="N469" i="3"/>
  <c r="J117" i="12" s="1"/>
  <c r="N468" i="3"/>
  <c r="J116" i="12" s="1"/>
  <c r="N467" i="3"/>
  <c r="J115" i="12" s="1"/>
  <c r="N466" i="3"/>
  <c r="J114" i="12" s="1"/>
  <c r="N465" i="3"/>
  <c r="J113" i="12" s="1"/>
  <c r="N464" i="3"/>
  <c r="J112" i="12" s="1"/>
  <c r="N463" i="3"/>
  <c r="J111" i="12" s="1"/>
  <c r="N462" i="3"/>
  <c r="J110" i="12" s="1"/>
  <c r="N461" i="3"/>
  <c r="J109" i="12" s="1"/>
  <c r="N460" i="3"/>
  <c r="J108" i="12" s="1"/>
  <c r="N459" i="3"/>
  <c r="J107" i="12" s="1"/>
  <c r="N458" i="3"/>
  <c r="J106" i="12" s="1"/>
  <c r="N457" i="3"/>
  <c r="J105" i="12" s="1"/>
  <c r="N456" i="3"/>
  <c r="J104" i="12" s="1"/>
  <c r="N455" i="3"/>
  <c r="J103" i="12" s="1"/>
  <c r="N454" i="3"/>
  <c r="J102" i="12" s="1"/>
  <c r="N453" i="3"/>
  <c r="J101" i="12" s="1"/>
  <c r="N452" i="3"/>
  <c r="J100" i="12" s="1"/>
  <c r="N451" i="3"/>
  <c r="J99" i="12" s="1"/>
  <c r="N450" i="3"/>
  <c r="J98" i="12" s="1"/>
  <c r="N449" i="3"/>
  <c r="J97" i="12" s="1"/>
  <c r="N448" i="3"/>
  <c r="J96" i="12" s="1"/>
  <c r="N447" i="3"/>
  <c r="J95" i="12" s="1"/>
  <c r="N446" i="3"/>
  <c r="J94" i="12" s="1"/>
  <c r="N445" i="3"/>
  <c r="J93" i="12" s="1"/>
  <c r="N444" i="3"/>
  <c r="J92" i="12" s="1"/>
  <c r="N443" i="3"/>
  <c r="J91" i="12" s="1"/>
  <c r="N442" i="3"/>
  <c r="J89" i="12" s="1"/>
  <c r="N441" i="3"/>
  <c r="J88" i="12" s="1"/>
  <c r="N440" i="3"/>
  <c r="J87" i="12" s="1"/>
  <c r="N439" i="3"/>
  <c r="J86" i="12" s="1"/>
  <c r="N438" i="3"/>
  <c r="J85" i="12" s="1"/>
  <c r="N437" i="3"/>
  <c r="J84" i="12" s="1"/>
  <c r="N436" i="3"/>
  <c r="J83" i="12" s="1"/>
  <c r="N435" i="3"/>
  <c r="J82" i="12" s="1"/>
  <c r="N434" i="3"/>
  <c r="N433" i="3"/>
  <c r="J79" i="12" s="1"/>
  <c r="N432" i="3"/>
  <c r="J78" i="12" s="1"/>
  <c r="N431" i="3"/>
  <c r="J77" i="12" s="1"/>
  <c r="N430" i="3"/>
  <c r="N429" i="3"/>
  <c r="N428" i="3"/>
  <c r="J72" i="12" s="1"/>
  <c r="N427" i="3"/>
  <c r="J71" i="12" s="1"/>
  <c r="N426" i="3"/>
  <c r="J70" i="12" s="1"/>
  <c r="N425" i="3"/>
  <c r="J68" i="12" s="1"/>
  <c r="N424" i="3"/>
  <c r="J67" i="12" s="1"/>
  <c r="N423" i="3"/>
  <c r="J66" i="12" s="1"/>
  <c r="N422" i="3"/>
  <c r="J65" i="12" s="1"/>
  <c r="N421" i="3"/>
  <c r="J64" i="12" s="1"/>
  <c r="N420" i="3"/>
  <c r="J63" i="12" s="1"/>
  <c r="N419" i="3"/>
  <c r="J62" i="12" s="1"/>
  <c r="N418" i="3"/>
  <c r="J61" i="12" s="1"/>
  <c r="N417" i="3"/>
  <c r="J60" i="12" s="1"/>
  <c r="N416" i="3"/>
  <c r="J59" i="12" s="1"/>
  <c r="N415" i="3"/>
  <c r="J58" i="12" s="1"/>
  <c r="N414" i="3"/>
  <c r="J57" i="12" s="1"/>
  <c r="N413" i="3"/>
  <c r="J56" i="12" s="1"/>
  <c r="N412" i="3"/>
  <c r="J55" i="12" s="1"/>
  <c r="N411" i="3"/>
  <c r="J54" i="12" s="1"/>
  <c r="N410" i="3"/>
  <c r="J53" i="12" s="1"/>
  <c r="N409" i="3"/>
  <c r="J52" i="12" s="1"/>
  <c r="N408" i="3"/>
  <c r="J51" i="12" s="1"/>
  <c r="N407" i="3"/>
  <c r="J50" i="12" s="1"/>
  <c r="N406" i="3"/>
  <c r="J49" i="12" s="1"/>
  <c r="N405" i="3"/>
  <c r="J48" i="12" s="1"/>
  <c r="N404" i="3"/>
  <c r="J47" i="12" s="1"/>
  <c r="N403" i="3"/>
  <c r="J46" i="12" s="1"/>
  <c r="N402" i="3"/>
  <c r="J45" i="12" s="1"/>
  <c r="N401" i="3"/>
  <c r="J44" i="12" s="1"/>
  <c r="N400" i="3"/>
  <c r="J43" i="12" s="1"/>
  <c r="N399" i="3"/>
  <c r="J42" i="12" s="1"/>
  <c r="N398" i="3"/>
  <c r="J41" i="12" s="1"/>
  <c r="N397" i="3"/>
  <c r="J40" i="12" s="1"/>
  <c r="N396" i="3"/>
  <c r="J39" i="12" s="1"/>
  <c r="N395" i="3"/>
  <c r="J38" i="12" s="1"/>
  <c r="N394" i="3"/>
  <c r="J37" i="12" s="1"/>
  <c r="N393" i="3"/>
  <c r="J36" i="12" s="1"/>
  <c r="N392" i="3"/>
  <c r="J35" i="12" s="1"/>
  <c r="E82" i="12" l="1"/>
  <c r="E79" i="12"/>
  <c r="D90" i="12"/>
  <c r="D91" i="12"/>
  <c r="E92" i="12"/>
  <c r="E91" i="12"/>
  <c r="I74" i="12"/>
  <c r="I80" i="12"/>
  <c r="D80" i="12"/>
  <c r="J81" i="12"/>
  <c r="J80" i="12"/>
  <c r="E81" i="12"/>
  <c r="E80" i="12"/>
  <c r="I73" i="12"/>
  <c r="J75" i="12"/>
  <c r="J73" i="12"/>
  <c r="D73" i="12"/>
  <c r="J76" i="12"/>
  <c r="J74" i="12"/>
  <c r="E73" i="12"/>
  <c r="D41" i="12"/>
  <c r="D53" i="12"/>
  <c r="D65" i="12"/>
  <c r="D81" i="12"/>
  <c r="D94" i="12"/>
  <c r="D106" i="12"/>
  <c r="D118" i="12"/>
  <c r="D128" i="12"/>
  <c r="D140" i="12"/>
  <c r="D152" i="12"/>
  <c r="D164" i="12"/>
  <c r="D176" i="12"/>
  <c r="D188" i="12"/>
  <c r="D200" i="12"/>
  <c r="D212" i="12"/>
  <c r="D222" i="12"/>
  <c r="D40" i="12"/>
  <c r="D52" i="12"/>
  <c r="D64" i="12"/>
  <c r="D79" i="12"/>
  <c r="D93" i="12"/>
  <c r="D105" i="12"/>
  <c r="D117" i="12"/>
  <c r="D127" i="12"/>
  <c r="D139" i="12"/>
  <c r="D151" i="12"/>
  <c r="D163" i="12"/>
  <c r="D175" i="12"/>
  <c r="D187" i="12"/>
  <c r="D199" i="12"/>
  <c r="D211" i="12"/>
  <c r="D221" i="12"/>
  <c r="D42" i="12"/>
  <c r="D54" i="12"/>
  <c r="D66" i="12"/>
  <c r="D82" i="12"/>
  <c r="D95" i="12"/>
  <c r="D107" i="12"/>
  <c r="D119" i="12"/>
  <c r="D129" i="12"/>
  <c r="D142" i="12"/>
  <c r="D153" i="12"/>
  <c r="D165" i="12"/>
  <c r="D177" i="12"/>
  <c r="D189" i="12"/>
  <c r="D201" i="12"/>
  <c r="D213" i="12"/>
  <c r="D43" i="12"/>
  <c r="D55" i="12"/>
  <c r="D67" i="12"/>
  <c r="D83" i="12"/>
  <c r="D96" i="12"/>
  <c r="D108" i="12"/>
  <c r="D120" i="12"/>
  <c r="D130" i="12"/>
  <c r="D143" i="12"/>
  <c r="D154" i="12"/>
  <c r="D166" i="12"/>
  <c r="D178" i="12"/>
  <c r="D190" i="12"/>
  <c r="D202" i="12"/>
  <c r="D44" i="12"/>
  <c r="D56" i="12"/>
  <c r="D68" i="12"/>
  <c r="D84" i="12"/>
  <c r="D97" i="12"/>
  <c r="D109" i="12"/>
  <c r="D121" i="12"/>
  <c r="D131" i="12"/>
  <c r="D144" i="12"/>
  <c r="D155" i="12"/>
  <c r="D167" i="12"/>
  <c r="D179" i="12"/>
  <c r="D191" i="12"/>
  <c r="D203" i="12"/>
  <c r="D45" i="12"/>
  <c r="D57" i="12"/>
  <c r="D70" i="12"/>
  <c r="D85" i="12"/>
  <c r="D98" i="12"/>
  <c r="D110" i="12"/>
  <c r="D122" i="12"/>
  <c r="D132" i="12"/>
  <c r="D145" i="12"/>
  <c r="D156" i="12"/>
  <c r="D168" i="12"/>
  <c r="D180" i="12"/>
  <c r="D192" i="12"/>
  <c r="D204" i="12"/>
  <c r="D214" i="12"/>
  <c r="D46" i="12"/>
  <c r="D58" i="12"/>
  <c r="D71" i="12"/>
  <c r="D86" i="12"/>
  <c r="D99" i="12"/>
  <c r="D111" i="12"/>
  <c r="D133" i="12"/>
  <c r="D146" i="12"/>
  <c r="D157" i="12"/>
  <c r="D169" i="12"/>
  <c r="D181" i="12"/>
  <c r="D193" i="12"/>
  <c r="D205" i="12"/>
  <c r="D215" i="12"/>
  <c r="D35" i="12"/>
  <c r="D47" i="12"/>
  <c r="D59" i="12"/>
  <c r="D72" i="12"/>
  <c r="D87" i="12"/>
  <c r="D100" i="12"/>
  <c r="D112" i="12"/>
  <c r="D134" i="12"/>
  <c r="D147" i="12"/>
  <c r="D158" i="12"/>
  <c r="D170" i="12"/>
  <c r="D182" i="12"/>
  <c r="D194" i="12"/>
  <c r="D206" i="12"/>
  <c r="D216" i="12"/>
  <c r="D36" i="12"/>
  <c r="D48" i="12"/>
  <c r="D60" i="12"/>
  <c r="D75" i="12"/>
  <c r="D88" i="12"/>
  <c r="D101" i="12"/>
  <c r="D113" i="12"/>
  <c r="D123" i="12"/>
  <c r="D135" i="12"/>
  <c r="D148" i="12"/>
  <c r="D159" i="12"/>
  <c r="D171" i="12"/>
  <c r="D183" i="12"/>
  <c r="D195" i="12"/>
  <c r="D207" i="12"/>
  <c r="D217" i="12"/>
  <c r="D37" i="12"/>
  <c r="D49" i="12"/>
  <c r="D61" i="12"/>
  <c r="D76" i="12"/>
  <c r="D89" i="12"/>
  <c r="D102" i="12"/>
  <c r="D114" i="12"/>
  <c r="D124" i="12"/>
  <c r="D136" i="12"/>
  <c r="D160" i="12"/>
  <c r="D172" i="12"/>
  <c r="D184" i="12"/>
  <c r="D196" i="12"/>
  <c r="D208" i="12"/>
  <c r="D218" i="12"/>
  <c r="D38" i="12"/>
  <c r="D50" i="12"/>
  <c r="D62" i="12"/>
  <c r="D77" i="12"/>
  <c r="D103" i="12"/>
  <c r="D115" i="12"/>
  <c r="D125" i="12"/>
  <c r="D137" i="12"/>
  <c r="D149" i="12"/>
  <c r="D161" i="12"/>
  <c r="D173" i="12"/>
  <c r="D185" i="12"/>
  <c r="D197" i="12"/>
  <c r="D209" i="12"/>
  <c r="D219" i="12"/>
  <c r="D39" i="12"/>
  <c r="D51" i="12"/>
  <c r="D63" i="12"/>
  <c r="D78" i="12"/>
  <c r="D92" i="12"/>
  <c r="D104" i="12"/>
  <c r="D116" i="12"/>
  <c r="D126" i="12"/>
  <c r="D138" i="12"/>
  <c r="D150" i="12"/>
  <c r="D162" i="12"/>
  <c r="D174" i="12"/>
  <c r="D186" i="12"/>
  <c r="D198" i="12"/>
  <c r="D210" i="12"/>
  <c r="D220" i="12"/>
  <c r="I34" i="12"/>
  <c r="I46" i="12"/>
  <c r="I58" i="12"/>
  <c r="I71" i="12"/>
  <c r="I86" i="12"/>
  <c r="I99" i="12"/>
  <c r="I111" i="12"/>
  <c r="I133" i="12"/>
  <c r="I146" i="12"/>
  <c r="I157" i="12"/>
  <c r="I169" i="12"/>
  <c r="I181" i="12"/>
  <c r="I193" i="12"/>
  <c r="I205" i="12"/>
  <c r="I215" i="12"/>
  <c r="J13" i="9"/>
  <c r="I44" i="12"/>
  <c r="I56" i="12"/>
  <c r="I68" i="12"/>
  <c r="I84" i="12"/>
  <c r="I97" i="12"/>
  <c r="I109" i="12"/>
  <c r="I121" i="12"/>
  <c r="I131" i="12"/>
  <c r="I144" i="12"/>
  <c r="I155" i="12"/>
  <c r="I167" i="12"/>
  <c r="I179" i="12"/>
  <c r="I191" i="12"/>
  <c r="I203" i="12"/>
  <c r="I43" i="12"/>
  <c r="I55" i="12"/>
  <c r="I67" i="12"/>
  <c r="I83" i="12"/>
  <c r="I96" i="12"/>
  <c r="I108" i="12"/>
  <c r="I120" i="12"/>
  <c r="I130" i="12"/>
  <c r="I143" i="12"/>
  <c r="I154" i="12"/>
  <c r="I166" i="12"/>
  <c r="I178" i="12"/>
  <c r="I190" i="12"/>
  <c r="I202" i="12"/>
  <c r="I38" i="12"/>
  <c r="I50" i="12"/>
  <c r="I62" i="12"/>
  <c r="I77" i="12"/>
  <c r="I91" i="12"/>
  <c r="I103" i="12"/>
  <c r="I115" i="12"/>
  <c r="I125" i="12"/>
  <c r="I137" i="12"/>
  <c r="I149" i="12"/>
  <c r="I161" i="12"/>
  <c r="I173" i="12"/>
  <c r="I185" i="12"/>
  <c r="I197" i="12"/>
  <c r="I209" i="12"/>
  <c r="I219" i="12"/>
  <c r="I42" i="12"/>
  <c r="I54" i="12"/>
  <c r="I66" i="12"/>
  <c r="I82" i="12"/>
  <c r="I95" i="12"/>
  <c r="I107" i="12"/>
  <c r="I119" i="12"/>
  <c r="I129" i="12"/>
  <c r="I142" i="12"/>
  <c r="I153" i="12"/>
  <c r="I165" i="12"/>
  <c r="I177" i="12"/>
  <c r="I189" i="12"/>
  <c r="I201" i="12"/>
  <c r="I213" i="12"/>
  <c r="I39" i="12"/>
  <c r="I51" i="12"/>
  <c r="I63" i="12"/>
  <c r="I78" i="12"/>
  <c r="I92" i="12"/>
  <c r="I104" i="12"/>
  <c r="I116" i="12"/>
  <c r="I126" i="12"/>
  <c r="I138" i="12"/>
  <c r="I150" i="12"/>
  <c r="I162" i="12"/>
  <c r="I174" i="12"/>
  <c r="I186" i="12"/>
  <c r="I198" i="12"/>
  <c r="I210" i="12"/>
  <c r="I220" i="12"/>
  <c r="I45" i="12"/>
  <c r="I85" i="12"/>
  <c r="I122" i="12"/>
  <c r="I156" i="12"/>
  <c r="I168" i="12"/>
  <c r="I180" i="12"/>
  <c r="I192" i="12"/>
  <c r="I204" i="12"/>
  <c r="I214" i="12"/>
  <c r="I57" i="12"/>
  <c r="I98" i="12"/>
  <c r="I145" i="12"/>
  <c r="I70" i="12"/>
  <c r="I110" i="12"/>
  <c r="I132" i="12"/>
  <c r="I35" i="12"/>
  <c r="I47" i="12"/>
  <c r="I59" i="12"/>
  <c r="I72" i="12"/>
  <c r="I87" i="12"/>
  <c r="I100" i="12"/>
  <c r="I112" i="12"/>
  <c r="I134" i="12"/>
  <c r="I147" i="12"/>
  <c r="I158" i="12"/>
  <c r="I170" i="12"/>
  <c r="I182" i="12"/>
  <c r="I194" i="12"/>
  <c r="I206" i="12"/>
  <c r="I216" i="12"/>
  <c r="I36" i="12"/>
  <c r="I48" i="12"/>
  <c r="I60" i="12"/>
  <c r="I75" i="12"/>
  <c r="I88" i="12"/>
  <c r="I101" i="12"/>
  <c r="I113" i="12"/>
  <c r="I123" i="12"/>
  <c r="I135" i="12"/>
  <c r="I148" i="12"/>
  <c r="I159" i="12"/>
  <c r="I171" i="12"/>
  <c r="I183" i="12"/>
  <c r="I195" i="12"/>
  <c r="I207" i="12"/>
  <c r="I217" i="12"/>
  <c r="I37" i="12"/>
  <c r="I49" i="12"/>
  <c r="I61" i="12"/>
  <c r="I76" i="12"/>
  <c r="I89" i="12"/>
  <c r="I102" i="12"/>
  <c r="I114" i="12"/>
  <c r="I124" i="12"/>
  <c r="I136" i="12"/>
  <c r="I160" i="12"/>
  <c r="I172" i="12"/>
  <c r="I184" i="12"/>
  <c r="I196" i="12"/>
  <c r="I218" i="12"/>
  <c r="D34" i="12"/>
  <c r="I40" i="12"/>
  <c r="I52" i="12"/>
  <c r="I64" i="12"/>
  <c r="I79" i="12"/>
  <c r="I93" i="12"/>
  <c r="I105" i="12"/>
  <c r="I117" i="12"/>
  <c r="I127" i="12"/>
  <c r="I139" i="12"/>
  <c r="I151" i="12"/>
  <c r="I163" i="12"/>
  <c r="I175" i="12"/>
  <c r="I187" i="12"/>
  <c r="I199" i="12"/>
  <c r="I211" i="12"/>
  <c r="I221" i="12"/>
  <c r="I53" i="12"/>
  <c r="I65" i="12"/>
  <c r="I81" i="12"/>
  <c r="I94" i="12"/>
  <c r="I106" i="12"/>
  <c r="I118" i="12"/>
  <c r="I128" i="12"/>
  <c r="I140" i="12"/>
  <c r="I152" i="12"/>
  <c r="I164" i="12"/>
  <c r="I176" i="12"/>
  <c r="I188" i="12"/>
  <c r="I200" i="12"/>
  <c r="I212" i="12"/>
  <c r="I208" i="12"/>
  <c r="K6" i="9"/>
  <c r="L6" i="9"/>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7" i="8"/>
  <c r="A86" i="8"/>
  <c r="A84" i="8"/>
  <c r="A83" i="8"/>
  <c r="A79" i="8"/>
  <c r="A78" i="8"/>
  <c r="A77" i="8"/>
  <c r="A76" i="8"/>
  <c r="A75" i="8"/>
  <c r="A74" i="8"/>
  <c r="A73" i="8"/>
  <c r="A72" i="8"/>
  <c r="A70" i="8"/>
  <c r="A66" i="8"/>
  <c r="A65" i="8"/>
  <c r="A64" i="8"/>
  <c r="A63" i="8"/>
  <c r="A62" i="8"/>
  <c r="A60" i="8"/>
  <c r="A59" i="8"/>
  <c r="A58" i="8"/>
  <c r="A57" i="8"/>
  <c r="A56" i="8"/>
  <c r="A55" i="8"/>
  <c r="A54" i="8"/>
  <c r="A53" i="8"/>
  <c r="A52" i="8"/>
  <c r="A51" i="8"/>
  <c r="A50" i="8"/>
  <c r="A49" i="8"/>
  <c r="A47" i="8"/>
  <c r="A46" i="8"/>
  <c r="A45" i="8"/>
  <c r="A44" i="8"/>
  <c r="A43" i="8"/>
  <c r="A42" i="8"/>
  <c r="A41" i="8"/>
  <c r="A40" i="8"/>
  <c r="A39" i="8"/>
  <c r="A38" i="8"/>
  <c r="A37" i="8"/>
  <c r="A36" i="8"/>
  <c r="A35" i="8"/>
  <c r="A34" i="8"/>
  <c r="A33" i="8"/>
  <c r="A32" i="8"/>
  <c r="A31" i="8"/>
  <c r="A28" i="8"/>
  <c r="A27" i="8"/>
  <c r="A26" i="8"/>
  <c r="N823" i="8"/>
  <c r="M823" i="8"/>
  <c r="L823" i="8"/>
  <c r="K823" i="8"/>
  <c r="N822" i="8"/>
  <c r="M822" i="8"/>
  <c r="L822" i="8"/>
  <c r="K822" i="8"/>
  <c r="N821" i="8"/>
  <c r="M821" i="8"/>
  <c r="L821" i="8"/>
  <c r="K821" i="8"/>
  <c r="N820" i="8"/>
  <c r="G222" i="12" s="1"/>
  <c r="M820" i="8"/>
  <c r="L820" i="8"/>
  <c r="K820" i="8"/>
  <c r="N819" i="8"/>
  <c r="G221" i="12" s="1"/>
  <c r="M819" i="8"/>
  <c r="L819" i="8"/>
  <c r="K819" i="8"/>
  <c r="N818" i="8"/>
  <c r="G220" i="12" s="1"/>
  <c r="M818" i="8"/>
  <c r="L818" i="8"/>
  <c r="K818" i="8"/>
  <c r="N817" i="8"/>
  <c r="G219" i="12" s="1"/>
  <c r="M817" i="8"/>
  <c r="L817" i="8"/>
  <c r="K817" i="8"/>
  <c r="N816" i="8"/>
  <c r="G218" i="12" s="1"/>
  <c r="M816" i="8"/>
  <c r="L816" i="8"/>
  <c r="K816" i="8"/>
  <c r="N815" i="8"/>
  <c r="G217" i="12" s="1"/>
  <c r="M815" i="8"/>
  <c r="L815" i="8"/>
  <c r="K815" i="8"/>
  <c r="N814" i="8"/>
  <c r="G216" i="12" s="1"/>
  <c r="M814" i="8"/>
  <c r="L814" i="8"/>
  <c r="K814" i="8"/>
  <c r="N813" i="8"/>
  <c r="G215" i="12" s="1"/>
  <c r="M813" i="8"/>
  <c r="L813" i="8"/>
  <c r="K813" i="8"/>
  <c r="N812" i="8"/>
  <c r="G214" i="12" s="1"/>
  <c r="M812" i="8"/>
  <c r="L812" i="8"/>
  <c r="K812" i="8"/>
  <c r="N811" i="8"/>
  <c r="G213" i="12" s="1"/>
  <c r="M811" i="8"/>
  <c r="L811" i="8"/>
  <c r="K811" i="8"/>
  <c r="N810" i="8"/>
  <c r="G212" i="12" s="1"/>
  <c r="M810" i="8"/>
  <c r="L810" i="8"/>
  <c r="K810" i="8"/>
  <c r="N809" i="8"/>
  <c r="G211" i="12" s="1"/>
  <c r="M809" i="8"/>
  <c r="L809" i="8"/>
  <c r="K809" i="8"/>
  <c r="N808" i="8"/>
  <c r="G210" i="12" s="1"/>
  <c r="M808" i="8"/>
  <c r="L808" i="8"/>
  <c r="K808" i="8"/>
  <c r="N807" i="8"/>
  <c r="G209" i="12" s="1"/>
  <c r="M807" i="8"/>
  <c r="L807" i="8"/>
  <c r="K807" i="8"/>
  <c r="M806" i="8"/>
  <c r="L806" i="8"/>
  <c r="K806" i="8"/>
  <c r="N805" i="8"/>
  <c r="G207" i="12" s="1"/>
  <c r="M805" i="8"/>
  <c r="L805" i="8"/>
  <c r="K805" i="8"/>
  <c r="N804" i="8"/>
  <c r="G206" i="12" s="1"/>
  <c r="M804" i="8"/>
  <c r="L804" i="8"/>
  <c r="K804" i="8"/>
  <c r="N803" i="8"/>
  <c r="G205" i="12" s="1"/>
  <c r="M803" i="8"/>
  <c r="L803" i="8"/>
  <c r="K803" i="8"/>
  <c r="N802" i="8"/>
  <c r="G204" i="12" s="1"/>
  <c r="M802" i="8"/>
  <c r="L802" i="8"/>
  <c r="K802" i="8"/>
  <c r="N801" i="8"/>
  <c r="G203" i="12" s="1"/>
  <c r="M801" i="8"/>
  <c r="L801" i="8"/>
  <c r="K801" i="8"/>
  <c r="N800" i="8"/>
  <c r="G202" i="12" s="1"/>
  <c r="M800" i="8"/>
  <c r="L800" i="8"/>
  <c r="K800" i="8"/>
  <c r="N799" i="8"/>
  <c r="G201" i="12" s="1"/>
  <c r="M799" i="8"/>
  <c r="L799" i="8"/>
  <c r="K799" i="8"/>
  <c r="N798" i="8"/>
  <c r="G200" i="12" s="1"/>
  <c r="M798" i="8"/>
  <c r="L798" i="8"/>
  <c r="K798" i="8"/>
  <c r="N797" i="8"/>
  <c r="G199" i="12" s="1"/>
  <c r="M797" i="8"/>
  <c r="L797" i="8"/>
  <c r="K797" i="8"/>
  <c r="N796" i="8"/>
  <c r="G198" i="12" s="1"/>
  <c r="M796" i="8"/>
  <c r="L796" i="8"/>
  <c r="K796" i="8"/>
  <c r="N795" i="8"/>
  <c r="G197" i="12" s="1"/>
  <c r="M795" i="8"/>
  <c r="L795" i="8"/>
  <c r="K795" i="8"/>
  <c r="N794" i="8"/>
  <c r="G196" i="12" s="1"/>
  <c r="M794" i="8"/>
  <c r="L794" i="8"/>
  <c r="K794" i="8"/>
  <c r="N793" i="8"/>
  <c r="G195" i="12" s="1"/>
  <c r="M793" i="8"/>
  <c r="L793" i="8"/>
  <c r="K793" i="8"/>
  <c r="N792" i="8"/>
  <c r="G194" i="12" s="1"/>
  <c r="M792" i="8"/>
  <c r="L792" i="8"/>
  <c r="K792" i="8"/>
  <c r="N791" i="8"/>
  <c r="G193" i="12" s="1"/>
  <c r="M791" i="8"/>
  <c r="L791" i="8"/>
  <c r="K791" i="8"/>
  <c r="N790" i="8"/>
  <c r="G192" i="12" s="1"/>
  <c r="M790" i="8"/>
  <c r="L790" i="8"/>
  <c r="K790" i="8"/>
  <c r="N789" i="8"/>
  <c r="G191" i="12" s="1"/>
  <c r="M789" i="8"/>
  <c r="L789" i="8"/>
  <c r="K789" i="8"/>
  <c r="N788" i="8"/>
  <c r="G190" i="12" s="1"/>
  <c r="M788" i="8"/>
  <c r="L788" i="8"/>
  <c r="K788" i="8"/>
  <c r="N787" i="8"/>
  <c r="G189" i="12" s="1"/>
  <c r="M787" i="8"/>
  <c r="L787" i="8"/>
  <c r="K787" i="8"/>
  <c r="N786" i="8"/>
  <c r="G188" i="12" s="1"/>
  <c r="M786" i="8"/>
  <c r="L786" i="8"/>
  <c r="K786" i="8"/>
  <c r="N785" i="8"/>
  <c r="G187" i="12" s="1"/>
  <c r="M785" i="8"/>
  <c r="L785" i="8"/>
  <c r="K785" i="8"/>
  <c r="N784" i="8"/>
  <c r="G186" i="12" s="1"/>
  <c r="M784" i="8"/>
  <c r="L784" i="8"/>
  <c r="K784" i="8"/>
  <c r="N783" i="8"/>
  <c r="G185" i="12" s="1"/>
  <c r="M783" i="8"/>
  <c r="L783" i="8"/>
  <c r="K783" i="8"/>
  <c r="N782" i="8"/>
  <c r="G184" i="12" s="1"/>
  <c r="M782" i="8"/>
  <c r="L782" i="8"/>
  <c r="K782" i="8"/>
  <c r="N781" i="8"/>
  <c r="G183" i="12" s="1"/>
  <c r="M781" i="8"/>
  <c r="L781" i="8"/>
  <c r="K781" i="8"/>
  <c r="N780" i="8"/>
  <c r="G182" i="12" s="1"/>
  <c r="M780" i="8"/>
  <c r="L780" i="8"/>
  <c r="K780" i="8"/>
  <c r="N779" i="8"/>
  <c r="G181" i="12" s="1"/>
  <c r="M779" i="8"/>
  <c r="L779" i="8"/>
  <c r="K779" i="8"/>
  <c r="N778" i="8"/>
  <c r="G180" i="12" s="1"/>
  <c r="M778" i="8"/>
  <c r="L778" i="8"/>
  <c r="K778" i="8"/>
  <c r="N777" i="8"/>
  <c r="G179" i="12" s="1"/>
  <c r="M777" i="8"/>
  <c r="L777" i="8"/>
  <c r="K777" i="8"/>
  <c r="N776" i="8"/>
  <c r="G178" i="12" s="1"/>
  <c r="M776" i="8"/>
  <c r="L776" i="8"/>
  <c r="K776" i="8"/>
  <c r="N775" i="8"/>
  <c r="G177" i="12" s="1"/>
  <c r="M775" i="8"/>
  <c r="L775" i="8"/>
  <c r="K775" i="8"/>
  <c r="N774" i="8"/>
  <c r="G176" i="12" s="1"/>
  <c r="M774" i="8"/>
  <c r="L774" i="8"/>
  <c r="K774" i="8"/>
  <c r="N773" i="8"/>
  <c r="G175" i="12" s="1"/>
  <c r="M773" i="8"/>
  <c r="L773" i="8"/>
  <c r="K773" i="8"/>
  <c r="N772" i="8"/>
  <c r="G174" i="12" s="1"/>
  <c r="M772" i="8"/>
  <c r="L772" i="8"/>
  <c r="K772" i="8"/>
  <c r="N771" i="8"/>
  <c r="G173" i="12" s="1"/>
  <c r="M771" i="8"/>
  <c r="L771" i="8"/>
  <c r="K771" i="8"/>
  <c r="N770" i="8"/>
  <c r="G172" i="12" s="1"/>
  <c r="M770" i="8"/>
  <c r="L770" i="8"/>
  <c r="K770" i="8"/>
  <c r="N769" i="8"/>
  <c r="G171" i="12" s="1"/>
  <c r="M769" i="8"/>
  <c r="L769" i="8"/>
  <c r="K769" i="8"/>
  <c r="N768" i="8"/>
  <c r="G170" i="12" s="1"/>
  <c r="M768" i="8"/>
  <c r="L768" i="8"/>
  <c r="K768" i="8"/>
  <c r="N767" i="8"/>
  <c r="G169" i="12" s="1"/>
  <c r="M767" i="8"/>
  <c r="L767" i="8"/>
  <c r="K767" i="8"/>
  <c r="N766" i="8"/>
  <c r="G168" i="12" s="1"/>
  <c r="M766" i="8"/>
  <c r="L766" i="8"/>
  <c r="K766" i="8"/>
  <c r="N765" i="8"/>
  <c r="G167" i="12" s="1"/>
  <c r="M765" i="8"/>
  <c r="L765" i="8"/>
  <c r="K765" i="8"/>
  <c r="N764" i="8"/>
  <c r="G166" i="12" s="1"/>
  <c r="M764" i="8"/>
  <c r="L764" i="8"/>
  <c r="K764" i="8"/>
  <c r="N763" i="8"/>
  <c r="G165" i="12" s="1"/>
  <c r="M763" i="8"/>
  <c r="L763" i="8"/>
  <c r="K763" i="8"/>
  <c r="N762" i="8"/>
  <c r="G164" i="12" s="1"/>
  <c r="M762" i="8"/>
  <c r="L762" i="8"/>
  <c r="K762" i="8"/>
  <c r="N761" i="8"/>
  <c r="G163" i="12" s="1"/>
  <c r="M761" i="8"/>
  <c r="L761" i="8"/>
  <c r="K761" i="8"/>
  <c r="N760" i="8"/>
  <c r="G162" i="12" s="1"/>
  <c r="M760" i="8"/>
  <c r="L760" i="8"/>
  <c r="K760" i="8"/>
  <c r="N759" i="8"/>
  <c r="G161" i="12" s="1"/>
  <c r="M759" i="8"/>
  <c r="L759" i="8"/>
  <c r="K759" i="8"/>
  <c r="N758" i="8"/>
  <c r="G160" i="12" s="1"/>
  <c r="M758" i="8"/>
  <c r="L758" i="8"/>
  <c r="K758" i="8"/>
  <c r="N757" i="8"/>
  <c r="G159" i="12" s="1"/>
  <c r="M757" i="8"/>
  <c r="L757" i="8"/>
  <c r="K757" i="8"/>
  <c r="N756" i="8"/>
  <c r="G158" i="12" s="1"/>
  <c r="M756" i="8"/>
  <c r="L756" i="8"/>
  <c r="K756" i="8"/>
  <c r="N755" i="8"/>
  <c r="G157" i="12" s="1"/>
  <c r="M755" i="8"/>
  <c r="L755" i="8"/>
  <c r="K755" i="8"/>
  <c r="N754" i="8"/>
  <c r="G156" i="12" s="1"/>
  <c r="M754" i="8"/>
  <c r="L754" i="8"/>
  <c r="K754" i="8"/>
  <c r="N753" i="8"/>
  <c r="G155" i="12" s="1"/>
  <c r="M753" i="8"/>
  <c r="L753" i="8"/>
  <c r="K753" i="8"/>
  <c r="N752" i="8"/>
  <c r="G154" i="12" s="1"/>
  <c r="M752" i="8"/>
  <c r="L752" i="8"/>
  <c r="K752" i="8"/>
  <c r="N751" i="8"/>
  <c r="G153" i="12" s="1"/>
  <c r="M751" i="8"/>
  <c r="L751" i="8"/>
  <c r="K751" i="8"/>
  <c r="N750" i="8"/>
  <c r="G152" i="12" s="1"/>
  <c r="M750" i="8"/>
  <c r="L750" i="8"/>
  <c r="K750" i="8"/>
  <c r="N749" i="8"/>
  <c r="G151" i="12" s="1"/>
  <c r="M749" i="8"/>
  <c r="L749" i="8"/>
  <c r="K749" i="8"/>
  <c r="N748" i="8"/>
  <c r="G150" i="12" s="1"/>
  <c r="M748" i="8"/>
  <c r="L748" i="8"/>
  <c r="K748" i="8"/>
  <c r="N747" i="8"/>
  <c r="G149" i="12" s="1"/>
  <c r="M747" i="8"/>
  <c r="L747" i="8"/>
  <c r="K747" i="8"/>
  <c r="N746" i="8"/>
  <c r="G148" i="12" s="1"/>
  <c r="M746" i="8"/>
  <c r="L746" i="8"/>
  <c r="K746" i="8"/>
  <c r="N745" i="8"/>
  <c r="G147" i="12" s="1"/>
  <c r="M745" i="8"/>
  <c r="L745" i="8"/>
  <c r="K745" i="8"/>
  <c r="N744" i="8"/>
  <c r="G146" i="12" s="1"/>
  <c r="M744" i="8"/>
  <c r="L744" i="8"/>
  <c r="K744" i="8"/>
  <c r="N743" i="8"/>
  <c r="G145" i="12" s="1"/>
  <c r="M743" i="8"/>
  <c r="L743" i="8"/>
  <c r="K743" i="8"/>
  <c r="N742" i="8"/>
  <c r="G144" i="12" s="1"/>
  <c r="M742" i="8"/>
  <c r="L742" i="8"/>
  <c r="K742" i="8"/>
  <c r="N741" i="8"/>
  <c r="G143" i="12" s="1"/>
  <c r="M741" i="8"/>
  <c r="L741" i="8"/>
  <c r="K741" i="8"/>
  <c r="N740" i="8"/>
  <c r="G142" i="12" s="1"/>
  <c r="M740" i="8"/>
  <c r="L740" i="8"/>
  <c r="K740" i="8"/>
  <c r="N739" i="8"/>
  <c r="G141" i="12" s="1"/>
  <c r="M739" i="8"/>
  <c r="L739" i="8"/>
  <c r="K739" i="8"/>
  <c r="N738" i="8"/>
  <c r="G140" i="12" s="1"/>
  <c r="M738" i="8"/>
  <c r="L738" i="8"/>
  <c r="K738" i="8"/>
  <c r="N737" i="8"/>
  <c r="G139" i="12" s="1"/>
  <c r="M737" i="8"/>
  <c r="L737" i="8"/>
  <c r="K737" i="8"/>
  <c r="N736" i="8"/>
  <c r="G138" i="12" s="1"/>
  <c r="M736" i="8"/>
  <c r="L736" i="8"/>
  <c r="K736" i="8"/>
  <c r="N735" i="8"/>
  <c r="G137" i="12" s="1"/>
  <c r="M735" i="8"/>
  <c r="L735" i="8"/>
  <c r="K735" i="8"/>
  <c r="N734" i="8"/>
  <c r="G136" i="12" s="1"/>
  <c r="M734" i="8"/>
  <c r="L734" i="8"/>
  <c r="K734" i="8"/>
  <c r="N733" i="8"/>
  <c r="G135" i="12" s="1"/>
  <c r="M733" i="8"/>
  <c r="L733" i="8"/>
  <c r="K733" i="8"/>
  <c r="N732" i="8"/>
  <c r="G134" i="12" s="1"/>
  <c r="M732" i="8"/>
  <c r="L732" i="8"/>
  <c r="K732" i="8"/>
  <c r="N731" i="8"/>
  <c r="G133" i="12" s="1"/>
  <c r="M731" i="8"/>
  <c r="L731" i="8"/>
  <c r="K731" i="8"/>
  <c r="N730" i="8"/>
  <c r="G132" i="12" s="1"/>
  <c r="M730" i="8"/>
  <c r="L730" i="8"/>
  <c r="K730" i="8"/>
  <c r="N729" i="8"/>
  <c r="G131" i="12" s="1"/>
  <c r="M729" i="8"/>
  <c r="L729" i="8"/>
  <c r="K729" i="8"/>
  <c r="N728" i="8"/>
  <c r="G130" i="12" s="1"/>
  <c r="M728" i="8"/>
  <c r="L728" i="8"/>
  <c r="K728" i="8"/>
  <c r="N727" i="8"/>
  <c r="G129" i="12" s="1"/>
  <c r="M727" i="8"/>
  <c r="L727" i="8"/>
  <c r="K727" i="8"/>
  <c r="N726" i="8"/>
  <c r="G128" i="12" s="1"/>
  <c r="M726" i="8"/>
  <c r="L726" i="8"/>
  <c r="K726" i="8"/>
  <c r="N725" i="8"/>
  <c r="G127" i="12" s="1"/>
  <c r="M725" i="8"/>
  <c r="L725" i="8"/>
  <c r="K725" i="8"/>
  <c r="N724" i="8"/>
  <c r="G126" i="12" s="1"/>
  <c r="M724" i="8"/>
  <c r="L724" i="8"/>
  <c r="K724" i="8"/>
  <c r="N723" i="8"/>
  <c r="G125" i="12" s="1"/>
  <c r="M723" i="8"/>
  <c r="L723" i="8"/>
  <c r="K723" i="8"/>
  <c r="N722" i="8"/>
  <c r="G124" i="12" s="1"/>
  <c r="M722" i="8"/>
  <c r="L722" i="8"/>
  <c r="K722" i="8"/>
  <c r="N721" i="8"/>
  <c r="G123" i="12" s="1"/>
  <c r="M721" i="8"/>
  <c r="L721" i="8"/>
  <c r="K721" i="8"/>
  <c r="M720" i="8"/>
  <c r="L720" i="8"/>
  <c r="K720" i="8"/>
  <c r="N719" i="8"/>
  <c r="G121" i="12" s="1"/>
  <c r="M719" i="8"/>
  <c r="L719" i="8"/>
  <c r="K719" i="8"/>
  <c r="N718" i="8"/>
  <c r="G120" i="12" s="1"/>
  <c r="M718" i="8"/>
  <c r="L718" i="8"/>
  <c r="K718" i="8"/>
  <c r="N717" i="8"/>
  <c r="G119" i="12" s="1"/>
  <c r="M717" i="8"/>
  <c r="L717" i="8"/>
  <c r="K717" i="8"/>
  <c r="N716" i="8"/>
  <c r="G118" i="12" s="1"/>
  <c r="M716" i="8"/>
  <c r="L716" i="8"/>
  <c r="K716" i="8"/>
  <c r="N715" i="8"/>
  <c r="G117" i="12" s="1"/>
  <c r="M715" i="8"/>
  <c r="L715" i="8"/>
  <c r="K715" i="8"/>
  <c r="N714" i="8"/>
  <c r="G116" i="12" s="1"/>
  <c r="M714" i="8"/>
  <c r="L714" i="8"/>
  <c r="K714" i="8"/>
  <c r="N713" i="8"/>
  <c r="G115" i="12" s="1"/>
  <c r="M713" i="8"/>
  <c r="L713" i="8"/>
  <c r="K713" i="8"/>
  <c r="N712" i="8"/>
  <c r="G114" i="12" s="1"/>
  <c r="M712" i="8"/>
  <c r="L712" i="8"/>
  <c r="K712" i="8"/>
  <c r="N711" i="8"/>
  <c r="G113" i="12" s="1"/>
  <c r="M711" i="8"/>
  <c r="L711" i="8"/>
  <c r="K711" i="8"/>
  <c r="N710" i="8"/>
  <c r="G112" i="12" s="1"/>
  <c r="M710" i="8"/>
  <c r="L710" i="8"/>
  <c r="K710" i="8"/>
  <c r="N709" i="8"/>
  <c r="G111" i="12" s="1"/>
  <c r="M709" i="8"/>
  <c r="L709" i="8"/>
  <c r="K709" i="8"/>
  <c r="N708" i="8"/>
  <c r="G110" i="12" s="1"/>
  <c r="M708" i="8"/>
  <c r="L708" i="8"/>
  <c r="K708" i="8"/>
  <c r="N707" i="8"/>
  <c r="G109" i="12" s="1"/>
  <c r="M707" i="8"/>
  <c r="L707" i="8"/>
  <c r="K707" i="8"/>
  <c r="N706" i="8"/>
  <c r="G108" i="12" s="1"/>
  <c r="M706" i="8"/>
  <c r="L706" i="8"/>
  <c r="K706" i="8"/>
  <c r="N705" i="8"/>
  <c r="G107" i="12" s="1"/>
  <c r="M705" i="8"/>
  <c r="L705" i="8"/>
  <c r="K705" i="8"/>
  <c r="N704" i="8"/>
  <c r="G106" i="12" s="1"/>
  <c r="M704" i="8"/>
  <c r="L704" i="8"/>
  <c r="K704" i="8"/>
  <c r="N703" i="8"/>
  <c r="G105" i="12" s="1"/>
  <c r="M703" i="8"/>
  <c r="L703" i="8"/>
  <c r="K703" i="8"/>
  <c r="N702" i="8"/>
  <c r="G104" i="12" s="1"/>
  <c r="M702" i="8"/>
  <c r="L702" i="8"/>
  <c r="K702" i="8"/>
  <c r="N701" i="8"/>
  <c r="G103" i="12" s="1"/>
  <c r="M701" i="8"/>
  <c r="L701" i="8"/>
  <c r="K701" i="8"/>
  <c r="N700" i="8"/>
  <c r="G102" i="12" s="1"/>
  <c r="M700" i="8"/>
  <c r="L700" i="8"/>
  <c r="K700" i="8"/>
  <c r="N699" i="8"/>
  <c r="G101" i="12" s="1"/>
  <c r="M699" i="8"/>
  <c r="L699" i="8"/>
  <c r="K699" i="8"/>
  <c r="N698" i="8"/>
  <c r="G100" i="12" s="1"/>
  <c r="M698" i="8"/>
  <c r="L698" i="8"/>
  <c r="K698" i="8"/>
  <c r="N697" i="8"/>
  <c r="G99" i="12" s="1"/>
  <c r="M697" i="8"/>
  <c r="L697" i="8"/>
  <c r="K697" i="8"/>
  <c r="N696" i="8"/>
  <c r="G98" i="12" s="1"/>
  <c r="M696" i="8"/>
  <c r="L696" i="8"/>
  <c r="K696" i="8"/>
  <c r="N695" i="8"/>
  <c r="G97" i="12" s="1"/>
  <c r="M695" i="8"/>
  <c r="L695" i="8"/>
  <c r="K695" i="8"/>
  <c r="N694" i="8"/>
  <c r="G96" i="12" s="1"/>
  <c r="M694" i="8"/>
  <c r="L694" i="8"/>
  <c r="K694" i="8"/>
  <c r="N693" i="8"/>
  <c r="G95" i="12" s="1"/>
  <c r="M693" i="8"/>
  <c r="L693" i="8"/>
  <c r="K693" i="8"/>
  <c r="N692" i="8"/>
  <c r="G94" i="12" s="1"/>
  <c r="M692" i="8"/>
  <c r="L692" i="8"/>
  <c r="K692" i="8"/>
  <c r="N691" i="8"/>
  <c r="G93" i="12" s="1"/>
  <c r="M691" i="8"/>
  <c r="L691" i="8"/>
  <c r="K691" i="8"/>
  <c r="N690" i="8"/>
  <c r="M690" i="8"/>
  <c r="L690" i="8"/>
  <c r="K690" i="8"/>
  <c r="N689" i="8"/>
  <c r="G90" i="12" s="1"/>
  <c r="M689" i="8"/>
  <c r="L689" i="8"/>
  <c r="K689" i="8"/>
  <c r="N688" i="8"/>
  <c r="G89" i="12" s="1"/>
  <c r="M688" i="8"/>
  <c r="L688" i="8"/>
  <c r="K688" i="8"/>
  <c r="N687" i="8"/>
  <c r="G88" i="12" s="1"/>
  <c r="M687" i="8"/>
  <c r="L687" i="8"/>
  <c r="K687" i="8"/>
  <c r="N686" i="8"/>
  <c r="G87" i="12" s="1"/>
  <c r="M686" i="8"/>
  <c r="L686" i="8"/>
  <c r="K686" i="8"/>
  <c r="N685" i="8"/>
  <c r="G86" i="12" s="1"/>
  <c r="M685" i="8"/>
  <c r="L685" i="8"/>
  <c r="K685" i="8"/>
  <c r="N684" i="8"/>
  <c r="G85" i="12" s="1"/>
  <c r="M684" i="8"/>
  <c r="L684" i="8"/>
  <c r="K684" i="8"/>
  <c r="N683" i="8"/>
  <c r="G84" i="12" s="1"/>
  <c r="M683" i="8"/>
  <c r="L683" i="8"/>
  <c r="K683" i="8"/>
  <c r="N682" i="8"/>
  <c r="G83" i="12" s="1"/>
  <c r="M682" i="8"/>
  <c r="L682" i="8"/>
  <c r="K682" i="8"/>
  <c r="N681" i="8"/>
  <c r="G82" i="12" s="1"/>
  <c r="M681" i="8"/>
  <c r="L681" i="8"/>
  <c r="K681" i="8"/>
  <c r="N679" i="8"/>
  <c r="G80" i="12" s="1"/>
  <c r="M679" i="8"/>
  <c r="L679" i="8"/>
  <c r="K679" i="8"/>
  <c r="N678" i="8"/>
  <c r="G79" i="12" s="1"/>
  <c r="M678" i="8"/>
  <c r="L678" i="8"/>
  <c r="K678" i="8"/>
  <c r="N677" i="8"/>
  <c r="G78" i="12" s="1"/>
  <c r="M677" i="8"/>
  <c r="L677" i="8"/>
  <c r="K677" i="8"/>
  <c r="N676" i="8"/>
  <c r="G77" i="12" s="1"/>
  <c r="M676" i="8"/>
  <c r="L676" i="8"/>
  <c r="K676" i="8"/>
  <c r="N675" i="8"/>
  <c r="G76" i="12" s="1"/>
  <c r="M675" i="8"/>
  <c r="L675" i="8"/>
  <c r="K675" i="8"/>
  <c r="N672" i="8"/>
  <c r="G73" i="12" s="1"/>
  <c r="M672" i="8"/>
  <c r="L672" i="8"/>
  <c r="K672" i="8"/>
  <c r="N671" i="8"/>
  <c r="G72" i="12" s="1"/>
  <c r="M671" i="8"/>
  <c r="L671" i="8"/>
  <c r="K671" i="8"/>
  <c r="N670" i="8"/>
  <c r="G71" i="12" s="1"/>
  <c r="M670" i="8"/>
  <c r="L670" i="8"/>
  <c r="K670" i="8"/>
  <c r="N669" i="8"/>
  <c r="G70" i="12" s="1"/>
  <c r="M669" i="8"/>
  <c r="L669" i="8"/>
  <c r="K669" i="8"/>
  <c r="N668" i="8"/>
  <c r="G68" i="12" s="1"/>
  <c r="M668" i="8"/>
  <c r="L668" i="8"/>
  <c r="K668" i="8"/>
  <c r="N667" i="8"/>
  <c r="G67" i="12" s="1"/>
  <c r="M667" i="8"/>
  <c r="L667" i="8"/>
  <c r="K667" i="8"/>
  <c r="N666" i="8"/>
  <c r="G66" i="12" s="1"/>
  <c r="M666" i="8"/>
  <c r="L666" i="8"/>
  <c r="K666" i="8"/>
  <c r="N665" i="8"/>
  <c r="G65" i="12" s="1"/>
  <c r="M665" i="8"/>
  <c r="L665" i="8"/>
  <c r="K665" i="8"/>
  <c r="N664" i="8"/>
  <c r="G64" i="12" s="1"/>
  <c r="M664" i="8"/>
  <c r="L664" i="8"/>
  <c r="K664" i="8"/>
  <c r="N663" i="8"/>
  <c r="G63" i="12" s="1"/>
  <c r="M663" i="8"/>
  <c r="L663" i="8"/>
  <c r="K663" i="8"/>
  <c r="N662" i="8"/>
  <c r="G62" i="12" s="1"/>
  <c r="M662" i="8"/>
  <c r="L662" i="8"/>
  <c r="K662" i="8"/>
  <c r="N661" i="8"/>
  <c r="G61" i="12" s="1"/>
  <c r="M661" i="8"/>
  <c r="L661" i="8"/>
  <c r="K661" i="8"/>
  <c r="N660" i="8"/>
  <c r="G60" i="12" s="1"/>
  <c r="M660" i="8"/>
  <c r="L660" i="8"/>
  <c r="K660" i="8"/>
  <c r="N659" i="8"/>
  <c r="G59" i="12" s="1"/>
  <c r="M659" i="8"/>
  <c r="L659" i="8"/>
  <c r="K659" i="8"/>
  <c r="N658" i="8"/>
  <c r="G58" i="12" s="1"/>
  <c r="M658" i="8"/>
  <c r="L658" i="8"/>
  <c r="K658" i="8"/>
  <c r="N657" i="8"/>
  <c r="G57" i="12" s="1"/>
  <c r="M657" i="8"/>
  <c r="L657" i="8"/>
  <c r="K657" i="8"/>
  <c r="N656" i="8"/>
  <c r="G56" i="12" s="1"/>
  <c r="M656" i="8"/>
  <c r="L656" i="8"/>
  <c r="K656" i="8"/>
  <c r="N655" i="8"/>
  <c r="G55" i="12" s="1"/>
  <c r="M655" i="8"/>
  <c r="L655" i="8"/>
  <c r="K655" i="8"/>
  <c r="N654" i="8"/>
  <c r="G54" i="12" s="1"/>
  <c r="M654" i="8"/>
  <c r="L654" i="8"/>
  <c r="K654" i="8"/>
  <c r="N653" i="8"/>
  <c r="G53" i="12" s="1"/>
  <c r="M653" i="8"/>
  <c r="L653" i="8"/>
  <c r="K653" i="8"/>
  <c r="N652" i="8"/>
  <c r="G52" i="12" s="1"/>
  <c r="M652" i="8"/>
  <c r="L652" i="8"/>
  <c r="K652" i="8"/>
  <c r="N651" i="8"/>
  <c r="G51" i="12" s="1"/>
  <c r="M651" i="8"/>
  <c r="L651" i="8"/>
  <c r="K651" i="8"/>
  <c r="N650" i="8"/>
  <c r="G50" i="12" s="1"/>
  <c r="M650" i="8"/>
  <c r="L650" i="8"/>
  <c r="K650" i="8"/>
  <c r="N649" i="8"/>
  <c r="G49" i="12" s="1"/>
  <c r="M649" i="8"/>
  <c r="L649" i="8"/>
  <c r="K649" i="8"/>
  <c r="N648" i="8"/>
  <c r="G48" i="12" s="1"/>
  <c r="M648" i="8"/>
  <c r="L648" i="8"/>
  <c r="K648" i="8"/>
  <c r="N647" i="8"/>
  <c r="G47" i="12" s="1"/>
  <c r="M647" i="8"/>
  <c r="L647" i="8"/>
  <c r="K647" i="8"/>
  <c r="N646" i="8"/>
  <c r="G46" i="12" s="1"/>
  <c r="M646" i="8"/>
  <c r="L646" i="8"/>
  <c r="K646" i="8"/>
  <c r="N645" i="8"/>
  <c r="G45" i="12" s="1"/>
  <c r="M645" i="8"/>
  <c r="L645" i="8"/>
  <c r="K645" i="8"/>
  <c r="N644" i="8"/>
  <c r="G44" i="12" s="1"/>
  <c r="M644" i="8"/>
  <c r="L644" i="8"/>
  <c r="K644" i="8"/>
  <c r="N643" i="8"/>
  <c r="G43" i="12" s="1"/>
  <c r="M643" i="8"/>
  <c r="L643" i="8"/>
  <c r="K643" i="8"/>
  <c r="N642" i="8"/>
  <c r="G42" i="12" s="1"/>
  <c r="M642" i="8"/>
  <c r="L642" i="8"/>
  <c r="K642" i="8"/>
  <c r="N641" i="8"/>
  <c r="G41" i="12" s="1"/>
  <c r="M641" i="8"/>
  <c r="L641" i="8"/>
  <c r="K641" i="8"/>
  <c r="N640" i="8"/>
  <c r="G40" i="12" s="1"/>
  <c r="M640" i="8"/>
  <c r="L640" i="8"/>
  <c r="K640" i="8"/>
  <c r="N639" i="8"/>
  <c r="G39" i="12" s="1"/>
  <c r="M639" i="8"/>
  <c r="L639" i="8"/>
  <c r="K639" i="8"/>
  <c r="N638" i="8"/>
  <c r="G38" i="12" s="1"/>
  <c r="M638" i="8"/>
  <c r="L638" i="8"/>
  <c r="K638" i="8"/>
  <c r="N637" i="8"/>
  <c r="G37" i="12" s="1"/>
  <c r="M637" i="8"/>
  <c r="L637" i="8"/>
  <c r="K637" i="8"/>
  <c r="N636" i="8"/>
  <c r="G36" i="12" s="1"/>
  <c r="M636" i="8"/>
  <c r="L636" i="8"/>
  <c r="K636" i="8"/>
  <c r="N397" i="14"/>
  <c r="M397" i="14"/>
  <c r="L397" i="14"/>
  <c r="K397" i="14"/>
  <c r="N396" i="14"/>
  <c r="M396" i="14"/>
  <c r="L396" i="14"/>
  <c r="K396" i="14"/>
  <c r="N395" i="14"/>
  <c r="H222" i="12" s="1"/>
  <c r="M395" i="14"/>
  <c r="L395" i="14"/>
  <c r="K395" i="14"/>
  <c r="N394" i="14"/>
  <c r="H221" i="12" s="1"/>
  <c r="M394" i="14"/>
  <c r="L394" i="14"/>
  <c r="K394" i="14"/>
  <c r="N393" i="14"/>
  <c r="H220" i="12" s="1"/>
  <c r="M393" i="14"/>
  <c r="L393" i="14"/>
  <c r="K393" i="14"/>
  <c r="N392" i="14"/>
  <c r="H219" i="12" s="1"/>
  <c r="M392" i="14"/>
  <c r="L392" i="14"/>
  <c r="K392" i="14"/>
  <c r="N391" i="14"/>
  <c r="H218" i="12" s="1"/>
  <c r="M391" i="14"/>
  <c r="L391" i="14"/>
  <c r="K391" i="14"/>
  <c r="N390" i="14"/>
  <c r="H217" i="12" s="1"/>
  <c r="M390" i="14"/>
  <c r="L390" i="14"/>
  <c r="K390" i="14"/>
  <c r="N389" i="14"/>
  <c r="H216" i="12" s="1"/>
  <c r="M389" i="14"/>
  <c r="L389" i="14"/>
  <c r="K389" i="14"/>
  <c r="N388" i="14"/>
  <c r="H215" i="12" s="1"/>
  <c r="M388" i="14"/>
  <c r="L388" i="14"/>
  <c r="K388" i="14"/>
  <c r="N387" i="14"/>
  <c r="H214" i="12" s="1"/>
  <c r="M387" i="14"/>
  <c r="L387" i="14"/>
  <c r="K387" i="14"/>
  <c r="N386" i="14"/>
  <c r="H213" i="12" s="1"/>
  <c r="M386" i="14"/>
  <c r="L386" i="14"/>
  <c r="K386" i="14"/>
  <c r="N385" i="14"/>
  <c r="H212" i="12" s="1"/>
  <c r="M385" i="14"/>
  <c r="L385" i="14"/>
  <c r="K385" i="14"/>
  <c r="N384" i="14"/>
  <c r="H211" i="12" s="1"/>
  <c r="M384" i="14"/>
  <c r="L384" i="14"/>
  <c r="K384" i="14"/>
  <c r="N383" i="14"/>
  <c r="H210" i="12" s="1"/>
  <c r="M383" i="14"/>
  <c r="L383" i="14"/>
  <c r="K383" i="14"/>
  <c r="N382" i="14"/>
  <c r="H209" i="12" s="1"/>
  <c r="M382" i="14"/>
  <c r="L382" i="14"/>
  <c r="K382" i="14"/>
  <c r="N381" i="14"/>
  <c r="H208" i="12" s="1"/>
  <c r="M381" i="14"/>
  <c r="L381" i="14"/>
  <c r="K381" i="14"/>
  <c r="N380" i="14"/>
  <c r="H207" i="12" s="1"/>
  <c r="M380" i="14"/>
  <c r="L380" i="14"/>
  <c r="K380" i="14"/>
  <c r="N379" i="14"/>
  <c r="H206" i="12" s="1"/>
  <c r="M379" i="14"/>
  <c r="L379" i="14"/>
  <c r="K379" i="14"/>
  <c r="N378" i="14"/>
  <c r="H205" i="12" s="1"/>
  <c r="M378" i="14"/>
  <c r="L378" i="14"/>
  <c r="K378" i="14"/>
  <c r="N377" i="14"/>
  <c r="H204" i="12" s="1"/>
  <c r="M377" i="14"/>
  <c r="L377" i="14"/>
  <c r="K377" i="14"/>
  <c r="N376" i="14"/>
  <c r="H203" i="12" s="1"/>
  <c r="M376" i="14"/>
  <c r="L376" i="14"/>
  <c r="K376" i="14"/>
  <c r="N375" i="14"/>
  <c r="H202" i="12" s="1"/>
  <c r="M375" i="14"/>
  <c r="L375" i="14"/>
  <c r="K375" i="14"/>
  <c r="N374" i="14"/>
  <c r="H201" i="12" s="1"/>
  <c r="M374" i="14"/>
  <c r="L374" i="14"/>
  <c r="K374" i="14"/>
  <c r="N373" i="14"/>
  <c r="H200" i="12" s="1"/>
  <c r="M373" i="14"/>
  <c r="L373" i="14"/>
  <c r="K373" i="14"/>
  <c r="N372" i="14"/>
  <c r="H199" i="12" s="1"/>
  <c r="M372" i="14"/>
  <c r="L372" i="14"/>
  <c r="K372" i="14"/>
  <c r="N371" i="14"/>
  <c r="H198" i="12" s="1"/>
  <c r="M371" i="14"/>
  <c r="L371" i="14"/>
  <c r="K371" i="14"/>
  <c r="N370" i="14"/>
  <c r="H197" i="12" s="1"/>
  <c r="M370" i="14"/>
  <c r="L370" i="14"/>
  <c r="K370" i="14"/>
  <c r="N369" i="14"/>
  <c r="H196" i="12" s="1"/>
  <c r="M369" i="14"/>
  <c r="L369" i="14"/>
  <c r="K369" i="14"/>
  <c r="N368" i="14"/>
  <c r="H195" i="12" s="1"/>
  <c r="M368" i="14"/>
  <c r="L368" i="14"/>
  <c r="K368" i="14"/>
  <c r="N367" i="14"/>
  <c r="H194" i="12" s="1"/>
  <c r="M367" i="14"/>
  <c r="L367" i="14"/>
  <c r="K367" i="14"/>
  <c r="N366" i="14"/>
  <c r="H193" i="12" s="1"/>
  <c r="M366" i="14"/>
  <c r="L366" i="14"/>
  <c r="K366" i="14"/>
  <c r="N365" i="14"/>
  <c r="H192" i="12" s="1"/>
  <c r="M365" i="14"/>
  <c r="L365" i="14"/>
  <c r="K365" i="14"/>
  <c r="N364" i="14"/>
  <c r="H191" i="12" s="1"/>
  <c r="M364" i="14"/>
  <c r="L364" i="14"/>
  <c r="K364" i="14"/>
  <c r="N363" i="14"/>
  <c r="H190" i="12" s="1"/>
  <c r="M363" i="14"/>
  <c r="L363" i="14"/>
  <c r="K363" i="14"/>
  <c r="N362" i="14"/>
  <c r="H189" i="12" s="1"/>
  <c r="M362" i="14"/>
  <c r="L362" i="14"/>
  <c r="K362" i="14"/>
  <c r="N361" i="14"/>
  <c r="H188" i="12" s="1"/>
  <c r="M361" i="14"/>
  <c r="L361" i="14"/>
  <c r="K361" i="14"/>
  <c r="N360" i="14"/>
  <c r="H187" i="12" s="1"/>
  <c r="M360" i="14"/>
  <c r="L360" i="14"/>
  <c r="K360" i="14"/>
  <c r="N359" i="14"/>
  <c r="H186" i="12" s="1"/>
  <c r="M359" i="14"/>
  <c r="L359" i="14"/>
  <c r="K359" i="14"/>
  <c r="N358" i="14"/>
  <c r="H185" i="12" s="1"/>
  <c r="M358" i="14"/>
  <c r="L358" i="14"/>
  <c r="K358" i="14"/>
  <c r="N357" i="14"/>
  <c r="H184" i="12" s="1"/>
  <c r="M357" i="14"/>
  <c r="L357" i="14"/>
  <c r="K357" i="14"/>
  <c r="N356" i="14"/>
  <c r="H183" i="12" s="1"/>
  <c r="M356" i="14"/>
  <c r="L356" i="14"/>
  <c r="K356" i="14"/>
  <c r="N355" i="14"/>
  <c r="H182" i="12" s="1"/>
  <c r="M355" i="14"/>
  <c r="L355" i="14"/>
  <c r="K355" i="14"/>
  <c r="N354" i="14"/>
  <c r="H181" i="12" s="1"/>
  <c r="M354" i="14"/>
  <c r="L354" i="14"/>
  <c r="K354" i="14"/>
  <c r="N353" i="14"/>
  <c r="H180" i="12" s="1"/>
  <c r="M353" i="14"/>
  <c r="L353" i="14"/>
  <c r="K353" i="14"/>
  <c r="N352" i="14"/>
  <c r="H179" i="12" s="1"/>
  <c r="M352" i="14"/>
  <c r="L352" i="14"/>
  <c r="K352" i="14"/>
  <c r="N351" i="14"/>
  <c r="H178" i="12" s="1"/>
  <c r="M351" i="14"/>
  <c r="L351" i="14"/>
  <c r="K351" i="14"/>
  <c r="N350" i="14"/>
  <c r="H177" i="12" s="1"/>
  <c r="M350" i="14"/>
  <c r="L350" i="14"/>
  <c r="K350" i="14"/>
  <c r="N349" i="14"/>
  <c r="H176" i="12" s="1"/>
  <c r="M349" i="14"/>
  <c r="L349" i="14"/>
  <c r="K349" i="14"/>
  <c r="N348" i="14"/>
  <c r="H175" i="12" s="1"/>
  <c r="M348" i="14"/>
  <c r="L348" i="14"/>
  <c r="K348" i="14"/>
  <c r="N347" i="14"/>
  <c r="H174" i="12" s="1"/>
  <c r="M347" i="14"/>
  <c r="L347" i="14"/>
  <c r="K347" i="14"/>
  <c r="N346" i="14"/>
  <c r="H173" i="12" s="1"/>
  <c r="M346" i="14"/>
  <c r="L346" i="14"/>
  <c r="K346" i="14"/>
  <c r="N345" i="14"/>
  <c r="H172" i="12" s="1"/>
  <c r="M345" i="14"/>
  <c r="L345" i="14"/>
  <c r="K345" i="14"/>
  <c r="N344" i="14"/>
  <c r="H171" i="12" s="1"/>
  <c r="M344" i="14"/>
  <c r="L344" i="14"/>
  <c r="K344" i="14"/>
  <c r="N343" i="14"/>
  <c r="H170" i="12" s="1"/>
  <c r="M343" i="14"/>
  <c r="L343" i="14"/>
  <c r="K343" i="14"/>
  <c r="N342" i="14"/>
  <c r="H169" i="12" s="1"/>
  <c r="M342" i="14"/>
  <c r="L342" i="14"/>
  <c r="K342" i="14"/>
  <c r="N341" i="14"/>
  <c r="H168" i="12" s="1"/>
  <c r="M341" i="14"/>
  <c r="L341" i="14"/>
  <c r="K341" i="14"/>
  <c r="N340" i="14"/>
  <c r="H167" i="12" s="1"/>
  <c r="M340" i="14"/>
  <c r="L340" i="14"/>
  <c r="K340" i="14"/>
  <c r="N339" i="14"/>
  <c r="H166" i="12" s="1"/>
  <c r="M339" i="14"/>
  <c r="L339" i="14"/>
  <c r="K339" i="14"/>
  <c r="N338" i="14"/>
  <c r="H165" i="12" s="1"/>
  <c r="M338" i="14"/>
  <c r="L338" i="14"/>
  <c r="K338" i="14"/>
  <c r="N337" i="14"/>
  <c r="H164" i="12" s="1"/>
  <c r="M337" i="14"/>
  <c r="L337" i="14"/>
  <c r="K337" i="14"/>
  <c r="N336" i="14"/>
  <c r="H163" i="12" s="1"/>
  <c r="M336" i="14"/>
  <c r="L336" i="14"/>
  <c r="K336" i="14"/>
  <c r="N335" i="14"/>
  <c r="H162" i="12" s="1"/>
  <c r="M335" i="14"/>
  <c r="L335" i="14"/>
  <c r="K335" i="14"/>
  <c r="N334" i="14"/>
  <c r="H161" i="12" s="1"/>
  <c r="M334" i="14"/>
  <c r="L334" i="14"/>
  <c r="K334" i="14"/>
  <c r="N333" i="14"/>
  <c r="H160" i="12" s="1"/>
  <c r="M333" i="14"/>
  <c r="L333" i="14"/>
  <c r="K333" i="14"/>
  <c r="N332" i="14"/>
  <c r="H159" i="12" s="1"/>
  <c r="M332" i="14"/>
  <c r="L332" i="14"/>
  <c r="K332" i="14"/>
  <c r="N331" i="14"/>
  <c r="H158" i="12" s="1"/>
  <c r="M331" i="14"/>
  <c r="L331" i="14"/>
  <c r="K331" i="14"/>
  <c r="N330" i="14"/>
  <c r="H157" i="12" s="1"/>
  <c r="M330" i="14"/>
  <c r="L330" i="14"/>
  <c r="K330" i="14"/>
  <c r="N329" i="14"/>
  <c r="H156" i="12" s="1"/>
  <c r="M329" i="14"/>
  <c r="L329" i="14"/>
  <c r="K329" i="14"/>
  <c r="N328" i="14"/>
  <c r="H155" i="12" s="1"/>
  <c r="M328" i="14"/>
  <c r="L328" i="14"/>
  <c r="K328" i="14"/>
  <c r="N327" i="14"/>
  <c r="H154" i="12" s="1"/>
  <c r="M327" i="14"/>
  <c r="L327" i="14"/>
  <c r="K327" i="14"/>
  <c r="N326" i="14"/>
  <c r="H153" i="12" s="1"/>
  <c r="M326" i="14"/>
  <c r="L326" i="14"/>
  <c r="K326" i="14"/>
  <c r="N325" i="14"/>
  <c r="H152" i="12" s="1"/>
  <c r="M325" i="14"/>
  <c r="L325" i="14"/>
  <c r="K325" i="14"/>
  <c r="N324" i="14"/>
  <c r="H151" i="12" s="1"/>
  <c r="M324" i="14"/>
  <c r="L324" i="14"/>
  <c r="K324" i="14"/>
  <c r="N323" i="14"/>
  <c r="H150" i="12" s="1"/>
  <c r="M323" i="14"/>
  <c r="L323" i="14"/>
  <c r="K323" i="14"/>
  <c r="N322" i="14"/>
  <c r="H149" i="12" s="1"/>
  <c r="M322" i="14"/>
  <c r="L322" i="14"/>
  <c r="K322" i="14"/>
  <c r="N321" i="14"/>
  <c r="H148" i="12" s="1"/>
  <c r="M321" i="14"/>
  <c r="L321" i="14"/>
  <c r="K321" i="14"/>
  <c r="N320" i="14"/>
  <c r="H147" i="12" s="1"/>
  <c r="M320" i="14"/>
  <c r="L320" i="14"/>
  <c r="K320" i="14"/>
  <c r="N319" i="14"/>
  <c r="H146" i="12" s="1"/>
  <c r="M319" i="14"/>
  <c r="L319" i="14"/>
  <c r="K319" i="14"/>
  <c r="N318" i="14"/>
  <c r="H145" i="12" s="1"/>
  <c r="M318" i="14"/>
  <c r="L318" i="14"/>
  <c r="K318" i="14"/>
  <c r="N317" i="14"/>
  <c r="H144" i="12" s="1"/>
  <c r="M317" i="14"/>
  <c r="L317" i="14"/>
  <c r="K317" i="14"/>
  <c r="N316" i="14"/>
  <c r="H143" i="12" s="1"/>
  <c r="M316" i="14"/>
  <c r="L316" i="14"/>
  <c r="K316" i="14"/>
  <c r="N315" i="14"/>
  <c r="H142" i="12" s="1"/>
  <c r="M315" i="14"/>
  <c r="L315" i="14"/>
  <c r="K315" i="14"/>
  <c r="N314" i="14"/>
  <c r="H141" i="12" s="1"/>
  <c r="M314" i="14"/>
  <c r="L314" i="14"/>
  <c r="K314" i="14"/>
  <c r="N313" i="14"/>
  <c r="H140" i="12" s="1"/>
  <c r="M313" i="14"/>
  <c r="L313" i="14"/>
  <c r="K313" i="14"/>
  <c r="N312" i="14"/>
  <c r="H139" i="12" s="1"/>
  <c r="M312" i="14"/>
  <c r="L312" i="14"/>
  <c r="K312" i="14"/>
  <c r="N311" i="14"/>
  <c r="H138" i="12" s="1"/>
  <c r="M311" i="14"/>
  <c r="L311" i="14"/>
  <c r="K311" i="14"/>
  <c r="N310" i="14"/>
  <c r="H137" i="12" s="1"/>
  <c r="M310" i="14"/>
  <c r="L310" i="14"/>
  <c r="K310" i="14"/>
  <c r="N309" i="14"/>
  <c r="H136" i="12" s="1"/>
  <c r="M309" i="14"/>
  <c r="L309" i="14"/>
  <c r="K309" i="14"/>
  <c r="N308" i="14"/>
  <c r="H135" i="12" s="1"/>
  <c r="M308" i="14"/>
  <c r="L308" i="14"/>
  <c r="K308" i="14"/>
  <c r="N307" i="14"/>
  <c r="H134" i="12" s="1"/>
  <c r="M307" i="14"/>
  <c r="L307" i="14"/>
  <c r="K307" i="14"/>
  <c r="N306" i="14"/>
  <c r="H133" i="12" s="1"/>
  <c r="M306" i="14"/>
  <c r="L306" i="14"/>
  <c r="K306" i="14"/>
  <c r="N305" i="14"/>
  <c r="H132" i="12" s="1"/>
  <c r="M305" i="14"/>
  <c r="L305" i="14"/>
  <c r="K305" i="14"/>
  <c r="N304" i="14"/>
  <c r="H131" i="12" s="1"/>
  <c r="M304" i="14"/>
  <c r="L304" i="14"/>
  <c r="K304" i="14"/>
  <c r="N303" i="14"/>
  <c r="H130" i="12" s="1"/>
  <c r="M303" i="14"/>
  <c r="L303" i="14"/>
  <c r="K303" i="14"/>
  <c r="N302" i="14"/>
  <c r="H129" i="12" s="1"/>
  <c r="M302" i="14"/>
  <c r="L302" i="14"/>
  <c r="K302" i="14"/>
  <c r="N301" i="14"/>
  <c r="H128" i="12" s="1"/>
  <c r="M301" i="14"/>
  <c r="L301" i="14"/>
  <c r="K301" i="14"/>
  <c r="N300" i="14"/>
  <c r="H127" i="12" s="1"/>
  <c r="M300" i="14"/>
  <c r="L300" i="14"/>
  <c r="K300" i="14"/>
  <c r="N299" i="14"/>
  <c r="H126" i="12" s="1"/>
  <c r="M299" i="14"/>
  <c r="L299" i="14"/>
  <c r="K299" i="14"/>
  <c r="N298" i="14"/>
  <c r="H125" i="12" s="1"/>
  <c r="M298" i="14"/>
  <c r="L298" i="14"/>
  <c r="K298" i="14"/>
  <c r="N297" i="14"/>
  <c r="H124" i="12" s="1"/>
  <c r="M297" i="14"/>
  <c r="L297" i="14"/>
  <c r="K297" i="14"/>
  <c r="N296" i="14"/>
  <c r="H123" i="12" s="1"/>
  <c r="M296" i="14"/>
  <c r="L296" i="14"/>
  <c r="K296" i="14"/>
  <c r="N295" i="14"/>
  <c r="H122" i="12" s="1"/>
  <c r="M295" i="14"/>
  <c r="L295" i="14"/>
  <c r="K295" i="14"/>
  <c r="N294" i="14"/>
  <c r="H121" i="12" s="1"/>
  <c r="M294" i="14"/>
  <c r="L294" i="14"/>
  <c r="K294" i="14"/>
  <c r="N293" i="14"/>
  <c r="H120" i="12" s="1"/>
  <c r="M293" i="14"/>
  <c r="L293" i="14"/>
  <c r="K293" i="14"/>
  <c r="N292" i="14"/>
  <c r="H119" i="12" s="1"/>
  <c r="M292" i="14"/>
  <c r="L292" i="14"/>
  <c r="K292" i="14"/>
  <c r="N291" i="14"/>
  <c r="H118" i="12" s="1"/>
  <c r="M291" i="14"/>
  <c r="L291" i="14"/>
  <c r="K291" i="14"/>
  <c r="N290" i="14"/>
  <c r="H117" i="12" s="1"/>
  <c r="M290" i="14"/>
  <c r="L290" i="14"/>
  <c r="K290" i="14"/>
  <c r="N289" i="14"/>
  <c r="H116" i="12" s="1"/>
  <c r="M289" i="14"/>
  <c r="L289" i="14"/>
  <c r="K289" i="14"/>
  <c r="N288" i="14"/>
  <c r="H115" i="12" s="1"/>
  <c r="M288" i="14"/>
  <c r="L288" i="14"/>
  <c r="K288" i="14"/>
  <c r="N287" i="14"/>
  <c r="H114" i="12" s="1"/>
  <c r="M287" i="14"/>
  <c r="L287" i="14"/>
  <c r="K287" i="14"/>
  <c r="N286" i="14"/>
  <c r="H113" i="12" s="1"/>
  <c r="M286" i="14"/>
  <c r="L286" i="14"/>
  <c r="K286" i="14"/>
  <c r="N285" i="14"/>
  <c r="H112" i="12" s="1"/>
  <c r="M285" i="14"/>
  <c r="L285" i="14"/>
  <c r="K285" i="14"/>
  <c r="N284" i="14"/>
  <c r="H111" i="12" s="1"/>
  <c r="M284" i="14"/>
  <c r="L284" i="14"/>
  <c r="K284" i="14"/>
  <c r="N283" i="14"/>
  <c r="H110" i="12" s="1"/>
  <c r="M283" i="14"/>
  <c r="L283" i="14"/>
  <c r="K283" i="14"/>
  <c r="N282" i="14"/>
  <c r="H109" i="12" s="1"/>
  <c r="M282" i="14"/>
  <c r="L282" i="14"/>
  <c r="K282" i="14"/>
  <c r="N281" i="14"/>
  <c r="H108" i="12" s="1"/>
  <c r="M281" i="14"/>
  <c r="L281" i="14"/>
  <c r="K281" i="14"/>
  <c r="N280" i="14"/>
  <c r="H107" i="12" s="1"/>
  <c r="M280" i="14"/>
  <c r="L280" i="14"/>
  <c r="K280" i="14"/>
  <c r="N279" i="14"/>
  <c r="H106" i="12" s="1"/>
  <c r="M279" i="14"/>
  <c r="L279" i="14"/>
  <c r="K279" i="14"/>
  <c r="N278" i="14"/>
  <c r="H105" i="12" s="1"/>
  <c r="M278" i="14"/>
  <c r="L278" i="14"/>
  <c r="K278" i="14"/>
  <c r="N277" i="14"/>
  <c r="H104" i="12" s="1"/>
  <c r="M277" i="14"/>
  <c r="L277" i="14"/>
  <c r="K277" i="14"/>
  <c r="N276" i="14"/>
  <c r="H103" i="12" s="1"/>
  <c r="M276" i="14"/>
  <c r="L276" i="14"/>
  <c r="K276" i="14"/>
  <c r="N275" i="14"/>
  <c r="H102" i="12" s="1"/>
  <c r="M275" i="14"/>
  <c r="L275" i="14"/>
  <c r="K275" i="14"/>
  <c r="N274" i="14"/>
  <c r="H101" i="12" s="1"/>
  <c r="M274" i="14"/>
  <c r="L274" i="14"/>
  <c r="K274" i="14"/>
  <c r="N273" i="14"/>
  <c r="H100" i="12" s="1"/>
  <c r="M273" i="14"/>
  <c r="L273" i="14"/>
  <c r="K273" i="14"/>
  <c r="N272" i="14"/>
  <c r="H99" i="12" s="1"/>
  <c r="M272" i="14"/>
  <c r="L272" i="14"/>
  <c r="K272" i="14"/>
  <c r="N271" i="14"/>
  <c r="H98" i="12" s="1"/>
  <c r="M271" i="14"/>
  <c r="L271" i="14"/>
  <c r="K271" i="14"/>
  <c r="N270" i="14"/>
  <c r="H97" i="12" s="1"/>
  <c r="M270" i="14"/>
  <c r="L270" i="14"/>
  <c r="K270" i="14"/>
  <c r="B3" i="9"/>
  <c r="B3" i="10"/>
  <c r="B3" i="3"/>
  <c r="B3" i="8"/>
  <c r="B3" i="14"/>
  <c r="B3" i="15"/>
  <c r="M141" i="12" l="1"/>
  <c r="Q141" i="12" s="1"/>
  <c r="T141" i="12" s="1"/>
  <c r="U141" i="12" s="1"/>
  <c r="G91" i="12"/>
  <c r="G92" i="12"/>
  <c r="E223" i="12"/>
  <c r="M222" i="12"/>
  <c r="D223" i="12"/>
  <c r="M213" i="12"/>
  <c r="M150" i="12"/>
  <c r="M171" i="12"/>
  <c r="M169" i="12"/>
  <c r="M214" i="12"/>
  <c r="M201" i="12"/>
  <c r="M128" i="12"/>
  <c r="M211" i="12"/>
  <c r="M159" i="12"/>
  <c r="M112" i="12"/>
  <c r="M157" i="12"/>
  <c r="M204" i="12"/>
  <c r="M148" i="12"/>
  <c r="M192" i="12"/>
  <c r="M177" i="12"/>
  <c r="M106" i="12"/>
  <c r="M173" i="12"/>
  <c r="M135" i="12"/>
  <c r="M133" i="12"/>
  <c r="M180" i="12"/>
  <c r="M165" i="12"/>
  <c r="M161" i="12"/>
  <c r="M196" i="12"/>
  <c r="M216" i="12"/>
  <c r="M168" i="12"/>
  <c r="M178" i="12"/>
  <c r="M153" i="12"/>
  <c r="M149" i="12"/>
  <c r="M184" i="12"/>
  <c r="M156" i="12"/>
  <c r="M166" i="12"/>
  <c r="M212" i="12"/>
  <c r="M167" i="12"/>
  <c r="M126" i="12"/>
  <c r="M151" i="12"/>
  <c r="M137" i="12"/>
  <c r="M154" i="12"/>
  <c r="M129" i="12"/>
  <c r="M155" i="12"/>
  <c r="M116" i="12"/>
  <c r="M139" i="12"/>
  <c r="M160" i="12"/>
  <c r="M132" i="12"/>
  <c r="M104" i="12"/>
  <c r="M130" i="12"/>
  <c r="M176" i="12"/>
  <c r="M131" i="12"/>
  <c r="M117" i="12"/>
  <c r="M136" i="12"/>
  <c r="M207" i="12"/>
  <c r="M158" i="12"/>
  <c r="M120" i="12"/>
  <c r="M164" i="12"/>
  <c r="M105" i="12"/>
  <c r="M124" i="12"/>
  <c r="M152" i="12"/>
  <c r="K35" i="5"/>
  <c r="J35" i="5"/>
  <c r="K43" i="5"/>
  <c r="J43" i="5"/>
  <c r="D64" i="16" l="1"/>
  <c r="D95" i="16"/>
  <c r="D90" i="16"/>
  <c r="D78" i="16"/>
  <c r="D66" i="16"/>
  <c r="D57" i="16"/>
  <c r="D56" i="16"/>
  <c r="D48" i="16"/>
  <c r="C84" i="16"/>
  <c r="C67" i="16"/>
  <c r="C66" i="16"/>
  <c r="C55" i="16"/>
  <c r="C48" i="16"/>
  <c r="B30" i="16"/>
  <c r="B104" i="16"/>
  <c r="B86" i="16"/>
  <c r="B78" i="16"/>
  <c r="B48" i="16"/>
  <c r="B45" i="16"/>
  <c r="B27" i="16"/>
  <c r="B11" i="16"/>
  <c r="C14" i="17"/>
  <c r="C13" i="17"/>
  <c r="C9" i="17"/>
  <c r="E20" i="17"/>
  <c r="E21" i="17"/>
  <c r="E19" i="17"/>
  <c r="E18" i="17"/>
  <c r="E17" i="17"/>
  <c r="E16" i="17"/>
  <c r="E15" i="17"/>
  <c r="E14" i="17"/>
  <c r="E13" i="17"/>
  <c r="E12" i="17"/>
  <c r="E11" i="17"/>
  <c r="E10" i="17"/>
  <c r="D19" i="17"/>
  <c r="D18" i="17"/>
  <c r="D17" i="17"/>
  <c r="D16" i="17"/>
  <c r="D15" i="17"/>
  <c r="D14" i="17"/>
  <c r="D13" i="17"/>
  <c r="D12" i="17"/>
  <c r="D11" i="17"/>
  <c r="D10" i="17"/>
  <c r="F28" i="17"/>
  <c r="F34" i="17" s="1"/>
  <c r="C12" i="17"/>
  <c r="C16" i="17"/>
  <c r="C15" i="17"/>
  <c r="C11" i="17"/>
  <c r="C10" i="17"/>
  <c r="F123" i="16"/>
  <c r="F122" i="16"/>
  <c r="F7" i="16"/>
  <c r="D124" i="16" l="1"/>
  <c r="D129" i="16" s="1"/>
  <c r="D131" i="16" s="1"/>
  <c r="D28" i="17"/>
  <c r="D34" i="17" s="1"/>
  <c r="E28" i="17"/>
  <c r="E34" i="17" s="1"/>
  <c r="C28" i="17"/>
  <c r="C34" i="17" s="1"/>
  <c r="Z13" i="6" l="1"/>
  <c r="Z3" i="6" s="1"/>
  <c r="N806" i="8" l="1"/>
  <c r="G208" i="12" s="1"/>
  <c r="P539" i="9" l="1"/>
  <c r="F221" i="12" s="1"/>
  <c r="P427" i="9"/>
  <c r="F113" i="12" s="1"/>
  <c r="P1262" i="9"/>
  <c r="P617" i="9"/>
  <c r="P269" i="9"/>
  <c r="O13" i="9" s="1"/>
  <c r="N1720" i="3"/>
  <c r="I41" i="12" s="1"/>
  <c r="I223" i="12" s="1"/>
  <c r="P366" i="9" l="1"/>
  <c r="P309" i="9"/>
  <c r="G12" i="12" s="1"/>
  <c r="P1489" i="9"/>
  <c r="P429" i="9"/>
  <c r="F115" i="12" s="1"/>
  <c r="P308" i="9"/>
  <c r="Q18" i="9" s="1"/>
  <c r="P1638" i="9"/>
  <c r="P554" i="9"/>
  <c r="P510" i="9"/>
  <c r="F194" i="12" s="1"/>
  <c r="W600" i="6"/>
  <c r="X600" i="6" s="1"/>
  <c r="Z600" i="6" s="1"/>
  <c r="W598" i="6"/>
  <c r="X598" i="6" s="1"/>
  <c r="Z598" i="6" s="1"/>
  <c r="W130" i="6"/>
  <c r="W595" i="6"/>
  <c r="X595" i="6" s="1"/>
  <c r="Z595" i="6" s="1"/>
  <c r="W593" i="6"/>
  <c r="X593" i="6" s="1"/>
  <c r="Z593" i="6" s="1"/>
  <c r="X61" i="6"/>
  <c r="X724" i="6" s="1"/>
  <c r="W120" i="6"/>
  <c r="W52" i="6"/>
  <c r="X52" i="6" s="1"/>
  <c r="Z52" i="6" s="1"/>
  <c r="AA52" i="6" s="1"/>
  <c r="W50" i="6"/>
  <c r="X50" i="6" s="1"/>
  <c r="Z50" i="6" s="1"/>
  <c r="AA50" i="6" s="1"/>
  <c r="W48" i="6"/>
  <c r="W580" i="6"/>
  <c r="X580" i="6" s="1"/>
  <c r="Z580" i="6" s="1"/>
  <c r="W573" i="6"/>
  <c r="X573" i="6" s="1"/>
  <c r="Z573" i="6" s="1"/>
  <c r="W607" i="6"/>
  <c r="X607" i="6" s="1"/>
  <c r="Z607" i="6" s="1"/>
  <c r="W604" i="6"/>
  <c r="X604" i="6" s="1"/>
  <c r="Z604" i="6" s="1"/>
  <c r="W54" i="6"/>
  <c r="X54" i="6" s="1"/>
  <c r="Z54" i="6" s="1"/>
  <c r="AA54" i="6" s="1"/>
  <c r="W65" i="6"/>
  <c r="X65" i="6" s="1"/>
  <c r="Z65" i="6" s="1"/>
  <c r="AA65" i="6" s="1"/>
  <c r="W597" i="6"/>
  <c r="W67" i="6"/>
  <c r="X67" i="6" s="1"/>
  <c r="Z67" i="6" s="1"/>
  <c r="AA67" i="6" s="1"/>
  <c r="W64" i="6"/>
  <c r="X64" i="6" s="1"/>
  <c r="Z64" i="6" s="1"/>
  <c r="AA64" i="6" s="1"/>
  <c r="W608" i="6"/>
  <c r="X608" i="6" s="1"/>
  <c r="Z608" i="6" s="1"/>
  <c r="W589" i="6"/>
  <c r="X589" i="6" s="1"/>
  <c r="Z589" i="6" s="1"/>
  <c r="W44" i="6"/>
  <c r="X44" i="6" s="1"/>
  <c r="Z44" i="6" s="1"/>
  <c r="AA44" i="6" s="1"/>
  <c r="W40" i="6"/>
  <c r="W131" i="6"/>
  <c r="W126" i="6"/>
  <c r="X126" i="6" s="1"/>
  <c r="Z126" i="6" s="1"/>
  <c r="W124" i="6"/>
  <c r="X124" i="6" s="1"/>
  <c r="Z124" i="6" s="1"/>
  <c r="W602" i="6"/>
  <c r="X602" i="6" s="1"/>
  <c r="Z602" i="6" s="1"/>
  <c r="W45" i="6"/>
  <c r="W611" i="6"/>
  <c r="X611" i="6" s="1"/>
  <c r="Z611" i="6" s="1"/>
  <c r="W591" i="6"/>
  <c r="X591" i="6" s="1"/>
  <c r="Z591" i="6" s="1"/>
  <c r="W586" i="6"/>
  <c r="X586" i="6" s="1"/>
  <c r="Z586" i="6" s="1"/>
  <c r="W582" i="6"/>
  <c r="X582" i="6" s="1"/>
  <c r="Z582" i="6" s="1"/>
  <c r="X70" i="6"/>
  <c r="Z70" i="6" s="1"/>
  <c r="AA70" i="6" s="1"/>
  <c r="W137" i="6"/>
  <c r="X137" i="6" s="1"/>
  <c r="Z137" i="6" s="1"/>
  <c r="W606" i="6"/>
  <c r="X606" i="6" s="1"/>
  <c r="Z606" i="6" s="1"/>
  <c r="W596" i="6"/>
  <c r="X596" i="6" s="1"/>
  <c r="Z596" i="6" s="1"/>
  <c r="W592" i="6"/>
  <c r="X592" i="6" s="1"/>
  <c r="Z592" i="6" s="1"/>
  <c r="W612" i="6"/>
  <c r="X612" i="6" s="1"/>
  <c r="Z612" i="6" s="1"/>
  <c r="W583" i="6"/>
  <c r="X583" i="6" s="1"/>
  <c r="Z583" i="6" s="1"/>
  <c r="W578" i="6"/>
  <c r="X578" i="6" s="1"/>
  <c r="Z578" i="6" s="1"/>
  <c r="W587" i="6"/>
  <c r="X587" i="6" s="1"/>
  <c r="Z587" i="6" s="1"/>
  <c r="W614" i="6"/>
  <c r="X614" i="6" s="1"/>
  <c r="Z614" i="6" s="1"/>
  <c r="W579" i="6"/>
  <c r="X579" i="6" s="1"/>
  <c r="Z579" i="6" s="1"/>
  <c r="W610" i="6"/>
  <c r="X610" i="6" s="1"/>
  <c r="Z610" i="6" s="1"/>
  <c r="W576" i="6"/>
  <c r="X576" i="6" s="1"/>
  <c r="Z576" i="6" s="1"/>
  <c r="W770" i="6"/>
  <c r="W821" i="6"/>
  <c r="W811" i="6"/>
  <c r="W69" i="6"/>
  <c r="X69" i="6" s="1"/>
  <c r="Z69" i="6" s="1"/>
  <c r="AA69" i="6" s="1"/>
  <c r="W56" i="6"/>
  <c r="X56" i="6" s="1"/>
  <c r="Z56" i="6" s="1"/>
  <c r="AA56" i="6" s="1"/>
  <c r="W39" i="6"/>
  <c r="X39" i="6" s="1"/>
  <c r="Z39" i="6" s="1"/>
  <c r="AA39" i="6" s="1"/>
  <c r="W121" i="6"/>
  <c r="X121" i="6" s="1"/>
  <c r="Z121" i="6" s="1"/>
  <c r="W47" i="6"/>
  <c r="X47" i="6" s="1"/>
  <c r="Z47" i="6" s="1"/>
  <c r="AA47" i="6" s="1"/>
  <c r="W128" i="6"/>
  <c r="X128" i="6" s="1"/>
  <c r="Z128" i="6" s="1"/>
  <c r="X45" i="6" l="1"/>
  <c r="X40" i="6"/>
  <c r="X48" i="6"/>
  <c r="Z48" i="6" s="1"/>
  <c r="AA48" i="6" s="1"/>
  <c r="W707" i="6"/>
  <c r="Z61" i="6"/>
  <c r="F47" i="12"/>
  <c r="J23" i="20"/>
  <c r="J23" i="22"/>
  <c r="Q13" i="9"/>
  <c r="W823" i="6"/>
  <c r="W740" i="6"/>
  <c r="X131" i="6"/>
  <c r="W739" i="6"/>
  <c r="W827" i="6"/>
  <c r="X120" i="6"/>
  <c r="W838" i="6"/>
  <c r="W750" i="6"/>
  <c r="Z766" i="6"/>
  <c r="C134" i="12" s="1"/>
  <c r="X766" i="6"/>
  <c r="W734" i="6"/>
  <c r="W795" i="6"/>
  <c r="X130" i="6"/>
  <c r="W116" i="6"/>
  <c r="X116" i="6" s="1"/>
  <c r="Z116" i="6" s="1"/>
  <c r="W585" i="6"/>
  <c r="X585" i="6" s="1"/>
  <c r="Z585" i="6" s="1"/>
  <c r="W581" i="6"/>
  <c r="X581" i="6" s="1"/>
  <c r="Z581" i="6" s="1"/>
  <c r="W122" i="6"/>
  <c r="X122" i="6" s="1"/>
  <c r="Z122" i="6" s="1"/>
  <c r="W584" i="6"/>
  <c r="W43" i="6"/>
  <c r="X43" i="6" s="1"/>
  <c r="Z43" i="6" s="1"/>
  <c r="AA43" i="6" s="1"/>
  <c r="W577" i="6"/>
  <c r="X577" i="6" s="1"/>
  <c r="Z577" i="6" s="1"/>
  <c r="W129" i="6"/>
  <c r="X129" i="6" s="1"/>
  <c r="Z129" i="6" s="1"/>
  <c r="W110" i="6"/>
  <c r="W117" i="6"/>
  <c r="X157" i="6"/>
  <c r="Z157" i="6" s="1"/>
  <c r="W134" i="6"/>
  <c r="X134" i="6" s="1"/>
  <c r="Z134" i="6" s="1"/>
  <c r="W605" i="6"/>
  <c r="X605" i="6" s="1"/>
  <c r="Z605" i="6" s="1"/>
  <c r="X597" i="6"/>
  <c r="Z597" i="6" s="1"/>
  <c r="W588" i="6"/>
  <c r="X588" i="6" s="1"/>
  <c r="Z588" i="6" s="1"/>
  <c r="W63" i="6"/>
  <c r="W118" i="6"/>
  <c r="X118" i="6" s="1"/>
  <c r="Z118" i="6" s="1"/>
  <c r="W754" i="6"/>
  <c r="W123" i="6"/>
  <c r="X123" i="6" s="1"/>
  <c r="Z123" i="6" s="1"/>
  <c r="W114" i="6"/>
  <c r="W575" i="6"/>
  <c r="X575" i="6" s="1"/>
  <c r="Z575" i="6" s="1"/>
  <c r="W66" i="6"/>
  <c r="X66" i="6" s="1"/>
  <c r="Z66" i="6" s="1"/>
  <c r="AA66" i="6" s="1"/>
  <c r="W112" i="6"/>
  <c r="W119" i="6"/>
  <c r="X119" i="6" s="1"/>
  <c r="Z119" i="6" s="1"/>
  <c r="X133" i="6"/>
  <c r="Z133" i="6" s="1"/>
  <c r="W42" i="6"/>
  <c r="X42" i="6" s="1"/>
  <c r="Z42" i="6" s="1"/>
  <c r="AA42" i="6" s="1"/>
  <c r="W603" i="6"/>
  <c r="X603" i="6" s="1"/>
  <c r="Z603" i="6" s="1"/>
  <c r="W113" i="6"/>
  <c r="X113" i="6" s="1"/>
  <c r="Z113" i="6" s="1"/>
  <c r="W111" i="6"/>
  <c r="W38" i="6"/>
  <c r="X38" i="6" s="1"/>
  <c r="Z38" i="6" s="1"/>
  <c r="AA38" i="6" s="1"/>
  <c r="W49" i="6"/>
  <c r="X49" i="6" s="1"/>
  <c r="Z49" i="6" s="1"/>
  <c r="AA49" i="6" s="1"/>
  <c r="W127" i="6"/>
  <c r="X127" i="6" s="1"/>
  <c r="Z127" i="6" s="1"/>
  <c r="W68" i="6"/>
  <c r="X68" i="6" s="1"/>
  <c r="Z68" i="6" s="1"/>
  <c r="AA68" i="6" s="1"/>
  <c r="W62" i="6"/>
  <c r="X62" i="6" s="1"/>
  <c r="W599" i="6"/>
  <c r="X599" i="6" s="1"/>
  <c r="Z599" i="6" s="1"/>
  <c r="W136" i="6"/>
  <c r="W115" i="6"/>
  <c r="X115" i="6" s="1"/>
  <c r="Z115" i="6" s="1"/>
  <c r="W41" i="6"/>
  <c r="W53" i="6"/>
  <c r="X53" i="6" s="1"/>
  <c r="Z53" i="6" s="1"/>
  <c r="AA53" i="6" s="1"/>
  <c r="W46" i="6"/>
  <c r="X46" i="6" s="1"/>
  <c r="Z46" i="6" s="1"/>
  <c r="AA46" i="6" s="1"/>
  <c r="W574" i="6"/>
  <c r="X574" i="6" s="1"/>
  <c r="Z574" i="6" s="1"/>
  <c r="W51" i="6"/>
  <c r="X51" i="6" s="1"/>
  <c r="Z51" i="6" s="1"/>
  <c r="AA51" i="6" s="1"/>
  <c r="W601" i="6"/>
  <c r="X601" i="6" s="1"/>
  <c r="Z601" i="6" s="1"/>
  <c r="X149" i="6"/>
  <c r="Z149" i="6" s="1"/>
  <c r="W609" i="6"/>
  <c r="X609" i="6" s="1"/>
  <c r="Z609" i="6" s="1"/>
  <c r="W572" i="6"/>
  <c r="X572" i="6" s="1"/>
  <c r="Z572" i="6" s="1"/>
  <c r="W594" i="6"/>
  <c r="X594" i="6" s="1"/>
  <c r="Z594" i="6" s="1"/>
  <c r="W55" i="6"/>
  <c r="X55" i="6" s="1"/>
  <c r="Z55" i="6" s="1"/>
  <c r="AA55" i="6" s="1"/>
  <c r="W590" i="6"/>
  <c r="X590" i="6" s="1"/>
  <c r="Z590" i="6" s="1"/>
  <c r="W125" i="6"/>
  <c r="X125" i="6" s="1"/>
  <c r="Z125" i="6" s="1"/>
  <c r="X584" i="6"/>
  <c r="W613" i="6"/>
  <c r="X613" i="6" s="1"/>
  <c r="Z613" i="6" s="1"/>
  <c r="X41" i="6" l="1"/>
  <c r="W722" i="6"/>
  <c r="AA61" i="6"/>
  <c r="Z724" i="6"/>
  <c r="Z45" i="6"/>
  <c r="Z40" i="6"/>
  <c r="Z62" i="6"/>
  <c r="AA62" i="6" s="1"/>
  <c r="X823" i="6"/>
  <c r="Z823" i="6"/>
  <c r="C191" i="12" s="1"/>
  <c r="M191" i="12" s="1"/>
  <c r="M134" i="12"/>
  <c r="X63" i="6"/>
  <c r="W817" i="6"/>
  <c r="W742" i="6"/>
  <c r="X114" i="6"/>
  <c r="W834" i="6"/>
  <c r="X821" i="6"/>
  <c r="X770" i="6"/>
  <c r="Z740" i="6"/>
  <c r="C108" i="12" s="1"/>
  <c r="X740" i="6"/>
  <c r="Z131" i="6"/>
  <c r="Z739" i="6" s="1"/>
  <c r="C107" i="12" s="1"/>
  <c r="X739" i="6"/>
  <c r="Z827" i="6"/>
  <c r="C195" i="12" s="1"/>
  <c r="X827" i="6"/>
  <c r="X811" i="6"/>
  <c r="X754" i="6"/>
  <c r="W804" i="6"/>
  <c r="W746" i="6"/>
  <c r="X624" i="6"/>
  <c r="W819" i="6"/>
  <c r="Z120" i="6"/>
  <c r="Z838" i="6" s="1"/>
  <c r="C206" i="12" s="1"/>
  <c r="X838" i="6"/>
  <c r="X136" i="6"/>
  <c r="W757" i="6"/>
  <c r="X111" i="6"/>
  <c r="W778" i="6"/>
  <c r="W779" i="6"/>
  <c r="W751" i="6"/>
  <c r="Z751" i="6"/>
  <c r="C119" i="12" s="1"/>
  <c r="R119" i="12" s="1"/>
  <c r="X751" i="6"/>
  <c r="Z750" i="6"/>
  <c r="C118" i="12" s="1"/>
  <c r="R118" i="12" s="1"/>
  <c r="X750" i="6"/>
  <c r="W825" i="6"/>
  <c r="W837" i="6"/>
  <c r="X112" i="6"/>
  <c r="W849" i="6"/>
  <c r="X734" i="6"/>
  <c r="W775" i="6"/>
  <c r="W772" i="6"/>
  <c r="W624" i="6"/>
  <c r="Z584" i="6"/>
  <c r="W735" i="6"/>
  <c r="W743" i="6"/>
  <c r="W627" i="6"/>
  <c r="X795" i="6"/>
  <c r="X110" i="6"/>
  <c r="W776" i="6"/>
  <c r="Z130" i="6"/>
  <c r="Z772" i="6" s="1"/>
  <c r="C140" i="12" s="1"/>
  <c r="X772" i="6"/>
  <c r="X742" i="6"/>
  <c r="W632" i="6"/>
  <c r="X117" i="6"/>
  <c r="W815" i="6"/>
  <c r="P386" i="9"/>
  <c r="F67" i="12" s="1"/>
  <c r="C616" i="6"/>
  <c r="C635" i="6"/>
  <c r="C634" i="6"/>
  <c r="C633" i="6"/>
  <c r="C632" i="6"/>
  <c r="C631" i="6"/>
  <c r="C630" i="6"/>
  <c r="C625" i="6"/>
  <c r="C629" i="6"/>
  <c r="C636" i="6"/>
  <c r="C628" i="6"/>
  <c r="C626" i="6"/>
  <c r="C623" i="6"/>
  <c r="C622" i="6"/>
  <c r="C621" i="6"/>
  <c r="C620" i="6"/>
  <c r="C619" i="6"/>
  <c r="C618" i="6"/>
  <c r="C617" i="6"/>
  <c r="Y635" i="6"/>
  <c r="P635" i="6"/>
  <c r="M635" i="6"/>
  <c r="L635" i="6"/>
  <c r="Y634" i="6"/>
  <c r="P634" i="6"/>
  <c r="M634" i="6"/>
  <c r="L634" i="6"/>
  <c r="Z633" i="6"/>
  <c r="D21" i="12" s="1"/>
  <c r="Y633" i="6"/>
  <c r="X633" i="6"/>
  <c r="W633" i="6"/>
  <c r="V633" i="6"/>
  <c r="U633" i="6"/>
  <c r="T633" i="6"/>
  <c r="S633" i="6"/>
  <c r="R633" i="6"/>
  <c r="Q633" i="6"/>
  <c r="P633" i="6"/>
  <c r="N633" i="6"/>
  <c r="M633" i="6"/>
  <c r="L633" i="6"/>
  <c r="Y632" i="6"/>
  <c r="S632" i="6"/>
  <c r="P632" i="6"/>
  <c r="Y631" i="6"/>
  <c r="S631" i="6"/>
  <c r="P631" i="6"/>
  <c r="M631" i="6"/>
  <c r="L631" i="6"/>
  <c r="Y630" i="6"/>
  <c r="P630" i="6"/>
  <c r="M630" i="6"/>
  <c r="L630" i="6"/>
  <c r="Y625" i="6"/>
  <c r="V625" i="6"/>
  <c r="S625" i="6"/>
  <c r="P625" i="6"/>
  <c r="M625" i="6"/>
  <c r="L625" i="6"/>
  <c r="Y629" i="6"/>
  <c r="P629" i="6"/>
  <c r="M629" i="6"/>
  <c r="L629" i="6"/>
  <c r="Y636" i="6"/>
  <c r="P636" i="6"/>
  <c r="M636" i="6"/>
  <c r="L636" i="6"/>
  <c r="Y628" i="6"/>
  <c r="V628" i="6"/>
  <c r="U628" i="6"/>
  <c r="T628" i="6"/>
  <c r="S628" i="6"/>
  <c r="P628" i="6"/>
  <c r="M628" i="6"/>
  <c r="L628" i="6"/>
  <c r="Y626" i="6"/>
  <c r="P626" i="6"/>
  <c r="M626" i="6"/>
  <c r="L626" i="6"/>
  <c r="Y623" i="6"/>
  <c r="S623" i="6"/>
  <c r="P623" i="6"/>
  <c r="M623" i="6"/>
  <c r="L623" i="6"/>
  <c r="Y622" i="6"/>
  <c r="P622" i="6"/>
  <c r="M622" i="6"/>
  <c r="L622" i="6"/>
  <c r="Y621" i="6"/>
  <c r="S621" i="6"/>
  <c r="P621" i="6"/>
  <c r="M621" i="6"/>
  <c r="L621" i="6"/>
  <c r="Y620" i="6"/>
  <c r="S620" i="6"/>
  <c r="P620" i="6"/>
  <c r="M620" i="6"/>
  <c r="Y619" i="6"/>
  <c r="S619" i="6"/>
  <c r="P619" i="6"/>
  <c r="M619" i="6"/>
  <c r="L619" i="6"/>
  <c r="Y618" i="6"/>
  <c r="V618" i="6"/>
  <c r="U618" i="6"/>
  <c r="T618" i="6"/>
  <c r="P618" i="6"/>
  <c r="M618" i="6"/>
  <c r="L618" i="6"/>
  <c r="Y617" i="6"/>
  <c r="P617" i="6"/>
  <c r="M617" i="6"/>
  <c r="Y616" i="6"/>
  <c r="P616" i="6"/>
  <c r="M616" i="6"/>
  <c r="AA45" i="6" l="1"/>
  <c r="Z41" i="6"/>
  <c r="X722" i="6"/>
  <c r="AA40" i="6"/>
  <c r="Z795" i="6"/>
  <c r="C163" i="12" s="1"/>
  <c r="M163" i="12" s="1"/>
  <c r="Z811" i="6"/>
  <c r="C179" i="12" s="1"/>
  <c r="M179" i="12" s="1"/>
  <c r="Z734" i="6"/>
  <c r="C102" i="12" s="1"/>
  <c r="M102" i="12" s="1"/>
  <c r="Z770" i="6"/>
  <c r="C138" i="12" s="1"/>
  <c r="M138" i="12" s="1"/>
  <c r="Z821" i="6"/>
  <c r="C189" i="12" s="1"/>
  <c r="R22" i="20"/>
  <c r="R22" i="22"/>
  <c r="M195" i="12"/>
  <c r="M108" i="12"/>
  <c r="M206" i="12"/>
  <c r="M118" i="12"/>
  <c r="M140" i="12"/>
  <c r="M107" i="12"/>
  <c r="M119" i="12"/>
  <c r="Z63" i="6"/>
  <c r="X817" i="6"/>
  <c r="Z114" i="6"/>
  <c r="Z834" i="6" s="1"/>
  <c r="C202" i="12" s="1"/>
  <c r="X834" i="6"/>
  <c r="X804" i="6"/>
  <c r="Z746" i="6"/>
  <c r="C114" i="12" s="1"/>
  <c r="X746" i="6"/>
  <c r="X819" i="6"/>
  <c r="Z136" i="6"/>
  <c r="Z757" i="6" s="1"/>
  <c r="X757" i="6"/>
  <c r="X779" i="6"/>
  <c r="Z111" i="6"/>
  <c r="X778" i="6"/>
  <c r="Z825" i="6"/>
  <c r="C193" i="12" s="1"/>
  <c r="X825" i="6"/>
  <c r="Z837" i="6"/>
  <c r="C205" i="12" s="1"/>
  <c r="X837" i="6"/>
  <c r="Z112" i="6"/>
  <c r="Z849" i="6" s="1"/>
  <c r="C217" i="12" s="1"/>
  <c r="X849" i="6"/>
  <c r="P638" i="6"/>
  <c r="Y638" i="6"/>
  <c r="M638" i="6"/>
  <c r="X775" i="6"/>
  <c r="X627" i="6"/>
  <c r="Z742" i="6"/>
  <c r="C110" i="12" s="1"/>
  <c r="X735" i="6"/>
  <c r="X743" i="6"/>
  <c r="Z110" i="6"/>
  <c r="Z776" i="6" s="1"/>
  <c r="C144" i="12" s="1"/>
  <c r="X776" i="6"/>
  <c r="Z117" i="6"/>
  <c r="Z815" i="6" s="1"/>
  <c r="C183" i="12" s="1"/>
  <c r="X815" i="6"/>
  <c r="W91" i="6"/>
  <c r="W96" i="6"/>
  <c r="X96" i="6" s="1"/>
  <c r="Z96" i="6" s="1"/>
  <c r="AA96" i="6" s="1"/>
  <c r="W90" i="6"/>
  <c r="W94" i="6"/>
  <c r="C733" i="6"/>
  <c r="C732" i="6"/>
  <c r="C731" i="6"/>
  <c r="C730" i="6"/>
  <c r="C729" i="6"/>
  <c r="C728" i="6"/>
  <c r="C727" i="6"/>
  <c r="C726" i="6"/>
  <c r="C725" i="6"/>
  <c r="C724" i="6"/>
  <c r="C723" i="6"/>
  <c r="C721" i="6"/>
  <c r="C720" i="6"/>
  <c r="C719" i="6"/>
  <c r="C718" i="6"/>
  <c r="C717" i="6"/>
  <c r="C716" i="6"/>
  <c r="C715" i="6"/>
  <c r="C714" i="6"/>
  <c r="C713" i="6"/>
  <c r="C711" i="6"/>
  <c r="C710" i="6"/>
  <c r="C709" i="6"/>
  <c r="C708" i="6"/>
  <c r="C707" i="6"/>
  <c r="C704" i="6"/>
  <c r="C703"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Y733" i="6"/>
  <c r="S733" i="6"/>
  <c r="P733" i="6"/>
  <c r="M733" i="6"/>
  <c r="L733" i="6"/>
  <c r="Y732" i="6"/>
  <c r="V732" i="6"/>
  <c r="U732" i="6"/>
  <c r="T732" i="6"/>
  <c r="S732" i="6"/>
  <c r="P732" i="6"/>
  <c r="M732" i="6"/>
  <c r="L732" i="6"/>
  <c r="Y731" i="6"/>
  <c r="P731" i="6"/>
  <c r="M731" i="6"/>
  <c r="Y730" i="6"/>
  <c r="V730" i="6"/>
  <c r="U730" i="6"/>
  <c r="T730" i="6"/>
  <c r="P730" i="6"/>
  <c r="M730" i="6"/>
  <c r="L730" i="6"/>
  <c r="Y729" i="6"/>
  <c r="V729" i="6"/>
  <c r="U729" i="6"/>
  <c r="T729" i="6"/>
  <c r="S729" i="6"/>
  <c r="P729" i="6"/>
  <c r="M729" i="6"/>
  <c r="L729" i="6"/>
  <c r="Y728" i="6"/>
  <c r="P728" i="6"/>
  <c r="M728" i="6"/>
  <c r="L728" i="6"/>
  <c r="Z727" i="6"/>
  <c r="C95" i="12" s="1"/>
  <c r="R95" i="12" s="1"/>
  <c r="Y727" i="6"/>
  <c r="X727" i="6"/>
  <c r="W727" i="6"/>
  <c r="V727" i="6"/>
  <c r="U727" i="6"/>
  <c r="T727" i="6"/>
  <c r="S727" i="6"/>
  <c r="R727" i="6"/>
  <c r="Q727" i="6"/>
  <c r="P727" i="6"/>
  <c r="N727" i="6"/>
  <c r="M727" i="6"/>
  <c r="L727" i="6"/>
  <c r="Y726" i="6"/>
  <c r="V726" i="6"/>
  <c r="U726" i="6"/>
  <c r="T726" i="6"/>
  <c r="S726" i="6"/>
  <c r="R726" i="6"/>
  <c r="Q726" i="6"/>
  <c r="P726" i="6"/>
  <c r="N726" i="6"/>
  <c r="M726" i="6"/>
  <c r="L726" i="6"/>
  <c r="Y725" i="6"/>
  <c r="P725" i="6"/>
  <c r="M725" i="6"/>
  <c r="L725" i="6"/>
  <c r="P724" i="6"/>
  <c r="M724" i="6"/>
  <c r="L724" i="6"/>
  <c r="P723" i="6"/>
  <c r="M723" i="6"/>
  <c r="Y721" i="6"/>
  <c r="V721" i="6"/>
  <c r="U721" i="6"/>
  <c r="T721" i="6"/>
  <c r="M721" i="6"/>
  <c r="Y720" i="6"/>
  <c r="V720" i="6"/>
  <c r="U720" i="6"/>
  <c r="T720" i="6"/>
  <c r="S720" i="6"/>
  <c r="M720" i="6"/>
  <c r="Y719" i="6"/>
  <c r="V719" i="6"/>
  <c r="U719" i="6"/>
  <c r="T719" i="6"/>
  <c r="S719" i="6"/>
  <c r="R719" i="6"/>
  <c r="Q719" i="6"/>
  <c r="N719" i="6"/>
  <c r="M719" i="6"/>
  <c r="L719" i="6"/>
  <c r="Y718" i="6"/>
  <c r="M718" i="6"/>
  <c r="L718" i="6"/>
  <c r="Y717" i="6"/>
  <c r="V717" i="6"/>
  <c r="U717" i="6"/>
  <c r="T717" i="6"/>
  <c r="S717" i="6"/>
  <c r="M717" i="6"/>
  <c r="L717" i="6"/>
  <c r="Y716" i="6"/>
  <c r="V716" i="6"/>
  <c r="U716" i="6"/>
  <c r="T716" i="6"/>
  <c r="S716" i="6"/>
  <c r="M716" i="6"/>
  <c r="L716" i="6"/>
  <c r="Y715" i="6"/>
  <c r="V715" i="6"/>
  <c r="M715" i="6"/>
  <c r="Y714" i="6"/>
  <c r="S714" i="6"/>
  <c r="M714" i="6"/>
  <c r="L714" i="6"/>
  <c r="Y713" i="6"/>
  <c r="V713" i="6"/>
  <c r="U713" i="6"/>
  <c r="T713" i="6"/>
  <c r="S713" i="6"/>
  <c r="R713" i="6"/>
  <c r="Q713" i="6"/>
  <c r="N713" i="6"/>
  <c r="M713" i="6"/>
  <c r="L713" i="6"/>
  <c r="Y711" i="6"/>
  <c r="V711" i="6"/>
  <c r="U711" i="6"/>
  <c r="T711" i="6"/>
  <c r="S711" i="6"/>
  <c r="M711" i="6"/>
  <c r="L711" i="6"/>
  <c r="Y710" i="6"/>
  <c r="S710" i="6"/>
  <c r="M710" i="6"/>
  <c r="L710" i="6"/>
  <c r="Y709" i="6"/>
  <c r="V709" i="6"/>
  <c r="U709" i="6"/>
  <c r="T709" i="6"/>
  <c r="S709" i="6"/>
  <c r="M709" i="6"/>
  <c r="L709" i="6"/>
  <c r="Y708" i="6"/>
  <c r="V708" i="6"/>
  <c r="U708" i="6"/>
  <c r="T708" i="6"/>
  <c r="M708" i="6"/>
  <c r="L708" i="6"/>
  <c r="Y707" i="6"/>
  <c r="V707" i="6"/>
  <c r="S707" i="6"/>
  <c r="L707" i="6"/>
  <c r="Y704" i="6"/>
  <c r="V704" i="6"/>
  <c r="U704" i="6"/>
  <c r="T704" i="6"/>
  <c r="P704" i="6"/>
  <c r="M704" i="6"/>
  <c r="L704" i="6"/>
  <c r="M703" i="6"/>
  <c r="Y701" i="6"/>
  <c r="U701" i="6"/>
  <c r="P701" i="6"/>
  <c r="M701" i="6"/>
  <c r="L701" i="6"/>
  <c r="Y700" i="6"/>
  <c r="P700" i="6"/>
  <c r="M700" i="6"/>
  <c r="L700" i="6"/>
  <c r="Y699" i="6"/>
  <c r="V699" i="6"/>
  <c r="U699" i="6"/>
  <c r="T699" i="6"/>
  <c r="P699" i="6"/>
  <c r="M699" i="6"/>
  <c r="L699" i="6"/>
  <c r="Y698" i="6"/>
  <c r="V698" i="6"/>
  <c r="U698" i="6"/>
  <c r="T698" i="6"/>
  <c r="S698" i="6"/>
  <c r="P698" i="6"/>
  <c r="M698" i="6"/>
  <c r="L698" i="6"/>
  <c r="Y697" i="6"/>
  <c r="V697" i="6"/>
  <c r="U697" i="6"/>
  <c r="T697" i="6"/>
  <c r="S697" i="6"/>
  <c r="P697" i="6"/>
  <c r="M697" i="6"/>
  <c r="L697" i="6"/>
  <c r="Y696" i="6"/>
  <c r="V696" i="6"/>
  <c r="U696" i="6"/>
  <c r="T696" i="6"/>
  <c r="S696" i="6"/>
  <c r="P696" i="6"/>
  <c r="M696" i="6"/>
  <c r="L696" i="6"/>
  <c r="Y695" i="6"/>
  <c r="P695" i="6"/>
  <c r="M695" i="6"/>
  <c r="L695" i="6"/>
  <c r="Y694" i="6"/>
  <c r="V694" i="6"/>
  <c r="U694" i="6"/>
  <c r="T694" i="6"/>
  <c r="P694" i="6"/>
  <c r="M694" i="6"/>
  <c r="L694" i="6"/>
  <c r="Y693" i="6"/>
  <c r="V693" i="6"/>
  <c r="U693" i="6"/>
  <c r="T693" i="6"/>
  <c r="P693" i="6"/>
  <c r="M693" i="6"/>
  <c r="L693" i="6"/>
  <c r="Y692" i="6"/>
  <c r="V692" i="6"/>
  <c r="U692" i="6"/>
  <c r="T692" i="6"/>
  <c r="P692" i="6"/>
  <c r="M692" i="6"/>
  <c r="L692" i="6"/>
  <c r="Y691" i="6"/>
  <c r="V691" i="6"/>
  <c r="U691" i="6"/>
  <c r="T691" i="6"/>
  <c r="P691" i="6"/>
  <c r="M691" i="6"/>
  <c r="L691" i="6"/>
  <c r="Y690" i="6"/>
  <c r="P690" i="6"/>
  <c r="M690" i="6"/>
  <c r="L690" i="6"/>
  <c r="Y689" i="6"/>
  <c r="V689" i="6"/>
  <c r="U689" i="6"/>
  <c r="T689" i="6"/>
  <c r="P689" i="6"/>
  <c r="M689" i="6"/>
  <c r="L689" i="6"/>
  <c r="Y688" i="6"/>
  <c r="V688" i="6"/>
  <c r="U688" i="6"/>
  <c r="T688" i="6"/>
  <c r="P688" i="6"/>
  <c r="M688" i="6"/>
  <c r="L688" i="6"/>
  <c r="Y687" i="6"/>
  <c r="P687" i="6"/>
  <c r="M687" i="6"/>
  <c r="L687" i="6"/>
  <c r="Y686" i="6"/>
  <c r="P686" i="6"/>
  <c r="M686" i="6"/>
  <c r="L686" i="6"/>
  <c r="Y685" i="6"/>
  <c r="V685" i="6"/>
  <c r="U685" i="6"/>
  <c r="T685" i="6"/>
  <c r="P685" i="6"/>
  <c r="M685" i="6"/>
  <c r="L685" i="6"/>
  <c r="Y684" i="6"/>
  <c r="V684" i="6"/>
  <c r="U684" i="6"/>
  <c r="T684" i="6"/>
  <c r="P684" i="6"/>
  <c r="M684" i="6"/>
  <c r="L684" i="6"/>
  <c r="Y683" i="6"/>
  <c r="V683" i="6"/>
  <c r="U683" i="6"/>
  <c r="T683" i="6"/>
  <c r="S683" i="6"/>
  <c r="R683" i="6"/>
  <c r="Q683" i="6"/>
  <c r="P683" i="6"/>
  <c r="N683" i="6"/>
  <c r="M683" i="6"/>
  <c r="L683" i="6"/>
  <c r="Y682" i="6"/>
  <c r="V682" i="6"/>
  <c r="S682" i="6"/>
  <c r="P682" i="6"/>
  <c r="M682" i="6"/>
  <c r="L682" i="6"/>
  <c r="Y681" i="6"/>
  <c r="P681" i="6"/>
  <c r="M681" i="6"/>
  <c r="L681" i="6"/>
  <c r="Y680" i="6"/>
  <c r="V680" i="6"/>
  <c r="U680" i="6"/>
  <c r="T680" i="6"/>
  <c r="P680" i="6"/>
  <c r="M680" i="6"/>
  <c r="L680" i="6"/>
  <c r="Y679" i="6"/>
  <c r="V679" i="6"/>
  <c r="U679" i="6"/>
  <c r="T679" i="6"/>
  <c r="P679" i="6"/>
  <c r="M679" i="6"/>
  <c r="L679" i="6"/>
  <c r="Y678" i="6"/>
  <c r="V678" i="6"/>
  <c r="U678" i="6"/>
  <c r="T678" i="6"/>
  <c r="S678" i="6"/>
  <c r="R678" i="6"/>
  <c r="Q678" i="6"/>
  <c r="P678" i="6"/>
  <c r="N678" i="6"/>
  <c r="M678" i="6"/>
  <c r="L678" i="6"/>
  <c r="Y677" i="6"/>
  <c r="V677" i="6"/>
  <c r="U677" i="6"/>
  <c r="T677" i="6"/>
  <c r="P677" i="6"/>
  <c r="M677" i="6"/>
  <c r="L677" i="6"/>
  <c r="Y676" i="6"/>
  <c r="U676" i="6"/>
  <c r="S676" i="6"/>
  <c r="P676" i="6"/>
  <c r="M676" i="6"/>
  <c r="L676" i="6"/>
  <c r="Y675" i="6"/>
  <c r="V675" i="6"/>
  <c r="P675" i="6"/>
  <c r="M675" i="6"/>
  <c r="L675" i="6"/>
  <c r="Y674" i="6"/>
  <c r="V674" i="6"/>
  <c r="P674" i="6"/>
  <c r="M674" i="6"/>
  <c r="L674" i="6"/>
  <c r="Y673" i="6"/>
  <c r="P673" i="6"/>
  <c r="M673" i="6"/>
  <c r="L673" i="6"/>
  <c r="Y672" i="6"/>
  <c r="V672" i="6"/>
  <c r="U672" i="6"/>
  <c r="T672" i="6"/>
  <c r="S672" i="6"/>
  <c r="P672" i="6"/>
  <c r="M672" i="6"/>
  <c r="L672" i="6"/>
  <c r="Y671" i="6"/>
  <c r="V671" i="6"/>
  <c r="U671" i="6"/>
  <c r="T671" i="6"/>
  <c r="P671" i="6"/>
  <c r="M671" i="6"/>
  <c r="L671" i="6"/>
  <c r="Y670" i="6"/>
  <c r="S670" i="6"/>
  <c r="P670" i="6"/>
  <c r="M670" i="6"/>
  <c r="L670" i="6"/>
  <c r="Y669" i="6"/>
  <c r="V669" i="6"/>
  <c r="U669" i="6"/>
  <c r="T669" i="6"/>
  <c r="S669" i="6"/>
  <c r="R669" i="6"/>
  <c r="Q669" i="6"/>
  <c r="P669" i="6"/>
  <c r="N669" i="6"/>
  <c r="M669" i="6"/>
  <c r="L669" i="6"/>
  <c r="Y668" i="6"/>
  <c r="V668" i="6"/>
  <c r="U668" i="6"/>
  <c r="T668" i="6"/>
  <c r="S668" i="6"/>
  <c r="P668" i="6"/>
  <c r="M668" i="6"/>
  <c r="L668" i="6"/>
  <c r="Y667" i="6"/>
  <c r="V667" i="6"/>
  <c r="U667" i="6"/>
  <c r="T667" i="6"/>
  <c r="S667" i="6"/>
  <c r="P667" i="6"/>
  <c r="M667" i="6"/>
  <c r="L667" i="6"/>
  <c r="Y666" i="6"/>
  <c r="P666" i="6"/>
  <c r="M666" i="6"/>
  <c r="L666" i="6"/>
  <c r="S671" i="6"/>
  <c r="R697" i="6"/>
  <c r="Q721" i="6"/>
  <c r="S721" i="6"/>
  <c r="S692" i="6"/>
  <c r="S694" i="6"/>
  <c r="S693" i="6"/>
  <c r="S689" i="6"/>
  <c r="S687" i="6"/>
  <c r="S691" i="6"/>
  <c r="S708" i="6"/>
  <c r="Z779" i="6" l="1"/>
  <c r="C147" i="12" s="1"/>
  <c r="M147" i="12" s="1"/>
  <c r="Z778" i="6"/>
  <c r="C146" i="12" s="1"/>
  <c r="M146" i="12" s="1"/>
  <c r="AA41" i="6"/>
  <c r="Z722" i="6"/>
  <c r="C90" i="12" s="1"/>
  <c r="Z735" i="6"/>
  <c r="C103" i="12" s="1"/>
  <c r="Z819" i="6"/>
  <c r="C187" i="12" s="1"/>
  <c r="R187" i="12" s="1"/>
  <c r="Z804" i="6"/>
  <c r="C172" i="12" s="1"/>
  <c r="M172" i="12" s="1"/>
  <c r="Z775" i="6"/>
  <c r="C143" i="12" s="1"/>
  <c r="M143" i="12" s="1"/>
  <c r="Z817" i="6"/>
  <c r="C185" i="12" s="1"/>
  <c r="R185" i="12" s="1"/>
  <c r="AA63" i="6"/>
  <c r="Z743" i="6"/>
  <c r="C111" i="12" s="1"/>
  <c r="Z754" i="6"/>
  <c r="C122" i="12" s="1"/>
  <c r="M122" i="12" s="1"/>
  <c r="C125" i="12"/>
  <c r="M125" i="12" s="1"/>
  <c r="M144" i="12"/>
  <c r="M202" i="12"/>
  <c r="M193" i="12"/>
  <c r="M114" i="12"/>
  <c r="M205" i="12"/>
  <c r="M183" i="12"/>
  <c r="X94" i="6"/>
  <c r="W818" i="6"/>
  <c r="Z624" i="6"/>
  <c r="H13" i="6" s="1"/>
  <c r="Z627" i="6"/>
  <c r="H19" i="6" s="1"/>
  <c r="X90" i="6"/>
  <c r="S680" i="6"/>
  <c r="S675" i="6"/>
  <c r="S677" i="6"/>
  <c r="W93" i="6"/>
  <c r="W95" i="6"/>
  <c r="X95" i="6" s="1"/>
  <c r="Z95" i="6" s="1"/>
  <c r="AA95" i="6" s="1"/>
  <c r="Q672" i="6"/>
  <c r="R672" i="6"/>
  <c r="N672" i="6"/>
  <c r="W92" i="6"/>
  <c r="W98" i="6"/>
  <c r="X98" i="6" s="1"/>
  <c r="Z98" i="6" s="1"/>
  <c r="AA98" i="6" s="1"/>
  <c r="X91" i="6"/>
  <c r="Z91" i="6" s="1"/>
  <c r="AA91" i="6" s="1"/>
  <c r="N697" i="6"/>
  <c r="N689" i="6"/>
  <c r="N721" i="6"/>
  <c r="N698" i="6"/>
  <c r="N696" i="6"/>
  <c r="N692" i="6"/>
  <c r="N691" i="6"/>
  <c r="N693" i="6"/>
  <c r="N694" i="6"/>
  <c r="Q696" i="6"/>
  <c r="R698" i="6"/>
  <c r="R689" i="6"/>
  <c r="R721" i="6"/>
  <c r="W71" i="6"/>
  <c r="X71" i="6" s="1"/>
  <c r="Z71" i="6" s="1"/>
  <c r="AA71" i="6" s="1"/>
  <c r="W73" i="6"/>
  <c r="S685" i="6"/>
  <c r="S684" i="6"/>
  <c r="S715" i="6"/>
  <c r="K258" i="14"/>
  <c r="L258" i="14"/>
  <c r="M258" i="14"/>
  <c r="N258" i="14"/>
  <c r="H84" i="12" s="1"/>
  <c r="K251" i="14"/>
  <c r="L251" i="14"/>
  <c r="M251" i="14"/>
  <c r="N251" i="14"/>
  <c r="H77" i="12" s="1"/>
  <c r="K214" i="14"/>
  <c r="L214" i="14"/>
  <c r="M214" i="14"/>
  <c r="N214" i="14"/>
  <c r="H39" i="12" s="1"/>
  <c r="X73" i="6" l="1"/>
  <c r="W703" i="6"/>
  <c r="W794" i="6"/>
  <c r="M185" i="12"/>
  <c r="M187" i="12"/>
  <c r="Z94" i="6"/>
  <c r="X818" i="6"/>
  <c r="X93" i="6"/>
  <c r="W820" i="6"/>
  <c r="D12" i="12"/>
  <c r="X92" i="6"/>
  <c r="W802" i="6"/>
  <c r="D15" i="12"/>
  <c r="Z90" i="6"/>
  <c r="X794" i="6"/>
  <c r="S679" i="6"/>
  <c r="S718" i="6"/>
  <c r="W72" i="6"/>
  <c r="X72" i="6" s="1"/>
  <c r="Z72" i="6" s="1"/>
  <c r="AA72" i="6" s="1"/>
  <c r="W382" i="6"/>
  <c r="N711" i="6"/>
  <c r="Q693" i="6"/>
  <c r="R696" i="6"/>
  <c r="N679" i="6"/>
  <c r="W759" i="6"/>
  <c r="Q698" i="6"/>
  <c r="R693" i="6"/>
  <c r="N716" i="6"/>
  <c r="Q692" i="6"/>
  <c r="N708" i="6"/>
  <c r="R694" i="6"/>
  <c r="R691" i="6"/>
  <c r="Q689" i="6"/>
  <c r="Q697" i="6"/>
  <c r="W697" i="6"/>
  <c r="Q694" i="6"/>
  <c r="N720" i="6"/>
  <c r="N724" i="6"/>
  <c r="N677" i="6"/>
  <c r="R692" i="6"/>
  <c r="N680" i="6"/>
  <c r="Q691" i="6"/>
  <c r="Q716" i="6"/>
  <c r="R716" i="6"/>
  <c r="S730" i="6"/>
  <c r="S704" i="6"/>
  <c r="S673" i="6"/>
  <c r="S688" i="6"/>
  <c r="S700" i="6"/>
  <c r="S699" i="6"/>
  <c r="Z73" i="6" l="1"/>
  <c r="X703" i="6"/>
  <c r="Z818" i="6"/>
  <c r="C186" i="12" s="1"/>
  <c r="R186" i="12" s="1"/>
  <c r="AA94" i="6"/>
  <c r="Z794" i="6"/>
  <c r="C162" i="12" s="1"/>
  <c r="M162" i="12" s="1"/>
  <c r="AA90" i="6"/>
  <c r="M22" i="20"/>
  <c r="M22" i="22"/>
  <c r="J22" i="20"/>
  <c r="J22" i="22"/>
  <c r="Z93" i="6"/>
  <c r="X820" i="6"/>
  <c r="Z92" i="6"/>
  <c r="X802" i="6"/>
  <c r="X382" i="6"/>
  <c r="Z382" i="6" s="1"/>
  <c r="W82" i="6"/>
  <c r="X82" i="6" s="1"/>
  <c r="Z82" i="6" s="1"/>
  <c r="AA82" i="6" s="1"/>
  <c r="W86" i="6"/>
  <c r="W853" i="6" s="1"/>
  <c r="W692" i="6"/>
  <c r="W672" i="6"/>
  <c r="R720" i="6"/>
  <c r="W83" i="6"/>
  <c r="W80" i="6"/>
  <c r="W81" i="6"/>
  <c r="X81" i="6" s="1"/>
  <c r="Z81" i="6" s="1"/>
  <c r="AA81" i="6" s="1"/>
  <c r="R680" i="6"/>
  <c r="Q720" i="6"/>
  <c r="X78" i="6"/>
  <c r="W100" i="6"/>
  <c r="W102" i="6"/>
  <c r="X102" i="6" s="1"/>
  <c r="Z102" i="6" s="1"/>
  <c r="AA102" i="6" s="1"/>
  <c r="W105" i="6"/>
  <c r="R677" i="6"/>
  <c r="W104" i="6"/>
  <c r="X104" i="6" s="1"/>
  <c r="Z104" i="6" s="1"/>
  <c r="W103" i="6"/>
  <c r="X103" i="6" s="1"/>
  <c r="Z103" i="6" s="1"/>
  <c r="Z697" i="6"/>
  <c r="C65" i="12" s="1"/>
  <c r="W462" i="6"/>
  <c r="X462" i="6" s="1"/>
  <c r="Z462" i="6" s="1"/>
  <c r="R708" i="6"/>
  <c r="W88" i="6"/>
  <c r="R711" i="6"/>
  <c r="W691" i="6"/>
  <c r="Q680" i="6"/>
  <c r="N730" i="6"/>
  <c r="N732" i="6"/>
  <c r="W696" i="6"/>
  <c r="N729" i="6"/>
  <c r="N667" i="6"/>
  <c r="W694" i="6"/>
  <c r="X697" i="6"/>
  <c r="R679" i="6"/>
  <c r="Q708" i="6"/>
  <c r="W106" i="6"/>
  <c r="W832" i="6" s="1"/>
  <c r="W84" i="6"/>
  <c r="W741" i="6"/>
  <c r="N668" i="6"/>
  <c r="X759" i="6"/>
  <c r="Q679" i="6"/>
  <c r="W693" i="6"/>
  <c r="N709" i="6"/>
  <c r="W721" i="6"/>
  <c r="X691" i="6"/>
  <c r="Q677" i="6"/>
  <c r="W107" i="6"/>
  <c r="W777" i="6" s="1"/>
  <c r="W85" i="6"/>
  <c r="X85" i="6" s="1"/>
  <c r="Z85" i="6" s="1"/>
  <c r="AA85" i="6" s="1"/>
  <c r="W835" i="6"/>
  <c r="N699" i="6"/>
  <c r="W87" i="6"/>
  <c r="W75" i="6"/>
  <c r="X75" i="6" s="1"/>
  <c r="Z75" i="6" s="1"/>
  <c r="AA75" i="6" s="1"/>
  <c r="N723" i="6"/>
  <c r="Q711" i="6"/>
  <c r="R709" i="6"/>
  <c r="R667" i="6"/>
  <c r="Q667" i="6"/>
  <c r="R729" i="6"/>
  <c r="Q729" i="6"/>
  <c r="R668" i="6"/>
  <c r="Q668" i="6"/>
  <c r="R732" i="6"/>
  <c r="Q732" i="6"/>
  <c r="W30" i="6"/>
  <c r="X30" i="6" s="1"/>
  <c r="Z30" i="6" s="1"/>
  <c r="AA30" i="6" s="1"/>
  <c r="N704" i="6"/>
  <c r="X105" i="6" l="1"/>
  <c r="W830" i="6"/>
  <c r="X80" i="6"/>
  <c r="W723" i="6"/>
  <c r="AA73" i="6"/>
  <c r="Z703" i="6"/>
  <c r="Z78" i="6"/>
  <c r="AA78" i="6" s="1"/>
  <c r="X83" i="6"/>
  <c r="Z83" i="6" s="1"/>
  <c r="AA83" i="6" s="1"/>
  <c r="W708" i="6"/>
  <c r="X87" i="6"/>
  <c r="W747" i="6"/>
  <c r="X88" i="6"/>
  <c r="W829" i="6"/>
  <c r="X84" i="6"/>
  <c r="W841" i="6"/>
  <c r="Z820" i="6"/>
  <c r="C188" i="12" s="1"/>
  <c r="M188" i="12" s="1"/>
  <c r="AA93" i="6"/>
  <c r="M186" i="12"/>
  <c r="AA382" i="6"/>
  <c r="Z802" i="6"/>
  <c r="C170" i="12" s="1"/>
  <c r="M170" i="12" s="1"/>
  <c r="AA92" i="6"/>
  <c r="W755" i="6"/>
  <c r="X86" i="6"/>
  <c r="X853" i="6" s="1"/>
  <c r="W719" i="6"/>
  <c r="X100" i="6"/>
  <c r="W806" i="6"/>
  <c r="W807" i="6"/>
  <c r="W689" i="6"/>
  <c r="Z691" i="6"/>
  <c r="C59" i="12" s="1"/>
  <c r="R59" i="12" s="1"/>
  <c r="W713" i="6"/>
  <c r="Z713" i="6"/>
  <c r="C81" i="12" s="1"/>
  <c r="R81" i="12" s="1"/>
  <c r="X713" i="6"/>
  <c r="X672" i="6"/>
  <c r="Z672" i="6"/>
  <c r="C40" i="12" s="1"/>
  <c r="R40" i="12" s="1"/>
  <c r="W716" i="6"/>
  <c r="X692" i="6"/>
  <c r="W677" i="6"/>
  <c r="Z692" i="6"/>
  <c r="C60" i="12" s="1"/>
  <c r="R60" i="12" s="1"/>
  <c r="W679" i="6"/>
  <c r="R699" i="6"/>
  <c r="W680" i="6"/>
  <c r="X741" i="6"/>
  <c r="X107" i="6"/>
  <c r="X777" i="6" s="1"/>
  <c r="X721" i="6"/>
  <c r="X693" i="6"/>
  <c r="N688" i="6"/>
  <c r="Z708" i="6"/>
  <c r="C76" i="12" s="1"/>
  <c r="R76" i="12" s="1"/>
  <c r="R730" i="6"/>
  <c r="N717" i="6"/>
  <c r="N685" i="6"/>
  <c r="Q709" i="6"/>
  <c r="N684" i="6"/>
  <c r="X755" i="6"/>
  <c r="W720" i="6"/>
  <c r="Z677" i="6"/>
  <c r="C45" i="12" s="1"/>
  <c r="X677" i="6"/>
  <c r="Z680" i="6"/>
  <c r="C48" i="12" s="1"/>
  <c r="R48" i="12" s="1"/>
  <c r="X680" i="6"/>
  <c r="Z759" i="6"/>
  <c r="C127" i="12" s="1"/>
  <c r="Z716" i="6"/>
  <c r="C84" i="12" s="1"/>
  <c r="R84" i="12" s="1"/>
  <c r="X716" i="6"/>
  <c r="X689" i="6"/>
  <c r="X106" i="6"/>
  <c r="X832" i="6" s="1"/>
  <c r="Z694" i="6"/>
  <c r="C62" i="12" s="1"/>
  <c r="R62" i="12" s="1"/>
  <c r="X694" i="6"/>
  <c r="Z696" i="6"/>
  <c r="C64" i="12" s="1"/>
  <c r="R64" i="12" s="1"/>
  <c r="X696" i="6"/>
  <c r="X835" i="6"/>
  <c r="X708" i="6"/>
  <c r="Q730" i="6"/>
  <c r="Q699" i="6"/>
  <c r="W709" i="6"/>
  <c r="N671" i="6"/>
  <c r="Q717" i="6"/>
  <c r="R671" i="6"/>
  <c r="R684" i="6"/>
  <c r="W37" i="6"/>
  <c r="W36" i="6"/>
  <c r="W35" i="6"/>
  <c r="W34" i="6"/>
  <c r="W33" i="6"/>
  <c r="W32" i="6"/>
  <c r="W31" i="6"/>
  <c r="Q688" i="6"/>
  <c r="R685" i="6"/>
  <c r="R717" i="6"/>
  <c r="R704" i="6"/>
  <c r="Q671" i="6"/>
  <c r="C71" i="12" l="1"/>
  <c r="Z105" i="6"/>
  <c r="Z830" i="6" s="1"/>
  <c r="C198" i="12" s="1"/>
  <c r="X830" i="6"/>
  <c r="Z80" i="6"/>
  <c r="X723" i="6"/>
  <c r="Z87" i="6"/>
  <c r="X747" i="6"/>
  <c r="Z88" i="6"/>
  <c r="X829" i="6"/>
  <c r="Z84" i="6"/>
  <c r="X841" i="6"/>
  <c r="M127" i="12"/>
  <c r="Z86" i="6"/>
  <c r="Z853" i="6" s="1"/>
  <c r="C221" i="12" s="1"/>
  <c r="X719" i="6"/>
  <c r="Z100" i="6"/>
  <c r="AA100" i="6" s="1"/>
  <c r="X806" i="6"/>
  <c r="Z689" i="6"/>
  <c r="C57" i="12" s="1"/>
  <c r="R57" i="12" s="1"/>
  <c r="Z807" i="6"/>
  <c r="C175" i="12" s="1"/>
  <c r="X807" i="6"/>
  <c r="Z721" i="6"/>
  <c r="C89" i="12" s="1"/>
  <c r="R89" i="12" s="1"/>
  <c r="Z693" i="6"/>
  <c r="C61" i="12" s="1"/>
  <c r="R61" i="12" s="1"/>
  <c r="W717" i="6"/>
  <c r="X33" i="6"/>
  <c r="X37" i="6"/>
  <c r="W667" i="6"/>
  <c r="W732" i="6"/>
  <c r="X679" i="6"/>
  <c r="R688" i="6"/>
  <c r="X32" i="6"/>
  <c r="W704" i="6"/>
  <c r="X36" i="6"/>
  <c r="W699" i="6"/>
  <c r="Q684" i="6"/>
  <c r="Q685" i="6"/>
  <c r="X31" i="6"/>
  <c r="W730" i="6"/>
  <c r="X35" i="6"/>
  <c r="W729" i="6"/>
  <c r="X34" i="6"/>
  <c r="W668" i="6"/>
  <c r="Z106" i="6"/>
  <c r="Z832" i="6" s="1"/>
  <c r="C200" i="12" s="1"/>
  <c r="Z720" i="6"/>
  <c r="C88" i="12" s="1"/>
  <c r="R88" i="12" s="1"/>
  <c r="X720" i="6"/>
  <c r="Z107" i="6"/>
  <c r="Z777" i="6" s="1"/>
  <c r="C145" i="12" s="1"/>
  <c r="W671" i="6"/>
  <c r="Q704" i="6"/>
  <c r="W684" i="6"/>
  <c r="W685" i="6"/>
  <c r="R71" i="12" l="1"/>
  <c r="AA80" i="6"/>
  <c r="Z723" i="6"/>
  <c r="C91" i="12" s="1"/>
  <c r="Z679" i="6"/>
  <c r="C47" i="12" s="1"/>
  <c r="AA87" i="6"/>
  <c r="Z747" i="6"/>
  <c r="C115" i="12" s="1"/>
  <c r="M115" i="12" s="1"/>
  <c r="AA88" i="6"/>
  <c r="Z829" i="6"/>
  <c r="C197" i="12" s="1"/>
  <c r="M197" i="12" s="1"/>
  <c r="AA84" i="6"/>
  <c r="Z841" i="6"/>
  <c r="C209" i="12" s="1"/>
  <c r="M209" i="12" s="1"/>
  <c r="Z755" i="6"/>
  <c r="C123" i="12" s="1"/>
  <c r="Z835" i="6"/>
  <c r="C203" i="12" s="1"/>
  <c r="M203" i="12" s="1"/>
  <c r="Z741" i="6"/>
  <c r="C109" i="12" s="1"/>
  <c r="Z719" i="6"/>
  <c r="C87" i="12" s="1"/>
  <c r="R87" i="12" s="1"/>
  <c r="AA86" i="6"/>
  <c r="M145" i="12"/>
  <c r="M200" i="12"/>
  <c r="M175" i="12"/>
  <c r="Z806" i="6"/>
  <c r="C174" i="12" s="1"/>
  <c r="X671" i="6"/>
  <c r="Z717" i="6"/>
  <c r="C85" i="12" s="1"/>
  <c r="R85" i="12" s="1"/>
  <c r="Z684" i="6"/>
  <c r="C52" i="12" s="1"/>
  <c r="R52" i="12" s="1"/>
  <c r="W688" i="6"/>
  <c r="Z685" i="6"/>
  <c r="C53" i="12" s="1"/>
  <c r="R53" i="12" s="1"/>
  <c r="Z37" i="6"/>
  <c r="AA37" i="6" s="1"/>
  <c r="Z709" i="6"/>
  <c r="C77" i="12" s="1"/>
  <c r="R77" i="12" s="1"/>
  <c r="X709" i="6"/>
  <c r="Z34" i="6"/>
  <c r="X688" i="6"/>
  <c r="Z35" i="6"/>
  <c r="AA35" i="6" s="1"/>
  <c r="Z36" i="6"/>
  <c r="X699" i="6"/>
  <c r="Z668" i="6"/>
  <c r="C36" i="12" s="1"/>
  <c r="X668" i="6"/>
  <c r="Z729" i="6"/>
  <c r="C97" i="12" s="1"/>
  <c r="X729" i="6"/>
  <c r="Z31" i="6"/>
  <c r="X730" i="6"/>
  <c r="Z32" i="6"/>
  <c r="X704" i="6"/>
  <c r="Z732" i="6"/>
  <c r="C100" i="12" s="1"/>
  <c r="X732" i="6"/>
  <c r="Z667" i="6"/>
  <c r="C35" i="12" s="1"/>
  <c r="X667" i="6"/>
  <c r="Z33" i="6"/>
  <c r="AA33" i="6" s="1"/>
  <c r="X684" i="6"/>
  <c r="Z704" i="6" l="1"/>
  <c r="C72" i="12" s="1"/>
  <c r="R72" i="12" s="1"/>
  <c r="AA32" i="6"/>
  <c r="Z730" i="6"/>
  <c r="C98" i="12" s="1"/>
  <c r="R98" i="12" s="1"/>
  <c r="AA31" i="6"/>
  <c r="Z699" i="6"/>
  <c r="C67" i="12" s="1"/>
  <c r="R67" i="12" s="1"/>
  <c r="AA36" i="6"/>
  <c r="Z688" i="6"/>
  <c r="C56" i="12" s="1"/>
  <c r="R56" i="12" s="1"/>
  <c r="AA34" i="6"/>
  <c r="M174" i="12"/>
  <c r="L620" i="6"/>
  <c r="L616" i="6"/>
  <c r="L731" i="6"/>
  <c r="Z671" i="6"/>
  <c r="C39" i="12" s="1"/>
  <c r="R39" i="12" s="1"/>
  <c r="X717" i="6"/>
  <c r="X685" i="6"/>
  <c r="L638" i="6" l="1"/>
  <c r="W615" i="6"/>
  <c r="X615" i="6" s="1"/>
  <c r="Z615" i="6" s="1"/>
  <c r="U675" i="6" l="1"/>
  <c r="T675" i="6"/>
  <c r="V695" i="6"/>
  <c r="D59" i="15"/>
  <c r="G21" i="14"/>
  <c r="G20" i="14"/>
  <c r="G6" i="14"/>
  <c r="G16" i="14"/>
  <c r="G23" i="14"/>
  <c r="G22" i="14"/>
  <c r="G15" i="14"/>
  <c r="G14" i="14"/>
  <c r="G18" i="14"/>
  <c r="G17" i="14"/>
  <c r="G12" i="14"/>
  <c r="G11" i="14"/>
  <c r="G9" i="14"/>
  <c r="G8" i="14"/>
  <c r="G10" i="14"/>
  <c r="G7" i="14"/>
  <c r="G5" i="14"/>
  <c r="G4" i="14"/>
  <c r="B124" i="16"/>
  <c r="B129" i="16" s="1"/>
  <c r="F119" i="16"/>
  <c r="F111" i="16"/>
  <c r="F103" i="16"/>
  <c r="F101" i="16"/>
  <c r="F97" i="16"/>
  <c r="F95" i="16"/>
  <c r="F93" i="16"/>
  <c r="F91" i="16"/>
  <c r="F88" i="16"/>
  <c r="F85" i="16"/>
  <c r="F80" i="16"/>
  <c r="F79" i="16"/>
  <c r="F74" i="16"/>
  <c r="F68" i="16"/>
  <c r="F64" i="16"/>
  <c r="F61" i="16"/>
  <c r="F59" i="16"/>
  <c r="F58" i="16"/>
  <c r="F53" i="16"/>
  <c r="F49" i="16"/>
  <c r="F48" i="16"/>
  <c r="F46" i="16"/>
  <c r="F40" i="16"/>
  <c r="F38" i="16"/>
  <c r="F35" i="16"/>
  <c r="F34" i="16"/>
  <c r="F30" i="16"/>
  <c r="F29" i="16"/>
  <c r="F24" i="16"/>
  <c r="F21" i="16"/>
  <c r="F14" i="16"/>
  <c r="F13" i="16"/>
  <c r="F8" i="16"/>
  <c r="F6" i="16"/>
  <c r="C124" i="16" l="1"/>
  <c r="C129" i="16" s="1"/>
  <c r="F121" i="16"/>
  <c r="F117" i="16"/>
  <c r="N675" i="6"/>
  <c r="Q675" i="6"/>
  <c r="G124" i="16"/>
  <c r="G129" i="16" s="1"/>
  <c r="E124" i="16"/>
  <c r="E129" i="16" s="1"/>
  <c r="R675" i="6"/>
  <c r="F78" i="16"/>
  <c r="F124" i="16" l="1"/>
  <c r="F129" i="16" s="1"/>
  <c r="G3" i="14"/>
  <c r="W675" i="6" l="1"/>
  <c r="A64" i="10"/>
  <c r="A63" i="10"/>
  <c r="A62" i="10"/>
  <c r="A61" i="10"/>
  <c r="A60" i="10"/>
  <c r="A59" i="10"/>
  <c r="A66" i="10"/>
  <c r="Z675" i="6" l="1"/>
  <c r="C43" i="12" s="1"/>
  <c r="X675" i="6"/>
  <c r="K616" i="6" l="1"/>
  <c r="P357" i="9" l="1"/>
  <c r="F38" i="12" s="1"/>
  <c r="P375" i="9"/>
  <c r="F56" i="12" s="1"/>
  <c r="P397" i="9"/>
  <c r="F82" i="12" s="1"/>
  <c r="P390" i="9"/>
  <c r="F72" i="12" s="1"/>
  <c r="P401" i="9"/>
  <c r="F86" i="12" s="1"/>
  <c r="P925" i="9"/>
  <c r="P1454" i="9"/>
  <c r="P306" i="9" l="1"/>
  <c r="Q12" i="9" s="1"/>
  <c r="P1642" i="9"/>
  <c r="M123" i="12"/>
  <c r="M59" i="15" l="1"/>
  <c r="L59" i="15"/>
  <c r="K59" i="15"/>
  <c r="N59" i="15"/>
  <c r="N628" i="6"/>
  <c r="Q628" i="6" l="1"/>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5" i="10"/>
  <c r="A29" i="10"/>
  <c r="R628" i="6" l="1"/>
  <c r="W628" i="6" l="1"/>
  <c r="P1464" i="9"/>
  <c r="P388" i="9"/>
  <c r="F70" i="12" s="1"/>
  <c r="P399" i="9"/>
  <c r="F84" i="12" s="1"/>
  <c r="P524" i="9" l="1"/>
  <c r="P645" i="9"/>
  <c r="F142" i="12" s="1"/>
  <c r="P702" i="9"/>
  <c r="P361" i="9"/>
  <c r="P1113" i="9"/>
  <c r="P1301" i="9"/>
  <c r="M217" i="12"/>
  <c r="M103" i="12"/>
  <c r="M110" i="12"/>
  <c r="M189" i="12"/>
  <c r="M111" i="12"/>
  <c r="M109" i="12"/>
  <c r="P192" i="9"/>
  <c r="Z628" i="6"/>
  <c r="D16" i="12" s="1"/>
  <c r="X628" i="6"/>
  <c r="F198" i="12" l="1"/>
  <c r="M198" i="12" s="1"/>
  <c r="Q181" i="9"/>
  <c r="O22" i="20"/>
  <c r="O22" i="22"/>
  <c r="J19" i="9"/>
  <c r="N391" i="3" l="1"/>
  <c r="N398" i="14"/>
  <c r="M398" i="14"/>
  <c r="L398" i="14"/>
  <c r="K398" i="14"/>
  <c r="N269" i="14"/>
  <c r="H96" i="12" s="1"/>
  <c r="M269" i="14"/>
  <c r="L269" i="14"/>
  <c r="K269" i="14"/>
  <c r="M268" i="14"/>
  <c r="L268" i="14"/>
  <c r="K268" i="14"/>
  <c r="N267" i="14"/>
  <c r="M267" i="14"/>
  <c r="L267" i="14"/>
  <c r="K267" i="14"/>
  <c r="N266" i="14"/>
  <c r="H92" i="12" s="1"/>
  <c r="M266" i="14"/>
  <c r="L266" i="14"/>
  <c r="K266" i="14"/>
  <c r="N265" i="14"/>
  <c r="H91" i="12" s="1"/>
  <c r="M91" i="12" s="1"/>
  <c r="M265" i="14"/>
  <c r="L265" i="14"/>
  <c r="K265" i="14"/>
  <c r="N264" i="14"/>
  <c r="H90" i="12" s="1"/>
  <c r="M90" i="12" s="1"/>
  <c r="Q90" i="12" s="1"/>
  <c r="M264" i="14"/>
  <c r="L264" i="14"/>
  <c r="K264" i="14"/>
  <c r="N263" i="14"/>
  <c r="H89" i="12" s="1"/>
  <c r="M263" i="14"/>
  <c r="L263" i="14"/>
  <c r="K263" i="14"/>
  <c r="N262" i="14"/>
  <c r="H88" i="12" s="1"/>
  <c r="M88" i="12" s="1"/>
  <c r="M262" i="14"/>
  <c r="L262" i="14"/>
  <c r="K262" i="14"/>
  <c r="N261" i="14"/>
  <c r="H87" i="12" s="1"/>
  <c r="M261" i="14"/>
  <c r="L261" i="14"/>
  <c r="K261" i="14"/>
  <c r="N260" i="14"/>
  <c r="H86" i="12" s="1"/>
  <c r="M260" i="14"/>
  <c r="L260" i="14"/>
  <c r="K260" i="14"/>
  <c r="N259" i="14"/>
  <c r="H85" i="12" s="1"/>
  <c r="M259" i="14"/>
  <c r="L259" i="14"/>
  <c r="K259" i="14"/>
  <c r="N257" i="14"/>
  <c r="H83" i="12" s="1"/>
  <c r="M257" i="14"/>
  <c r="L257" i="14"/>
  <c r="K257" i="14"/>
  <c r="N256" i="14"/>
  <c r="H82" i="12" s="1"/>
  <c r="M256" i="14"/>
  <c r="L256" i="14"/>
  <c r="K256" i="14"/>
  <c r="N255" i="14"/>
  <c r="H81" i="12" s="1"/>
  <c r="M81" i="12" s="1"/>
  <c r="M255" i="14"/>
  <c r="L255" i="14"/>
  <c r="K255" i="14"/>
  <c r="N254" i="14"/>
  <c r="M254" i="14"/>
  <c r="L254" i="14"/>
  <c r="K254" i="14"/>
  <c r="N253" i="14"/>
  <c r="H79" i="12" s="1"/>
  <c r="M253" i="14"/>
  <c r="L253" i="14"/>
  <c r="K253" i="14"/>
  <c r="N252" i="14"/>
  <c r="H78" i="12" s="1"/>
  <c r="M252" i="14"/>
  <c r="L252" i="14"/>
  <c r="K252" i="14"/>
  <c r="N250" i="14"/>
  <c r="H76" i="12" s="1"/>
  <c r="M250" i="14"/>
  <c r="L250" i="14"/>
  <c r="K250" i="14"/>
  <c r="N249" i="14"/>
  <c r="H75" i="12" s="1"/>
  <c r="M249" i="14"/>
  <c r="L249" i="14"/>
  <c r="K249" i="14"/>
  <c r="N248" i="14"/>
  <c r="H74" i="12" s="1"/>
  <c r="M74" i="12" s="1"/>
  <c r="M248" i="14"/>
  <c r="L248" i="14"/>
  <c r="K248" i="14"/>
  <c r="N247" i="14"/>
  <c r="H73" i="12" s="1"/>
  <c r="M73" i="12" s="1"/>
  <c r="M247" i="14"/>
  <c r="L247" i="14"/>
  <c r="K247" i="14"/>
  <c r="N246" i="14"/>
  <c r="H72" i="12" s="1"/>
  <c r="M246" i="14"/>
  <c r="L246" i="14"/>
  <c r="K246" i="14"/>
  <c r="N245" i="14"/>
  <c r="H71" i="12" s="1"/>
  <c r="M71" i="12" s="1"/>
  <c r="M245" i="14"/>
  <c r="L245" i="14"/>
  <c r="K245" i="14"/>
  <c r="N244" i="14"/>
  <c r="H70" i="12" s="1"/>
  <c r="M70" i="12" s="1"/>
  <c r="M244" i="14"/>
  <c r="L244" i="14"/>
  <c r="K244" i="14"/>
  <c r="N243" i="14"/>
  <c r="H68" i="12" s="1"/>
  <c r="M243" i="14"/>
  <c r="L243" i="14"/>
  <c r="K243" i="14"/>
  <c r="N242" i="14"/>
  <c r="H67" i="12" s="1"/>
  <c r="M242" i="14"/>
  <c r="L242" i="14"/>
  <c r="K242" i="14"/>
  <c r="N241" i="14"/>
  <c r="H66" i="12" s="1"/>
  <c r="M241" i="14"/>
  <c r="L241" i="14"/>
  <c r="K241" i="14"/>
  <c r="N240" i="14"/>
  <c r="H65" i="12" s="1"/>
  <c r="M240" i="14"/>
  <c r="L240" i="14"/>
  <c r="K240" i="14"/>
  <c r="N239" i="14"/>
  <c r="H64" i="12" s="1"/>
  <c r="M239" i="14"/>
  <c r="L239" i="14"/>
  <c r="K239" i="14"/>
  <c r="N238" i="14"/>
  <c r="H63" i="12" s="1"/>
  <c r="M238" i="14"/>
  <c r="L238" i="14"/>
  <c r="K238" i="14"/>
  <c r="N237" i="14"/>
  <c r="H62" i="12" s="1"/>
  <c r="M237" i="14"/>
  <c r="L237" i="14"/>
  <c r="K237" i="14"/>
  <c r="N236" i="14"/>
  <c r="M236" i="14"/>
  <c r="L236" i="14"/>
  <c r="K236" i="14"/>
  <c r="N235" i="14"/>
  <c r="H60" i="12" s="1"/>
  <c r="M235" i="14"/>
  <c r="L235" i="14"/>
  <c r="K235" i="14"/>
  <c r="N234" i="14"/>
  <c r="H59" i="12" s="1"/>
  <c r="M234" i="14"/>
  <c r="L234" i="14"/>
  <c r="K234" i="14"/>
  <c r="N233" i="14"/>
  <c r="H58" i="12" s="1"/>
  <c r="M233" i="14"/>
  <c r="L233" i="14"/>
  <c r="K233" i="14"/>
  <c r="N232" i="14"/>
  <c r="H57" i="12" s="1"/>
  <c r="M232" i="14"/>
  <c r="L232" i="14"/>
  <c r="K232" i="14"/>
  <c r="N231" i="14"/>
  <c r="H56" i="12" s="1"/>
  <c r="M231" i="14"/>
  <c r="L231" i="14"/>
  <c r="K231" i="14"/>
  <c r="N230" i="14"/>
  <c r="H55" i="12" s="1"/>
  <c r="M230" i="14"/>
  <c r="L230" i="14"/>
  <c r="K230" i="14"/>
  <c r="N229" i="14"/>
  <c r="H54" i="12" s="1"/>
  <c r="M229" i="14"/>
  <c r="L229" i="14"/>
  <c r="K229" i="14"/>
  <c r="N228" i="14"/>
  <c r="H53" i="12" s="1"/>
  <c r="M228" i="14"/>
  <c r="L228" i="14"/>
  <c r="K228" i="14"/>
  <c r="N227" i="14"/>
  <c r="H52" i="12" s="1"/>
  <c r="M227" i="14"/>
  <c r="L227" i="14"/>
  <c r="K227" i="14"/>
  <c r="N226" i="14"/>
  <c r="H51" i="12" s="1"/>
  <c r="M226" i="14"/>
  <c r="L226" i="14"/>
  <c r="K226" i="14"/>
  <c r="N225" i="14"/>
  <c r="H50" i="12" s="1"/>
  <c r="M225" i="14"/>
  <c r="L225" i="14"/>
  <c r="K225" i="14"/>
  <c r="N224" i="14"/>
  <c r="H49" i="12" s="1"/>
  <c r="M224" i="14"/>
  <c r="L224" i="14"/>
  <c r="K224" i="14"/>
  <c r="N223" i="14"/>
  <c r="H48" i="12" s="1"/>
  <c r="M223" i="14"/>
  <c r="L223" i="14"/>
  <c r="K223" i="14"/>
  <c r="N222" i="14"/>
  <c r="H47" i="12" s="1"/>
  <c r="M222" i="14"/>
  <c r="L222" i="14"/>
  <c r="K222" i="14"/>
  <c r="N221" i="14"/>
  <c r="H46" i="12" s="1"/>
  <c r="M221" i="14"/>
  <c r="L221" i="14"/>
  <c r="K221" i="14"/>
  <c r="N220" i="14"/>
  <c r="H45" i="12" s="1"/>
  <c r="M220" i="14"/>
  <c r="L220" i="14"/>
  <c r="K220" i="14"/>
  <c r="N219" i="14"/>
  <c r="H44" i="12" s="1"/>
  <c r="M219" i="14"/>
  <c r="L219" i="14"/>
  <c r="K219" i="14"/>
  <c r="N218" i="14"/>
  <c r="H43" i="12" s="1"/>
  <c r="M218" i="14"/>
  <c r="L218" i="14"/>
  <c r="K218" i="14"/>
  <c r="N217" i="14"/>
  <c r="H42" i="12" s="1"/>
  <c r="M217" i="14"/>
  <c r="L217" i="14"/>
  <c r="K217" i="14"/>
  <c r="N216" i="14"/>
  <c r="H41" i="12" s="1"/>
  <c r="M216" i="14"/>
  <c r="L216" i="14"/>
  <c r="K216" i="14"/>
  <c r="M215" i="14"/>
  <c r="L215" i="14"/>
  <c r="K215" i="14"/>
  <c r="N213" i="14"/>
  <c r="H38" i="12" s="1"/>
  <c r="M213" i="14"/>
  <c r="L213" i="14"/>
  <c r="K213" i="14"/>
  <c r="N212" i="14"/>
  <c r="H37" i="12" s="1"/>
  <c r="M212" i="14"/>
  <c r="L212" i="14"/>
  <c r="K212" i="14"/>
  <c r="N211" i="14"/>
  <c r="H36" i="12" s="1"/>
  <c r="M211" i="14"/>
  <c r="L211" i="14"/>
  <c r="K211" i="14"/>
  <c r="N210" i="14"/>
  <c r="H35" i="12" s="1"/>
  <c r="M210" i="14"/>
  <c r="L210" i="14"/>
  <c r="K210" i="14"/>
  <c r="N209" i="14"/>
  <c r="H34" i="12" s="1"/>
  <c r="M209" i="14"/>
  <c r="L209" i="14"/>
  <c r="K209" i="14"/>
  <c r="M208" i="14"/>
  <c r="L208" i="14"/>
  <c r="K208" i="14"/>
  <c r="N635" i="8"/>
  <c r="M635" i="8"/>
  <c r="L635" i="8"/>
  <c r="K635" i="8"/>
  <c r="M62" i="12" l="1"/>
  <c r="H61" i="12"/>
  <c r="M84" i="12"/>
  <c r="H80" i="12"/>
  <c r="M80" i="12" s="1"/>
  <c r="H94" i="12"/>
  <c r="H93" i="12"/>
  <c r="G35" i="12"/>
  <c r="G223" i="12" s="1"/>
  <c r="M61" i="12"/>
  <c r="M85" i="12"/>
  <c r="M52" i="12"/>
  <c r="M65" i="12"/>
  <c r="M53" i="12"/>
  <c r="M89" i="12"/>
  <c r="M48" i="12"/>
  <c r="M87" i="12"/>
  <c r="M36" i="12"/>
  <c r="M67" i="12"/>
  <c r="M56" i="12"/>
  <c r="M39" i="12"/>
  <c r="M57" i="12"/>
  <c r="M76" i="12"/>
  <c r="M97" i="12"/>
  <c r="M59" i="12"/>
  <c r="M77" i="12"/>
  <c r="M221" i="12"/>
  <c r="M47" i="12"/>
  <c r="M60" i="12"/>
  <c r="J34" i="12"/>
  <c r="J223" i="12" s="1"/>
  <c r="M35" i="12" l="1"/>
  <c r="R43" i="5"/>
  <c r="T687" i="6" l="1"/>
  <c r="T710" i="6"/>
  <c r="T715" i="6"/>
  <c r="V676" i="6"/>
  <c r="T676" i="6"/>
  <c r="T707" i="6"/>
  <c r="V687" i="6"/>
  <c r="V631" i="6"/>
  <c r="V686" i="6"/>
  <c r="V666" i="6"/>
  <c r="V718" i="6"/>
  <c r="V714" i="6"/>
  <c r="V629" i="6"/>
  <c r="V619" i="6"/>
  <c r="V700" i="6"/>
  <c r="V670" i="6"/>
  <c r="U700" i="6"/>
  <c r="U715" i="6"/>
  <c r="U707" i="6"/>
  <c r="U687" i="6"/>
  <c r="U621" i="6"/>
  <c r="U686" i="6"/>
  <c r="U666" i="6"/>
  <c r="U710" i="6"/>
  <c r="U682" i="6"/>
  <c r="U690" i="6"/>
  <c r="T666" i="6"/>
  <c r="T686" i="6"/>
  <c r="T690" i="6"/>
  <c r="T619" i="6"/>
  <c r="T682" i="6"/>
  <c r="T674" i="6"/>
  <c r="V626" i="6" l="1"/>
  <c r="T626" i="6"/>
  <c r="T629" i="6"/>
  <c r="N619" i="6"/>
  <c r="N616" i="6"/>
  <c r="N630" i="6"/>
  <c r="N626" i="6"/>
  <c r="U617" i="6"/>
  <c r="U634" i="6"/>
  <c r="U636" i="6"/>
  <c r="V617" i="6"/>
  <c r="V620" i="6"/>
  <c r="V632" i="6"/>
  <c r="T701" i="6"/>
  <c r="T622" i="6"/>
  <c r="T695" i="6"/>
  <c r="T635" i="6"/>
  <c r="U674" i="6"/>
  <c r="U622" i="6"/>
  <c r="U733" i="6"/>
  <c r="U619" i="6"/>
  <c r="V710" i="6"/>
  <c r="V623" i="6"/>
  <c r="V701" i="6"/>
  <c r="V622" i="6"/>
  <c r="V690" i="6"/>
  <c r="V635" i="6"/>
  <c r="T617" i="6"/>
  <c r="N617" i="6"/>
  <c r="N634" i="6"/>
  <c r="T634" i="6"/>
  <c r="U620" i="6"/>
  <c r="U623" i="6"/>
  <c r="T632" i="6"/>
  <c r="N636" i="6"/>
  <c r="N629" i="6"/>
  <c r="N625" i="6"/>
  <c r="T630" i="6"/>
  <c r="T620" i="6"/>
  <c r="U616" i="6"/>
  <c r="U635" i="6"/>
  <c r="U632" i="6"/>
  <c r="U626" i="6"/>
  <c r="V616" i="6"/>
  <c r="V634" i="6"/>
  <c r="N618" i="6"/>
  <c r="N635" i="6"/>
  <c r="N622" i="6"/>
  <c r="N620" i="6"/>
  <c r="N623" i="6"/>
  <c r="N631" i="6"/>
  <c r="N621" i="6"/>
  <c r="T616" i="6"/>
  <c r="T631" i="6"/>
  <c r="U630" i="6"/>
  <c r="U629" i="6"/>
  <c r="V636" i="6"/>
  <c r="T625" i="6"/>
  <c r="T621" i="6"/>
  <c r="U625" i="6"/>
  <c r="U631" i="6"/>
  <c r="V630" i="6"/>
  <c r="V621" i="6"/>
  <c r="T636" i="6"/>
  <c r="T623" i="6"/>
  <c r="T700" i="6"/>
  <c r="N728" i="6"/>
  <c r="T725" i="6"/>
  <c r="U725" i="6"/>
  <c r="U681" i="6"/>
  <c r="V728" i="6"/>
  <c r="V731" i="6"/>
  <c r="N686" i="6"/>
  <c r="N670" i="6"/>
  <c r="N718" i="6"/>
  <c r="N681" i="6"/>
  <c r="N674" i="6"/>
  <c r="N673" i="6"/>
  <c r="N733" i="6"/>
  <c r="V725" i="6"/>
  <c r="V733" i="6"/>
  <c r="N690" i="6"/>
  <c r="N676" i="6"/>
  <c r="N714" i="6"/>
  <c r="N700" i="6"/>
  <c r="N682" i="6"/>
  <c r="N687" i="6"/>
  <c r="N695" i="6"/>
  <c r="N701" i="6"/>
  <c r="N715" i="6"/>
  <c r="N710" i="6"/>
  <c r="T733" i="6"/>
  <c r="U673" i="6"/>
  <c r="T731" i="6"/>
  <c r="T718" i="6"/>
  <c r="N725" i="6"/>
  <c r="T681" i="6"/>
  <c r="U731" i="6"/>
  <c r="V681" i="6"/>
  <c r="T673" i="6"/>
  <c r="T670" i="6"/>
  <c r="N731" i="6"/>
  <c r="T728" i="6"/>
  <c r="T714" i="6"/>
  <c r="U695" i="6"/>
  <c r="U670" i="6"/>
  <c r="N666" i="6"/>
  <c r="U728" i="6"/>
  <c r="U718" i="6"/>
  <c r="U714" i="6"/>
  <c r="V673" i="6"/>
  <c r="V638" i="6" l="1"/>
  <c r="T638" i="6"/>
  <c r="N638" i="6"/>
  <c r="U638" i="6"/>
  <c r="P198" i="9" l="1"/>
  <c r="L101" i="14"/>
  <c r="L400" i="14" s="1"/>
  <c r="M101" i="14"/>
  <c r="M400" i="14" s="1"/>
  <c r="K101" i="14"/>
  <c r="K400" i="14" s="1"/>
  <c r="D101" i="14"/>
  <c r="P856" i="6"/>
  <c r="P216" i="9"/>
  <c r="K8" i="9" s="1"/>
  <c r="P186" i="9"/>
  <c r="P257" i="9"/>
  <c r="N21" i="9" s="1"/>
  <c r="P190" i="9"/>
  <c r="G13" i="12" s="1"/>
  <c r="P291" i="9"/>
  <c r="P15" i="9" s="1"/>
  <c r="P549" i="9"/>
  <c r="F42" i="12" s="1"/>
  <c r="P162" i="9"/>
  <c r="P163" i="9"/>
  <c r="P164" i="9"/>
  <c r="P165" i="9"/>
  <c r="P166" i="9"/>
  <c r="P167" i="9"/>
  <c r="P168" i="9"/>
  <c r="P169" i="9"/>
  <c r="P170" i="9"/>
  <c r="P171" i="9"/>
  <c r="P172" i="9"/>
  <c r="P173" i="9"/>
  <c r="P174" i="9"/>
  <c r="P175" i="9"/>
  <c r="P176" i="9"/>
  <c r="P177" i="9"/>
  <c r="P178" i="9"/>
  <c r="P195" i="9"/>
  <c r="P219" i="9"/>
  <c r="K22" i="9" s="1"/>
  <c r="D301" i="9"/>
  <c r="D300" i="9"/>
  <c r="D299" i="9"/>
  <c r="D298" i="9"/>
  <c r="D297" i="9"/>
  <c r="D296" i="9"/>
  <c r="D295" i="9"/>
  <c r="D294" i="9"/>
  <c r="D293" i="9"/>
  <c r="D292" i="9"/>
  <c r="D291" i="9"/>
  <c r="D288" i="9"/>
  <c r="D287" i="9"/>
  <c r="D286" i="9"/>
  <c r="D285" i="9"/>
  <c r="D284" i="9"/>
  <c r="D283" i="9"/>
  <c r="D281" i="9"/>
  <c r="D280" i="9"/>
  <c r="D279" i="9"/>
  <c r="D278" i="9"/>
  <c r="D277" i="9"/>
  <c r="D276" i="9"/>
  <c r="D275" i="9"/>
  <c r="D274" i="9"/>
  <c r="D273" i="9"/>
  <c r="D272" i="9"/>
  <c r="D271" i="9"/>
  <c r="D268" i="9"/>
  <c r="D267" i="9"/>
  <c r="D266" i="9"/>
  <c r="D265" i="9"/>
  <c r="D264" i="9"/>
  <c r="D263" i="9"/>
  <c r="D262" i="9"/>
  <c r="D261" i="9"/>
  <c r="D260" i="9"/>
  <c r="D259" i="9"/>
  <c r="D258" i="9"/>
  <c r="D257" i="9"/>
  <c r="D256" i="9"/>
  <c r="D255" i="9"/>
  <c r="D254" i="9"/>
  <c r="D253" i="9"/>
  <c r="D252" i="9"/>
  <c r="D251" i="9"/>
  <c r="D248" i="9"/>
  <c r="D247" i="9"/>
  <c r="D246" i="9"/>
  <c r="D245" i="9"/>
  <c r="D244" i="9"/>
  <c r="D243" i="9"/>
  <c r="D242" i="9"/>
  <c r="D241" i="9"/>
  <c r="D240" i="9"/>
  <c r="D239" i="9"/>
  <c r="D238" i="9"/>
  <c r="D237" i="9"/>
  <c r="D236" i="9"/>
  <c r="D235" i="9"/>
  <c r="D234" i="9"/>
  <c r="D233" i="9"/>
  <c r="D232" i="9"/>
  <c r="D231" i="9"/>
  <c r="D228" i="9"/>
  <c r="D227" i="9"/>
  <c r="D226" i="9"/>
  <c r="D225" i="9"/>
  <c r="D224" i="9"/>
  <c r="D223" i="9"/>
  <c r="D222" i="9"/>
  <c r="D221" i="9"/>
  <c r="D220" i="9"/>
  <c r="D219" i="9"/>
  <c r="D218" i="9"/>
  <c r="D217" i="9"/>
  <c r="D216" i="9"/>
  <c r="D215" i="9"/>
  <c r="D214" i="9"/>
  <c r="D213" i="9"/>
  <c r="D212" i="9"/>
  <c r="D211" i="9"/>
  <c r="D208" i="9"/>
  <c r="D207" i="9"/>
  <c r="D206" i="9"/>
  <c r="D205" i="9"/>
  <c r="D204" i="9"/>
  <c r="D203" i="9"/>
  <c r="D202" i="9"/>
  <c r="D201" i="9"/>
  <c r="D200" i="9"/>
  <c r="D199" i="9"/>
  <c r="D198" i="9"/>
  <c r="D197" i="9"/>
  <c r="D196" i="9"/>
  <c r="D195" i="9"/>
  <c r="D194" i="9"/>
  <c r="D193" i="9"/>
  <c r="D191" i="9"/>
  <c r="D190" i="9"/>
  <c r="D188" i="9"/>
  <c r="D187" i="9"/>
  <c r="D186" i="9"/>
  <c r="D185" i="9"/>
  <c r="D184" i="9"/>
  <c r="D183" i="9"/>
  <c r="D182" i="9"/>
  <c r="D282" i="9"/>
  <c r="L213" i="8"/>
  <c r="L825" i="8" s="1"/>
  <c r="M213" i="8"/>
  <c r="M825" i="8" s="1"/>
  <c r="K213" i="8"/>
  <c r="K825" i="8" s="1"/>
  <c r="R690" i="6"/>
  <c r="S690" i="6"/>
  <c r="S686" i="6"/>
  <c r="S636" i="6"/>
  <c r="S725" i="6"/>
  <c r="S728" i="6"/>
  <c r="S629" i="6"/>
  <c r="S674" i="6"/>
  <c r="R715" i="6"/>
  <c r="R710" i="6"/>
  <c r="R687" i="6"/>
  <c r="A48" i="8"/>
  <c r="A209" i="8"/>
  <c r="A210" i="8"/>
  <c r="A211" i="8"/>
  <c r="A212" i="8"/>
  <c r="N268" i="14"/>
  <c r="H95" i="12" s="1"/>
  <c r="M95" i="12" s="1"/>
  <c r="P274" i="9"/>
  <c r="O16" i="9" s="1"/>
  <c r="A58" i="15"/>
  <c r="A57" i="15"/>
  <c r="A56" i="15"/>
  <c r="A55" i="15"/>
  <c r="A54" i="15"/>
  <c r="A53" i="15"/>
  <c r="A52" i="15"/>
  <c r="A51" i="15"/>
  <c r="A50" i="15"/>
  <c r="A49" i="15"/>
  <c r="A48" i="15"/>
  <c r="A47" i="15"/>
  <c r="A46" i="15"/>
  <c r="A45" i="15"/>
  <c r="A44" i="15"/>
  <c r="A43" i="15"/>
  <c r="A42" i="15"/>
  <c r="A41" i="15"/>
  <c r="A40" i="15"/>
  <c r="A39" i="15"/>
  <c r="A38" i="15"/>
  <c r="A37" i="15"/>
  <c r="A36" i="15"/>
  <c r="A35" i="15"/>
  <c r="A34" i="15"/>
  <c r="A33" i="15"/>
  <c r="A32" i="15"/>
  <c r="O300" i="10"/>
  <c r="N25" i="10" s="1"/>
  <c r="N300" i="10"/>
  <c r="M300" i="10"/>
  <c r="O299" i="10"/>
  <c r="N24" i="10" s="1"/>
  <c r="N299" i="10"/>
  <c r="M299" i="10"/>
  <c r="O298" i="10"/>
  <c r="N23" i="10" s="1"/>
  <c r="N298" i="10"/>
  <c r="M298" i="10"/>
  <c r="O297" i="10"/>
  <c r="N22" i="10" s="1"/>
  <c r="N297" i="10"/>
  <c r="M297" i="10"/>
  <c r="O296" i="10"/>
  <c r="N21" i="10" s="1"/>
  <c r="N296" i="10"/>
  <c r="M296" i="10"/>
  <c r="O295" i="10"/>
  <c r="N20" i="10" s="1"/>
  <c r="N295" i="10"/>
  <c r="M295" i="10"/>
  <c r="O294" i="10"/>
  <c r="N19" i="10" s="1"/>
  <c r="N294" i="10"/>
  <c r="M294" i="10"/>
  <c r="O293" i="10"/>
  <c r="N18" i="10" s="1"/>
  <c r="N293" i="10"/>
  <c r="M293" i="10"/>
  <c r="O292" i="10"/>
  <c r="N17" i="10" s="1"/>
  <c r="N292" i="10"/>
  <c r="M292" i="10"/>
  <c r="O291" i="10"/>
  <c r="N16" i="10" s="1"/>
  <c r="N291" i="10"/>
  <c r="M291" i="10"/>
  <c r="O290" i="10"/>
  <c r="N15" i="10" s="1"/>
  <c r="N290" i="10"/>
  <c r="M290" i="10"/>
  <c r="O289" i="10"/>
  <c r="N14" i="10" s="1"/>
  <c r="N289" i="10"/>
  <c r="M289" i="10"/>
  <c r="O288" i="10"/>
  <c r="N13" i="10" s="1"/>
  <c r="N288" i="10"/>
  <c r="M288" i="10"/>
  <c r="O287" i="10"/>
  <c r="N12" i="10" s="1"/>
  <c r="N287" i="10"/>
  <c r="M287" i="10"/>
  <c r="O286" i="10"/>
  <c r="N11" i="10" s="1"/>
  <c r="N286" i="10"/>
  <c r="M286" i="10"/>
  <c r="O285" i="10"/>
  <c r="N10" i="10" s="1"/>
  <c r="N285" i="10"/>
  <c r="M285" i="10"/>
  <c r="O284" i="10"/>
  <c r="N9" i="10" s="1"/>
  <c r="N284" i="10"/>
  <c r="M284" i="10"/>
  <c r="O283" i="10"/>
  <c r="N8" i="10" s="1"/>
  <c r="N283" i="10"/>
  <c r="M283" i="10"/>
  <c r="O282" i="10"/>
  <c r="N7" i="10" s="1"/>
  <c r="N282" i="10"/>
  <c r="M282" i="10"/>
  <c r="O281" i="10"/>
  <c r="N6" i="10" s="1"/>
  <c r="N281" i="10"/>
  <c r="M281" i="10"/>
  <c r="O280" i="10"/>
  <c r="N5" i="10" s="1"/>
  <c r="N280" i="10"/>
  <c r="M280" i="10"/>
  <c r="P301" i="9"/>
  <c r="P10" i="9" s="1"/>
  <c r="O301" i="9"/>
  <c r="N301" i="9"/>
  <c r="M301" i="9"/>
  <c r="L301" i="9"/>
  <c r="K301" i="9"/>
  <c r="J301" i="9"/>
  <c r="O300" i="9"/>
  <c r="N300" i="9"/>
  <c r="M300" i="9"/>
  <c r="L300" i="9"/>
  <c r="K300" i="9"/>
  <c r="J300" i="9"/>
  <c r="O299" i="9"/>
  <c r="N299" i="9"/>
  <c r="M299" i="9"/>
  <c r="L299" i="9"/>
  <c r="K299" i="9"/>
  <c r="J299" i="9"/>
  <c r="O298" i="9"/>
  <c r="N298" i="9"/>
  <c r="M298" i="9"/>
  <c r="L298" i="9"/>
  <c r="K298" i="9"/>
  <c r="J298" i="9"/>
  <c r="P297" i="9"/>
  <c r="P21" i="9" s="1"/>
  <c r="O297" i="9"/>
  <c r="N297" i="9"/>
  <c r="M297" i="9"/>
  <c r="L297" i="9"/>
  <c r="K297" i="9"/>
  <c r="J297" i="9"/>
  <c r="P296" i="9"/>
  <c r="P8" i="9" s="1"/>
  <c r="O296" i="9"/>
  <c r="N296" i="9"/>
  <c r="M296" i="9"/>
  <c r="L296" i="9"/>
  <c r="K296" i="9"/>
  <c r="J296" i="9"/>
  <c r="P295" i="9"/>
  <c r="P20" i="9" s="1"/>
  <c r="O295" i="9"/>
  <c r="N295" i="9"/>
  <c r="M295" i="9"/>
  <c r="L295" i="9"/>
  <c r="K295" i="9"/>
  <c r="J295" i="9"/>
  <c r="O294" i="9"/>
  <c r="N294" i="9"/>
  <c r="M294" i="9"/>
  <c r="L294" i="9"/>
  <c r="K294" i="9"/>
  <c r="J294" i="9"/>
  <c r="P293" i="9"/>
  <c r="P7" i="9" s="1"/>
  <c r="O293" i="9"/>
  <c r="N293" i="9"/>
  <c r="M293" i="9"/>
  <c r="L293" i="9"/>
  <c r="K293" i="9"/>
  <c r="J293" i="9"/>
  <c r="P292" i="9"/>
  <c r="P19" i="9" s="1"/>
  <c r="O292" i="9"/>
  <c r="N292" i="9"/>
  <c r="M292" i="9"/>
  <c r="L292" i="9"/>
  <c r="K292" i="9"/>
  <c r="J292" i="9"/>
  <c r="O291" i="9"/>
  <c r="N291" i="9"/>
  <c r="M291" i="9"/>
  <c r="L291" i="9"/>
  <c r="K291" i="9"/>
  <c r="J291" i="9"/>
  <c r="P288" i="9"/>
  <c r="P18" i="9" s="1"/>
  <c r="O288" i="9"/>
  <c r="N288" i="9"/>
  <c r="M288" i="9"/>
  <c r="L288" i="9"/>
  <c r="K288" i="9"/>
  <c r="J288" i="9"/>
  <c r="P287" i="9"/>
  <c r="P17" i="9" s="1"/>
  <c r="O287" i="9"/>
  <c r="N287" i="9"/>
  <c r="M287" i="9"/>
  <c r="L287" i="9"/>
  <c r="K287" i="9"/>
  <c r="J287" i="9"/>
  <c r="P286" i="9"/>
  <c r="P12" i="9" s="1"/>
  <c r="O286" i="9"/>
  <c r="N286" i="9"/>
  <c r="M286" i="9"/>
  <c r="L286" i="9"/>
  <c r="K286" i="9"/>
  <c r="J286" i="9"/>
  <c r="P285" i="9"/>
  <c r="P11" i="9" s="1"/>
  <c r="O285" i="9"/>
  <c r="N285" i="9"/>
  <c r="M285" i="9"/>
  <c r="L285" i="9"/>
  <c r="K285" i="9"/>
  <c r="J285" i="9"/>
  <c r="P284" i="9"/>
  <c r="P5" i="9" s="1"/>
  <c r="O284" i="9"/>
  <c r="N284" i="9"/>
  <c r="M284" i="9"/>
  <c r="L284" i="9"/>
  <c r="K284" i="9"/>
  <c r="J284" i="9"/>
  <c r="P283" i="9"/>
  <c r="P14" i="9" s="1"/>
  <c r="O283" i="9"/>
  <c r="N283" i="9"/>
  <c r="M283" i="9"/>
  <c r="L283" i="9"/>
  <c r="K283" i="9"/>
  <c r="J283" i="9"/>
  <c r="O282" i="9"/>
  <c r="N282" i="9"/>
  <c r="M282" i="9"/>
  <c r="L282" i="9"/>
  <c r="K282" i="9"/>
  <c r="J282" i="9"/>
  <c r="P281" i="9"/>
  <c r="O10" i="9" s="1"/>
  <c r="O281" i="9"/>
  <c r="N281" i="9"/>
  <c r="M281" i="9"/>
  <c r="L281" i="9"/>
  <c r="K281" i="9"/>
  <c r="J281" i="9"/>
  <c r="O280" i="9"/>
  <c r="N280" i="9"/>
  <c r="M280" i="9"/>
  <c r="L280" i="9"/>
  <c r="K280" i="9"/>
  <c r="J280" i="9"/>
  <c r="P279" i="9"/>
  <c r="O22" i="9" s="1"/>
  <c r="O279" i="9"/>
  <c r="N279" i="9"/>
  <c r="M279" i="9"/>
  <c r="L279" i="9"/>
  <c r="K279" i="9"/>
  <c r="J279" i="9"/>
  <c r="P278" i="9"/>
  <c r="O9" i="9" s="1"/>
  <c r="O278" i="9"/>
  <c r="N278" i="9"/>
  <c r="M278" i="9"/>
  <c r="L278" i="9"/>
  <c r="K278" i="9"/>
  <c r="J278" i="9"/>
  <c r="P277" i="9"/>
  <c r="O21" i="9" s="1"/>
  <c r="O277" i="9"/>
  <c r="N277" i="9"/>
  <c r="M277" i="9"/>
  <c r="L277" i="9"/>
  <c r="K277" i="9"/>
  <c r="J277" i="9"/>
  <c r="O276" i="9"/>
  <c r="N276" i="9"/>
  <c r="M276" i="9"/>
  <c r="L276" i="9"/>
  <c r="K276" i="9"/>
  <c r="J276" i="9"/>
  <c r="O275" i="9"/>
  <c r="N275" i="9"/>
  <c r="M275" i="9"/>
  <c r="L275" i="9"/>
  <c r="K275" i="9"/>
  <c r="J275" i="9"/>
  <c r="O274" i="9"/>
  <c r="N274" i="9"/>
  <c r="M274" i="9"/>
  <c r="L274" i="9"/>
  <c r="K274" i="9"/>
  <c r="J274" i="9"/>
  <c r="P273" i="9"/>
  <c r="O7" i="9" s="1"/>
  <c r="O273" i="9"/>
  <c r="N273" i="9"/>
  <c r="M273" i="9"/>
  <c r="L273" i="9"/>
  <c r="K273" i="9"/>
  <c r="J273" i="9"/>
  <c r="P272" i="9"/>
  <c r="O19" i="9" s="1"/>
  <c r="O272" i="9"/>
  <c r="N272" i="9"/>
  <c r="M272" i="9"/>
  <c r="L272" i="9"/>
  <c r="K272" i="9"/>
  <c r="J272" i="9"/>
  <c r="P271" i="9"/>
  <c r="O15" i="9" s="1"/>
  <c r="O271" i="9"/>
  <c r="N271" i="9"/>
  <c r="M271" i="9"/>
  <c r="L271" i="9"/>
  <c r="K271" i="9"/>
  <c r="J271" i="9"/>
  <c r="P268" i="9"/>
  <c r="O18" i="9" s="1"/>
  <c r="O268" i="9"/>
  <c r="N268" i="9"/>
  <c r="M268" i="9"/>
  <c r="L268" i="9"/>
  <c r="K268" i="9"/>
  <c r="J268" i="9"/>
  <c r="O267" i="9"/>
  <c r="N267" i="9"/>
  <c r="M267" i="9"/>
  <c r="L267" i="9"/>
  <c r="K267" i="9"/>
  <c r="J267" i="9"/>
  <c r="O266" i="9"/>
  <c r="N266" i="9"/>
  <c r="M266" i="9"/>
  <c r="L266" i="9"/>
  <c r="K266" i="9"/>
  <c r="J266" i="9"/>
  <c r="O265" i="9"/>
  <c r="N265" i="9"/>
  <c r="M265" i="9"/>
  <c r="L265" i="9"/>
  <c r="K265" i="9"/>
  <c r="J265" i="9"/>
  <c r="P264" i="9"/>
  <c r="O5" i="9" s="1"/>
  <c r="O264" i="9"/>
  <c r="N264" i="9"/>
  <c r="M264" i="9"/>
  <c r="L264" i="9"/>
  <c r="K264" i="9"/>
  <c r="J264" i="9"/>
  <c r="P263" i="9"/>
  <c r="O14" i="9" s="1"/>
  <c r="O263" i="9"/>
  <c r="N263" i="9"/>
  <c r="M263" i="9"/>
  <c r="L263" i="9"/>
  <c r="K263" i="9"/>
  <c r="J263" i="9"/>
  <c r="P262" i="9"/>
  <c r="O4" i="9" s="1"/>
  <c r="O262" i="9"/>
  <c r="N262" i="9"/>
  <c r="M262" i="9"/>
  <c r="L262" i="9"/>
  <c r="K262" i="9"/>
  <c r="J262" i="9"/>
  <c r="P261" i="9"/>
  <c r="N10" i="9" s="1"/>
  <c r="O261" i="9"/>
  <c r="N261" i="9"/>
  <c r="M261" i="9"/>
  <c r="L261" i="9"/>
  <c r="K261" i="9"/>
  <c r="J261" i="9"/>
  <c r="P260" i="9"/>
  <c r="N23" i="9" s="1"/>
  <c r="O260" i="9"/>
  <c r="N260" i="9"/>
  <c r="M260" i="9"/>
  <c r="L260" i="9"/>
  <c r="K260" i="9"/>
  <c r="J260" i="9"/>
  <c r="P259" i="9"/>
  <c r="N22" i="9" s="1"/>
  <c r="O259" i="9"/>
  <c r="N259" i="9"/>
  <c r="M259" i="9"/>
  <c r="L259" i="9"/>
  <c r="K259" i="9"/>
  <c r="J259" i="9"/>
  <c r="P258" i="9"/>
  <c r="N9" i="9" s="1"/>
  <c r="O258" i="9"/>
  <c r="N258" i="9"/>
  <c r="M258" i="9"/>
  <c r="L258" i="9"/>
  <c r="K258" i="9"/>
  <c r="J258" i="9"/>
  <c r="O257" i="9"/>
  <c r="N257" i="9"/>
  <c r="M257" i="9"/>
  <c r="L257" i="9"/>
  <c r="K257" i="9"/>
  <c r="J257" i="9"/>
  <c r="P256" i="9"/>
  <c r="N8" i="9" s="1"/>
  <c r="O256" i="9"/>
  <c r="N256" i="9"/>
  <c r="M256" i="9"/>
  <c r="L256" i="9"/>
  <c r="K256" i="9"/>
  <c r="J256" i="9"/>
  <c r="P255" i="9"/>
  <c r="N20" i="9" s="1"/>
  <c r="O255" i="9"/>
  <c r="N255" i="9"/>
  <c r="M255" i="9"/>
  <c r="L255" i="9"/>
  <c r="K255" i="9"/>
  <c r="J255" i="9"/>
  <c r="P254" i="9"/>
  <c r="N16" i="9" s="1"/>
  <c r="O254" i="9"/>
  <c r="N254" i="9"/>
  <c r="M254" i="9"/>
  <c r="L254" i="9"/>
  <c r="K254" i="9"/>
  <c r="J254" i="9"/>
  <c r="P253" i="9"/>
  <c r="N7" i="9" s="1"/>
  <c r="O253" i="9"/>
  <c r="N253" i="9"/>
  <c r="M253" i="9"/>
  <c r="L253" i="9"/>
  <c r="K253" i="9"/>
  <c r="J253" i="9"/>
  <c r="P252" i="9"/>
  <c r="N19" i="9" s="1"/>
  <c r="O252" i="9"/>
  <c r="N252" i="9"/>
  <c r="M6" i="9" s="1"/>
  <c r="M252" i="9"/>
  <c r="L252" i="9"/>
  <c r="K252" i="9"/>
  <c r="J252" i="9"/>
  <c r="P251" i="9"/>
  <c r="N15" i="9" s="1"/>
  <c r="O251" i="9"/>
  <c r="N251" i="9"/>
  <c r="M251" i="9"/>
  <c r="L251" i="9"/>
  <c r="K251" i="9"/>
  <c r="J251" i="9"/>
  <c r="O248" i="9"/>
  <c r="N248" i="9"/>
  <c r="M248" i="9"/>
  <c r="L248" i="9"/>
  <c r="K248" i="9"/>
  <c r="J248" i="9"/>
  <c r="P247" i="9"/>
  <c r="N17" i="9" s="1"/>
  <c r="O247" i="9"/>
  <c r="N247" i="9"/>
  <c r="M247" i="9"/>
  <c r="L247" i="9"/>
  <c r="K247" i="9"/>
  <c r="J247" i="9"/>
  <c r="P246" i="9"/>
  <c r="N12" i="9" s="1"/>
  <c r="O246" i="9"/>
  <c r="N246" i="9"/>
  <c r="M246" i="9"/>
  <c r="L246" i="9"/>
  <c r="K246" i="9"/>
  <c r="J246" i="9"/>
  <c r="P245" i="9"/>
  <c r="N11" i="9" s="1"/>
  <c r="O245" i="9"/>
  <c r="N245" i="9"/>
  <c r="M245" i="9"/>
  <c r="L245" i="9"/>
  <c r="K245" i="9"/>
  <c r="J245" i="9"/>
  <c r="P244" i="9"/>
  <c r="N5" i="9" s="1"/>
  <c r="O244" i="9"/>
  <c r="N244" i="9"/>
  <c r="M244" i="9"/>
  <c r="L244" i="9"/>
  <c r="K244" i="9"/>
  <c r="J244" i="9"/>
  <c r="P243" i="9"/>
  <c r="N14" i="9" s="1"/>
  <c r="O243" i="9"/>
  <c r="N243" i="9"/>
  <c r="M243" i="9"/>
  <c r="L243" i="9"/>
  <c r="K243" i="9"/>
  <c r="J243" i="9"/>
  <c r="P242" i="9"/>
  <c r="N4" i="9" s="1"/>
  <c r="O242" i="9"/>
  <c r="N242" i="9"/>
  <c r="M242" i="9"/>
  <c r="L242" i="9"/>
  <c r="K242" i="9"/>
  <c r="J242" i="9"/>
  <c r="P241" i="9"/>
  <c r="L10" i="9" s="1"/>
  <c r="O241" i="9"/>
  <c r="N241" i="9"/>
  <c r="M241" i="9"/>
  <c r="L241" i="9"/>
  <c r="K241" i="9"/>
  <c r="J241" i="9"/>
  <c r="P240" i="9"/>
  <c r="L23" i="9" s="1"/>
  <c r="O240" i="9"/>
  <c r="N240" i="9"/>
  <c r="M240" i="9"/>
  <c r="L240" i="9"/>
  <c r="K240" i="9"/>
  <c r="J240" i="9"/>
  <c r="P239" i="9"/>
  <c r="L22" i="9" s="1"/>
  <c r="O239" i="9"/>
  <c r="N239" i="9"/>
  <c r="M239" i="9"/>
  <c r="L239" i="9"/>
  <c r="K239" i="9"/>
  <c r="J239" i="9"/>
  <c r="P238" i="9"/>
  <c r="L9" i="9" s="1"/>
  <c r="O238" i="9"/>
  <c r="N238" i="9"/>
  <c r="M238" i="9"/>
  <c r="L238" i="9"/>
  <c r="K238" i="9"/>
  <c r="J238" i="9"/>
  <c r="P237" i="9"/>
  <c r="L21" i="9" s="1"/>
  <c r="O237" i="9"/>
  <c r="N237" i="9"/>
  <c r="M237" i="9"/>
  <c r="L237" i="9"/>
  <c r="K237" i="9"/>
  <c r="J237" i="9"/>
  <c r="P236" i="9"/>
  <c r="L8" i="9" s="1"/>
  <c r="O236" i="9"/>
  <c r="N236" i="9"/>
  <c r="M236" i="9"/>
  <c r="L236" i="9"/>
  <c r="K236" i="9"/>
  <c r="J236" i="9"/>
  <c r="P235" i="9"/>
  <c r="L20" i="9" s="1"/>
  <c r="O235" i="9"/>
  <c r="N235" i="9"/>
  <c r="M235" i="9"/>
  <c r="L235" i="9"/>
  <c r="K235" i="9"/>
  <c r="J235" i="9"/>
  <c r="P234" i="9"/>
  <c r="L16" i="9" s="1"/>
  <c r="O234" i="9"/>
  <c r="N234" i="9"/>
  <c r="M234" i="9"/>
  <c r="L234" i="9"/>
  <c r="K234" i="9"/>
  <c r="J234" i="9"/>
  <c r="P233" i="9"/>
  <c r="L7" i="9" s="1"/>
  <c r="O233" i="9"/>
  <c r="N233" i="9"/>
  <c r="M233" i="9"/>
  <c r="L233" i="9"/>
  <c r="K233" i="9"/>
  <c r="J233" i="9"/>
  <c r="P232" i="9"/>
  <c r="L19" i="9" s="1"/>
  <c r="O232" i="9"/>
  <c r="N232" i="9"/>
  <c r="M232" i="9"/>
  <c r="L232" i="9"/>
  <c r="K232" i="9"/>
  <c r="J232" i="9"/>
  <c r="P231" i="9"/>
  <c r="L15" i="9" s="1"/>
  <c r="O231" i="9"/>
  <c r="N231" i="9"/>
  <c r="M231" i="9"/>
  <c r="L231" i="9"/>
  <c r="K231" i="9"/>
  <c r="J231" i="9"/>
  <c r="P228" i="9"/>
  <c r="L18" i="9" s="1"/>
  <c r="O228" i="9"/>
  <c r="N228" i="9"/>
  <c r="M228" i="9"/>
  <c r="L228" i="9"/>
  <c r="K228" i="9"/>
  <c r="J228" i="9"/>
  <c r="P227" i="9"/>
  <c r="L17" i="9" s="1"/>
  <c r="O227" i="9"/>
  <c r="N227" i="9"/>
  <c r="M227" i="9"/>
  <c r="L227" i="9"/>
  <c r="K227" i="9"/>
  <c r="J227" i="9"/>
  <c r="P226" i="9"/>
  <c r="L12" i="9" s="1"/>
  <c r="O226" i="9"/>
  <c r="N226" i="9"/>
  <c r="M226" i="9"/>
  <c r="L226" i="9"/>
  <c r="K226" i="9"/>
  <c r="J226" i="9"/>
  <c r="P225" i="9"/>
  <c r="L11" i="9" s="1"/>
  <c r="O225" i="9"/>
  <c r="N225" i="9"/>
  <c r="M225" i="9"/>
  <c r="L225" i="9"/>
  <c r="K225" i="9"/>
  <c r="J225" i="9"/>
  <c r="P224" i="9"/>
  <c r="L5" i="9" s="1"/>
  <c r="O224" i="9"/>
  <c r="N224" i="9"/>
  <c r="M224" i="9"/>
  <c r="L224" i="9"/>
  <c r="K224" i="9"/>
  <c r="J224" i="9"/>
  <c r="P223" i="9"/>
  <c r="L14" i="9" s="1"/>
  <c r="O223" i="9"/>
  <c r="N223" i="9"/>
  <c r="M223" i="9"/>
  <c r="L223" i="9"/>
  <c r="K223" i="9"/>
  <c r="J223" i="9"/>
  <c r="P222" i="9"/>
  <c r="L4" i="9" s="1"/>
  <c r="O222" i="9"/>
  <c r="N222" i="9"/>
  <c r="M222" i="9"/>
  <c r="L222" i="9"/>
  <c r="K222" i="9"/>
  <c r="J222" i="9"/>
  <c r="P221" i="9"/>
  <c r="K10" i="9" s="1"/>
  <c r="O221" i="9"/>
  <c r="N221" i="9"/>
  <c r="M221" i="9"/>
  <c r="L221" i="9"/>
  <c r="K221" i="9"/>
  <c r="J221" i="9"/>
  <c r="P220" i="9"/>
  <c r="K23" i="9" s="1"/>
  <c r="O220" i="9"/>
  <c r="N220" i="9"/>
  <c r="M220" i="9"/>
  <c r="L220" i="9"/>
  <c r="K220" i="9"/>
  <c r="J220" i="9"/>
  <c r="O219" i="9"/>
  <c r="N219" i="9"/>
  <c r="M219" i="9"/>
  <c r="L219" i="9"/>
  <c r="K219" i="9"/>
  <c r="J219" i="9"/>
  <c r="P218" i="9"/>
  <c r="K9" i="9" s="1"/>
  <c r="O218" i="9"/>
  <c r="N218" i="9"/>
  <c r="M218" i="9"/>
  <c r="L218" i="9"/>
  <c r="K218" i="9"/>
  <c r="J218" i="9"/>
  <c r="P217" i="9"/>
  <c r="K21" i="9" s="1"/>
  <c r="O217" i="9"/>
  <c r="N217" i="9"/>
  <c r="M217" i="9"/>
  <c r="L217" i="9"/>
  <c r="K217" i="9"/>
  <c r="J217" i="9"/>
  <c r="O216" i="9"/>
  <c r="N216" i="9"/>
  <c r="M216" i="9"/>
  <c r="L216" i="9"/>
  <c r="K216" i="9"/>
  <c r="J216" i="9"/>
  <c r="P215" i="9"/>
  <c r="K20" i="9" s="1"/>
  <c r="O215" i="9"/>
  <c r="N215" i="9"/>
  <c r="M215" i="9"/>
  <c r="L215" i="9"/>
  <c r="K215" i="9"/>
  <c r="J215" i="9"/>
  <c r="O214" i="9"/>
  <c r="N214" i="9"/>
  <c r="M214" i="9"/>
  <c r="L214" i="9"/>
  <c r="K214" i="9"/>
  <c r="J214" i="9"/>
  <c r="O213" i="9"/>
  <c r="N213" i="9"/>
  <c r="M213" i="9"/>
  <c r="L213" i="9"/>
  <c r="K213" i="9"/>
  <c r="J213" i="9"/>
  <c r="P212" i="9"/>
  <c r="O212" i="9"/>
  <c r="N212" i="9"/>
  <c r="M212" i="9"/>
  <c r="L212" i="9"/>
  <c r="K212" i="9"/>
  <c r="J212" i="9"/>
  <c r="O211" i="9"/>
  <c r="N211" i="9"/>
  <c r="M211" i="9"/>
  <c r="L211" i="9"/>
  <c r="K211" i="9"/>
  <c r="J211" i="9"/>
  <c r="O208" i="9"/>
  <c r="N208" i="9"/>
  <c r="M208" i="9"/>
  <c r="L208" i="9"/>
  <c r="K208" i="9"/>
  <c r="J208" i="9"/>
  <c r="P207" i="9"/>
  <c r="K17" i="9" s="1"/>
  <c r="O207" i="9"/>
  <c r="N207" i="9"/>
  <c r="M207" i="9"/>
  <c r="L207" i="9"/>
  <c r="K207" i="9"/>
  <c r="J207" i="9"/>
  <c r="P206" i="9"/>
  <c r="K12" i="9" s="1"/>
  <c r="O206" i="9"/>
  <c r="N206" i="9"/>
  <c r="M206" i="9"/>
  <c r="L206" i="9"/>
  <c r="K206" i="9"/>
  <c r="J206" i="9"/>
  <c r="O205" i="9"/>
  <c r="N205" i="9"/>
  <c r="M205" i="9"/>
  <c r="L205" i="9"/>
  <c r="K205" i="9"/>
  <c r="J205" i="9"/>
  <c r="P204" i="9"/>
  <c r="K5" i="9" s="1"/>
  <c r="O204" i="9"/>
  <c r="N204" i="9"/>
  <c r="M204" i="9"/>
  <c r="L204" i="9"/>
  <c r="K204" i="9"/>
  <c r="J204" i="9"/>
  <c r="P203" i="9"/>
  <c r="K14" i="9" s="1"/>
  <c r="O203" i="9"/>
  <c r="N203" i="9"/>
  <c r="M203" i="9"/>
  <c r="L203" i="9"/>
  <c r="K203" i="9"/>
  <c r="J203" i="9"/>
  <c r="O202" i="9"/>
  <c r="N202" i="9"/>
  <c r="M202" i="9"/>
  <c r="L202" i="9"/>
  <c r="K202" i="9"/>
  <c r="J202" i="9"/>
  <c r="P201" i="9"/>
  <c r="O201" i="9"/>
  <c r="N201" i="9"/>
  <c r="M201" i="9"/>
  <c r="L201" i="9"/>
  <c r="K201" i="9"/>
  <c r="J201" i="9"/>
  <c r="P200" i="9"/>
  <c r="O200" i="9"/>
  <c r="N200" i="9"/>
  <c r="M200" i="9"/>
  <c r="L200" i="9"/>
  <c r="K200" i="9"/>
  <c r="J200" i="9"/>
  <c r="P199" i="9"/>
  <c r="O199" i="9"/>
  <c r="N199" i="9"/>
  <c r="M199" i="9"/>
  <c r="L199" i="9"/>
  <c r="K199" i="9"/>
  <c r="J199" i="9"/>
  <c r="O198" i="9"/>
  <c r="N198" i="9"/>
  <c r="M198" i="9"/>
  <c r="L198" i="9"/>
  <c r="K198" i="9"/>
  <c r="J198" i="9"/>
  <c r="P197" i="9"/>
  <c r="O197" i="9"/>
  <c r="N197" i="9"/>
  <c r="M197" i="9"/>
  <c r="L197" i="9"/>
  <c r="K197" i="9"/>
  <c r="J197" i="9"/>
  <c r="O196" i="9"/>
  <c r="N196" i="9"/>
  <c r="M196" i="9"/>
  <c r="L196" i="9"/>
  <c r="K196" i="9"/>
  <c r="J196" i="9"/>
  <c r="O195" i="9"/>
  <c r="N195" i="9"/>
  <c r="M195" i="9"/>
  <c r="L195" i="9"/>
  <c r="K195" i="9"/>
  <c r="J195" i="9"/>
  <c r="P194" i="9"/>
  <c r="O194" i="9"/>
  <c r="N194" i="9"/>
  <c r="M194" i="9"/>
  <c r="L194" i="9"/>
  <c r="K194" i="9"/>
  <c r="J194" i="9"/>
  <c r="P193" i="9"/>
  <c r="O193" i="9"/>
  <c r="N193" i="9"/>
  <c r="M193" i="9"/>
  <c r="L193" i="9"/>
  <c r="K193" i="9"/>
  <c r="J193" i="9"/>
  <c r="P191" i="9"/>
  <c r="O191" i="9"/>
  <c r="N191" i="9"/>
  <c r="M191" i="9"/>
  <c r="L191" i="9"/>
  <c r="K191" i="9"/>
  <c r="J191" i="9"/>
  <c r="O190" i="9"/>
  <c r="N190" i="9"/>
  <c r="M190" i="9"/>
  <c r="K190" i="9"/>
  <c r="J190" i="9"/>
  <c r="O188" i="9"/>
  <c r="N188" i="9"/>
  <c r="M188" i="9"/>
  <c r="L188" i="9"/>
  <c r="K188" i="9"/>
  <c r="J188" i="9"/>
  <c r="O187" i="9"/>
  <c r="N187" i="9"/>
  <c r="M187" i="9"/>
  <c r="L187" i="9"/>
  <c r="K187" i="9"/>
  <c r="J187" i="9"/>
  <c r="O186" i="9"/>
  <c r="N186" i="9"/>
  <c r="M186" i="9"/>
  <c r="L186" i="9"/>
  <c r="K186" i="9"/>
  <c r="J186" i="9"/>
  <c r="O185" i="9"/>
  <c r="N185" i="9"/>
  <c r="M185" i="9"/>
  <c r="L185" i="9"/>
  <c r="K185" i="9"/>
  <c r="J185" i="9"/>
  <c r="P184" i="9"/>
  <c r="J5" i="9" s="1"/>
  <c r="O184" i="9"/>
  <c r="N184" i="9"/>
  <c r="M184" i="9"/>
  <c r="L184" i="9"/>
  <c r="K184" i="9"/>
  <c r="J184" i="9"/>
  <c r="P183" i="9"/>
  <c r="O183" i="9"/>
  <c r="N183" i="9"/>
  <c r="M183" i="9"/>
  <c r="L183" i="9"/>
  <c r="K183" i="9"/>
  <c r="J183" i="9"/>
  <c r="P182" i="9"/>
  <c r="O182" i="9"/>
  <c r="N182" i="9"/>
  <c r="M182" i="9"/>
  <c r="L182" i="9"/>
  <c r="K182" i="9"/>
  <c r="J182" i="9"/>
  <c r="B19" i="5"/>
  <c r="A100" i="14"/>
  <c r="A99" i="14"/>
  <c r="A98" i="14"/>
  <c r="A278" i="10"/>
  <c r="A277" i="10"/>
  <c r="A276" i="10"/>
  <c r="A275" i="10"/>
  <c r="A274" i="10"/>
  <c r="A273" i="10"/>
  <c r="A272" i="10"/>
  <c r="A271" i="10"/>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O279" i="10"/>
  <c r="N279" i="10"/>
  <c r="M279" i="10"/>
  <c r="L279" i="10"/>
  <c r="K279" i="10"/>
  <c r="D279" i="10"/>
  <c r="Q19" i="5"/>
  <c r="D213" i="8"/>
  <c r="N155" i="3"/>
  <c r="N2278" i="3" s="1"/>
  <c r="M155" i="3"/>
  <c r="L155" i="3"/>
  <c r="K155" i="3"/>
  <c r="D155" i="3"/>
  <c r="Y856" i="6"/>
  <c r="D181" i="9"/>
  <c r="O181" i="9"/>
  <c r="N181" i="9"/>
  <c r="M181" i="9"/>
  <c r="L181" i="9"/>
  <c r="K181" i="9"/>
  <c r="J181" i="9"/>
  <c r="P180" i="9"/>
  <c r="P179" i="9"/>
  <c r="V856" i="6"/>
  <c r="U856" i="6"/>
  <c r="L856" i="6"/>
  <c r="L19" i="5"/>
  <c r="N1058" i="8" l="1"/>
  <c r="N1059" i="8"/>
  <c r="N1060" i="8"/>
  <c r="F5" i="9"/>
  <c r="L33" i="5"/>
  <c r="L37" i="5" s="1"/>
  <c r="L23" i="20"/>
  <c r="N1204" i="8"/>
  <c r="O218" i="12" s="1"/>
  <c r="N1061" i="8"/>
  <c r="N915" i="8"/>
  <c r="N122" i="12" s="1"/>
  <c r="N1167" i="8"/>
  <c r="O183" i="12" s="1"/>
  <c r="N1022" i="8"/>
  <c r="O36" i="12" s="1"/>
  <c r="N878" i="8"/>
  <c r="N84" i="12" s="1"/>
  <c r="N1107" i="8"/>
  <c r="N961" i="8"/>
  <c r="N166" i="12" s="1"/>
  <c r="N1189" i="8"/>
  <c r="O205" i="12" s="1"/>
  <c r="N1044" i="8"/>
  <c r="O58" i="12" s="1"/>
  <c r="N900" i="8"/>
  <c r="N107" i="12" s="1"/>
  <c r="N1129" i="8"/>
  <c r="O145" i="12" s="1"/>
  <c r="N983" i="8"/>
  <c r="N188" i="12" s="1"/>
  <c r="N839" i="8"/>
  <c r="N41" i="12" s="1"/>
  <c r="N1068" i="8"/>
  <c r="O84" i="12" s="1"/>
  <c r="N922" i="8"/>
  <c r="N127" i="12" s="1"/>
  <c r="N1150" i="8"/>
  <c r="O166" i="12" s="1"/>
  <c r="N1005" i="8"/>
  <c r="N210" i="12" s="1"/>
  <c r="N861" i="8"/>
  <c r="N63" i="12" s="1"/>
  <c r="N1090" i="8"/>
  <c r="O107" i="12" s="1"/>
  <c r="N944" i="8"/>
  <c r="N149" i="12" s="1"/>
  <c r="N1184" i="8"/>
  <c r="O200" i="12" s="1"/>
  <c r="N1039" i="8"/>
  <c r="O53" i="12" s="1"/>
  <c r="N895" i="8"/>
  <c r="N102" i="12" s="1"/>
  <c r="N1135" i="8"/>
  <c r="O151" i="12" s="1"/>
  <c r="N990" i="8"/>
  <c r="N195" i="12" s="1"/>
  <c r="N846" i="8"/>
  <c r="N48" i="12" s="1"/>
  <c r="N1206" i="8"/>
  <c r="O220" i="12" s="1"/>
  <c r="N1087" i="8"/>
  <c r="O104" i="12" s="1"/>
  <c r="N1048" i="8"/>
  <c r="O62" i="12" s="1"/>
  <c r="N1110" i="8"/>
  <c r="O125" i="12" s="1"/>
  <c r="N1098" i="8"/>
  <c r="O115" i="12" s="1"/>
  <c r="N966" i="8"/>
  <c r="N171" i="12" s="1"/>
  <c r="N904" i="8"/>
  <c r="N111" i="12" s="1"/>
  <c r="N1142" i="8"/>
  <c r="O158" i="12" s="1"/>
  <c r="N1041" i="8"/>
  <c r="O55" i="12" s="1"/>
  <c r="N893" i="8"/>
  <c r="N100" i="12" s="1"/>
  <c r="N841" i="8"/>
  <c r="N43" i="12" s="1"/>
  <c r="N1029" i="8"/>
  <c r="O43" i="12" s="1"/>
  <c r="N916" i="8"/>
  <c r="N1192" i="8"/>
  <c r="O208" i="12" s="1"/>
  <c r="N1047" i="8"/>
  <c r="O61" i="12" s="1"/>
  <c r="N903" i="8"/>
  <c r="N110" i="12" s="1"/>
  <c r="N1155" i="8"/>
  <c r="O171" i="12" s="1"/>
  <c r="N1010" i="8"/>
  <c r="N866" i="8"/>
  <c r="N68" i="12" s="1"/>
  <c r="N1095" i="8"/>
  <c r="O112" i="12" s="1"/>
  <c r="N949" i="8"/>
  <c r="N154" i="12" s="1"/>
  <c r="N1177" i="8"/>
  <c r="O193" i="12" s="1"/>
  <c r="N1032" i="8"/>
  <c r="O46" i="12" s="1"/>
  <c r="N888" i="8"/>
  <c r="N95" i="12" s="1"/>
  <c r="N1117" i="8"/>
  <c r="O132" i="12" s="1"/>
  <c r="N971" i="8"/>
  <c r="N176" i="12" s="1"/>
  <c r="N1199" i="8"/>
  <c r="N1054" i="8"/>
  <c r="O68" i="12" s="1"/>
  <c r="N910" i="8"/>
  <c r="N117" i="12" s="1"/>
  <c r="N1138" i="8"/>
  <c r="O154" i="12" s="1"/>
  <c r="N993" i="8"/>
  <c r="N198" i="12" s="1"/>
  <c r="N849" i="8"/>
  <c r="N51" i="12" s="1"/>
  <c r="N1078" i="8"/>
  <c r="O95" i="12" s="1"/>
  <c r="N932" i="8"/>
  <c r="N137" i="12" s="1"/>
  <c r="N1172" i="8"/>
  <c r="O188" i="12" s="1"/>
  <c r="N1027" i="8"/>
  <c r="O41" i="12" s="1"/>
  <c r="N883" i="8"/>
  <c r="N89" i="12" s="1"/>
  <c r="N1124" i="8"/>
  <c r="O139" i="12" s="1"/>
  <c r="N978" i="8"/>
  <c r="N183" i="12" s="1"/>
  <c r="N834" i="8"/>
  <c r="N36" i="12" s="1"/>
  <c r="N1134" i="8"/>
  <c r="O150" i="12" s="1"/>
  <c r="N1012" i="8"/>
  <c r="N215" i="12" s="1"/>
  <c r="N976" i="8"/>
  <c r="N181" i="12" s="1"/>
  <c r="N1036" i="8"/>
  <c r="O50" i="12" s="1"/>
  <c r="N1024" i="8"/>
  <c r="O38" i="12" s="1"/>
  <c r="N1146" i="8"/>
  <c r="O162" i="12" s="1"/>
  <c r="N964" i="8"/>
  <c r="N169" i="12" s="1"/>
  <c r="N997" i="8"/>
  <c r="N202" i="12" s="1"/>
  <c r="N980" i="8"/>
  <c r="N185" i="12" s="1"/>
  <c r="N1086" i="8"/>
  <c r="O103" i="12" s="1"/>
  <c r="N902" i="8"/>
  <c r="N109" i="12" s="1"/>
  <c r="N946" i="8"/>
  <c r="N151" i="12" s="1"/>
  <c r="N1014" i="8"/>
  <c r="N217" i="12" s="1"/>
  <c r="N1180" i="8"/>
  <c r="O196" i="12" s="1"/>
  <c r="N1035" i="8"/>
  <c r="O49" i="12" s="1"/>
  <c r="N891" i="8"/>
  <c r="N98" i="12" s="1"/>
  <c r="N1143" i="8"/>
  <c r="O159" i="12" s="1"/>
  <c r="N998" i="8"/>
  <c r="N203" i="12" s="1"/>
  <c r="N854" i="8"/>
  <c r="N56" i="12" s="1"/>
  <c r="N1083" i="8"/>
  <c r="O100" i="12" s="1"/>
  <c r="N937" i="8"/>
  <c r="N143" i="12" s="1"/>
  <c r="N1165" i="8"/>
  <c r="O181" i="12" s="1"/>
  <c r="N1020" i="8"/>
  <c r="O34" i="12" s="1"/>
  <c r="N876" i="8"/>
  <c r="N82" i="12" s="1"/>
  <c r="N1105" i="8"/>
  <c r="O122" i="12" s="1"/>
  <c r="N959" i="8"/>
  <c r="N164" i="12" s="1"/>
  <c r="N1187" i="8"/>
  <c r="O203" i="12" s="1"/>
  <c r="N1042" i="8"/>
  <c r="O56" i="12" s="1"/>
  <c r="N898" i="8"/>
  <c r="N105" i="12" s="1"/>
  <c r="N1127" i="8"/>
  <c r="O143" i="12" s="1"/>
  <c r="N981" i="8"/>
  <c r="N186" i="12" s="1"/>
  <c r="N837" i="8"/>
  <c r="N39" i="12" s="1"/>
  <c r="N1066" i="8"/>
  <c r="O82" i="12" s="1"/>
  <c r="N920" i="8"/>
  <c r="N125" i="12" s="1"/>
  <c r="N1160" i="8"/>
  <c r="O176" i="12" s="1"/>
  <c r="N1015" i="8"/>
  <c r="N218" i="12" s="1"/>
  <c r="N871" i="8"/>
  <c r="N1112" i="8"/>
  <c r="O127" i="12" s="1"/>
  <c r="N1194" i="8"/>
  <c r="O210" i="12" s="1"/>
  <c r="N1104" i="8"/>
  <c r="O121" i="12" s="1"/>
  <c r="N1026" i="8"/>
  <c r="O40" i="12" s="1"/>
  <c r="N1070" i="8"/>
  <c r="O86" i="12" s="1"/>
  <c r="N1208" i="8"/>
  <c r="O222" i="12" s="1"/>
  <c r="N1168" i="8"/>
  <c r="O184" i="12" s="1"/>
  <c r="N1023" i="8"/>
  <c r="O37" i="12" s="1"/>
  <c r="N879" i="8"/>
  <c r="N85" i="12" s="1"/>
  <c r="N1132" i="8"/>
  <c r="O148" i="12" s="1"/>
  <c r="N986" i="8"/>
  <c r="N191" i="12" s="1"/>
  <c r="N842" i="8"/>
  <c r="N44" i="12" s="1"/>
  <c r="N1071" i="8"/>
  <c r="O87" i="12" s="1"/>
  <c r="N925" i="8"/>
  <c r="N130" i="12" s="1"/>
  <c r="N1153" i="8"/>
  <c r="O169" i="12" s="1"/>
  <c r="N1008" i="8"/>
  <c r="N213" i="12" s="1"/>
  <c r="N864" i="8"/>
  <c r="N66" i="12" s="1"/>
  <c r="N1093" i="8"/>
  <c r="O110" i="12" s="1"/>
  <c r="N947" i="8"/>
  <c r="N152" i="12" s="1"/>
  <c r="N1175" i="8"/>
  <c r="O191" i="12" s="1"/>
  <c r="N1030" i="8"/>
  <c r="O44" i="12" s="1"/>
  <c r="N886" i="8"/>
  <c r="N93" i="12" s="1"/>
  <c r="N1115" i="8"/>
  <c r="O130" i="12" s="1"/>
  <c r="N969" i="8"/>
  <c r="N174" i="12" s="1"/>
  <c r="N1197" i="8"/>
  <c r="O213" i="12" s="1"/>
  <c r="N1052" i="8"/>
  <c r="O66" i="12" s="1"/>
  <c r="N908" i="8"/>
  <c r="N115" i="12" s="1"/>
  <c r="N1148" i="8"/>
  <c r="O164" i="12" s="1"/>
  <c r="N1003" i="8"/>
  <c r="N208" i="12" s="1"/>
  <c r="N859" i="8"/>
  <c r="N61" i="12" s="1"/>
  <c r="N1100" i="8"/>
  <c r="O117" i="12" s="1"/>
  <c r="N954" i="8"/>
  <c r="N159" i="12" s="1"/>
  <c r="N1075" i="8"/>
  <c r="O92" i="12" s="1"/>
  <c r="N989" i="8"/>
  <c r="N194" i="12" s="1"/>
  <c r="N1123" i="8"/>
  <c r="O138" i="12" s="1"/>
  <c r="N832" i="8"/>
  <c r="N34" i="12" s="1"/>
  <c r="N892" i="8"/>
  <c r="N99" i="12" s="1"/>
  <c r="N880" i="8"/>
  <c r="N86" i="12" s="1"/>
  <c r="N881" i="8"/>
  <c r="N87" i="12" s="1"/>
  <c r="N914" i="8"/>
  <c r="N121" i="12" s="1"/>
  <c r="N958" i="8"/>
  <c r="N163" i="12" s="1"/>
  <c r="N931" i="8"/>
  <c r="N136" i="12" s="1"/>
  <c r="N1191" i="8"/>
  <c r="O207" i="12" s="1"/>
  <c r="N863" i="8"/>
  <c r="N65" i="12" s="1"/>
  <c r="N1065" i="8"/>
  <c r="N940" i="8"/>
  <c r="N146" i="12" s="1"/>
  <c r="N1156" i="8"/>
  <c r="O172" i="12" s="1"/>
  <c r="N1011" i="8"/>
  <c r="N214" i="12" s="1"/>
  <c r="N867" i="8"/>
  <c r="N70" i="12" s="1"/>
  <c r="N1120" i="8"/>
  <c r="O135" i="12" s="1"/>
  <c r="N974" i="8"/>
  <c r="N179" i="12" s="1"/>
  <c r="N1202" i="8"/>
  <c r="O216" i="12" s="1"/>
  <c r="N1057" i="8"/>
  <c r="O72" i="12" s="1"/>
  <c r="N913" i="8"/>
  <c r="N120" i="12" s="1"/>
  <c r="N1141" i="8"/>
  <c r="O157" i="12" s="1"/>
  <c r="N996" i="8"/>
  <c r="N201" i="12" s="1"/>
  <c r="N852" i="8"/>
  <c r="N54" i="12" s="1"/>
  <c r="N1081" i="8"/>
  <c r="O98" i="12" s="1"/>
  <c r="N935" i="8"/>
  <c r="N140" i="12" s="1"/>
  <c r="N1163" i="8"/>
  <c r="O179" i="12" s="1"/>
  <c r="N1018" i="8"/>
  <c r="N221" i="12" s="1"/>
  <c r="N874" i="8"/>
  <c r="N79" i="12" s="1"/>
  <c r="N1103" i="8"/>
  <c r="O120" i="12" s="1"/>
  <c r="N957" i="8"/>
  <c r="N162" i="12" s="1"/>
  <c r="N1185" i="8"/>
  <c r="O201" i="12" s="1"/>
  <c r="N1040" i="8"/>
  <c r="O54" i="12" s="1"/>
  <c r="N896" i="8"/>
  <c r="N103" i="12" s="1"/>
  <c r="N1136" i="8"/>
  <c r="O152" i="12" s="1"/>
  <c r="N991" i="8"/>
  <c r="N196" i="12" s="1"/>
  <c r="N847" i="8"/>
  <c r="N49" i="12" s="1"/>
  <c r="N1088" i="8"/>
  <c r="O105" i="12" s="1"/>
  <c r="N942" i="8"/>
  <c r="N148" i="12" s="1"/>
  <c r="N1001" i="8"/>
  <c r="N206" i="12" s="1"/>
  <c r="N917" i="8"/>
  <c r="N1049" i="8"/>
  <c r="O63" i="12" s="1"/>
  <c r="N1157" i="8"/>
  <c r="O173" i="12" s="1"/>
  <c r="N1170" i="8"/>
  <c r="O186" i="12" s="1"/>
  <c r="N1158" i="8"/>
  <c r="O174" i="12" s="1"/>
  <c r="N1013" i="8"/>
  <c r="N216" i="12" s="1"/>
  <c r="N1019" i="8"/>
  <c r="N222" i="12" s="1"/>
  <c r="N836" i="8"/>
  <c r="N38" i="12" s="1"/>
  <c r="N939" i="8"/>
  <c r="N145" i="12" s="1"/>
  <c r="N1007" i="8"/>
  <c r="N212" i="12" s="1"/>
  <c r="N968" i="8"/>
  <c r="N173" i="12" s="1"/>
  <c r="N869" i="8"/>
  <c r="N72" i="12" s="1"/>
  <c r="N1144" i="8"/>
  <c r="O160" i="12" s="1"/>
  <c r="N999" i="8"/>
  <c r="N204" i="12" s="1"/>
  <c r="N855" i="8"/>
  <c r="N57" i="12" s="1"/>
  <c r="N1108" i="8"/>
  <c r="O123" i="12" s="1"/>
  <c r="N962" i="8"/>
  <c r="N167" i="12" s="1"/>
  <c r="N1190" i="8"/>
  <c r="O206" i="12" s="1"/>
  <c r="N1045" i="8"/>
  <c r="O59" i="12" s="1"/>
  <c r="N901" i="8"/>
  <c r="N108" i="12" s="1"/>
  <c r="N1130" i="8"/>
  <c r="O146" i="12" s="1"/>
  <c r="N984" i="8"/>
  <c r="N189" i="12" s="1"/>
  <c r="N840" i="8"/>
  <c r="N42" i="12" s="1"/>
  <c r="N1069" i="8"/>
  <c r="O85" i="12" s="1"/>
  <c r="N923" i="8"/>
  <c r="N128" i="12" s="1"/>
  <c r="N1151" i="8"/>
  <c r="O167" i="12" s="1"/>
  <c r="N1006" i="8"/>
  <c r="N211" i="12" s="1"/>
  <c r="N862" i="8"/>
  <c r="N64" i="12" s="1"/>
  <c r="N1091" i="8"/>
  <c r="O108" i="12" s="1"/>
  <c r="N945" i="8"/>
  <c r="N150" i="12" s="1"/>
  <c r="N1173" i="8"/>
  <c r="O189" i="12" s="1"/>
  <c r="N1028" i="8"/>
  <c r="O42" i="12" s="1"/>
  <c r="N884" i="8"/>
  <c r="N91" i="12" s="1"/>
  <c r="N1125" i="8"/>
  <c r="O140" i="12" s="1"/>
  <c r="N979" i="8"/>
  <c r="N184" i="12" s="1"/>
  <c r="N835" i="8"/>
  <c r="N37" i="12" s="1"/>
  <c r="N1076" i="8"/>
  <c r="O93" i="12" s="1"/>
  <c r="N930" i="8"/>
  <c r="N135" i="12" s="1"/>
  <c r="N929" i="8"/>
  <c r="N134" i="12" s="1"/>
  <c r="N845" i="8"/>
  <c r="N47" i="12" s="1"/>
  <c r="N977" i="8"/>
  <c r="N182" i="12" s="1"/>
  <c r="N1182" i="8"/>
  <c r="O198" i="12" s="1"/>
  <c r="N1099" i="8"/>
  <c r="O116" i="12" s="1"/>
  <c r="N868" i="8"/>
  <c r="N71" i="12" s="1"/>
  <c r="N1074" i="8"/>
  <c r="O91" i="12" s="1"/>
  <c r="N1097" i="8"/>
  <c r="O114" i="12" s="1"/>
  <c r="N1164" i="8"/>
  <c r="O180" i="12" s="1"/>
  <c r="N1126" i="8"/>
  <c r="O142" i="12" s="1"/>
  <c r="N882" i="8"/>
  <c r="N88" i="12" s="1"/>
  <c r="N1046" i="8"/>
  <c r="O60" i="12" s="1"/>
  <c r="N1092" i="8"/>
  <c r="O109" i="12" s="1"/>
  <c r="N1159" i="8"/>
  <c r="O175" i="12" s="1"/>
  <c r="N987" i="8"/>
  <c r="N192" i="12" s="1"/>
  <c r="N843" i="8"/>
  <c r="N45" i="12" s="1"/>
  <c r="N1096" i="8"/>
  <c r="O113" i="12" s="1"/>
  <c r="N950" i="8"/>
  <c r="N155" i="12" s="1"/>
  <c r="N1178" i="8"/>
  <c r="O194" i="12" s="1"/>
  <c r="N1033" i="8"/>
  <c r="O47" i="12" s="1"/>
  <c r="N889" i="8"/>
  <c r="N96" i="12" s="1"/>
  <c r="N1118" i="8"/>
  <c r="O133" i="12" s="1"/>
  <c r="N972" i="8"/>
  <c r="N177" i="12" s="1"/>
  <c r="N1200" i="8"/>
  <c r="O214" i="12" s="1"/>
  <c r="N1055" i="8"/>
  <c r="O70" i="12" s="1"/>
  <c r="N911" i="8"/>
  <c r="N118" i="12" s="1"/>
  <c r="N1139" i="8"/>
  <c r="O155" i="12" s="1"/>
  <c r="N994" i="8"/>
  <c r="N199" i="12" s="1"/>
  <c r="N850" i="8"/>
  <c r="N52" i="12" s="1"/>
  <c r="N1079" i="8"/>
  <c r="O96" i="12" s="1"/>
  <c r="N933" i="8"/>
  <c r="N138" i="12" s="1"/>
  <c r="N1161" i="8"/>
  <c r="O177" i="12" s="1"/>
  <c r="N1016" i="8"/>
  <c r="N219" i="12" s="1"/>
  <c r="N872" i="8"/>
  <c r="N77" i="12" s="1"/>
  <c r="N1113" i="8"/>
  <c r="O128" i="12" s="1"/>
  <c r="N967" i="8"/>
  <c r="N172" i="12" s="1"/>
  <c r="N1207" i="8"/>
  <c r="O221" i="12" s="1"/>
  <c r="N1064" i="8"/>
  <c r="O79" i="12" s="1"/>
  <c r="N918" i="8"/>
  <c r="N123" i="12" s="1"/>
  <c r="N857" i="8"/>
  <c r="N59" i="12" s="1"/>
  <c r="N1205" i="8"/>
  <c r="O219" i="12" s="1"/>
  <c r="N905" i="8"/>
  <c r="N112" i="12" s="1"/>
  <c r="N1111" i="8"/>
  <c r="O126" i="12" s="1"/>
  <c r="N1025" i="8"/>
  <c r="O39" i="12" s="1"/>
  <c r="N894" i="8"/>
  <c r="N101" i="12" s="1"/>
  <c r="N951" i="8"/>
  <c r="N156" i="12" s="1"/>
  <c r="N853" i="8"/>
  <c r="N55" i="12" s="1"/>
  <c r="N897" i="8"/>
  <c r="N104" i="12" s="1"/>
  <c r="N988" i="8"/>
  <c r="N193" i="12" s="1"/>
  <c r="N1131" i="8"/>
  <c r="O147" i="12" s="1"/>
  <c r="N1174" i="8"/>
  <c r="O190" i="12" s="1"/>
  <c r="N870" i="8"/>
  <c r="N1121" i="8"/>
  <c r="O136" i="12" s="1"/>
  <c r="N975" i="8"/>
  <c r="N180" i="12" s="1"/>
  <c r="D1020" i="8"/>
  <c r="N1084" i="8"/>
  <c r="O101" i="12" s="1"/>
  <c r="N938" i="8"/>
  <c r="N144" i="12" s="1"/>
  <c r="N1166" i="8"/>
  <c r="O182" i="12" s="1"/>
  <c r="N1021" i="8"/>
  <c r="O35" i="12" s="1"/>
  <c r="N877" i="8"/>
  <c r="N83" i="12" s="1"/>
  <c r="N1106" i="8"/>
  <c r="N960" i="8"/>
  <c r="N165" i="12" s="1"/>
  <c r="N1188" i="8"/>
  <c r="O204" i="12" s="1"/>
  <c r="N1043" i="8"/>
  <c r="O57" i="12" s="1"/>
  <c r="N899" i="8"/>
  <c r="N106" i="12" s="1"/>
  <c r="N1128" i="8"/>
  <c r="O144" i="12" s="1"/>
  <c r="N982" i="8"/>
  <c r="N187" i="12" s="1"/>
  <c r="N838" i="8"/>
  <c r="N40" i="12" s="1"/>
  <c r="N1067" i="8"/>
  <c r="O83" i="12" s="1"/>
  <c r="N921" i="8"/>
  <c r="N126" i="12" s="1"/>
  <c r="N1149" i="8"/>
  <c r="O165" i="12" s="1"/>
  <c r="N1004" i="8"/>
  <c r="N209" i="12" s="1"/>
  <c r="N860" i="8"/>
  <c r="N62" i="12" s="1"/>
  <c r="N1101" i="8"/>
  <c r="O118" i="12" s="1"/>
  <c r="N955" i="8"/>
  <c r="N160" i="12" s="1"/>
  <c r="N1195" i="8"/>
  <c r="O211" i="12" s="1"/>
  <c r="N1050" i="8"/>
  <c r="O64" i="12" s="1"/>
  <c r="N906" i="8"/>
  <c r="N113" i="12" s="1"/>
  <c r="N1145" i="8"/>
  <c r="O161" i="12" s="1"/>
  <c r="N1133" i="8"/>
  <c r="O149" i="12" s="1"/>
  <c r="N833" i="8"/>
  <c r="N35" i="12" s="1"/>
  <c r="N1037" i="8"/>
  <c r="O51" i="12" s="1"/>
  <c r="N953" i="8"/>
  <c r="N158" i="12" s="1"/>
  <c r="N1038" i="8"/>
  <c r="O52" i="12" s="1"/>
  <c r="N1062" i="8"/>
  <c r="O77" i="12" s="1"/>
  <c r="N1203" i="8"/>
  <c r="O217" i="12" s="1"/>
  <c r="N1082" i="8"/>
  <c r="O99" i="12" s="1"/>
  <c r="N1186" i="8"/>
  <c r="O202" i="12" s="1"/>
  <c r="N1171" i="8"/>
  <c r="O187" i="12" s="1"/>
  <c r="N1085" i="8"/>
  <c r="O102" i="12" s="1"/>
  <c r="N1152" i="8"/>
  <c r="O168" i="12" s="1"/>
  <c r="N885" i="8"/>
  <c r="N92" i="12" s="1"/>
  <c r="N928" i="8"/>
  <c r="N133" i="12" s="1"/>
  <c r="N1109" i="8"/>
  <c r="O124" i="12" s="1"/>
  <c r="N963" i="8"/>
  <c r="N168" i="12" s="1"/>
  <c r="D832" i="8"/>
  <c r="N1072" i="8"/>
  <c r="O88" i="12" s="1"/>
  <c r="N926" i="8"/>
  <c r="N131" i="12" s="1"/>
  <c r="N1154" i="8"/>
  <c r="O170" i="12" s="1"/>
  <c r="N1009" i="8"/>
  <c r="N865" i="8"/>
  <c r="N67" i="12" s="1"/>
  <c r="N1094" i="8"/>
  <c r="O111" i="12" s="1"/>
  <c r="N948" i="8"/>
  <c r="N153" i="12" s="1"/>
  <c r="N1176" i="8"/>
  <c r="O192" i="12" s="1"/>
  <c r="N1031" i="8"/>
  <c r="O45" i="12" s="1"/>
  <c r="N887" i="8"/>
  <c r="N94" i="12" s="1"/>
  <c r="N1116" i="8"/>
  <c r="O131" i="12" s="1"/>
  <c r="N970" i="8"/>
  <c r="N175" i="12" s="1"/>
  <c r="N1198" i="8"/>
  <c r="N1053" i="8"/>
  <c r="O67" i="12" s="1"/>
  <c r="N909" i="8"/>
  <c r="N116" i="12" s="1"/>
  <c r="N1137" i="8"/>
  <c r="O153" i="12" s="1"/>
  <c r="N992" i="8"/>
  <c r="N197" i="12" s="1"/>
  <c r="N848" i="8"/>
  <c r="N50" i="12" s="1"/>
  <c r="N1089" i="8"/>
  <c r="O106" i="12" s="1"/>
  <c r="N943" i="8"/>
  <c r="N1183" i="8"/>
  <c r="O199" i="12" s="1"/>
  <c r="N965" i="8"/>
  <c r="N170" i="12" s="1"/>
  <c r="N875" i="8"/>
  <c r="N1000" i="8"/>
  <c r="N205" i="12" s="1"/>
  <c r="N924" i="8"/>
  <c r="N129" i="12" s="1"/>
  <c r="N919" i="8"/>
  <c r="N124" i="12" s="1"/>
  <c r="N1073" i="8"/>
  <c r="O89" i="12" s="1"/>
  <c r="N927" i="8"/>
  <c r="N132" i="12" s="1"/>
  <c r="N1179" i="8"/>
  <c r="O195" i="12" s="1"/>
  <c r="N1034" i="8"/>
  <c r="O48" i="12" s="1"/>
  <c r="N890" i="8"/>
  <c r="N97" i="12" s="1"/>
  <c r="N1119" i="8"/>
  <c r="O134" i="12" s="1"/>
  <c r="N973" i="8"/>
  <c r="N178" i="12" s="1"/>
  <c r="N1201" i="8"/>
  <c r="O215" i="12" s="1"/>
  <c r="N1056" i="8"/>
  <c r="O71" i="12" s="1"/>
  <c r="N912" i="8"/>
  <c r="N119" i="12" s="1"/>
  <c r="N1140" i="8"/>
  <c r="O156" i="12" s="1"/>
  <c r="N995" i="8"/>
  <c r="N200" i="12" s="1"/>
  <c r="N851" i="8"/>
  <c r="N53" i="12" s="1"/>
  <c r="N1080" i="8"/>
  <c r="O97" i="12" s="1"/>
  <c r="N934" i="8"/>
  <c r="N139" i="12" s="1"/>
  <c r="N1162" i="8"/>
  <c r="O178" i="12" s="1"/>
  <c r="N1017" i="8"/>
  <c r="N220" i="12" s="1"/>
  <c r="N873" i="8"/>
  <c r="N78" i="12" s="1"/>
  <c r="N1102" i="8"/>
  <c r="O119" i="12" s="1"/>
  <c r="N956" i="8"/>
  <c r="N161" i="12" s="1"/>
  <c r="N1196" i="8"/>
  <c r="O212" i="12" s="1"/>
  <c r="N1051" i="8"/>
  <c r="O65" i="12" s="1"/>
  <c r="N907" i="8"/>
  <c r="N114" i="12" s="1"/>
  <c r="N1147" i="8"/>
  <c r="O163" i="12" s="1"/>
  <c r="N1002" i="8"/>
  <c r="N207" i="12" s="1"/>
  <c r="N858" i="8"/>
  <c r="N60" i="12" s="1"/>
  <c r="N856" i="8"/>
  <c r="N58" i="12" s="1"/>
  <c r="N844" i="8"/>
  <c r="N46" i="12" s="1"/>
  <c r="N1122" i="8"/>
  <c r="O137" i="12" s="1"/>
  <c r="N1181" i="8"/>
  <c r="O197" i="12" s="1"/>
  <c r="N1169" i="8"/>
  <c r="O185" i="12" s="1"/>
  <c r="N1063" i="8"/>
  <c r="O78" i="12" s="1"/>
  <c r="N952" i="8"/>
  <c r="N157" i="12" s="1"/>
  <c r="N936" i="8"/>
  <c r="N142" i="12" s="1"/>
  <c r="N1077" i="8"/>
  <c r="O94" i="12" s="1"/>
  <c r="N941" i="8"/>
  <c r="N147" i="12" s="1"/>
  <c r="Q147" i="12" s="1"/>
  <c r="N985" i="8"/>
  <c r="N190" i="12" s="1"/>
  <c r="N1114" i="8"/>
  <c r="O129" i="12" s="1"/>
  <c r="N1193" i="8"/>
  <c r="O209" i="12" s="1"/>
  <c r="M43" i="12"/>
  <c r="M72" i="12"/>
  <c r="N3" i="10"/>
  <c r="O3" i="10" s="1"/>
  <c r="P1652" i="9"/>
  <c r="M110" i="14"/>
  <c r="L110" i="14"/>
  <c r="K110" i="14"/>
  <c r="M109" i="14"/>
  <c r="L109" i="14"/>
  <c r="K109" i="14"/>
  <c r="M111" i="14"/>
  <c r="K111" i="14"/>
  <c r="L111" i="14"/>
  <c r="L323" i="9"/>
  <c r="M1670" i="9"/>
  <c r="M323" i="9"/>
  <c r="N1670" i="9"/>
  <c r="N323" i="9"/>
  <c r="O1670" i="9"/>
  <c r="O323" i="9"/>
  <c r="J1670" i="9"/>
  <c r="J323" i="9"/>
  <c r="L1670" i="9"/>
  <c r="K1670" i="9"/>
  <c r="K323" i="9"/>
  <c r="M5" i="9"/>
  <c r="E5" i="9" s="1"/>
  <c r="P317" i="9"/>
  <c r="Q21" i="9" s="1"/>
  <c r="Q3" i="9" s="1"/>
  <c r="L3" i="9"/>
  <c r="E9" i="10"/>
  <c r="E3" i="10" s="1"/>
  <c r="K42" i="12"/>
  <c r="K223" i="12" s="1"/>
  <c r="J21" i="9"/>
  <c r="J22" i="9"/>
  <c r="F22" i="9" s="1"/>
  <c r="K19" i="9"/>
  <c r="G15" i="12"/>
  <c r="J15" i="9"/>
  <c r="J10" i="9"/>
  <c r="G24" i="12"/>
  <c r="J16" i="9"/>
  <c r="J14" i="9"/>
  <c r="J23" i="9"/>
  <c r="J20" i="9"/>
  <c r="F20" i="9" s="1"/>
  <c r="J9" i="9"/>
  <c r="J4" i="9"/>
  <c r="J7" i="9"/>
  <c r="J12" i="9"/>
  <c r="P181" i="9"/>
  <c r="N121" i="14"/>
  <c r="N338" i="3"/>
  <c r="L5" i="3" s="1"/>
  <c r="J6" i="9"/>
  <c r="F6" i="9" s="1"/>
  <c r="E6" i="9" s="1"/>
  <c r="M19" i="9"/>
  <c r="M15" i="9"/>
  <c r="M7" i="9"/>
  <c r="M14" i="9"/>
  <c r="M21" i="9"/>
  <c r="K178" i="14"/>
  <c r="M166" i="14"/>
  <c r="N493" i="8"/>
  <c r="L491" i="8"/>
  <c r="D489" i="8"/>
  <c r="M486" i="8"/>
  <c r="K484" i="8"/>
  <c r="N481" i="8"/>
  <c r="L479" i="8"/>
  <c r="M474" i="8"/>
  <c r="M476" i="8"/>
  <c r="M493" i="8"/>
  <c r="K491" i="8"/>
  <c r="N488" i="8"/>
  <c r="L486" i="8"/>
  <c r="D484" i="8"/>
  <c r="M481" i="8"/>
  <c r="K479" i="8"/>
  <c r="N476" i="8"/>
  <c r="M488" i="8"/>
  <c r="D481" i="8"/>
  <c r="L493" i="8"/>
  <c r="K493" i="8"/>
  <c r="N490" i="8"/>
  <c r="L488" i="8"/>
  <c r="D486" i="8"/>
  <c r="M483" i="8"/>
  <c r="K481" i="8"/>
  <c r="N478" i="8"/>
  <c r="L476" i="8"/>
  <c r="D474" i="8"/>
  <c r="M490" i="8"/>
  <c r="K488" i="8"/>
  <c r="M478" i="8"/>
  <c r="D493" i="8"/>
  <c r="N492" i="8"/>
  <c r="L490" i="8"/>
  <c r="D488" i="8"/>
  <c r="M485" i="8"/>
  <c r="K483" i="8"/>
  <c r="N480" i="8"/>
  <c r="L478" i="8"/>
  <c r="D476" i="8"/>
  <c r="K486" i="8"/>
  <c r="M492" i="8"/>
  <c r="K490" i="8"/>
  <c r="N487" i="8"/>
  <c r="L485" i="8"/>
  <c r="D483" i="8"/>
  <c r="M480" i="8"/>
  <c r="K478" i="8"/>
  <c r="N475" i="8"/>
  <c r="M475" i="8"/>
  <c r="N485" i="8"/>
  <c r="L492" i="8"/>
  <c r="D490" i="8"/>
  <c r="M487" i="8"/>
  <c r="K485" i="8"/>
  <c r="N482" i="8"/>
  <c r="L480" i="8"/>
  <c r="D478" i="8"/>
  <c r="N483" i="8"/>
  <c r="K492" i="8"/>
  <c r="N489" i="8"/>
  <c r="L487" i="8"/>
  <c r="D485" i="8"/>
  <c r="M482" i="8"/>
  <c r="K480" i="8"/>
  <c r="N477" i="8"/>
  <c r="L475" i="8"/>
  <c r="L481" i="8"/>
  <c r="D492" i="8"/>
  <c r="M489" i="8"/>
  <c r="K487" i="8"/>
  <c r="N484" i="8"/>
  <c r="L482" i="8"/>
  <c r="D480" i="8"/>
  <c r="M477" i="8"/>
  <c r="K475" i="8"/>
  <c r="K474" i="8"/>
  <c r="N491" i="8"/>
  <c r="L489" i="8"/>
  <c r="D487" i="8"/>
  <c r="M484" i="8"/>
  <c r="K482" i="8"/>
  <c r="N479" i="8"/>
  <c r="L477" i="8"/>
  <c r="D475" i="8"/>
  <c r="D477" i="8"/>
  <c r="D491" i="8"/>
  <c r="L483" i="8"/>
  <c r="M491" i="8"/>
  <c r="K489" i="8"/>
  <c r="N486" i="8"/>
  <c r="L484" i="8"/>
  <c r="D482" i="8"/>
  <c r="M479" i="8"/>
  <c r="K477" i="8"/>
  <c r="N474" i="8"/>
  <c r="L474" i="8"/>
  <c r="D479" i="8"/>
  <c r="K476" i="8"/>
  <c r="N340" i="8"/>
  <c r="M340" i="8"/>
  <c r="L340" i="8"/>
  <c r="K340" i="8"/>
  <c r="D340" i="8"/>
  <c r="N345" i="3"/>
  <c r="L15" i="3" s="1"/>
  <c r="M345" i="3"/>
  <c r="L345" i="3"/>
  <c r="K345" i="3"/>
  <c r="N344" i="3"/>
  <c r="L6" i="3" s="1"/>
  <c r="M344" i="3"/>
  <c r="L344" i="3"/>
  <c r="K344" i="3"/>
  <c r="N322" i="3"/>
  <c r="M322" i="3"/>
  <c r="L322" i="3"/>
  <c r="K322" i="3"/>
  <c r="N321" i="3"/>
  <c r="M321" i="3"/>
  <c r="L321" i="3"/>
  <c r="K321" i="3"/>
  <c r="N305" i="3"/>
  <c r="M305" i="3"/>
  <c r="L305" i="3"/>
  <c r="K305" i="3"/>
  <c r="N304" i="3"/>
  <c r="M304" i="3"/>
  <c r="L304" i="3"/>
  <c r="K304" i="3"/>
  <c r="N285" i="3"/>
  <c r="M285" i="3"/>
  <c r="L285" i="3"/>
  <c r="K285" i="3"/>
  <c r="N284" i="3"/>
  <c r="M284" i="3"/>
  <c r="K284" i="3"/>
  <c r="L284" i="3"/>
  <c r="N265" i="3"/>
  <c r="M265" i="3"/>
  <c r="L265" i="3"/>
  <c r="K265" i="3"/>
  <c r="N264" i="3"/>
  <c r="H6" i="3" s="1"/>
  <c r="M264" i="3"/>
  <c r="L264" i="3"/>
  <c r="K264" i="3"/>
  <c r="N243" i="3"/>
  <c r="M243" i="3"/>
  <c r="L243" i="3"/>
  <c r="K243" i="3"/>
  <c r="N242" i="3"/>
  <c r="M242" i="3"/>
  <c r="L242" i="3"/>
  <c r="K242" i="3"/>
  <c r="N223" i="3"/>
  <c r="M223" i="3"/>
  <c r="L223" i="3"/>
  <c r="K223" i="3"/>
  <c r="N222" i="3"/>
  <c r="M222" i="3"/>
  <c r="L222" i="3"/>
  <c r="K222" i="3"/>
  <c r="N204" i="3"/>
  <c r="I6" i="3" s="1"/>
  <c r="M204" i="3"/>
  <c r="L204" i="3"/>
  <c r="K204" i="3"/>
  <c r="N203" i="3"/>
  <c r="I13" i="3" s="1"/>
  <c r="M203" i="3"/>
  <c r="L203" i="3"/>
  <c r="K203" i="3"/>
  <c r="N184" i="3"/>
  <c r="M184" i="3"/>
  <c r="L184" i="3"/>
  <c r="K184" i="3"/>
  <c r="N183" i="3"/>
  <c r="M183" i="3"/>
  <c r="L183" i="3"/>
  <c r="K183" i="3"/>
  <c r="N335" i="3"/>
  <c r="L335" i="3"/>
  <c r="K318" i="3"/>
  <c r="M320" i="3"/>
  <c r="K328" i="3"/>
  <c r="M333" i="3"/>
  <c r="K317" i="3"/>
  <c r="M325" i="3"/>
  <c r="N332" i="3"/>
  <c r="L332" i="3"/>
  <c r="L316" i="3"/>
  <c r="M317" i="3"/>
  <c r="K325" i="3"/>
  <c r="M330" i="3"/>
  <c r="L334" i="3"/>
  <c r="M324" i="3"/>
  <c r="N329" i="3"/>
  <c r="L329" i="3"/>
  <c r="N334" i="3"/>
  <c r="L327" i="3"/>
  <c r="K320" i="3"/>
  <c r="M327" i="3"/>
  <c r="N331" i="3"/>
  <c r="N316" i="3"/>
  <c r="N326" i="3"/>
  <c r="L326" i="3"/>
  <c r="N323" i="3"/>
  <c r="L323" i="3"/>
  <c r="N328" i="3"/>
  <c r="L331" i="3"/>
  <c r="L330" i="3"/>
  <c r="M319" i="3"/>
  <c r="K327" i="3"/>
  <c r="K319" i="3"/>
  <c r="N318" i="3"/>
  <c r="L318" i="3"/>
  <c r="N325" i="3"/>
  <c r="L328" i="3"/>
  <c r="N333" i="3"/>
  <c r="M316" i="3"/>
  <c r="M323" i="3"/>
  <c r="L333" i="3"/>
  <c r="M335" i="3"/>
  <c r="L319" i="3"/>
  <c r="N320" i="3"/>
  <c r="L325" i="3"/>
  <c r="N330" i="3"/>
  <c r="K333" i="3"/>
  <c r="K332" i="3"/>
  <c r="N324" i="3"/>
  <c r="M328" i="3"/>
  <c r="K316" i="3"/>
  <c r="M332" i="3"/>
  <c r="K335" i="3"/>
  <c r="N317" i="3"/>
  <c r="L320" i="3"/>
  <c r="N327" i="3"/>
  <c r="K330" i="3"/>
  <c r="M329" i="3"/>
  <c r="L317" i="3"/>
  <c r="K326" i="3"/>
  <c r="K331" i="3"/>
  <c r="M334" i="3"/>
  <c r="M326" i="3"/>
  <c r="K329" i="3"/>
  <c r="M331" i="3"/>
  <c r="L324" i="3"/>
  <c r="N319" i="3"/>
  <c r="K324" i="3"/>
  <c r="K334" i="3"/>
  <c r="M318" i="3"/>
  <c r="K323" i="3"/>
  <c r="N295" i="3"/>
  <c r="M278" i="3"/>
  <c r="K286" i="3"/>
  <c r="M291" i="3"/>
  <c r="L277" i="3"/>
  <c r="N287" i="3"/>
  <c r="N282" i="3"/>
  <c r="L291" i="3"/>
  <c r="L279" i="3"/>
  <c r="N292" i="3"/>
  <c r="K279" i="3"/>
  <c r="K281" i="3"/>
  <c r="M288" i="3"/>
  <c r="L290" i="3"/>
  <c r="M292" i="3"/>
  <c r="M282" i="3"/>
  <c r="N289" i="3"/>
  <c r="L295" i="3"/>
  <c r="K278" i="3"/>
  <c r="M283" i="3"/>
  <c r="K287" i="3"/>
  <c r="N279" i="3"/>
  <c r="N276" i="3"/>
  <c r="L293" i="3"/>
  <c r="N288" i="3"/>
  <c r="K283" i="3"/>
  <c r="L278" i="3"/>
  <c r="L294" i="3"/>
  <c r="N280" i="3"/>
  <c r="N277" i="3"/>
  <c r="N286" i="3"/>
  <c r="L292" i="3"/>
  <c r="K293" i="3"/>
  <c r="M280" i="3"/>
  <c r="K294" i="3"/>
  <c r="K291" i="3"/>
  <c r="K288" i="3"/>
  <c r="K276" i="3"/>
  <c r="M295" i="3"/>
  <c r="M290" i="3"/>
  <c r="K277" i="3"/>
  <c r="L288" i="3"/>
  <c r="N281" i="3"/>
  <c r="L289" i="3"/>
  <c r="N294" i="3"/>
  <c r="M277" i="3"/>
  <c r="K282" i="3"/>
  <c r="N283" i="3"/>
  <c r="L282" i="3"/>
  <c r="N278" i="3"/>
  <c r="L286" i="3"/>
  <c r="N291" i="3"/>
  <c r="L276" i="3"/>
  <c r="M293" i="3"/>
  <c r="K280" i="3"/>
  <c r="M287" i="3"/>
  <c r="K290" i="3"/>
  <c r="L281" i="3"/>
  <c r="M289" i="3"/>
  <c r="K295" i="3"/>
  <c r="M286" i="3"/>
  <c r="K292" i="3"/>
  <c r="L287" i="3"/>
  <c r="L283" i="3"/>
  <c r="N293" i="3"/>
  <c r="M279" i="3"/>
  <c r="M281" i="3"/>
  <c r="K289" i="3"/>
  <c r="M294" i="3"/>
  <c r="L280" i="3"/>
  <c r="N290" i="3"/>
  <c r="M276" i="3"/>
  <c r="N235" i="3"/>
  <c r="L235" i="3"/>
  <c r="K219" i="3"/>
  <c r="M220" i="3"/>
  <c r="K228" i="3"/>
  <c r="M230" i="3"/>
  <c r="L217" i="3"/>
  <c r="K231" i="3"/>
  <c r="N232" i="3"/>
  <c r="L232" i="3"/>
  <c r="N234" i="3"/>
  <c r="M217" i="3"/>
  <c r="K225" i="3"/>
  <c r="M227" i="3"/>
  <c r="L224" i="3"/>
  <c r="N229" i="3"/>
  <c r="L229" i="3"/>
  <c r="N231" i="3"/>
  <c r="K224" i="3"/>
  <c r="K220" i="3"/>
  <c r="M224" i="3"/>
  <c r="K221" i="3"/>
  <c r="N226" i="3"/>
  <c r="L226" i="3"/>
  <c r="N228" i="3"/>
  <c r="L234" i="3"/>
  <c r="K217" i="3"/>
  <c r="M219" i="3"/>
  <c r="L227" i="3"/>
  <c r="N219" i="3"/>
  <c r="N221" i="3"/>
  <c r="L221" i="3"/>
  <c r="N225" i="3"/>
  <c r="L231" i="3"/>
  <c r="N233" i="3"/>
  <c r="M216" i="3"/>
  <c r="K216" i="3"/>
  <c r="M234" i="3"/>
  <c r="K227" i="3"/>
  <c r="N218" i="3"/>
  <c r="L218" i="3"/>
  <c r="N220" i="3"/>
  <c r="L228" i="3"/>
  <c r="N230" i="3"/>
  <c r="L233" i="3"/>
  <c r="K232" i="3"/>
  <c r="N224" i="3"/>
  <c r="K229" i="3"/>
  <c r="M228" i="3"/>
  <c r="M233" i="3"/>
  <c r="M235" i="3"/>
  <c r="K235" i="3"/>
  <c r="N217" i="3"/>
  <c r="L225" i="3"/>
  <c r="N227" i="3"/>
  <c r="L230" i="3"/>
  <c r="M232" i="3"/>
  <c r="L220" i="3"/>
  <c r="M229" i="3"/>
  <c r="K234" i="3"/>
  <c r="K233" i="3"/>
  <c r="M226" i="3"/>
  <c r="K226" i="3"/>
  <c r="M231" i="3"/>
  <c r="K230" i="3"/>
  <c r="N216" i="3"/>
  <c r="L219" i="3"/>
  <c r="L216" i="3"/>
  <c r="M221" i="3"/>
  <c r="M218" i="3"/>
  <c r="K218" i="3"/>
  <c r="M225" i="3"/>
  <c r="N215" i="3"/>
  <c r="I10" i="3" s="1"/>
  <c r="M198" i="3"/>
  <c r="K209" i="3"/>
  <c r="M214" i="3"/>
  <c r="L200" i="3"/>
  <c r="N210" i="3"/>
  <c r="I8" i="3" s="1"/>
  <c r="L202" i="3"/>
  <c r="N199" i="3"/>
  <c r="I11" i="3" s="1"/>
  <c r="N212" i="3"/>
  <c r="I9" i="3" s="1"/>
  <c r="L196" i="3"/>
  <c r="K206" i="3"/>
  <c r="M211" i="3"/>
  <c r="L197" i="3"/>
  <c r="N207" i="3"/>
  <c r="I7" i="3" s="1"/>
  <c r="M208" i="3"/>
  <c r="K214" i="3"/>
  <c r="L210" i="3"/>
  <c r="N209" i="3"/>
  <c r="I20" i="3" s="1"/>
  <c r="K196" i="3"/>
  <c r="K201" i="3"/>
  <c r="K207" i="3"/>
  <c r="N206" i="3"/>
  <c r="I19" i="3" s="1"/>
  <c r="L215" i="3"/>
  <c r="K198" i="3"/>
  <c r="M205" i="3"/>
  <c r="N201" i="3"/>
  <c r="I17" i="3" s="1"/>
  <c r="L212" i="3"/>
  <c r="N214" i="3"/>
  <c r="I23" i="3" s="1"/>
  <c r="M200" i="3"/>
  <c r="K211" i="3"/>
  <c r="N196" i="3"/>
  <c r="I4" i="3" s="1"/>
  <c r="M212" i="3"/>
  <c r="K197" i="3"/>
  <c r="L208" i="3"/>
  <c r="N198" i="3"/>
  <c r="I5" i="3" s="1"/>
  <c r="L209" i="3"/>
  <c r="N211" i="3"/>
  <c r="I21" i="3" s="1"/>
  <c r="M197" i="3"/>
  <c r="K208" i="3"/>
  <c r="M213" i="3"/>
  <c r="L198" i="3"/>
  <c r="M202" i="3"/>
  <c r="M196" i="3"/>
  <c r="K202" i="3"/>
  <c r="L206" i="3"/>
  <c r="N208" i="3"/>
  <c r="I16" i="3" s="1"/>
  <c r="L207" i="3"/>
  <c r="K205" i="3"/>
  <c r="M210" i="3"/>
  <c r="N200" i="3"/>
  <c r="I12" i="3" s="1"/>
  <c r="M199" i="3"/>
  <c r="M215" i="3"/>
  <c r="L201" i="3"/>
  <c r="N205" i="3"/>
  <c r="I15" i="3" s="1"/>
  <c r="K210" i="3"/>
  <c r="K200" i="3"/>
  <c r="M207" i="3"/>
  <c r="L214" i="3"/>
  <c r="K215" i="3"/>
  <c r="M209" i="3"/>
  <c r="K199" i="3"/>
  <c r="N197" i="3"/>
  <c r="I14" i="3" s="1"/>
  <c r="L211" i="3"/>
  <c r="M206" i="3"/>
  <c r="M201" i="3"/>
  <c r="K212" i="3"/>
  <c r="K213" i="3"/>
  <c r="L205" i="3"/>
  <c r="N213" i="3"/>
  <c r="I22" i="3" s="1"/>
  <c r="L199" i="3"/>
  <c r="N202" i="3"/>
  <c r="I18" i="3" s="1"/>
  <c r="L213" i="3"/>
  <c r="N165" i="3"/>
  <c r="M165" i="3"/>
  <c r="L165" i="3"/>
  <c r="K165" i="3"/>
  <c r="N164" i="3"/>
  <c r="M164" i="3"/>
  <c r="L164" i="3"/>
  <c r="K164" i="3"/>
  <c r="N208" i="14"/>
  <c r="N215" i="14"/>
  <c r="H40" i="12" s="1"/>
  <c r="M40" i="12" s="1"/>
  <c r="N582" i="8"/>
  <c r="M582" i="8"/>
  <c r="L582" i="8"/>
  <c r="K582" i="8"/>
  <c r="D582" i="8"/>
  <c r="N581" i="8"/>
  <c r="M581" i="8"/>
  <c r="L581" i="8"/>
  <c r="K581" i="8"/>
  <c r="D581" i="8"/>
  <c r="N562" i="8"/>
  <c r="M562" i="8"/>
  <c r="L562" i="8"/>
  <c r="K562" i="8"/>
  <c r="D562" i="8"/>
  <c r="N561" i="8"/>
  <c r="M561" i="8"/>
  <c r="L561" i="8"/>
  <c r="K561" i="8"/>
  <c r="D561" i="8"/>
  <c r="N541" i="8"/>
  <c r="M541" i="8"/>
  <c r="L541" i="8"/>
  <c r="K541" i="8"/>
  <c r="D541" i="8"/>
  <c r="N540" i="8"/>
  <c r="M540" i="8"/>
  <c r="L540" i="8"/>
  <c r="K540" i="8"/>
  <c r="D540" i="8"/>
  <c r="N522" i="8"/>
  <c r="M522" i="8"/>
  <c r="L522" i="8"/>
  <c r="K522" i="8"/>
  <c r="D522" i="8"/>
  <c r="N521" i="8"/>
  <c r="M521" i="8"/>
  <c r="L521" i="8"/>
  <c r="K521" i="8"/>
  <c r="D521" i="8"/>
  <c r="N501" i="8"/>
  <c r="M501" i="8"/>
  <c r="L501" i="8"/>
  <c r="K501" i="8"/>
  <c r="D501" i="8"/>
  <c r="N500" i="8"/>
  <c r="M500" i="8"/>
  <c r="L500" i="8"/>
  <c r="K500" i="8"/>
  <c r="D500" i="8"/>
  <c r="N461" i="8"/>
  <c r="M461" i="8"/>
  <c r="L461" i="8"/>
  <c r="K461" i="8"/>
  <c r="D461" i="8"/>
  <c r="N460" i="8"/>
  <c r="M460" i="8"/>
  <c r="L460" i="8"/>
  <c r="K460" i="8"/>
  <c r="D460" i="8"/>
  <c r="N444" i="8"/>
  <c r="M444" i="8"/>
  <c r="L444" i="8"/>
  <c r="K444" i="8"/>
  <c r="D444" i="8"/>
  <c r="N443" i="8"/>
  <c r="M443" i="8"/>
  <c r="L443" i="8"/>
  <c r="K443" i="8"/>
  <c r="D443" i="8"/>
  <c r="N422" i="8"/>
  <c r="M422" i="8"/>
  <c r="L422" i="8"/>
  <c r="K422" i="8"/>
  <c r="D422" i="8"/>
  <c r="N421" i="8"/>
  <c r="M421" i="8"/>
  <c r="L421" i="8"/>
  <c r="K421" i="8"/>
  <c r="D421" i="8"/>
  <c r="N403" i="8"/>
  <c r="M403" i="8"/>
  <c r="L403" i="8"/>
  <c r="K403" i="8"/>
  <c r="D403" i="8"/>
  <c r="N402" i="8"/>
  <c r="M402" i="8"/>
  <c r="L402" i="8"/>
  <c r="K402" i="8"/>
  <c r="D402" i="8"/>
  <c r="N382" i="8"/>
  <c r="M382" i="8"/>
  <c r="L382" i="8"/>
  <c r="K382" i="8"/>
  <c r="D382" i="8"/>
  <c r="N381" i="8"/>
  <c r="M381" i="8"/>
  <c r="L381" i="8"/>
  <c r="K381" i="8"/>
  <c r="D381" i="8"/>
  <c r="N362" i="8"/>
  <c r="M362" i="8"/>
  <c r="L362" i="8"/>
  <c r="K362" i="8"/>
  <c r="D362" i="8"/>
  <c r="N361" i="8"/>
  <c r="M361" i="8"/>
  <c r="L361" i="8"/>
  <c r="K361" i="8"/>
  <c r="D361" i="8"/>
  <c r="N342" i="8"/>
  <c r="M342" i="8"/>
  <c r="L342" i="8"/>
  <c r="K342" i="8"/>
  <c r="D342" i="8"/>
  <c r="N341" i="8"/>
  <c r="M341" i="8"/>
  <c r="L341" i="8"/>
  <c r="K341" i="8"/>
  <c r="D341" i="8"/>
  <c r="N322" i="8"/>
  <c r="M322" i="8"/>
  <c r="L322" i="8"/>
  <c r="K322" i="8"/>
  <c r="D322" i="8"/>
  <c r="N321" i="8"/>
  <c r="M321" i="8"/>
  <c r="L321" i="8"/>
  <c r="K321" i="8"/>
  <c r="D321" i="8"/>
  <c r="N303" i="8"/>
  <c r="M303" i="8"/>
  <c r="L303" i="8"/>
  <c r="K303" i="8"/>
  <c r="D303" i="8"/>
  <c r="N302" i="8"/>
  <c r="M302" i="8"/>
  <c r="L302" i="8"/>
  <c r="K302" i="8"/>
  <c r="D302" i="8"/>
  <c r="N282" i="8"/>
  <c r="M282" i="8"/>
  <c r="L282" i="8"/>
  <c r="K282" i="8"/>
  <c r="D282" i="8"/>
  <c r="N281" i="8"/>
  <c r="M281" i="8"/>
  <c r="L281" i="8"/>
  <c r="K281" i="8"/>
  <c r="D281" i="8"/>
  <c r="N262" i="8"/>
  <c r="M262" i="8"/>
  <c r="L262" i="8"/>
  <c r="K262" i="8"/>
  <c r="D262" i="8"/>
  <c r="N261" i="8"/>
  <c r="M261" i="8"/>
  <c r="L261" i="8"/>
  <c r="K261" i="8"/>
  <c r="D261" i="8"/>
  <c r="N243" i="8"/>
  <c r="M243" i="8"/>
  <c r="M242" i="8"/>
  <c r="L243" i="8"/>
  <c r="N242" i="8"/>
  <c r="K242" i="8"/>
  <c r="D242" i="8"/>
  <c r="L242" i="8"/>
  <c r="D243" i="8"/>
  <c r="K243" i="8"/>
  <c r="M123" i="14"/>
  <c r="N188" i="15"/>
  <c r="M188" i="15"/>
  <c r="L188" i="15"/>
  <c r="K188" i="15"/>
  <c r="N187" i="15"/>
  <c r="M187" i="15"/>
  <c r="L187" i="15"/>
  <c r="K187" i="15"/>
  <c r="N168" i="15"/>
  <c r="M167" i="15"/>
  <c r="M168" i="15"/>
  <c r="L168" i="15"/>
  <c r="L167" i="15"/>
  <c r="K168" i="15"/>
  <c r="N167" i="15"/>
  <c r="K167" i="15"/>
  <c r="N148" i="15"/>
  <c r="L147" i="15"/>
  <c r="M148" i="15"/>
  <c r="L148" i="15"/>
  <c r="K148" i="15"/>
  <c r="N147" i="15"/>
  <c r="M147" i="15"/>
  <c r="K147" i="15"/>
  <c r="N128" i="15"/>
  <c r="M127" i="15"/>
  <c r="M128" i="15"/>
  <c r="L128" i="15"/>
  <c r="K128" i="15"/>
  <c r="N127" i="15"/>
  <c r="K127" i="15"/>
  <c r="L127" i="15"/>
  <c r="N108" i="15"/>
  <c r="M108" i="15"/>
  <c r="K107" i="15"/>
  <c r="L108" i="15"/>
  <c r="K108" i="15"/>
  <c r="L107" i="15"/>
  <c r="N107" i="15"/>
  <c r="M107" i="15"/>
  <c r="N87" i="15"/>
  <c r="M87" i="15"/>
  <c r="L87" i="15"/>
  <c r="K87" i="15"/>
  <c r="N89" i="15"/>
  <c r="M89" i="15"/>
  <c r="L89" i="15"/>
  <c r="K89" i="15"/>
  <c r="N88" i="15"/>
  <c r="M88" i="15"/>
  <c r="L88" i="15"/>
  <c r="K88" i="15"/>
  <c r="N69" i="15"/>
  <c r="M69" i="15"/>
  <c r="L69" i="15"/>
  <c r="K69" i="15"/>
  <c r="N67" i="15"/>
  <c r="M67" i="15"/>
  <c r="L67" i="15"/>
  <c r="K67" i="15"/>
  <c r="K31" i="5"/>
  <c r="K19" i="5"/>
  <c r="G19" i="5"/>
  <c r="G33" i="5" s="1"/>
  <c r="G37" i="5" s="1"/>
  <c r="G41" i="5" s="1"/>
  <c r="S617" i="6"/>
  <c r="S681" i="6"/>
  <c r="S634" i="6"/>
  <c r="S622" i="6"/>
  <c r="S701" i="6"/>
  <c r="S635" i="6"/>
  <c r="S695" i="6"/>
  <c r="R629" i="6"/>
  <c r="W99" i="6"/>
  <c r="X99" i="6" s="1"/>
  <c r="Z99" i="6" s="1"/>
  <c r="AA99" i="6" s="1"/>
  <c r="W753" i="6"/>
  <c r="Q674" i="6"/>
  <c r="Q682" i="6"/>
  <c r="Q690" i="6"/>
  <c r="W460" i="6"/>
  <c r="C19" i="5"/>
  <c r="C33" i="5" s="1"/>
  <c r="P211" i="9"/>
  <c r="K15" i="9" s="1"/>
  <c r="P214" i="9"/>
  <c r="M856" i="6"/>
  <c r="P267" i="9"/>
  <c r="O17" i="9" s="1"/>
  <c r="M17" i="9" s="1"/>
  <c r="P208" i="9"/>
  <c r="D635" i="8"/>
  <c r="P294" i="9"/>
  <c r="P16" i="9" s="1"/>
  <c r="M16" i="9" s="1"/>
  <c r="P188" i="9"/>
  <c r="P266" i="9"/>
  <c r="O12" i="9" s="1"/>
  <c r="M12" i="9" s="1"/>
  <c r="P298" i="9"/>
  <c r="P9" i="9" s="1"/>
  <c r="M9" i="9" s="1"/>
  <c r="P299" i="9"/>
  <c r="P22" i="9" s="1"/>
  <c r="M22" i="9" s="1"/>
  <c r="P187" i="9"/>
  <c r="P248" i="9"/>
  <c r="N18" i="9" s="1"/>
  <c r="M18" i="9" s="1"/>
  <c r="P202" i="9"/>
  <c r="F19" i="5"/>
  <c r="C638" i="6"/>
  <c r="C856" i="6" s="1"/>
  <c r="D19" i="5"/>
  <c r="R682" i="6"/>
  <c r="Q33" i="5"/>
  <c r="Q37" i="5" s="1"/>
  <c r="B33" i="5"/>
  <c r="M180" i="15"/>
  <c r="R718" i="6"/>
  <c r="R674" i="6"/>
  <c r="P213" i="9"/>
  <c r="K7" i="9" s="1"/>
  <c r="P300" i="9"/>
  <c r="P23" i="9" s="1"/>
  <c r="J19" i="5"/>
  <c r="N105" i="15"/>
  <c r="P275" i="9"/>
  <c r="O20" i="9" s="1"/>
  <c r="M20" i="9" s="1"/>
  <c r="W108" i="6"/>
  <c r="P265" i="9"/>
  <c r="O11" i="9" s="1"/>
  <c r="M11" i="9" s="1"/>
  <c r="P280" i="9"/>
  <c r="O23" i="9" s="1"/>
  <c r="N154" i="15"/>
  <c r="M160" i="15"/>
  <c r="N84" i="15"/>
  <c r="N101" i="14"/>
  <c r="K433" i="8"/>
  <c r="L432" i="8"/>
  <c r="M431" i="8"/>
  <c r="N430" i="8"/>
  <c r="D430" i="8"/>
  <c r="K429" i="8"/>
  <c r="L428" i="8"/>
  <c r="M427" i="8"/>
  <c r="N426" i="8"/>
  <c r="D426" i="8"/>
  <c r="K425" i="8"/>
  <c r="L424" i="8"/>
  <c r="M423" i="8"/>
  <c r="N420" i="8"/>
  <c r="D420" i="8"/>
  <c r="K419" i="8"/>
  <c r="L418" i="8"/>
  <c r="M417" i="8"/>
  <c r="N416" i="8"/>
  <c r="D416" i="8"/>
  <c r="K415" i="8"/>
  <c r="L414" i="8"/>
  <c r="M393" i="8"/>
  <c r="N392" i="8"/>
  <c r="D392" i="8"/>
  <c r="K391" i="8"/>
  <c r="L390" i="8"/>
  <c r="M389" i="8"/>
  <c r="N388" i="8"/>
  <c r="D388" i="8"/>
  <c r="K387" i="8"/>
  <c r="L386" i="8"/>
  <c r="M385" i="8"/>
  <c r="N384" i="8"/>
  <c r="D384" i="8"/>
  <c r="K383" i="8"/>
  <c r="L380" i="8"/>
  <c r="M379" i="8"/>
  <c r="N378" i="8"/>
  <c r="D378" i="8"/>
  <c r="K377" i="8"/>
  <c r="L376" i="8"/>
  <c r="M375" i="8"/>
  <c r="N374" i="8"/>
  <c r="D374" i="8"/>
  <c r="N432" i="8"/>
  <c r="K431" i="8"/>
  <c r="M429" i="8"/>
  <c r="N428" i="8"/>
  <c r="K427" i="8"/>
  <c r="M425" i="8"/>
  <c r="D424" i="8"/>
  <c r="L420" i="8"/>
  <c r="N418" i="8"/>
  <c r="K417" i="8"/>
  <c r="M415" i="8"/>
  <c r="D414" i="8"/>
  <c r="L392" i="8"/>
  <c r="N390" i="8"/>
  <c r="K389" i="8"/>
  <c r="M387" i="8"/>
  <c r="D386" i="8"/>
  <c r="L384" i="8"/>
  <c r="N380" i="8"/>
  <c r="K379" i="8"/>
  <c r="M377" i="8"/>
  <c r="D376" i="8"/>
  <c r="L374" i="8"/>
  <c r="D433" i="8"/>
  <c r="L431" i="8"/>
  <c r="N429" i="8"/>
  <c r="D429" i="8"/>
  <c r="L427" i="8"/>
  <c r="N425" i="8"/>
  <c r="K424" i="8"/>
  <c r="M420" i="8"/>
  <c r="D419" i="8"/>
  <c r="L417" i="8"/>
  <c r="N415" i="8"/>
  <c r="K414" i="8"/>
  <c r="M392" i="8"/>
  <c r="D391" i="8"/>
  <c r="L389" i="8"/>
  <c r="N387" i="8"/>
  <c r="K386" i="8"/>
  <c r="L385" i="8"/>
  <c r="N383" i="8"/>
  <c r="K380" i="8"/>
  <c r="M378" i="8"/>
  <c r="D377" i="8"/>
  <c r="L375" i="8"/>
  <c r="L433" i="8"/>
  <c r="M432" i="8"/>
  <c r="N431" i="8"/>
  <c r="D431" i="8"/>
  <c r="K430" i="8"/>
  <c r="L429" i="8"/>
  <c r="M428" i="8"/>
  <c r="N427" i="8"/>
  <c r="D427" i="8"/>
  <c r="K426" i="8"/>
  <c r="L425" i="8"/>
  <c r="M424" i="8"/>
  <c r="N423" i="8"/>
  <c r="D423" i="8"/>
  <c r="K420" i="8"/>
  <c r="L419" i="8"/>
  <c r="M418" i="8"/>
  <c r="N417" i="8"/>
  <c r="D417" i="8"/>
  <c r="K416" i="8"/>
  <c r="L415" i="8"/>
  <c r="M414" i="8"/>
  <c r="N393" i="8"/>
  <c r="D393" i="8"/>
  <c r="K392" i="8"/>
  <c r="L391" i="8"/>
  <c r="M390" i="8"/>
  <c r="N389" i="8"/>
  <c r="D389" i="8"/>
  <c r="K388" i="8"/>
  <c r="L387" i="8"/>
  <c r="M386" i="8"/>
  <c r="N385" i="8"/>
  <c r="D385" i="8"/>
  <c r="K384" i="8"/>
  <c r="L383" i="8"/>
  <c r="M380" i="8"/>
  <c r="N379" i="8"/>
  <c r="D379" i="8"/>
  <c r="K378" i="8"/>
  <c r="L377" i="8"/>
  <c r="M376" i="8"/>
  <c r="N375" i="8"/>
  <c r="D375" i="8"/>
  <c r="K374" i="8"/>
  <c r="M433" i="8"/>
  <c r="D432" i="8"/>
  <c r="L430" i="8"/>
  <c r="D428" i="8"/>
  <c r="L426" i="8"/>
  <c r="N424" i="8"/>
  <c r="K423" i="8"/>
  <c r="M419" i="8"/>
  <c r="D418" i="8"/>
  <c r="L416" i="8"/>
  <c r="N414" i="8"/>
  <c r="K393" i="8"/>
  <c r="M391" i="8"/>
  <c r="D390" i="8"/>
  <c r="L388" i="8"/>
  <c r="N386" i="8"/>
  <c r="K385" i="8"/>
  <c r="M383" i="8"/>
  <c r="D380" i="8"/>
  <c r="L378" i="8"/>
  <c r="N376" i="8"/>
  <c r="K375" i="8"/>
  <c r="N433" i="8"/>
  <c r="K432" i="8"/>
  <c r="M430" i="8"/>
  <c r="K428" i="8"/>
  <c r="M426" i="8"/>
  <c r="D425" i="8"/>
  <c r="L423" i="8"/>
  <c r="N419" i="8"/>
  <c r="K418" i="8"/>
  <c r="M416" i="8"/>
  <c r="D415" i="8"/>
  <c r="L393" i="8"/>
  <c r="N391" i="8"/>
  <c r="K390" i="8"/>
  <c r="M388" i="8"/>
  <c r="D387" i="8"/>
  <c r="M384" i="8"/>
  <c r="D383" i="8"/>
  <c r="L379" i="8"/>
  <c r="N377" i="8"/>
  <c r="K376" i="8"/>
  <c r="M374" i="8"/>
  <c r="P282" i="9"/>
  <c r="P4" i="9" s="1"/>
  <c r="K71" i="15"/>
  <c r="N162" i="15"/>
  <c r="K184" i="15"/>
  <c r="M64" i="15"/>
  <c r="L121" i="15"/>
  <c r="K174" i="15"/>
  <c r="K105" i="15"/>
  <c r="L76" i="15"/>
  <c r="K79" i="15"/>
  <c r="L84" i="15"/>
  <c r="K115" i="15"/>
  <c r="K120" i="15"/>
  <c r="N145" i="15"/>
  <c r="M199" i="15"/>
  <c r="M82" i="15"/>
  <c r="L94" i="15"/>
  <c r="M97" i="15"/>
  <c r="N68" i="15"/>
  <c r="L104" i="15"/>
  <c r="K138" i="15"/>
  <c r="M152" i="15"/>
  <c r="M178" i="15"/>
  <c r="L197" i="15"/>
  <c r="M63" i="15"/>
  <c r="M81" i="15"/>
  <c r="M105" i="15"/>
  <c r="K154" i="15"/>
  <c r="K97" i="15"/>
  <c r="K61" i="15"/>
  <c r="N64" i="15"/>
  <c r="L66" i="15"/>
  <c r="N85" i="15"/>
  <c r="N100" i="15"/>
  <c r="N135" i="15"/>
  <c r="L150" i="15"/>
  <c r="L176" i="15"/>
  <c r="Q618" i="6"/>
  <c r="E19" i="5"/>
  <c r="N191" i="15"/>
  <c r="N181" i="15"/>
  <c r="M186" i="15"/>
  <c r="L185" i="15"/>
  <c r="N186" i="15"/>
  <c r="K192" i="15"/>
  <c r="N170" i="15"/>
  <c r="M166" i="15"/>
  <c r="L164" i="15"/>
  <c r="K162" i="15"/>
  <c r="M140" i="15"/>
  <c r="M158" i="15"/>
  <c r="L156" i="15"/>
  <c r="K142" i="15"/>
  <c r="M139" i="15"/>
  <c r="N123" i="15"/>
  <c r="M122" i="15"/>
  <c r="L129" i="15"/>
  <c r="K126" i="15"/>
  <c r="N113" i="15"/>
  <c r="M113" i="15"/>
  <c r="L112" i="15"/>
  <c r="M101" i="15"/>
  <c r="K110" i="15"/>
  <c r="K118" i="15"/>
  <c r="N75" i="15"/>
  <c r="N93" i="15"/>
  <c r="M72" i="15"/>
  <c r="L61" i="15"/>
  <c r="L71" i="15"/>
  <c r="L79" i="15"/>
  <c r="L97" i="15"/>
  <c r="N72" i="15"/>
  <c r="N86" i="15"/>
  <c r="M65" i="15"/>
  <c r="M84" i="15"/>
  <c r="K62" i="15"/>
  <c r="K72" i="15"/>
  <c r="K80" i="15"/>
  <c r="K90" i="15"/>
  <c r="K98" i="15"/>
  <c r="N185" i="15"/>
  <c r="M190" i="15"/>
  <c r="L189" i="15"/>
  <c r="N192" i="15"/>
  <c r="K194" i="15"/>
  <c r="N172" i="15"/>
  <c r="M170" i="15"/>
  <c r="L166" i="15"/>
  <c r="K164" i="15"/>
  <c r="M142" i="15"/>
  <c r="L140" i="15"/>
  <c r="L158" i="15"/>
  <c r="K144" i="15"/>
  <c r="M121" i="15"/>
  <c r="N125" i="15"/>
  <c r="M126" i="15"/>
  <c r="L131" i="15"/>
  <c r="K130" i="15"/>
  <c r="N115" i="15"/>
  <c r="M116" i="15"/>
  <c r="L114" i="15"/>
  <c r="K100" i="15"/>
  <c r="K111" i="15"/>
  <c r="K99" i="15"/>
  <c r="N77" i="15"/>
  <c r="N96" i="15"/>
  <c r="M74" i="15"/>
  <c r="M91" i="15"/>
  <c r="L62" i="15"/>
  <c r="L72" i="15"/>
  <c r="L80" i="15"/>
  <c r="L90" i="15"/>
  <c r="L98" i="15"/>
  <c r="N74" i="15"/>
  <c r="N94" i="15"/>
  <c r="M73" i="15"/>
  <c r="M92" i="15"/>
  <c r="K65" i="15"/>
  <c r="K75" i="15"/>
  <c r="K83" i="15"/>
  <c r="K93" i="15"/>
  <c r="N197" i="15"/>
  <c r="M197" i="15"/>
  <c r="L195" i="15"/>
  <c r="K182" i="15"/>
  <c r="N160" i="15"/>
  <c r="N178" i="15"/>
  <c r="M176" i="15"/>
  <c r="L174" i="15"/>
  <c r="K172" i="15"/>
  <c r="N141" i="15"/>
  <c r="M150" i="15"/>
  <c r="L146" i="15"/>
  <c r="N150" i="15"/>
  <c r="K152" i="15"/>
  <c r="M138" i="15"/>
  <c r="N133" i="15"/>
  <c r="M137" i="15"/>
  <c r="L137" i="15"/>
  <c r="K136" i="15"/>
  <c r="N101" i="15"/>
  <c r="M103" i="15"/>
  <c r="L102" i="15"/>
  <c r="L119" i="15"/>
  <c r="K104" i="15"/>
  <c r="K114" i="15"/>
  <c r="N65" i="15"/>
  <c r="N83" i="15"/>
  <c r="M62" i="15"/>
  <c r="M79" i="15"/>
  <c r="M96" i="15"/>
  <c r="L65" i="15"/>
  <c r="L75" i="15"/>
  <c r="L83" i="15"/>
  <c r="L93" i="15"/>
  <c r="N62" i="15"/>
  <c r="N98" i="15"/>
  <c r="N95" i="15"/>
  <c r="M76" i="15"/>
  <c r="M94" i="15"/>
  <c r="K66" i="15"/>
  <c r="K76" i="15"/>
  <c r="K84" i="15"/>
  <c r="K94" i="15"/>
  <c r="Q621" i="6"/>
  <c r="Q619" i="6"/>
  <c r="R619" i="6"/>
  <c r="K355" i="3"/>
  <c r="K354" i="3"/>
  <c r="K353" i="3"/>
  <c r="K352" i="3"/>
  <c r="K351" i="3"/>
  <c r="K350" i="3"/>
  <c r="K349" i="3"/>
  <c r="K348" i="3"/>
  <c r="K347" i="3"/>
  <c r="K346" i="3"/>
  <c r="K343" i="3"/>
  <c r="K342" i="3"/>
  <c r="K341" i="3"/>
  <c r="K340" i="3"/>
  <c r="K339" i="3"/>
  <c r="K338" i="3"/>
  <c r="K337" i="3"/>
  <c r="K336" i="3"/>
  <c r="K315" i="3"/>
  <c r="K314" i="3"/>
  <c r="K313" i="3"/>
  <c r="K312" i="3"/>
  <c r="K311" i="3"/>
  <c r="K310" i="3"/>
  <c r="K309" i="3"/>
  <c r="K308" i="3"/>
  <c r="K307" i="3"/>
  <c r="K306" i="3"/>
  <c r="K303" i="3"/>
  <c r="K302" i="3"/>
  <c r="K301" i="3"/>
  <c r="K300" i="3"/>
  <c r="K299" i="3"/>
  <c r="K298" i="3"/>
  <c r="K297" i="3"/>
  <c r="K296" i="3"/>
  <c r="K275" i="3"/>
  <c r="K274" i="3"/>
  <c r="K273" i="3"/>
  <c r="K272" i="3"/>
  <c r="K271" i="3"/>
  <c r="K270" i="3"/>
  <c r="K269" i="3"/>
  <c r="K268" i="3"/>
  <c r="K267" i="3"/>
  <c r="K266" i="3"/>
  <c r="K263" i="3"/>
  <c r="K262" i="3"/>
  <c r="K261" i="3"/>
  <c r="K260" i="3"/>
  <c r="K259" i="3"/>
  <c r="K258" i="3"/>
  <c r="K257" i="3"/>
  <c r="K256" i="3"/>
  <c r="K255" i="3"/>
  <c r="K254" i="3"/>
  <c r="K253" i="3"/>
  <c r="K252" i="3"/>
  <c r="K251" i="3"/>
  <c r="K250" i="3"/>
  <c r="K249" i="3"/>
  <c r="K248" i="3"/>
  <c r="K247" i="3"/>
  <c r="K246" i="3"/>
  <c r="K245" i="3"/>
  <c r="K244" i="3"/>
  <c r="K241" i="3"/>
  <c r="K240" i="3"/>
  <c r="K239" i="3"/>
  <c r="K238" i="3"/>
  <c r="K237" i="3"/>
  <c r="K236" i="3"/>
  <c r="K195" i="3"/>
  <c r="K194" i="3"/>
  <c r="K193" i="3"/>
  <c r="K192" i="3"/>
  <c r="K191" i="3"/>
  <c r="K190" i="3"/>
  <c r="K189" i="3"/>
  <c r="K188" i="3"/>
  <c r="K187" i="3"/>
  <c r="K186" i="3"/>
  <c r="K185" i="3"/>
  <c r="K182" i="3"/>
  <c r="K181" i="3"/>
  <c r="N355" i="3"/>
  <c r="L10" i="3" s="1"/>
  <c r="N354" i="3"/>
  <c r="L23" i="3" s="1"/>
  <c r="N353" i="3"/>
  <c r="L22" i="3" s="1"/>
  <c r="N352" i="3"/>
  <c r="L9" i="3" s="1"/>
  <c r="N351" i="3"/>
  <c r="L21" i="3" s="1"/>
  <c r="N350" i="3"/>
  <c r="L8" i="3" s="1"/>
  <c r="N349" i="3"/>
  <c r="L20" i="3" s="1"/>
  <c r="N348" i="3"/>
  <c r="L16" i="3" s="1"/>
  <c r="N347" i="3"/>
  <c r="L7" i="3" s="1"/>
  <c r="N346" i="3"/>
  <c r="L19" i="3" s="1"/>
  <c r="N343" i="3"/>
  <c r="L13" i="3" s="1"/>
  <c r="N342" i="3"/>
  <c r="L18" i="3" s="1"/>
  <c r="N341" i="3"/>
  <c r="L17" i="3" s="1"/>
  <c r="N340" i="3"/>
  <c r="L12" i="3" s="1"/>
  <c r="N339" i="3"/>
  <c r="L11" i="3" s="1"/>
  <c r="N337" i="3"/>
  <c r="L14" i="3" s="1"/>
  <c r="N336" i="3"/>
  <c r="L4" i="3" s="1"/>
  <c r="N315" i="3"/>
  <c r="N314" i="3"/>
  <c r="N313" i="3"/>
  <c r="N312" i="3"/>
  <c r="N311" i="3"/>
  <c r="K21" i="3" s="1"/>
  <c r="N310" i="3"/>
  <c r="N309" i="3"/>
  <c r="N308" i="3"/>
  <c r="N307" i="3"/>
  <c r="N306" i="3"/>
  <c r="N303" i="3"/>
  <c r="N302" i="3"/>
  <c r="N301" i="3"/>
  <c r="N300" i="3"/>
  <c r="N299" i="3"/>
  <c r="N298" i="3"/>
  <c r="N297" i="3"/>
  <c r="N296" i="3"/>
  <c r="N275" i="3"/>
  <c r="H10" i="3" s="1"/>
  <c r="N274" i="3"/>
  <c r="H23" i="3" s="1"/>
  <c r="N273" i="3"/>
  <c r="H22" i="3" s="1"/>
  <c r="N272" i="3"/>
  <c r="H9" i="3" s="1"/>
  <c r="N271" i="3"/>
  <c r="H21" i="3" s="1"/>
  <c r="N270" i="3"/>
  <c r="H8" i="3" s="1"/>
  <c r="N269" i="3"/>
  <c r="H20" i="3" s="1"/>
  <c r="N268" i="3"/>
  <c r="H16" i="3" s="1"/>
  <c r="N267" i="3"/>
  <c r="H7" i="3" s="1"/>
  <c r="N266" i="3"/>
  <c r="H19" i="3" s="1"/>
  <c r="N263" i="3"/>
  <c r="H13" i="3" s="1"/>
  <c r="N262" i="3"/>
  <c r="H18" i="3" s="1"/>
  <c r="N261" i="3"/>
  <c r="H17" i="3" s="1"/>
  <c r="N260" i="3"/>
  <c r="H12" i="3" s="1"/>
  <c r="N259" i="3"/>
  <c r="H11" i="3" s="1"/>
  <c r="N258" i="3"/>
  <c r="N257" i="3"/>
  <c r="H14" i="3" s="1"/>
  <c r="N256" i="3"/>
  <c r="H4" i="3" s="1"/>
  <c r="N255" i="3"/>
  <c r="N254" i="3"/>
  <c r="F23" i="12" s="1"/>
  <c r="N253" i="3"/>
  <c r="N252" i="3"/>
  <c r="N251" i="3"/>
  <c r="N250" i="3"/>
  <c r="F19" i="12" s="1"/>
  <c r="N249" i="3"/>
  <c r="N248" i="3"/>
  <c r="N247" i="3"/>
  <c r="N246" i="3"/>
  <c r="N245" i="3"/>
  <c r="F14" i="12" s="1"/>
  <c r="N244" i="3"/>
  <c r="N241" i="3"/>
  <c r="N240" i="3"/>
  <c r="N239" i="3"/>
  <c r="N238" i="3"/>
  <c r="N237" i="3"/>
  <c r="N236" i="3"/>
  <c r="N195" i="3"/>
  <c r="N194" i="3"/>
  <c r="N193" i="3"/>
  <c r="N192" i="3"/>
  <c r="N191" i="3"/>
  <c r="N190" i="3"/>
  <c r="N189" i="3"/>
  <c r="N188" i="3"/>
  <c r="N187" i="3"/>
  <c r="N186" i="3"/>
  <c r="N185" i="3"/>
  <c r="N182" i="3"/>
  <c r="N181" i="3"/>
  <c r="M355" i="3"/>
  <c r="M354" i="3"/>
  <c r="M353" i="3"/>
  <c r="M352" i="3"/>
  <c r="M351" i="3"/>
  <c r="M350" i="3"/>
  <c r="M349" i="3"/>
  <c r="M348" i="3"/>
  <c r="M347" i="3"/>
  <c r="M346" i="3"/>
  <c r="M343" i="3"/>
  <c r="M342" i="3"/>
  <c r="M341" i="3"/>
  <c r="M340" i="3"/>
  <c r="M339" i="3"/>
  <c r="M338" i="3"/>
  <c r="M337" i="3"/>
  <c r="M336" i="3"/>
  <c r="M315" i="3"/>
  <c r="M314" i="3"/>
  <c r="M313" i="3"/>
  <c r="M312" i="3"/>
  <c r="M311" i="3"/>
  <c r="M310" i="3"/>
  <c r="M309" i="3"/>
  <c r="M308" i="3"/>
  <c r="M307" i="3"/>
  <c r="M306" i="3"/>
  <c r="M303" i="3"/>
  <c r="M302" i="3"/>
  <c r="M301" i="3"/>
  <c r="M300" i="3"/>
  <c r="M299" i="3"/>
  <c r="M298" i="3"/>
  <c r="M297" i="3"/>
  <c r="M296" i="3"/>
  <c r="M275" i="3"/>
  <c r="M274" i="3"/>
  <c r="M273" i="3"/>
  <c r="M272" i="3"/>
  <c r="M271" i="3"/>
  <c r="M270" i="3"/>
  <c r="M269" i="3"/>
  <c r="M268" i="3"/>
  <c r="M267" i="3"/>
  <c r="M266" i="3"/>
  <c r="M263" i="3"/>
  <c r="M262" i="3"/>
  <c r="M261" i="3"/>
  <c r="M260" i="3"/>
  <c r="M259" i="3"/>
  <c r="M258" i="3"/>
  <c r="M257" i="3"/>
  <c r="M256" i="3"/>
  <c r="M255" i="3"/>
  <c r="M254" i="3"/>
  <c r="M253" i="3"/>
  <c r="M252" i="3"/>
  <c r="M251" i="3"/>
  <c r="M250" i="3"/>
  <c r="M249" i="3"/>
  <c r="M248" i="3"/>
  <c r="M247" i="3"/>
  <c r="M246" i="3"/>
  <c r="M245" i="3"/>
  <c r="M244" i="3"/>
  <c r="M241" i="3"/>
  <c r="M240" i="3"/>
  <c r="M239" i="3"/>
  <c r="M238" i="3"/>
  <c r="M237" i="3"/>
  <c r="M236" i="3"/>
  <c r="M195" i="3"/>
  <c r="M194" i="3"/>
  <c r="M193" i="3"/>
  <c r="M192" i="3"/>
  <c r="M191" i="3"/>
  <c r="M190" i="3"/>
  <c r="M189" i="3"/>
  <c r="M188" i="3"/>
  <c r="M187" i="3"/>
  <c r="M186" i="3"/>
  <c r="M185" i="3"/>
  <c r="M182" i="3"/>
  <c r="L355" i="3"/>
  <c r="L351" i="3"/>
  <c r="L347" i="3"/>
  <c r="L341" i="3"/>
  <c r="L337" i="3"/>
  <c r="L313" i="3"/>
  <c r="L309" i="3"/>
  <c r="L303" i="3"/>
  <c r="L299" i="3"/>
  <c r="L275" i="3"/>
  <c r="L271" i="3"/>
  <c r="L267" i="3"/>
  <c r="L261" i="3"/>
  <c r="L257" i="3"/>
  <c r="L253" i="3"/>
  <c r="L249" i="3"/>
  <c r="L245" i="3"/>
  <c r="L239" i="3"/>
  <c r="L195" i="3"/>
  <c r="L191" i="3"/>
  <c r="L187" i="3"/>
  <c r="M181" i="3"/>
  <c r="L180" i="3"/>
  <c r="L179" i="3"/>
  <c r="L178" i="3"/>
  <c r="L177" i="3"/>
  <c r="L176" i="3"/>
  <c r="L175" i="3"/>
  <c r="L174" i="3"/>
  <c r="L173" i="3"/>
  <c r="L172" i="3"/>
  <c r="L171" i="3"/>
  <c r="L170" i="3"/>
  <c r="L169" i="3"/>
  <c r="L168" i="3"/>
  <c r="L167" i="3"/>
  <c r="L166" i="3"/>
  <c r="L163" i="3"/>
  <c r="L162" i="3"/>
  <c r="L161" i="3"/>
  <c r="L160" i="3"/>
  <c r="L159" i="3"/>
  <c r="L158" i="3"/>
  <c r="L157" i="3"/>
  <c r="L156" i="3"/>
  <c r="L354" i="3"/>
  <c r="L350" i="3"/>
  <c r="L346" i="3"/>
  <c r="L340" i="3"/>
  <c r="L336" i="3"/>
  <c r="L312" i="3"/>
  <c r="L308" i="3"/>
  <c r="L302" i="3"/>
  <c r="L298" i="3"/>
  <c r="L274" i="3"/>
  <c r="L270" i="3"/>
  <c r="L266" i="3"/>
  <c r="L260" i="3"/>
  <c r="L256" i="3"/>
  <c r="L252" i="3"/>
  <c r="L248" i="3"/>
  <c r="L244" i="3"/>
  <c r="L238" i="3"/>
  <c r="L194" i="3"/>
  <c r="L190" i="3"/>
  <c r="L186" i="3"/>
  <c r="L181" i="3"/>
  <c r="K180" i="3"/>
  <c r="K179" i="3"/>
  <c r="K178" i="3"/>
  <c r="K177" i="3"/>
  <c r="K176" i="3"/>
  <c r="K175" i="3"/>
  <c r="K174" i="3"/>
  <c r="K173" i="3"/>
  <c r="K172" i="3"/>
  <c r="K171" i="3"/>
  <c r="K170" i="3"/>
  <c r="K169" i="3"/>
  <c r="K168" i="3"/>
  <c r="K167" i="3"/>
  <c r="K166" i="3"/>
  <c r="K163" i="3"/>
  <c r="K162" i="3"/>
  <c r="K161" i="3"/>
  <c r="K160" i="3"/>
  <c r="K159" i="3"/>
  <c r="K158" i="3"/>
  <c r="K157" i="3"/>
  <c r="K156" i="3"/>
  <c r="L353" i="3"/>
  <c r="L349" i="3"/>
  <c r="L343" i="3"/>
  <c r="L339" i="3"/>
  <c r="L315" i="3"/>
  <c r="L311" i="3"/>
  <c r="L307" i="3"/>
  <c r="L301" i="3"/>
  <c r="L297" i="3"/>
  <c r="L273" i="3"/>
  <c r="L269" i="3"/>
  <c r="L263" i="3"/>
  <c r="L259" i="3"/>
  <c r="L255" i="3"/>
  <c r="L251" i="3"/>
  <c r="L247" i="3"/>
  <c r="L241" i="3"/>
  <c r="L237" i="3"/>
  <c r="L193" i="3"/>
  <c r="L189" i="3"/>
  <c r="L185" i="3"/>
  <c r="N180" i="3"/>
  <c r="N179" i="3"/>
  <c r="N178" i="3"/>
  <c r="G5" i="3" s="1"/>
  <c r="N177" i="3"/>
  <c r="N176" i="3"/>
  <c r="N175" i="3"/>
  <c r="N174" i="3"/>
  <c r="N173" i="3"/>
  <c r="N172" i="3"/>
  <c r="N171" i="3"/>
  <c r="N170" i="3"/>
  <c r="N169" i="3"/>
  <c r="N168" i="3"/>
  <c r="J17" i="12" s="1"/>
  <c r="N167" i="3"/>
  <c r="J16" i="12" s="1"/>
  <c r="N166" i="3"/>
  <c r="N163" i="3"/>
  <c r="F13" i="3" s="1"/>
  <c r="N162" i="3"/>
  <c r="N161" i="3"/>
  <c r="N160" i="3"/>
  <c r="N159" i="3"/>
  <c r="N158" i="3"/>
  <c r="N157" i="3"/>
  <c r="F14" i="3" s="1"/>
  <c r="N156" i="3"/>
  <c r="L352" i="3"/>
  <c r="L314" i="3"/>
  <c r="L296" i="3"/>
  <c r="L258" i="3"/>
  <c r="L240" i="3"/>
  <c r="L182" i="3"/>
  <c r="M177" i="3"/>
  <c r="M173" i="3"/>
  <c r="M169" i="3"/>
  <c r="M163" i="3"/>
  <c r="M159" i="3"/>
  <c r="L348" i="3"/>
  <c r="L310" i="3"/>
  <c r="L272" i="3"/>
  <c r="L254" i="3"/>
  <c r="L236" i="3"/>
  <c r="M180" i="3"/>
  <c r="M176" i="3"/>
  <c r="M172" i="3"/>
  <c r="M168" i="3"/>
  <c r="M162" i="3"/>
  <c r="M158" i="3"/>
  <c r="L338" i="3"/>
  <c r="L300" i="3"/>
  <c r="L262" i="3"/>
  <c r="L246" i="3"/>
  <c r="L188" i="3"/>
  <c r="M178" i="3"/>
  <c r="M174" i="3"/>
  <c r="M170" i="3"/>
  <c r="M166" i="3"/>
  <c r="M160" i="3"/>
  <c r="M156" i="3"/>
  <c r="L342" i="3"/>
  <c r="L192" i="3"/>
  <c r="M167" i="3"/>
  <c r="L306" i="3"/>
  <c r="M179" i="3"/>
  <c r="M161" i="3"/>
  <c r="L268" i="3"/>
  <c r="M175" i="3"/>
  <c r="M157" i="3"/>
  <c r="L250" i="3"/>
  <c r="M171" i="3"/>
  <c r="D576" i="8"/>
  <c r="D290" i="8"/>
  <c r="M578" i="8"/>
  <c r="M544" i="8"/>
  <c r="M508" i="8"/>
  <c r="M452" i="8"/>
  <c r="M366" i="8"/>
  <c r="M348" i="8"/>
  <c r="M330" i="8"/>
  <c r="M299" i="8"/>
  <c r="N288" i="8"/>
  <c r="L276" i="8"/>
  <c r="M265" i="8"/>
  <c r="N252" i="8"/>
  <c r="M241" i="8"/>
  <c r="D558" i="8"/>
  <c r="D396" i="8"/>
  <c r="D254" i="8"/>
  <c r="M570" i="8"/>
  <c r="M534" i="8"/>
  <c r="M498" i="8"/>
  <c r="M442" i="8"/>
  <c r="M408" i="8"/>
  <c r="M360" i="8"/>
  <c r="M344" i="8"/>
  <c r="M326" i="8"/>
  <c r="M310" i="8"/>
  <c r="N296" i="8"/>
  <c r="L286" i="8"/>
  <c r="M273" i="8"/>
  <c r="N260" i="8"/>
  <c r="L250" i="8"/>
  <c r="M239" i="8"/>
  <c r="D524" i="8"/>
  <c r="M560" i="8"/>
  <c r="M526" i="8"/>
  <c r="M470" i="8"/>
  <c r="M434" i="8"/>
  <c r="M398" i="8"/>
  <c r="M356" i="8"/>
  <c r="M338" i="8"/>
  <c r="M320" i="8"/>
  <c r="N306" i="8"/>
  <c r="L294" i="8"/>
  <c r="M283" i="8"/>
  <c r="N270" i="8"/>
  <c r="L258" i="8"/>
  <c r="M247" i="8"/>
  <c r="M237" i="8"/>
  <c r="M588" i="8"/>
  <c r="M316" i="8"/>
  <c r="N278" i="8"/>
  <c r="M235" i="8"/>
  <c r="D468" i="8"/>
  <c r="M552" i="8"/>
  <c r="M371" i="8"/>
  <c r="L268" i="8"/>
  <c r="M462" i="8"/>
  <c r="M334" i="8"/>
  <c r="M291" i="8"/>
  <c r="M245" i="8"/>
  <c r="L304" i="8"/>
  <c r="M255" i="8"/>
  <c r="M516" i="8"/>
  <c r="M352" i="8"/>
  <c r="R676" i="6"/>
  <c r="N195" i="15"/>
  <c r="D586" i="8"/>
  <c r="Q718" i="6"/>
  <c r="R700" i="6"/>
  <c r="R686" i="6"/>
  <c r="D323" i="9"/>
  <c r="P185" i="9"/>
  <c r="P276" i="9"/>
  <c r="O8" i="9" s="1"/>
  <c r="M8" i="9" s="1"/>
  <c r="P196" i="9"/>
  <c r="P205" i="9"/>
  <c r="K11" i="9" s="1"/>
  <c r="K235" i="8"/>
  <c r="K237" i="8"/>
  <c r="K239" i="8"/>
  <c r="K241" i="8"/>
  <c r="K245" i="8"/>
  <c r="K247" i="8"/>
  <c r="M249" i="8"/>
  <c r="L252" i="8"/>
  <c r="N254" i="8"/>
  <c r="M257" i="8"/>
  <c r="L260" i="8"/>
  <c r="N264" i="8"/>
  <c r="M267" i="8"/>
  <c r="L270" i="8"/>
  <c r="N272" i="8"/>
  <c r="M275" i="8"/>
  <c r="L278" i="8"/>
  <c r="N280" i="8"/>
  <c r="M285" i="8"/>
  <c r="L288" i="8"/>
  <c r="N290" i="8"/>
  <c r="M293" i="8"/>
  <c r="L296" i="8"/>
  <c r="N298" i="8"/>
  <c r="M301" i="8"/>
  <c r="L306" i="8"/>
  <c r="M309" i="8"/>
  <c r="M313" i="8"/>
  <c r="M315" i="8"/>
  <c r="M319" i="8"/>
  <c r="M325" i="8"/>
  <c r="M329" i="8"/>
  <c r="M333" i="8"/>
  <c r="M337" i="8"/>
  <c r="M343" i="8"/>
  <c r="M347" i="8"/>
  <c r="M351" i="8"/>
  <c r="M355" i="8"/>
  <c r="M359" i="8"/>
  <c r="M365" i="8"/>
  <c r="L370" i="8"/>
  <c r="M396" i="8"/>
  <c r="M406" i="8"/>
  <c r="M440" i="8"/>
  <c r="M450" i="8"/>
  <c r="M458" i="8"/>
  <c r="M468" i="8"/>
  <c r="M496" i="8"/>
  <c r="M506" i="8"/>
  <c r="M514" i="8"/>
  <c r="M524" i="8"/>
  <c r="M532" i="8"/>
  <c r="M542" i="8"/>
  <c r="M550" i="8"/>
  <c r="M558" i="8"/>
  <c r="M568" i="8"/>
  <c r="M576" i="8"/>
  <c r="M586" i="8"/>
  <c r="D246" i="8"/>
  <c r="D280" i="8"/>
  <c r="D332" i="8"/>
  <c r="D368" i="8"/>
  <c r="D458" i="8"/>
  <c r="D514" i="8"/>
  <c r="D550" i="8"/>
  <c r="N143" i="14"/>
  <c r="K95" i="15"/>
  <c r="K91" i="15"/>
  <c r="K85" i="15"/>
  <c r="K81" i="15"/>
  <c r="K77" i="15"/>
  <c r="K73" i="15"/>
  <c r="K68" i="15"/>
  <c r="K63" i="15"/>
  <c r="M99" i="15"/>
  <c r="M86" i="15"/>
  <c r="M78" i="15"/>
  <c r="M68" i="15"/>
  <c r="N97" i="15"/>
  <c r="N90" i="15"/>
  <c r="N80" i="15"/>
  <c r="N76" i="15"/>
  <c r="N66" i="15"/>
  <c r="L99" i="15"/>
  <c r="L95" i="15"/>
  <c r="L91" i="15"/>
  <c r="L85" i="15"/>
  <c r="L81" i="15"/>
  <c r="L77" i="15"/>
  <c r="L73" i="15"/>
  <c r="L68" i="15"/>
  <c r="L63" i="15"/>
  <c r="M98" i="15"/>
  <c r="M93" i="15"/>
  <c r="M83" i="15"/>
  <c r="M75" i="15"/>
  <c r="M66" i="15"/>
  <c r="N99" i="15"/>
  <c r="N79" i="15"/>
  <c r="N71" i="15"/>
  <c r="N61" i="15"/>
  <c r="K116" i="15"/>
  <c r="K112" i="15"/>
  <c r="K106" i="15"/>
  <c r="K101" i="15"/>
  <c r="N104" i="15"/>
  <c r="L116" i="15"/>
  <c r="L106" i="15"/>
  <c r="M118" i="15"/>
  <c r="M109" i="15"/>
  <c r="N117" i="15"/>
  <c r="N109" i="15"/>
  <c r="K132" i="15"/>
  <c r="K122" i="15"/>
  <c r="L133" i="15"/>
  <c r="L123" i="15"/>
  <c r="M131" i="15"/>
  <c r="N137" i="15"/>
  <c r="N129" i="15"/>
  <c r="M125" i="15"/>
  <c r="K156" i="15"/>
  <c r="K146" i="15"/>
  <c r="N157" i="15"/>
  <c r="N140" i="15"/>
  <c r="L152" i="15"/>
  <c r="L142" i="15"/>
  <c r="M154" i="15"/>
  <c r="M144" i="15"/>
  <c r="N151" i="15"/>
  <c r="K176" i="15"/>
  <c r="K166" i="15"/>
  <c r="L178" i="15"/>
  <c r="L170" i="15"/>
  <c r="L160" i="15"/>
  <c r="M172" i="15"/>
  <c r="M162" i="15"/>
  <c r="N174" i="15"/>
  <c r="N164" i="15"/>
  <c r="K196" i="15"/>
  <c r="K186" i="15"/>
  <c r="N199" i="15"/>
  <c r="L199" i="15"/>
  <c r="L191" i="15"/>
  <c r="L181" i="15"/>
  <c r="M193" i="15"/>
  <c r="M182" i="15"/>
  <c r="M234" i="8"/>
  <c r="M236" i="8"/>
  <c r="M238" i="8"/>
  <c r="M240" i="8"/>
  <c r="M244" i="8"/>
  <c r="M246" i="8"/>
  <c r="N248" i="8"/>
  <c r="M251" i="8"/>
  <c r="L254" i="8"/>
  <c r="N256" i="8"/>
  <c r="M259" i="8"/>
  <c r="L264" i="8"/>
  <c r="N266" i="8"/>
  <c r="M269" i="8"/>
  <c r="L272" i="8"/>
  <c r="N274" i="8"/>
  <c r="M277" i="8"/>
  <c r="L280" i="8"/>
  <c r="N284" i="8"/>
  <c r="M287" i="8"/>
  <c r="L290" i="8"/>
  <c r="N292" i="8"/>
  <c r="M295" i="8"/>
  <c r="L298" i="8"/>
  <c r="N300" i="8"/>
  <c r="M305" i="8"/>
  <c r="M308" i="8"/>
  <c r="M312" i="8"/>
  <c r="M314" i="8"/>
  <c r="M318" i="8"/>
  <c r="M324" i="8"/>
  <c r="M328" i="8"/>
  <c r="M332" i="8"/>
  <c r="M336" i="8"/>
  <c r="M346" i="8"/>
  <c r="M350" i="8"/>
  <c r="M354" i="8"/>
  <c r="M358" i="8"/>
  <c r="M364" i="8"/>
  <c r="N368" i="8"/>
  <c r="M394" i="8"/>
  <c r="M404" i="8"/>
  <c r="M412" i="8"/>
  <c r="M438" i="8"/>
  <c r="M448" i="8"/>
  <c r="M456" i="8"/>
  <c r="M466" i="8"/>
  <c r="M494" i="8"/>
  <c r="M504" i="8"/>
  <c r="M512" i="8"/>
  <c r="M520" i="8"/>
  <c r="M530" i="8"/>
  <c r="M538" i="8"/>
  <c r="M548" i="8"/>
  <c r="M556" i="8"/>
  <c r="M566" i="8"/>
  <c r="M574" i="8"/>
  <c r="M584" i="8"/>
  <c r="M592" i="8"/>
  <c r="D236" i="8"/>
  <c r="D272" i="8"/>
  <c r="D308" i="8"/>
  <c r="D324" i="8"/>
  <c r="D358" i="8"/>
  <c r="D450" i="8"/>
  <c r="D506" i="8"/>
  <c r="D542" i="8"/>
  <c r="N183" i="15"/>
  <c r="N193" i="15"/>
  <c r="N198" i="15"/>
  <c r="M183" i="15"/>
  <c r="M189" i="15"/>
  <c r="M194" i="15"/>
  <c r="M198" i="15"/>
  <c r="L182" i="15"/>
  <c r="L186" i="15"/>
  <c r="L192" i="15"/>
  <c r="L196" i="15"/>
  <c r="N180" i="15"/>
  <c r="N190" i="15"/>
  <c r="M192" i="15"/>
  <c r="K183" i="15"/>
  <c r="K189" i="15"/>
  <c r="K193" i="15"/>
  <c r="K197" i="15"/>
  <c r="N161" i="15"/>
  <c r="N165" i="15"/>
  <c r="N171" i="15"/>
  <c r="N175" i="15"/>
  <c r="N179" i="15"/>
  <c r="M163" i="15"/>
  <c r="M169" i="15"/>
  <c r="M173" i="15"/>
  <c r="M177" i="15"/>
  <c r="L161" i="15"/>
  <c r="L165" i="15"/>
  <c r="L171" i="15"/>
  <c r="L175" i="15"/>
  <c r="L179" i="15"/>
  <c r="K163" i="15"/>
  <c r="K169" i="15"/>
  <c r="K173" i="15"/>
  <c r="K177" i="15"/>
  <c r="N143" i="15"/>
  <c r="N153" i="15"/>
  <c r="M141" i="15"/>
  <c r="M145" i="15"/>
  <c r="M151" i="15"/>
  <c r="M155" i="15"/>
  <c r="M159" i="15"/>
  <c r="L143" i="15"/>
  <c r="L149" i="15"/>
  <c r="L153" i="15"/>
  <c r="L157" i="15"/>
  <c r="N142" i="15"/>
  <c r="N152" i="15"/>
  <c r="N159" i="15"/>
  <c r="K143" i="15"/>
  <c r="K149" i="15"/>
  <c r="K153" i="15"/>
  <c r="K157" i="15"/>
  <c r="L139" i="15"/>
  <c r="M129" i="15"/>
  <c r="N122" i="15"/>
  <c r="N126" i="15"/>
  <c r="N132" i="15"/>
  <c r="N136" i="15"/>
  <c r="M120" i="15"/>
  <c r="M130" i="15"/>
  <c r="M136" i="15"/>
  <c r="L122" i="15"/>
  <c r="L126" i="15"/>
  <c r="L132" i="15"/>
  <c r="L136" i="15"/>
  <c r="K121" i="15"/>
  <c r="K125" i="15"/>
  <c r="K131" i="15"/>
  <c r="K135" i="15"/>
  <c r="N103" i="15"/>
  <c r="N110" i="15"/>
  <c r="N114" i="15"/>
  <c r="N119" i="15"/>
  <c r="M104" i="15"/>
  <c r="M110" i="15"/>
  <c r="M114" i="15"/>
  <c r="M119" i="15"/>
  <c r="L103" i="15"/>
  <c r="L109" i="15"/>
  <c r="L113" i="15"/>
  <c r="L117" i="15"/>
  <c r="N102" i="15"/>
  <c r="M115" i="15"/>
  <c r="K103" i="15"/>
  <c r="K199" i="15"/>
  <c r="N189" i="15"/>
  <c r="N196" i="15"/>
  <c r="M181" i="15"/>
  <c r="M185" i="15"/>
  <c r="M191" i="15"/>
  <c r="M196" i="15"/>
  <c r="L180" i="15"/>
  <c r="L184" i="15"/>
  <c r="L190" i="15"/>
  <c r="L194" i="15"/>
  <c r="L198" i="15"/>
  <c r="N184" i="15"/>
  <c r="N194" i="15"/>
  <c r="K181" i="15"/>
  <c r="K185" i="15"/>
  <c r="K191" i="15"/>
  <c r="K195" i="15"/>
  <c r="K179" i="15"/>
  <c r="N163" i="15"/>
  <c r="N169" i="15"/>
  <c r="N173" i="15"/>
  <c r="N177" i="15"/>
  <c r="M161" i="15"/>
  <c r="M165" i="15"/>
  <c r="M171" i="15"/>
  <c r="M175" i="15"/>
  <c r="M179" i="15"/>
  <c r="L163" i="15"/>
  <c r="L169" i="15"/>
  <c r="L173" i="15"/>
  <c r="L177" i="15"/>
  <c r="K161" i="15"/>
  <c r="K165" i="15"/>
  <c r="K171" i="15"/>
  <c r="K175" i="15"/>
  <c r="K159" i="15"/>
  <c r="N149" i="15"/>
  <c r="N158" i="15"/>
  <c r="M143" i="15"/>
  <c r="M149" i="15"/>
  <c r="M153" i="15"/>
  <c r="M157" i="15"/>
  <c r="L141" i="15"/>
  <c r="L145" i="15"/>
  <c r="L151" i="15"/>
  <c r="L155" i="15"/>
  <c r="L159" i="15"/>
  <c r="N146" i="15"/>
  <c r="N156" i="15"/>
  <c r="K141" i="15"/>
  <c r="K145" i="15"/>
  <c r="K151" i="15"/>
  <c r="K155" i="15"/>
  <c r="K139" i="15"/>
  <c r="M123" i="15"/>
  <c r="M134" i="15"/>
  <c r="N120" i="15"/>
  <c r="N124" i="15"/>
  <c r="N130" i="15"/>
  <c r="N134" i="15"/>
  <c r="N138" i="15"/>
  <c r="M124" i="15"/>
  <c r="M133" i="15"/>
  <c r="L120" i="15"/>
  <c r="L124" i="15"/>
  <c r="L130" i="15"/>
  <c r="L134" i="15"/>
  <c r="L138" i="15"/>
  <c r="K123" i="15"/>
  <c r="K129" i="15"/>
  <c r="K133" i="15"/>
  <c r="K137" i="15"/>
  <c r="K119" i="15"/>
  <c r="N106" i="15"/>
  <c r="N112" i="15"/>
  <c r="N116" i="15"/>
  <c r="M102" i="15"/>
  <c r="M106" i="15"/>
  <c r="M112" i="15"/>
  <c r="M117" i="15"/>
  <c r="L101" i="15"/>
  <c r="L105" i="15"/>
  <c r="L111" i="15"/>
  <c r="L115" i="15"/>
  <c r="D592" i="8"/>
  <c r="D588" i="8"/>
  <c r="D584" i="8"/>
  <c r="D578" i="8"/>
  <c r="D574" i="8"/>
  <c r="D570" i="8"/>
  <c r="D566" i="8"/>
  <c r="D560" i="8"/>
  <c r="D556" i="8"/>
  <c r="D552" i="8"/>
  <c r="D548" i="8"/>
  <c r="D544" i="8"/>
  <c r="D538" i="8"/>
  <c r="D534" i="8"/>
  <c r="D530" i="8"/>
  <c r="D526" i="8"/>
  <c r="D520" i="8"/>
  <c r="D516" i="8"/>
  <c r="D512" i="8"/>
  <c r="D508" i="8"/>
  <c r="D504" i="8"/>
  <c r="D498" i="8"/>
  <c r="D494" i="8"/>
  <c r="D470" i="8"/>
  <c r="D466" i="8"/>
  <c r="D462" i="8"/>
  <c r="D456" i="8"/>
  <c r="D452" i="8"/>
  <c r="D448" i="8"/>
  <c r="D442" i="8"/>
  <c r="D438" i="8"/>
  <c r="D434" i="8"/>
  <c r="D412" i="8"/>
  <c r="D408" i="8"/>
  <c r="D404" i="8"/>
  <c r="D398" i="8"/>
  <c r="D394" i="8"/>
  <c r="D370" i="8"/>
  <c r="D366" i="8"/>
  <c r="D360" i="8"/>
  <c r="D356" i="8"/>
  <c r="D352" i="8"/>
  <c r="D348" i="8"/>
  <c r="D344" i="8"/>
  <c r="D338" i="8"/>
  <c r="D334" i="8"/>
  <c r="D330" i="8"/>
  <c r="D326" i="8"/>
  <c r="D320" i="8"/>
  <c r="D316" i="8"/>
  <c r="D310" i="8"/>
  <c r="D306" i="8"/>
  <c r="D300" i="8"/>
  <c r="D296" i="8"/>
  <c r="D292" i="8"/>
  <c r="D288" i="8"/>
  <c r="D284" i="8"/>
  <c r="D278" i="8"/>
  <c r="D274" i="8"/>
  <c r="D270" i="8"/>
  <c r="D266" i="8"/>
  <c r="D260" i="8"/>
  <c r="D256" i="8"/>
  <c r="D252" i="8"/>
  <c r="D248" i="8"/>
  <c r="D244" i="8"/>
  <c r="D238" i="8"/>
  <c r="D234" i="8"/>
  <c r="N593" i="8"/>
  <c r="N592" i="8"/>
  <c r="N591" i="8"/>
  <c r="N590" i="8"/>
  <c r="N589" i="8"/>
  <c r="N588" i="8"/>
  <c r="N587" i="8"/>
  <c r="N586" i="8"/>
  <c r="N585" i="8"/>
  <c r="N584" i="8"/>
  <c r="N583" i="8"/>
  <c r="N580" i="8"/>
  <c r="N579" i="8"/>
  <c r="N578" i="8"/>
  <c r="N577" i="8"/>
  <c r="N576" i="8"/>
  <c r="N575" i="8"/>
  <c r="N574" i="8"/>
  <c r="N573" i="8"/>
  <c r="N572" i="8"/>
  <c r="N571" i="8"/>
  <c r="N570" i="8"/>
  <c r="N569" i="8"/>
  <c r="N568" i="8"/>
  <c r="N567" i="8"/>
  <c r="N566" i="8"/>
  <c r="N565" i="8"/>
  <c r="N564" i="8"/>
  <c r="N563" i="8"/>
  <c r="N560" i="8"/>
  <c r="N559" i="8"/>
  <c r="N558" i="8"/>
  <c r="N557" i="8"/>
  <c r="N556" i="8"/>
  <c r="N555" i="8"/>
  <c r="N554" i="8"/>
  <c r="N553" i="8"/>
  <c r="N552" i="8"/>
  <c r="N551" i="8"/>
  <c r="N550" i="8"/>
  <c r="N549" i="8"/>
  <c r="N548" i="8"/>
  <c r="N547" i="8"/>
  <c r="N546" i="8"/>
  <c r="N545" i="8"/>
  <c r="N544" i="8"/>
  <c r="N543" i="8"/>
  <c r="N542" i="8"/>
  <c r="N539" i="8"/>
  <c r="N538" i="8"/>
  <c r="N537" i="8"/>
  <c r="N536" i="8"/>
  <c r="N535" i="8"/>
  <c r="N534" i="8"/>
  <c r="N533" i="8"/>
  <c r="N532" i="8"/>
  <c r="N531" i="8"/>
  <c r="N530" i="8"/>
  <c r="N529" i="8"/>
  <c r="N528" i="8"/>
  <c r="N527" i="8"/>
  <c r="N526" i="8"/>
  <c r="N525" i="8"/>
  <c r="N524" i="8"/>
  <c r="N523" i="8"/>
  <c r="N520" i="8"/>
  <c r="N519" i="8"/>
  <c r="N518" i="8"/>
  <c r="N517" i="8"/>
  <c r="N516" i="8"/>
  <c r="N515" i="8"/>
  <c r="N514" i="8"/>
  <c r="N513" i="8"/>
  <c r="N512" i="8"/>
  <c r="N511" i="8"/>
  <c r="N510" i="8"/>
  <c r="N509" i="8"/>
  <c r="N508" i="8"/>
  <c r="N507" i="8"/>
  <c r="N506" i="8"/>
  <c r="N505" i="8"/>
  <c r="N504" i="8"/>
  <c r="N503" i="8"/>
  <c r="N502" i="8"/>
  <c r="N499" i="8"/>
  <c r="N498" i="8"/>
  <c r="N497" i="8"/>
  <c r="N496" i="8"/>
  <c r="N495" i="8"/>
  <c r="N494" i="8"/>
  <c r="N473" i="8"/>
  <c r="N472" i="8"/>
  <c r="N471" i="8"/>
  <c r="N470" i="8"/>
  <c r="N469" i="8"/>
  <c r="N468" i="8"/>
  <c r="N467" i="8"/>
  <c r="N466" i="8"/>
  <c r="N465" i="8"/>
  <c r="N464" i="8"/>
  <c r="N463" i="8"/>
  <c r="N462" i="8"/>
  <c r="N459" i="8"/>
  <c r="N458" i="8"/>
  <c r="N457" i="8"/>
  <c r="N456" i="8"/>
  <c r="N455" i="8"/>
  <c r="N454" i="8"/>
  <c r="N453" i="8"/>
  <c r="N452" i="8"/>
  <c r="N451" i="8"/>
  <c r="N450" i="8"/>
  <c r="N449" i="8"/>
  <c r="N448" i="8"/>
  <c r="N447" i="8"/>
  <c r="N446" i="8"/>
  <c r="N445" i="8"/>
  <c r="N442" i="8"/>
  <c r="N441" i="8"/>
  <c r="N440" i="8"/>
  <c r="N439" i="8"/>
  <c r="N438" i="8"/>
  <c r="N437" i="8"/>
  <c r="N436" i="8"/>
  <c r="N435" i="8"/>
  <c r="N434" i="8"/>
  <c r="N413" i="8"/>
  <c r="N412" i="8"/>
  <c r="N411" i="8"/>
  <c r="N410" i="8"/>
  <c r="N409" i="8"/>
  <c r="N408" i="8"/>
  <c r="N407" i="8"/>
  <c r="N406" i="8"/>
  <c r="N405" i="8"/>
  <c r="N404" i="8"/>
  <c r="N401" i="8"/>
  <c r="N400" i="8"/>
  <c r="N399" i="8"/>
  <c r="N398" i="8"/>
  <c r="N397" i="8"/>
  <c r="N396" i="8"/>
  <c r="N395" i="8"/>
  <c r="N394" i="8"/>
  <c r="N373" i="8"/>
  <c r="D593" i="8"/>
  <c r="D589" i="8"/>
  <c r="D585" i="8"/>
  <c r="D579" i="8"/>
  <c r="D575" i="8"/>
  <c r="D571" i="8"/>
  <c r="D567" i="8"/>
  <c r="D563" i="8"/>
  <c r="D557" i="8"/>
  <c r="D553" i="8"/>
  <c r="D549" i="8"/>
  <c r="D545" i="8"/>
  <c r="D539" i="8"/>
  <c r="D535" i="8"/>
  <c r="D531" i="8"/>
  <c r="D527" i="8"/>
  <c r="D523" i="8"/>
  <c r="D517" i="8"/>
  <c r="D513" i="8"/>
  <c r="D509" i="8"/>
  <c r="D505" i="8"/>
  <c r="D499" i="8"/>
  <c r="D495" i="8"/>
  <c r="D471" i="8"/>
  <c r="D467" i="8"/>
  <c r="D463" i="8"/>
  <c r="D457" i="8"/>
  <c r="D453" i="8"/>
  <c r="D449" i="8"/>
  <c r="D445" i="8"/>
  <c r="D439" i="8"/>
  <c r="D435" i="8"/>
  <c r="D413" i="8"/>
  <c r="D409" i="8"/>
  <c r="D405" i="8"/>
  <c r="D399" i="8"/>
  <c r="D395" i="8"/>
  <c r="D371" i="8"/>
  <c r="D367" i="8"/>
  <c r="D363" i="8"/>
  <c r="D357" i="8"/>
  <c r="D353" i="8"/>
  <c r="D349" i="8"/>
  <c r="D345" i="8"/>
  <c r="D339" i="8"/>
  <c r="D335" i="8"/>
  <c r="D331" i="8"/>
  <c r="D327" i="8"/>
  <c r="D323" i="8"/>
  <c r="D317" i="8"/>
  <c r="D311" i="8"/>
  <c r="D307" i="8"/>
  <c r="D301" i="8"/>
  <c r="D297" i="8"/>
  <c r="D293" i="8"/>
  <c r="D289" i="8"/>
  <c r="D285" i="8"/>
  <c r="D279" i="8"/>
  <c r="D275" i="8"/>
  <c r="D271" i="8"/>
  <c r="D267" i="8"/>
  <c r="D263" i="8"/>
  <c r="D257" i="8"/>
  <c r="D253" i="8"/>
  <c r="D249" i="8"/>
  <c r="D245" i="8"/>
  <c r="D239" i="8"/>
  <c r="D235" i="8"/>
  <c r="K593" i="8"/>
  <c r="K592" i="8"/>
  <c r="K591" i="8"/>
  <c r="K590" i="8"/>
  <c r="K589" i="8"/>
  <c r="K588" i="8"/>
  <c r="K587" i="8"/>
  <c r="K586" i="8"/>
  <c r="K585" i="8"/>
  <c r="K584" i="8"/>
  <c r="K583" i="8"/>
  <c r="K580" i="8"/>
  <c r="K579" i="8"/>
  <c r="K578" i="8"/>
  <c r="K577" i="8"/>
  <c r="K576" i="8"/>
  <c r="K575" i="8"/>
  <c r="K574" i="8"/>
  <c r="K573" i="8"/>
  <c r="K572" i="8"/>
  <c r="K571" i="8"/>
  <c r="K570" i="8"/>
  <c r="K569" i="8"/>
  <c r="K568" i="8"/>
  <c r="K567" i="8"/>
  <c r="K566" i="8"/>
  <c r="K565" i="8"/>
  <c r="K564" i="8"/>
  <c r="K563" i="8"/>
  <c r="K560" i="8"/>
  <c r="K559" i="8"/>
  <c r="K558" i="8"/>
  <c r="K557" i="8"/>
  <c r="K556" i="8"/>
  <c r="K555" i="8"/>
  <c r="K554" i="8"/>
  <c r="K553" i="8"/>
  <c r="K552" i="8"/>
  <c r="K551" i="8"/>
  <c r="K550" i="8"/>
  <c r="K549" i="8"/>
  <c r="K548" i="8"/>
  <c r="K547" i="8"/>
  <c r="K546" i="8"/>
  <c r="K545" i="8"/>
  <c r="K544" i="8"/>
  <c r="K543" i="8"/>
  <c r="K542" i="8"/>
  <c r="K539" i="8"/>
  <c r="K538" i="8"/>
  <c r="K537" i="8"/>
  <c r="K536" i="8"/>
  <c r="K535" i="8"/>
  <c r="K534" i="8"/>
  <c r="K533" i="8"/>
  <c r="K532" i="8"/>
  <c r="K531" i="8"/>
  <c r="K530" i="8"/>
  <c r="K529" i="8"/>
  <c r="K528" i="8"/>
  <c r="K527" i="8"/>
  <c r="K526" i="8"/>
  <c r="K525" i="8"/>
  <c r="K524" i="8"/>
  <c r="K523" i="8"/>
  <c r="K520" i="8"/>
  <c r="K519" i="8"/>
  <c r="K518" i="8"/>
  <c r="K517" i="8"/>
  <c r="K516" i="8"/>
  <c r="K515" i="8"/>
  <c r="K514" i="8"/>
  <c r="K513" i="8"/>
  <c r="K512" i="8"/>
  <c r="K511" i="8"/>
  <c r="K510" i="8"/>
  <c r="K509" i="8"/>
  <c r="K508" i="8"/>
  <c r="K507" i="8"/>
  <c r="K506" i="8"/>
  <c r="K505" i="8"/>
  <c r="K504" i="8"/>
  <c r="K503" i="8"/>
  <c r="K502" i="8"/>
  <c r="K499" i="8"/>
  <c r="K498" i="8"/>
  <c r="K497" i="8"/>
  <c r="K496" i="8"/>
  <c r="K495" i="8"/>
  <c r="K494" i="8"/>
  <c r="K473" i="8"/>
  <c r="K472" i="8"/>
  <c r="K471" i="8"/>
  <c r="K470" i="8"/>
  <c r="K469" i="8"/>
  <c r="K468" i="8"/>
  <c r="K467" i="8"/>
  <c r="K466" i="8"/>
  <c r="K465" i="8"/>
  <c r="K464" i="8"/>
  <c r="K463" i="8"/>
  <c r="K462" i="8"/>
  <c r="K459" i="8"/>
  <c r="K458" i="8"/>
  <c r="K457" i="8"/>
  <c r="K456" i="8"/>
  <c r="K455" i="8"/>
  <c r="K454" i="8"/>
  <c r="K453" i="8"/>
  <c r="K452" i="8"/>
  <c r="K451" i="8"/>
  <c r="K450" i="8"/>
  <c r="K449" i="8"/>
  <c r="K448" i="8"/>
  <c r="K447" i="8"/>
  <c r="K446" i="8"/>
  <c r="K445" i="8"/>
  <c r="K442" i="8"/>
  <c r="K441" i="8"/>
  <c r="K440" i="8"/>
  <c r="K439" i="8"/>
  <c r="K438" i="8"/>
  <c r="K437" i="8"/>
  <c r="K436" i="8"/>
  <c r="K435" i="8"/>
  <c r="K434" i="8"/>
  <c r="K413" i="8"/>
  <c r="K412" i="8"/>
  <c r="K411" i="8"/>
  <c r="K410" i="8"/>
  <c r="K409" i="8"/>
  <c r="K408" i="8"/>
  <c r="K407" i="8"/>
  <c r="K406" i="8"/>
  <c r="K405" i="8"/>
  <c r="K404" i="8"/>
  <c r="K401" i="8"/>
  <c r="K400" i="8"/>
  <c r="K399" i="8"/>
  <c r="K398" i="8"/>
  <c r="K397" i="8"/>
  <c r="K396" i="8"/>
  <c r="K395" i="8"/>
  <c r="K394" i="8"/>
  <c r="K373" i="8"/>
  <c r="K372" i="8"/>
  <c r="K371" i="8"/>
  <c r="K370" i="8"/>
  <c r="K369" i="8"/>
  <c r="K368" i="8"/>
  <c r="D587" i="8"/>
  <c r="D577" i="8"/>
  <c r="D569" i="8"/>
  <c r="D559" i="8"/>
  <c r="D551" i="8"/>
  <c r="D543" i="8"/>
  <c r="D533" i="8"/>
  <c r="D525" i="8"/>
  <c r="D515" i="8"/>
  <c r="D507" i="8"/>
  <c r="D497" i="8"/>
  <c r="D469" i="8"/>
  <c r="D459" i="8"/>
  <c r="D451" i="8"/>
  <c r="D441" i="8"/>
  <c r="D407" i="8"/>
  <c r="D397" i="8"/>
  <c r="D369" i="8"/>
  <c r="D359" i="8"/>
  <c r="D351" i="8"/>
  <c r="D343" i="8"/>
  <c r="D333" i="8"/>
  <c r="D325" i="8"/>
  <c r="D315" i="8"/>
  <c r="D309" i="8"/>
  <c r="D299" i="8"/>
  <c r="D291" i="8"/>
  <c r="D283" i="8"/>
  <c r="D273" i="8"/>
  <c r="D265" i="8"/>
  <c r="D255" i="8"/>
  <c r="D247" i="8"/>
  <c r="D237" i="8"/>
  <c r="L593" i="8"/>
  <c r="L591" i="8"/>
  <c r="L589" i="8"/>
  <c r="L587" i="8"/>
  <c r="L585" i="8"/>
  <c r="L583" i="8"/>
  <c r="L579" i="8"/>
  <c r="L577" i="8"/>
  <c r="L575" i="8"/>
  <c r="L573" i="8"/>
  <c r="L571" i="8"/>
  <c r="L569" i="8"/>
  <c r="L567" i="8"/>
  <c r="L565" i="8"/>
  <c r="L563" i="8"/>
  <c r="L559" i="8"/>
  <c r="L557" i="8"/>
  <c r="L555" i="8"/>
  <c r="L553" i="8"/>
  <c r="L551" i="8"/>
  <c r="L549" i="8"/>
  <c r="L547" i="8"/>
  <c r="L545" i="8"/>
  <c r="L543" i="8"/>
  <c r="L539" i="8"/>
  <c r="L537" i="8"/>
  <c r="L535" i="8"/>
  <c r="L533" i="8"/>
  <c r="L531" i="8"/>
  <c r="L529" i="8"/>
  <c r="L527" i="8"/>
  <c r="L525" i="8"/>
  <c r="L523" i="8"/>
  <c r="L519" i="8"/>
  <c r="L517" i="8"/>
  <c r="L515" i="8"/>
  <c r="L513" i="8"/>
  <c r="L511" i="8"/>
  <c r="L509" i="8"/>
  <c r="L507" i="8"/>
  <c r="L505" i="8"/>
  <c r="L503" i="8"/>
  <c r="L499" i="8"/>
  <c r="L497" i="8"/>
  <c r="L495" i="8"/>
  <c r="L473" i="8"/>
  <c r="L471" i="8"/>
  <c r="L469" i="8"/>
  <c r="L467" i="8"/>
  <c r="L465" i="8"/>
  <c r="L463" i="8"/>
  <c r="L459" i="8"/>
  <c r="L457" i="8"/>
  <c r="L455" i="8"/>
  <c r="L453" i="8"/>
  <c r="L451" i="8"/>
  <c r="L449" i="8"/>
  <c r="L447" i="8"/>
  <c r="L445" i="8"/>
  <c r="L441" i="8"/>
  <c r="L439" i="8"/>
  <c r="L437" i="8"/>
  <c r="L435" i="8"/>
  <c r="L413" i="8"/>
  <c r="L411" i="8"/>
  <c r="L409" i="8"/>
  <c r="L407" i="8"/>
  <c r="L405" i="8"/>
  <c r="L401" i="8"/>
  <c r="L399" i="8"/>
  <c r="L397" i="8"/>
  <c r="L395" i="8"/>
  <c r="L373" i="8"/>
  <c r="N371" i="8"/>
  <c r="M370" i="8"/>
  <c r="L369" i="8"/>
  <c r="N367" i="8"/>
  <c r="N366" i="8"/>
  <c r="N365" i="8"/>
  <c r="N364" i="8"/>
  <c r="N363" i="8"/>
  <c r="N360" i="8"/>
  <c r="N359" i="8"/>
  <c r="N358" i="8"/>
  <c r="N357" i="8"/>
  <c r="N356" i="8"/>
  <c r="N355" i="8"/>
  <c r="N354" i="8"/>
  <c r="N353" i="8"/>
  <c r="N352" i="8"/>
  <c r="N351" i="8"/>
  <c r="N350" i="8"/>
  <c r="N349" i="8"/>
  <c r="N348" i="8"/>
  <c r="N347" i="8"/>
  <c r="N346" i="8"/>
  <c r="N345" i="8"/>
  <c r="N344" i="8"/>
  <c r="N343" i="8"/>
  <c r="N339" i="8"/>
  <c r="N338" i="8"/>
  <c r="N337" i="8"/>
  <c r="N336" i="8"/>
  <c r="N335" i="8"/>
  <c r="N334" i="8"/>
  <c r="N333" i="8"/>
  <c r="N332" i="8"/>
  <c r="N331" i="8"/>
  <c r="N330" i="8"/>
  <c r="N329" i="8"/>
  <c r="N328" i="8"/>
  <c r="N327" i="8"/>
  <c r="N326" i="8"/>
  <c r="N325" i="8"/>
  <c r="N324" i="8"/>
  <c r="N323" i="8"/>
  <c r="N320" i="8"/>
  <c r="N319" i="8"/>
  <c r="N318" i="8"/>
  <c r="N317" i="8"/>
  <c r="N316" i="8"/>
  <c r="N315" i="8"/>
  <c r="N314" i="8"/>
  <c r="N313" i="8"/>
  <c r="N312" i="8"/>
  <c r="N311" i="8"/>
  <c r="N310" i="8"/>
  <c r="N309" i="8"/>
  <c r="N308" i="8"/>
  <c r="N307" i="8"/>
  <c r="D590" i="8"/>
  <c r="D580" i="8"/>
  <c r="D572" i="8"/>
  <c r="D564" i="8"/>
  <c r="D554" i="8"/>
  <c r="D546" i="8"/>
  <c r="D536" i="8"/>
  <c r="D528" i="8"/>
  <c r="D518" i="8"/>
  <c r="D510" i="8"/>
  <c r="D502" i="8"/>
  <c r="D472" i="8"/>
  <c r="D464" i="8"/>
  <c r="D454" i="8"/>
  <c r="D446" i="8"/>
  <c r="D436" i="8"/>
  <c r="D410" i="8"/>
  <c r="D400" i="8"/>
  <c r="D372" i="8"/>
  <c r="D364" i="8"/>
  <c r="D354" i="8"/>
  <c r="D346" i="8"/>
  <c r="D336" i="8"/>
  <c r="D328" i="8"/>
  <c r="D318" i="8"/>
  <c r="D312" i="8"/>
  <c r="D304" i="8"/>
  <c r="D294" i="8"/>
  <c r="D286" i="8"/>
  <c r="D276" i="8"/>
  <c r="D268" i="8"/>
  <c r="D258" i="8"/>
  <c r="D250" i="8"/>
  <c r="D240" i="8"/>
  <c r="M593" i="8"/>
  <c r="M591" i="8"/>
  <c r="M589" i="8"/>
  <c r="M587" i="8"/>
  <c r="M585" i="8"/>
  <c r="M583" i="8"/>
  <c r="M579" i="8"/>
  <c r="M577" i="8"/>
  <c r="M575" i="8"/>
  <c r="M573" i="8"/>
  <c r="M571" i="8"/>
  <c r="M569" i="8"/>
  <c r="M567" i="8"/>
  <c r="M565" i="8"/>
  <c r="M563" i="8"/>
  <c r="M559" i="8"/>
  <c r="M557" i="8"/>
  <c r="M555" i="8"/>
  <c r="M553" i="8"/>
  <c r="M551" i="8"/>
  <c r="M549" i="8"/>
  <c r="M547" i="8"/>
  <c r="M545" i="8"/>
  <c r="M543" i="8"/>
  <c r="M539" i="8"/>
  <c r="M537" i="8"/>
  <c r="M535" i="8"/>
  <c r="M533" i="8"/>
  <c r="M531" i="8"/>
  <c r="M529" i="8"/>
  <c r="M527" i="8"/>
  <c r="M525" i="8"/>
  <c r="M523" i="8"/>
  <c r="M519" i="8"/>
  <c r="M517" i="8"/>
  <c r="M515" i="8"/>
  <c r="M513" i="8"/>
  <c r="M511" i="8"/>
  <c r="M509" i="8"/>
  <c r="M507" i="8"/>
  <c r="M505" i="8"/>
  <c r="M503" i="8"/>
  <c r="M499" i="8"/>
  <c r="M497" i="8"/>
  <c r="M495" i="8"/>
  <c r="M473" i="8"/>
  <c r="M471" i="8"/>
  <c r="M469" i="8"/>
  <c r="M467" i="8"/>
  <c r="M465" i="8"/>
  <c r="M463" i="8"/>
  <c r="M459" i="8"/>
  <c r="M457" i="8"/>
  <c r="M455" i="8"/>
  <c r="M453" i="8"/>
  <c r="M451" i="8"/>
  <c r="M449" i="8"/>
  <c r="M447" i="8"/>
  <c r="M445" i="8"/>
  <c r="M441" i="8"/>
  <c r="M439" i="8"/>
  <c r="M437" i="8"/>
  <c r="M435" i="8"/>
  <c r="M413" i="8"/>
  <c r="M411" i="8"/>
  <c r="M409" i="8"/>
  <c r="M407" i="8"/>
  <c r="M405" i="8"/>
  <c r="M401" i="8"/>
  <c r="M399" i="8"/>
  <c r="M397" i="8"/>
  <c r="M395" i="8"/>
  <c r="M373" i="8"/>
  <c r="L372" i="8"/>
  <c r="N370" i="8"/>
  <c r="M369" i="8"/>
  <c r="L368" i="8"/>
  <c r="K367" i="8"/>
  <c r="K366" i="8"/>
  <c r="K365" i="8"/>
  <c r="K364" i="8"/>
  <c r="K363" i="8"/>
  <c r="K360" i="8"/>
  <c r="K359" i="8"/>
  <c r="K358" i="8"/>
  <c r="K357" i="8"/>
  <c r="K356" i="8"/>
  <c r="K355" i="8"/>
  <c r="K354" i="8"/>
  <c r="K353" i="8"/>
  <c r="K352" i="8"/>
  <c r="K351" i="8"/>
  <c r="K350" i="8"/>
  <c r="K349" i="8"/>
  <c r="K348" i="8"/>
  <c r="K347" i="8"/>
  <c r="K346" i="8"/>
  <c r="K345" i="8"/>
  <c r="K344" i="8"/>
  <c r="K343" i="8"/>
  <c r="K339" i="8"/>
  <c r="K338" i="8"/>
  <c r="K337" i="8"/>
  <c r="K336" i="8"/>
  <c r="K335" i="8"/>
  <c r="K334" i="8"/>
  <c r="K333" i="8"/>
  <c r="K332" i="8"/>
  <c r="K331" i="8"/>
  <c r="K330" i="8"/>
  <c r="K329" i="8"/>
  <c r="K328" i="8"/>
  <c r="K327" i="8"/>
  <c r="K326" i="8"/>
  <c r="K325" i="8"/>
  <c r="K324" i="8"/>
  <c r="K323" i="8"/>
  <c r="K320" i="8"/>
  <c r="K319" i="8"/>
  <c r="K318" i="8"/>
  <c r="K317" i="8"/>
  <c r="K316" i="8"/>
  <c r="K315" i="8"/>
  <c r="K314" i="8"/>
  <c r="K313" i="8"/>
  <c r="K312" i="8"/>
  <c r="K311" i="8"/>
  <c r="K310" i="8"/>
  <c r="K309" i="8"/>
  <c r="K308" i="8"/>
  <c r="K307" i="8"/>
  <c r="K306" i="8"/>
  <c r="K305" i="8"/>
  <c r="K304" i="8"/>
  <c r="K301" i="8"/>
  <c r="K300" i="8"/>
  <c r="K299" i="8"/>
  <c r="K298" i="8"/>
  <c r="K297" i="8"/>
  <c r="K296" i="8"/>
  <c r="K295" i="8"/>
  <c r="K294" i="8"/>
  <c r="K293" i="8"/>
  <c r="K292" i="8"/>
  <c r="K291" i="8"/>
  <c r="K290" i="8"/>
  <c r="K289" i="8"/>
  <c r="K288" i="8"/>
  <c r="K287" i="8"/>
  <c r="K286" i="8"/>
  <c r="K285" i="8"/>
  <c r="K284" i="8"/>
  <c r="K283" i="8"/>
  <c r="K280" i="8"/>
  <c r="K279" i="8"/>
  <c r="K278" i="8"/>
  <c r="K277" i="8"/>
  <c r="K276" i="8"/>
  <c r="K275" i="8"/>
  <c r="K274" i="8"/>
  <c r="K273" i="8"/>
  <c r="K272" i="8"/>
  <c r="K271" i="8"/>
  <c r="K270" i="8"/>
  <c r="K269" i="8"/>
  <c r="K268" i="8"/>
  <c r="K267" i="8"/>
  <c r="K266" i="8"/>
  <c r="K265" i="8"/>
  <c r="K264" i="8"/>
  <c r="K263" i="8"/>
  <c r="K260" i="8"/>
  <c r="K259" i="8"/>
  <c r="K258" i="8"/>
  <c r="K257" i="8"/>
  <c r="K256" i="8"/>
  <c r="K255" i="8"/>
  <c r="K254" i="8"/>
  <c r="K253" i="8"/>
  <c r="K252" i="8"/>
  <c r="K251" i="8"/>
  <c r="K250" i="8"/>
  <c r="K249" i="8"/>
  <c r="K248" i="8"/>
  <c r="D583" i="8"/>
  <c r="D565" i="8"/>
  <c r="D547" i="8"/>
  <c r="D529" i="8"/>
  <c r="D511" i="8"/>
  <c r="D473" i="8"/>
  <c r="D455" i="8"/>
  <c r="D437" i="8"/>
  <c r="D401" i="8"/>
  <c r="D365" i="8"/>
  <c r="D347" i="8"/>
  <c r="D329" i="8"/>
  <c r="D313" i="8"/>
  <c r="D295" i="8"/>
  <c r="D277" i="8"/>
  <c r="D259" i="8"/>
  <c r="D241" i="8"/>
  <c r="L592" i="8"/>
  <c r="L588" i="8"/>
  <c r="L584" i="8"/>
  <c r="L578" i="8"/>
  <c r="L574" i="8"/>
  <c r="L570" i="8"/>
  <c r="L566" i="8"/>
  <c r="L560" i="8"/>
  <c r="L556" i="8"/>
  <c r="L552" i="8"/>
  <c r="L548" i="8"/>
  <c r="L544" i="8"/>
  <c r="L538" i="8"/>
  <c r="L534" i="8"/>
  <c r="L530" i="8"/>
  <c r="L526" i="8"/>
  <c r="L520" i="8"/>
  <c r="L516" i="8"/>
  <c r="L512" i="8"/>
  <c r="L508" i="8"/>
  <c r="L504" i="8"/>
  <c r="L498" i="8"/>
  <c r="L494" i="8"/>
  <c r="L470" i="8"/>
  <c r="L466" i="8"/>
  <c r="L462" i="8"/>
  <c r="L456" i="8"/>
  <c r="L452" i="8"/>
  <c r="L448" i="8"/>
  <c r="L442" i="8"/>
  <c r="L438" i="8"/>
  <c r="L434" i="8"/>
  <c r="L412" i="8"/>
  <c r="L408" i="8"/>
  <c r="L404" i="8"/>
  <c r="L398" i="8"/>
  <c r="L394" i="8"/>
  <c r="L371" i="8"/>
  <c r="M368" i="8"/>
  <c r="L366" i="8"/>
  <c r="L364" i="8"/>
  <c r="L360" i="8"/>
  <c r="L358" i="8"/>
  <c r="L356" i="8"/>
  <c r="L354" i="8"/>
  <c r="L352" i="8"/>
  <c r="L350" i="8"/>
  <c r="L348" i="8"/>
  <c r="L346" i="8"/>
  <c r="L344" i="8"/>
  <c r="L338" i="8"/>
  <c r="L336" i="8"/>
  <c r="L334" i="8"/>
  <c r="L332" i="8"/>
  <c r="L330" i="8"/>
  <c r="L328" i="8"/>
  <c r="L326" i="8"/>
  <c r="L324" i="8"/>
  <c r="L320" i="8"/>
  <c r="L318" i="8"/>
  <c r="L316" i="8"/>
  <c r="L314" i="8"/>
  <c r="L312" i="8"/>
  <c r="L310" i="8"/>
  <c r="L308" i="8"/>
  <c r="M306" i="8"/>
  <c r="L305" i="8"/>
  <c r="N301" i="8"/>
  <c r="M300" i="8"/>
  <c r="L299" i="8"/>
  <c r="N297" i="8"/>
  <c r="M296" i="8"/>
  <c r="L295" i="8"/>
  <c r="N293" i="8"/>
  <c r="M292" i="8"/>
  <c r="L291" i="8"/>
  <c r="N289" i="8"/>
  <c r="M288" i="8"/>
  <c r="L287" i="8"/>
  <c r="N285" i="8"/>
  <c r="M284" i="8"/>
  <c r="L283" i="8"/>
  <c r="N279" i="8"/>
  <c r="M278" i="8"/>
  <c r="L277" i="8"/>
  <c r="N275" i="8"/>
  <c r="M274" i="8"/>
  <c r="L273" i="8"/>
  <c r="N271" i="8"/>
  <c r="M270" i="8"/>
  <c r="L269" i="8"/>
  <c r="N267" i="8"/>
  <c r="M266" i="8"/>
  <c r="L265" i="8"/>
  <c r="N263" i="8"/>
  <c r="M260" i="8"/>
  <c r="L259" i="8"/>
  <c r="N257" i="8"/>
  <c r="M256" i="8"/>
  <c r="L255" i="8"/>
  <c r="N253" i="8"/>
  <c r="M252" i="8"/>
  <c r="L251" i="8"/>
  <c r="N249" i="8"/>
  <c r="M248" i="8"/>
  <c r="L247" i="8"/>
  <c r="L246" i="8"/>
  <c r="L245" i="8"/>
  <c r="L244" i="8"/>
  <c r="L241" i="8"/>
  <c r="L240" i="8"/>
  <c r="L239" i="8"/>
  <c r="L238" i="8"/>
  <c r="L237" i="8"/>
  <c r="L236" i="8"/>
  <c r="L235" i="8"/>
  <c r="L234" i="8"/>
  <c r="D591" i="8"/>
  <c r="D573" i="8"/>
  <c r="D555" i="8"/>
  <c r="D537" i="8"/>
  <c r="D519" i="8"/>
  <c r="D503" i="8"/>
  <c r="D465" i="8"/>
  <c r="D447" i="8"/>
  <c r="D411" i="8"/>
  <c r="D373" i="8"/>
  <c r="D355" i="8"/>
  <c r="D337" i="8"/>
  <c r="D319" i="8"/>
  <c r="D305" i="8"/>
  <c r="D287" i="8"/>
  <c r="D269" i="8"/>
  <c r="D251" i="8"/>
  <c r="L590" i="8"/>
  <c r="L586" i="8"/>
  <c r="L580" i="8"/>
  <c r="L576" i="8"/>
  <c r="L572" i="8"/>
  <c r="L568" i="8"/>
  <c r="L564" i="8"/>
  <c r="L558" i="8"/>
  <c r="L554" i="8"/>
  <c r="L550" i="8"/>
  <c r="L546" i="8"/>
  <c r="L542" i="8"/>
  <c r="L536" i="8"/>
  <c r="L532" i="8"/>
  <c r="L528" i="8"/>
  <c r="L524" i="8"/>
  <c r="L518" i="8"/>
  <c r="L514" i="8"/>
  <c r="L510" i="8"/>
  <c r="L506" i="8"/>
  <c r="L502" i="8"/>
  <c r="L496" i="8"/>
  <c r="L472" i="8"/>
  <c r="L468" i="8"/>
  <c r="L464" i="8"/>
  <c r="L458" i="8"/>
  <c r="L454" i="8"/>
  <c r="L450" i="8"/>
  <c r="L446" i="8"/>
  <c r="L440" i="8"/>
  <c r="L436" i="8"/>
  <c r="L410" i="8"/>
  <c r="L406" i="8"/>
  <c r="L400" i="8"/>
  <c r="L396" i="8"/>
  <c r="M372" i="8"/>
  <c r="N369" i="8"/>
  <c r="L367" i="8"/>
  <c r="L365" i="8"/>
  <c r="L363" i="8"/>
  <c r="L359" i="8"/>
  <c r="L357" i="8"/>
  <c r="L355" i="8"/>
  <c r="L353" i="8"/>
  <c r="L351" i="8"/>
  <c r="L349" i="8"/>
  <c r="L347" i="8"/>
  <c r="L345" i="8"/>
  <c r="L343" i="8"/>
  <c r="L339" i="8"/>
  <c r="L337" i="8"/>
  <c r="L335" i="8"/>
  <c r="L333" i="8"/>
  <c r="L331" i="8"/>
  <c r="L329" i="8"/>
  <c r="L327" i="8"/>
  <c r="L325" i="8"/>
  <c r="L323" i="8"/>
  <c r="L319" i="8"/>
  <c r="L317" i="8"/>
  <c r="L315" i="8"/>
  <c r="L313" i="8"/>
  <c r="L311" i="8"/>
  <c r="L309" i="8"/>
  <c r="L307" i="8"/>
  <c r="N305" i="8"/>
  <c r="M304" i="8"/>
  <c r="L301" i="8"/>
  <c r="N299" i="8"/>
  <c r="M298" i="8"/>
  <c r="L297" i="8"/>
  <c r="N295" i="8"/>
  <c r="M294" i="8"/>
  <c r="L293" i="8"/>
  <c r="N291" i="8"/>
  <c r="M290" i="8"/>
  <c r="L289" i="8"/>
  <c r="N287" i="8"/>
  <c r="M286" i="8"/>
  <c r="L285" i="8"/>
  <c r="N283" i="8"/>
  <c r="M280" i="8"/>
  <c r="L279" i="8"/>
  <c r="N277" i="8"/>
  <c r="M276" i="8"/>
  <c r="L275" i="8"/>
  <c r="N273" i="8"/>
  <c r="M272" i="8"/>
  <c r="L271" i="8"/>
  <c r="N269" i="8"/>
  <c r="M268" i="8"/>
  <c r="L267" i="8"/>
  <c r="N265" i="8"/>
  <c r="M264" i="8"/>
  <c r="L263" i="8"/>
  <c r="N259" i="8"/>
  <c r="M258" i="8"/>
  <c r="L257" i="8"/>
  <c r="N255" i="8"/>
  <c r="M254" i="8"/>
  <c r="L253" i="8"/>
  <c r="N251" i="8"/>
  <c r="M250" i="8"/>
  <c r="L249" i="8"/>
  <c r="N247" i="8"/>
  <c r="N246" i="8"/>
  <c r="N245" i="8"/>
  <c r="N244" i="8"/>
  <c r="N241" i="8"/>
  <c r="N240" i="8"/>
  <c r="N239" i="8"/>
  <c r="N238" i="8"/>
  <c r="N237" i="8"/>
  <c r="N236" i="8"/>
  <c r="N235" i="8"/>
  <c r="N234" i="8"/>
  <c r="K96" i="15"/>
  <c r="K92" i="15"/>
  <c r="K86" i="15"/>
  <c r="K82" i="15"/>
  <c r="K78" i="15"/>
  <c r="K74" i="15"/>
  <c r="K70" i="15"/>
  <c r="K64" i="15"/>
  <c r="K60" i="15"/>
  <c r="M90" i="15"/>
  <c r="M80" i="15"/>
  <c r="M71" i="15"/>
  <c r="M61" i="15"/>
  <c r="N92" i="15"/>
  <c r="N82" i="15"/>
  <c r="N78" i="15"/>
  <c r="N70" i="15"/>
  <c r="N60" i="15"/>
  <c r="L96" i="15"/>
  <c r="L92" i="15"/>
  <c r="L86" i="15"/>
  <c r="L82" i="15"/>
  <c r="L78" i="15"/>
  <c r="L74" i="15"/>
  <c r="L70" i="15"/>
  <c r="L64" i="15"/>
  <c r="L60" i="15"/>
  <c r="M95" i="15"/>
  <c r="M85" i="15"/>
  <c r="M77" i="15"/>
  <c r="M70" i="15"/>
  <c r="M60" i="15"/>
  <c r="N91" i="15"/>
  <c r="N81" i="15"/>
  <c r="N73" i="15"/>
  <c r="N63" i="15"/>
  <c r="K117" i="15"/>
  <c r="K113" i="15"/>
  <c r="K109" i="15"/>
  <c r="K102" i="15"/>
  <c r="N118" i="15"/>
  <c r="L118" i="15"/>
  <c r="L110" i="15"/>
  <c r="L100" i="15"/>
  <c r="M111" i="15"/>
  <c r="M100" i="15"/>
  <c r="N111" i="15"/>
  <c r="K134" i="15"/>
  <c r="K124" i="15"/>
  <c r="L135" i="15"/>
  <c r="L125" i="15"/>
  <c r="M135" i="15"/>
  <c r="N139" i="15"/>
  <c r="N131" i="15"/>
  <c r="N121" i="15"/>
  <c r="M132" i="15"/>
  <c r="K158" i="15"/>
  <c r="K150" i="15"/>
  <c r="K140" i="15"/>
  <c r="N144" i="15"/>
  <c r="L154" i="15"/>
  <c r="L144" i="15"/>
  <c r="M156" i="15"/>
  <c r="M146" i="15"/>
  <c r="N155" i="15"/>
  <c r="K178" i="15"/>
  <c r="K170" i="15"/>
  <c r="K160" i="15"/>
  <c r="L172" i="15"/>
  <c r="L162" i="15"/>
  <c r="M174" i="15"/>
  <c r="M164" i="15"/>
  <c r="N176" i="15"/>
  <c r="N166" i="15"/>
  <c r="K198" i="15"/>
  <c r="K190" i="15"/>
  <c r="K180" i="15"/>
  <c r="N182" i="15"/>
  <c r="L193" i="15"/>
  <c r="L183" i="15"/>
  <c r="M195" i="15"/>
  <c r="M184" i="15"/>
  <c r="K236" i="8"/>
  <c r="K238" i="8"/>
  <c r="K240" i="8"/>
  <c r="K244" i="8"/>
  <c r="K246" i="8"/>
  <c r="L248" i="8"/>
  <c r="N250" i="8"/>
  <c r="M253" i="8"/>
  <c r="L256" i="8"/>
  <c r="N258" i="8"/>
  <c r="M263" i="8"/>
  <c r="L266" i="8"/>
  <c r="N268" i="8"/>
  <c r="M271" i="8"/>
  <c r="L274" i="8"/>
  <c r="N276" i="8"/>
  <c r="M279" i="8"/>
  <c r="L284" i="8"/>
  <c r="N286" i="8"/>
  <c r="M289" i="8"/>
  <c r="L292" i="8"/>
  <c r="N294" i="8"/>
  <c r="M297" i="8"/>
  <c r="L300" i="8"/>
  <c r="N304" i="8"/>
  <c r="M307" i="8"/>
  <c r="M311" i="8"/>
  <c r="M317" i="8"/>
  <c r="M323" i="8"/>
  <c r="M327" i="8"/>
  <c r="M331" i="8"/>
  <c r="M335" i="8"/>
  <c r="M339" i="8"/>
  <c r="M345" i="8"/>
  <c r="M349" i="8"/>
  <c r="M353" i="8"/>
  <c r="M357" i="8"/>
  <c r="M363" i="8"/>
  <c r="M367" i="8"/>
  <c r="N372" i="8"/>
  <c r="M400" i="8"/>
  <c r="M410" i="8"/>
  <c r="M436" i="8"/>
  <c r="M446" i="8"/>
  <c r="M454" i="8"/>
  <c r="M464" i="8"/>
  <c r="M472" i="8"/>
  <c r="M502" i="8"/>
  <c r="M510" i="8"/>
  <c r="M518" i="8"/>
  <c r="M528" i="8"/>
  <c r="M536" i="8"/>
  <c r="M546" i="8"/>
  <c r="M554" i="8"/>
  <c r="M564" i="8"/>
  <c r="M572" i="8"/>
  <c r="M580" i="8"/>
  <c r="M590" i="8"/>
  <c r="D264" i="8"/>
  <c r="D298" i="8"/>
  <c r="D314" i="8"/>
  <c r="D350" i="8"/>
  <c r="D406" i="8"/>
  <c r="D440" i="8"/>
  <c r="D496" i="8"/>
  <c r="D532" i="8"/>
  <c r="D568" i="8"/>
  <c r="N213" i="8"/>
  <c r="K234" i="8"/>
  <c r="Q70" i="12" l="1"/>
  <c r="S70" i="12" s="1"/>
  <c r="F208" i="12"/>
  <c r="F223" i="12" s="1"/>
  <c r="Q91" i="12"/>
  <c r="Q145" i="12"/>
  <c r="N76" i="12"/>
  <c r="N74" i="12"/>
  <c r="N75" i="12"/>
  <c r="N73" i="12"/>
  <c r="O81" i="12"/>
  <c r="O80" i="12"/>
  <c r="O75" i="12"/>
  <c r="O73" i="12"/>
  <c r="O76" i="12"/>
  <c r="O74" i="12"/>
  <c r="N81" i="12"/>
  <c r="N80" i="12"/>
  <c r="P3" i="9"/>
  <c r="J19" i="8"/>
  <c r="Q151" i="12"/>
  <c r="Q162" i="12"/>
  <c r="Q36" i="12"/>
  <c r="Q139" i="12"/>
  <c r="L41" i="5"/>
  <c r="Q183" i="12"/>
  <c r="Q132" i="12"/>
  <c r="K19" i="12"/>
  <c r="Q25" i="22" s="1"/>
  <c r="B25" i="22" s="1"/>
  <c r="M25" i="5" s="1"/>
  <c r="Q159" i="12"/>
  <c r="Q43" i="12"/>
  <c r="Q207" i="12"/>
  <c r="Q104" i="12"/>
  <c r="Q157" i="12"/>
  <c r="E23" i="15"/>
  <c r="Q112" i="12"/>
  <c r="Q53" i="12"/>
  <c r="S53" i="12" s="1"/>
  <c r="Q158" i="12"/>
  <c r="Q150" i="12"/>
  <c r="Q148" i="12"/>
  <c r="Q222" i="12"/>
  <c r="Q175" i="12"/>
  <c r="Q184" i="12"/>
  <c r="Q133" i="12"/>
  <c r="Q160" i="12"/>
  <c r="Q115" i="12"/>
  <c r="U115" i="12" s="1"/>
  <c r="Q116" i="12"/>
  <c r="Q103" i="12"/>
  <c r="N223" i="8"/>
  <c r="J15" i="8"/>
  <c r="Q173" i="12"/>
  <c r="Q125" i="12"/>
  <c r="Q172" i="12"/>
  <c r="Q114" i="12"/>
  <c r="Q161" i="12"/>
  <c r="Q126" i="12"/>
  <c r="H223" i="12"/>
  <c r="Q170" i="12"/>
  <c r="Q216" i="12"/>
  <c r="Q35" i="12"/>
  <c r="Q180" i="12"/>
  <c r="Q196" i="12"/>
  <c r="Q130" i="12"/>
  <c r="Q120" i="12"/>
  <c r="Q56" i="12"/>
  <c r="S56" i="12" s="1"/>
  <c r="Q168" i="12"/>
  <c r="Q178" i="12"/>
  <c r="Q144" i="12"/>
  <c r="Q198" i="12"/>
  <c r="Q111" i="12"/>
  <c r="Q124" i="12"/>
  <c r="Q167" i="12"/>
  <c r="Q40" i="12"/>
  <c r="S40" i="12" s="1"/>
  <c r="T40" i="12" s="1"/>
  <c r="Q206" i="12"/>
  <c r="Q221" i="12"/>
  <c r="U221" i="12" s="1"/>
  <c r="Q164" i="12"/>
  <c r="Q171" i="12"/>
  <c r="Q149" i="12"/>
  <c r="Q72" i="12"/>
  <c r="Q97" i="12"/>
  <c r="Q153" i="12"/>
  <c r="Q187" i="12"/>
  <c r="S187" i="12" s="1"/>
  <c r="Q138" i="12"/>
  <c r="T138" i="12" s="1"/>
  <c r="U138" i="12" s="1"/>
  <c r="Q189" i="12"/>
  <c r="T189" i="12" s="1"/>
  <c r="Q212" i="12"/>
  <c r="Q214" i="12"/>
  <c r="T214" i="12" s="1"/>
  <c r="Q174" i="12"/>
  <c r="Q217" i="12"/>
  <c r="T217" i="12" s="1"/>
  <c r="Q117" i="12"/>
  <c r="S117" i="12" s="1"/>
  <c r="Q166" i="12"/>
  <c r="Q155" i="12"/>
  <c r="Q140" i="12"/>
  <c r="T140" i="12" s="1"/>
  <c r="Q191" i="12"/>
  <c r="Q110" i="12"/>
  <c r="Q197" i="12"/>
  <c r="T197" i="12" s="1"/>
  <c r="U197" i="12" s="1"/>
  <c r="Q67" i="12"/>
  <c r="S67" i="12" s="1"/>
  <c r="Q106" i="12"/>
  <c r="Q52" i="12"/>
  <c r="S52" i="12" s="1"/>
  <c r="Q71" i="12"/>
  <c r="S71" i="12" s="1"/>
  <c r="Q108" i="12"/>
  <c r="Q146" i="12"/>
  <c r="Q109" i="12"/>
  <c r="Q84" i="12"/>
  <c r="S84" i="12" s="1"/>
  <c r="Q60" i="12"/>
  <c r="S60" i="12" s="1"/>
  <c r="T60" i="12" s="1"/>
  <c r="U60" i="12" s="1"/>
  <c r="Q59" i="12"/>
  <c r="S59" i="12" s="1"/>
  <c r="T59" i="12" s="1"/>
  <c r="Q85" i="12"/>
  <c r="S85" i="12" s="1"/>
  <c r="Q176" i="12"/>
  <c r="Q123" i="12"/>
  <c r="T123" i="12" s="1"/>
  <c r="U123" i="12" s="1"/>
  <c r="Q192" i="12"/>
  <c r="Q201" i="12"/>
  <c r="Q65" i="12"/>
  <c r="Q143" i="12"/>
  <c r="Q185" i="12"/>
  <c r="S185" i="12" s="1"/>
  <c r="Q89" i="12"/>
  <c r="S89" i="12" s="1"/>
  <c r="Q127" i="12"/>
  <c r="Q200" i="12"/>
  <c r="Q131" i="12"/>
  <c r="Q165" i="12"/>
  <c r="Q118" i="12"/>
  <c r="S118" i="12" s="1"/>
  <c r="Q152" i="12"/>
  <c r="Q39" i="12"/>
  <c r="S39" i="12" s="1"/>
  <c r="Q202" i="12"/>
  <c r="Q95" i="12"/>
  <c r="S95" i="12" s="1"/>
  <c r="T95" i="12" s="1"/>
  <c r="Q48" i="12"/>
  <c r="S48" i="12" s="1"/>
  <c r="Q122" i="12"/>
  <c r="Q129" i="12"/>
  <c r="Q62" i="12"/>
  <c r="S62" i="12" s="1"/>
  <c r="T62" i="12" s="1"/>
  <c r="Q193" i="12"/>
  <c r="T193" i="12" s="1"/>
  <c r="U193" i="12" s="1"/>
  <c r="K8" i="21" s="1"/>
  <c r="Q47" i="12"/>
  <c r="U47" i="12" s="1"/>
  <c r="Q136" i="12"/>
  <c r="Q61" i="12"/>
  <c r="S61" i="12" s="1"/>
  <c r="T61" i="12" s="1"/>
  <c r="Q186" i="12"/>
  <c r="S186" i="12" s="1"/>
  <c r="Q169" i="12"/>
  <c r="Q195" i="12"/>
  <c r="Q119" i="12"/>
  <c r="S119" i="12" s="1"/>
  <c r="Q205" i="12"/>
  <c r="T205" i="12" s="1"/>
  <c r="U205" i="12" s="1"/>
  <c r="F7" i="21" s="1"/>
  <c r="Q209" i="12"/>
  <c r="Q134" i="12"/>
  <c r="Q211" i="12"/>
  <c r="Q57" i="12"/>
  <c r="S57" i="12" s="1"/>
  <c r="Q163" i="12"/>
  <c r="Q203" i="12"/>
  <c r="Q137" i="12"/>
  <c r="Q188" i="12"/>
  <c r="T188" i="12" s="1"/>
  <c r="Q177" i="12"/>
  <c r="Q135" i="12"/>
  <c r="Q204" i="12"/>
  <c r="Q213" i="12"/>
  <c r="Q105" i="12"/>
  <c r="Q154" i="12"/>
  <c r="Q102" i="12"/>
  <c r="Q156" i="12"/>
  <c r="Q77" i="12"/>
  <c r="S77" i="12" s="1"/>
  <c r="T77" i="12" s="1"/>
  <c r="U77" i="12" s="1"/>
  <c r="Q88" i="12"/>
  <c r="S88" i="12" s="1"/>
  <c r="T88" i="12" s="1"/>
  <c r="Q128" i="12"/>
  <c r="Q179" i="12"/>
  <c r="Q87" i="12"/>
  <c r="S87" i="12" s="1"/>
  <c r="T87" i="12" s="1"/>
  <c r="Q107" i="12"/>
  <c r="V23" i="20"/>
  <c r="V23" i="22"/>
  <c r="T139" i="12"/>
  <c r="U139" i="12" s="1"/>
  <c r="M23" i="20"/>
  <c r="S116" i="12"/>
  <c r="T116" i="12" s="1"/>
  <c r="Q28" i="20"/>
  <c r="Q28" i="22"/>
  <c r="N28" i="20"/>
  <c r="N28" i="22"/>
  <c r="O27" i="20"/>
  <c r="O27" i="22"/>
  <c r="P27" i="20"/>
  <c r="P27" i="22"/>
  <c r="K28" i="20"/>
  <c r="K28" i="22"/>
  <c r="M64" i="12"/>
  <c r="Q64" i="12" s="1"/>
  <c r="M45" i="12"/>
  <c r="Q45" i="12" s="1"/>
  <c r="M98" i="12"/>
  <c r="Q98" i="12" s="1"/>
  <c r="G7" i="12"/>
  <c r="P323" i="9"/>
  <c r="X108" i="6"/>
  <c r="W840" i="6"/>
  <c r="J11" i="8"/>
  <c r="I3" i="3"/>
  <c r="L3" i="3"/>
  <c r="J8" i="8"/>
  <c r="G20" i="12"/>
  <c r="M4" i="9"/>
  <c r="O3" i="9"/>
  <c r="N3" i="9"/>
  <c r="E17" i="12"/>
  <c r="F18" i="3"/>
  <c r="J11" i="12"/>
  <c r="I27" i="22" s="1"/>
  <c r="J11" i="3"/>
  <c r="F8" i="12"/>
  <c r="J22" i="3"/>
  <c r="F22" i="12"/>
  <c r="F28" i="22" s="1"/>
  <c r="J24" i="12"/>
  <c r="V27" i="22" s="1"/>
  <c r="J12" i="12"/>
  <c r="J27" i="22" s="1"/>
  <c r="J12" i="3"/>
  <c r="F9" i="12"/>
  <c r="F19" i="3"/>
  <c r="J15" i="12"/>
  <c r="M27" i="22" s="1"/>
  <c r="J17" i="3"/>
  <c r="F10" i="12"/>
  <c r="J23" i="3"/>
  <c r="F24" i="12"/>
  <c r="E16" i="12"/>
  <c r="J6" i="3"/>
  <c r="F13" i="12"/>
  <c r="F6" i="3"/>
  <c r="J13" i="12"/>
  <c r="L27" i="22" s="1"/>
  <c r="J13" i="3"/>
  <c r="F12" i="12"/>
  <c r="J5" i="3"/>
  <c r="F7" i="12"/>
  <c r="J9" i="3"/>
  <c r="F21" i="12"/>
  <c r="F20" i="3"/>
  <c r="J18" i="12"/>
  <c r="T27" i="22" s="1"/>
  <c r="J19" i="3"/>
  <c r="F15" i="12"/>
  <c r="F17" i="3"/>
  <c r="J10" i="12"/>
  <c r="H27" i="22" s="1"/>
  <c r="F4" i="3"/>
  <c r="J5" i="12"/>
  <c r="C27" i="22" s="1"/>
  <c r="J19" i="12"/>
  <c r="Q27" i="22" s="1"/>
  <c r="J7" i="3"/>
  <c r="F16" i="12"/>
  <c r="J18" i="3"/>
  <c r="F11" i="12"/>
  <c r="J6" i="12"/>
  <c r="E27" i="22" s="1"/>
  <c r="J20" i="12"/>
  <c r="U27" i="22" s="1"/>
  <c r="J16" i="3"/>
  <c r="F17" i="12"/>
  <c r="F15" i="3"/>
  <c r="J14" i="12"/>
  <c r="K27" i="22" s="1"/>
  <c r="J7" i="12"/>
  <c r="S27" i="22" s="1"/>
  <c r="J21" i="12"/>
  <c r="R27" i="22" s="1"/>
  <c r="J20" i="3"/>
  <c r="F18" i="12"/>
  <c r="J8" i="12"/>
  <c r="G27" i="22" s="1"/>
  <c r="J4" i="3"/>
  <c r="F5" i="12"/>
  <c r="J22" i="12"/>
  <c r="F27" i="22" s="1"/>
  <c r="J9" i="12"/>
  <c r="D27" i="22" s="1"/>
  <c r="F23" i="3"/>
  <c r="J23" i="12"/>
  <c r="N27" i="22" s="1"/>
  <c r="J14" i="3"/>
  <c r="F6" i="12"/>
  <c r="J21" i="3"/>
  <c r="F20" i="12"/>
  <c r="N258" i="15"/>
  <c r="L258" i="15"/>
  <c r="K258" i="15"/>
  <c r="M258" i="15"/>
  <c r="G17" i="12"/>
  <c r="G11" i="12"/>
  <c r="G10" i="12"/>
  <c r="G16" i="12"/>
  <c r="J8" i="9"/>
  <c r="G19" i="12"/>
  <c r="G21" i="12"/>
  <c r="G14" i="12"/>
  <c r="J11" i="9"/>
  <c r="F11" i="9" s="1"/>
  <c r="E11" i="9" s="1"/>
  <c r="G8" i="12"/>
  <c r="G18" i="12"/>
  <c r="G23" i="12"/>
  <c r="G22" i="12"/>
  <c r="F23" i="22" s="1"/>
  <c r="G9" i="12"/>
  <c r="M100" i="12"/>
  <c r="Q100" i="12" s="1"/>
  <c r="D595" i="8"/>
  <c r="N595" i="8"/>
  <c r="J31" i="5"/>
  <c r="H5" i="3"/>
  <c r="H15" i="3"/>
  <c r="G20" i="3"/>
  <c r="X753" i="6"/>
  <c r="W698" i="6"/>
  <c r="G4" i="3"/>
  <c r="E22" i="9"/>
  <c r="E20" i="9"/>
  <c r="G19" i="3"/>
  <c r="K5" i="3"/>
  <c r="K8" i="3"/>
  <c r="K4" i="3"/>
  <c r="K13" i="3"/>
  <c r="K17" i="3"/>
  <c r="G15" i="3"/>
  <c r="K12" i="3"/>
  <c r="K9" i="3"/>
  <c r="K18" i="3"/>
  <c r="G9" i="3"/>
  <c r="K7" i="3"/>
  <c r="K10" i="3"/>
  <c r="G22" i="3"/>
  <c r="G23" i="3"/>
  <c r="K11" i="3"/>
  <c r="G8" i="3"/>
  <c r="G7" i="3"/>
  <c r="J13" i="8"/>
  <c r="K23" i="3"/>
  <c r="G17" i="3"/>
  <c r="K14" i="3"/>
  <c r="G11" i="3"/>
  <c r="G12" i="3"/>
  <c r="G21" i="3"/>
  <c r="G16" i="3"/>
  <c r="K19" i="3"/>
  <c r="G10" i="3"/>
  <c r="G14" i="3"/>
  <c r="K16" i="3"/>
  <c r="K20" i="3"/>
  <c r="G18" i="3"/>
  <c r="K22" i="3"/>
  <c r="N400" i="14"/>
  <c r="N115" i="14"/>
  <c r="N125" i="14"/>
  <c r="N181" i="14"/>
  <c r="M171" i="14"/>
  <c r="M146" i="14"/>
  <c r="L124" i="14"/>
  <c r="N133" i="14"/>
  <c r="N106" i="14"/>
  <c r="L140" i="14"/>
  <c r="K113" i="14"/>
  <c r="M145" i="14"/>
  <c r="L147" i="14"/>
  <c r="N174" i="14"/>
  <c r="M126" i="14"/>
  <c r="L151" i="14"/>
  <c r="L179" i="14"/>
  <c r="N110" i="14"/>
  <c r="M112" i="14"/>
  <c r="N166" i="14"/>
  <c r="M158" i="14"/>
  <c r="N172" i="14"/>
  <c r="M105" i="14"/>
  <c r="K127" i="14"/>
  <c r="K169" i="14"/>
  <c r="N120" i="14"/>
  <c r="N144" i="14"/>
  <c r="L134" i="14"/>
  <c r="K166" i="14"/>
  <c r="K158" i="14"/>
  <c r="K152" i="14"/>
  <c r="N136" i="14"/>
  <c r="N178" i="14"/>
  <c r="K154" i="14"/>
  <c r="L159" i="14"/>
  <c r="N113" i="14"/>
  <c r="M156" i="14"/>
  <c r="L103" i="14"/>
  <c r="L118" i="14"/>
  <c r="N158" i="14"/>
  <c r="K146" i="14"/>
  <c r="L146" i="14"/>
  <c r="L145" i="14"/>
  <c r="N108" i="14"/>
  <c r="M113" i="14"/>
  <c r="M149" i="14"/>
  <c r="N131" i="14"/>
  <c r="M124" i="14"/>
  <c r="M125" i="14"/>
  <c r="M129" i="14"/>
  <c r="K135" i="14"/>
  <c r="L137" i="14"/>
  <c r="M132" i="14"/>
  <c r="M162" i="14"/>
  <c r="M173" i="14"/>
  <c r="L172" i="14"/>
  <c r="K173" i="14"/>
  <c r="N175" i="14"/>
  <c r="L168" i="14"/>
  <c r="N102" i="14"/>
  <c r="K108" i="14"/>
  <c r="M128" i="14"/>
  <c r="M163" i="14"/>
  <c r="N148" i="14"/>
  <c r="K137" i="14"/>
  <c r="M178" i="14"/>
  <c r="K148" i="14"/>
  <c r="L148" i="14"/>
  <c r="N107" i="14"/>
  <c r="M147" i="14"/>
  <c r="L119" i="14"/>
  <c r="L157" i="14"/>
  <c r="L156" i="14"/>
  <c r="K156" i="14"/>
  <c r="M104" i="14"/>
  <c r="L107" i="14"/>
  <c r="K114" i="14"/>
  <c r="L160" i="14"/>
  <c r="N149" i="14"/>
  <c r="K136" i="14"/>
  <c r="N129" i="14"/>
  <c r="L138" i="14"/>
  <c r="M130" i="14"/>
  <c r="K126" i="14"/>
  <c r="L125" i="14"/>
  <c r="N141" i="14"/>
  <c r="H10" i="14" s="1"/>
  <c r="N171" i="14"/>
  <c r="K180" i="14"/>
  <c r="N163" i="14"/>
  <c r="F14" i="14" s="1"/>
  <c r="N167" i="14"/>
  <c r="N170" i="14"/>
  <c r="K179" i="14"/>
  <c r="M117" i="14"/>
  <c r="M142" i="14"/>
  <c r="L139" i="14"/>
  <c r="K171" i="14"/>
  <c r="M161" i="14"/>
  <c r="L149" i="14"/>
  <c r="K174" i="14"/>
  <c r="N160" i="14"/>
  <c r="K144" i="14"/>
  <c r="L120" i="14"/>
  <c r="N103" i="14"/>
  <c r="M119" i="14"/>
  <c r="L115" i="14"/>
  <c r="M115" i="14"/>
  <c r="L108" i="14"/>
  <c r="N104" i="14"/>
  <c r="M143" i="14"/>
  <c r="L158" i="14"/>
  <c r="L155" i="14"/>
  <c r="N118" i="14"/>
  <c r="K142" i="14"/>
  <c r="K150" i="14"/>
  <c r="M135" i="14"/>
  <c r="N126" i="14"/>
  <c r="L126" i="14"/>
  <c r="L131" i="14"/>
  <c r="N135" i="14"/>
  <c r="K138" i="14"/>
  <c r="M170" i="14"/>
  <c r="K181" i="14"/>
  <c r="N177" i="14"/>
  <c r="K164" i="14"/>
  <c r="L165" i="14"/>
  <c r="M180" i="14"/>
  <c r="L171" i="14"/>
  <c r="N155" i="14"/>
  <c r="M141" i="14"/>
  <c r="M176" i="14"/>
  <c r="K141" i="14"/>
  <c r="N156" i="14"/>
  <c r="K120" i="14"/>
  <c r="L112" i="14"/>
  <c r="K159" i="14"/>
  <c r="M108" i="14"/>
  <c r="M152" i="14"/>
  <c r="M103" i="14"/>
  <c r="N114" i="14"/>
  <c r="M160" i="14"/>
  <c r="L106" i="14"/>
  <c r="L117" i="14"/>
  <c r="L150" i="14"/>
  <c r="N122" i="14"/>
  <c r="N123" i="14"/>
  <c r="K125" i="14"/>
  <c r="M127" i="14"/>
  <c r="N134" i="14"/>
  <c r="L129" i="14"/>
  <c r="K168" i="14"/>
  <c r="M175" i="14"/>
  <c r="L169" i="14"/>
  <c r="K170" i="14"/>
  <c r="M177" i="14"/>
  <c r="N173" i="14"/>
  <c r="M167" i="14"/>
  <c r="N119" i="14"/>
  <c r="N152" i="14"/>
  <c r="K116" i="14"/>
  <c r="M155" i="14"/>
  <c r="L105" i="14"/>
  <c r="K155" i="14"/>
  <c r="L161" i="14"/>
  <c r="K105" i="14"/>
  <c r="M120" i="14"/>
  <c r="K104" i="14"/>
  <c r="N145" i="14"/>
  <c r="N111" i="14"/>
  <c r="M138" i="14"/>
  <c r="M137" i="14"/>
  <c r="M139" i="14"/>
  <c r="K132" i="14"/>
  <c r="N128" i="14"/>
  <c r="N138" i="14"/>
  <c r="L180" i="14"/>
  <c r="L176" i="14"/>
  <c r="M181" i="14"/>
  <c r="N164" i="14"/>
  <c r="K165" i="14"/>
  <c r="L170" i="14"/>
  <c r="N179" i="14"/>
  <c r="N124" i="14"/>
  <c r="K122" i="14"/>
  <c r="N146" i="14"/>
  <c r="K112" i="14"/>
  <c r="M144" i="14"/>
  <c r="N161" i="14"/>
  <c r="K151" i="14"/>
  <c r="L153" i="14"/>
  <c r="K115" i="14"/>
  <c r="M159" i="14"/>
  <c r="N151" i="14"/>
  <c r="K119" i="14"/>
  <c r="M148" i="14"/>
  <c r="L116" i="14"/>
  <c r="M150" i="14"/>
  <c r="M133" i="14"/>
  <c r="M122" i="14"/>
  <c r="L132" i="14"/>
  <c r="K123" i="14"/>
  <c r="M134" i="14"/>
  <c r="L130" i="14"/>
  <c r="N165" i="14"/>
  <c r="M172" i="14"/>
  <c r="N168" i="14"/>
  <c r="L162" i="14"/>
  <c r="L178" i="14"/>
  <c r="L167" i="14"/>
  <c r="L177" i="14"/>
  <c r="L143" i="14"/>
  <c r="M114" i="14"/>
  <c r="K149" i="14"/>
  <c r="L163" i="14"/>
  <c r="M106" i="14"/>
  <c r="M153" i="14"/>
  <c r="L122" i="14"/>
  <c r="L166" i="14"/>
  <c r="N142" i="14"/>
  <c r="K106" i="14"/>
  <c r="M116" i="14"/>
  <c r="N157" i="14"/>
  <c r="K145" i="14"/>
  <c r="L142" i="14"/>
  <c r="K143" i="14"/>
  <c r="L144" i="14"/>
  <c r="N159" i="14"/>
  <c r="K147" i="14"/>
  <c r="L154" i="14"/>
  <c r="N109" i="14"/>
  <c r="K134" i="14"/>
  <c r="L135" i="14"/>
  <c r="K130" i="14"/>
  <c r="N132" i="14"/>
  <c r="K139" i="14"/>
  <c r="N140" i="14"/>
  <c r="K175" i="14"/>
  <c r="M179" i="14"/>
  <c r="M168" i="14"/>
  <c r="M174" i="14"/>
  <c r="N169" i="14"/>
  <c r="N176" i="14"/>
  <c r="N162" i="14"/>
  <c r="M118" i="14"/>
  <c r="K133" i="14"/>
  <c r="L128" i="14"/>
  <c r="K103" i="14"/>
  <c r="N154" i="14"/>
  <c r="L141" i="14"/>
  <c r="N180" i="14"/>
  <c r="N116" i="14"/>
  <c r="K102" i="14"/>
  <c r="M107" i="14"/>
  <c r="N153" i="14"/>
  <c r="K121" i="14"/>
  <c r="L114" i="14"/>
  <c r="L121" i="14"/>
  <c r="K153" i="14"/>
  <c r="M102" i="14"/>
  <c r="L102" i="14"/>
  <c r="K157" i="14"/>
  <c r="K160" i="14"/>
  <c r="N150" i="14"/>
  <c r="K128" i="14"/>
  <c r="L123" i="14"/>
  <c r="L127" i="14"/>
  <c r="N130" i="14"/>
  <c r="L133" i="14"/>
  <c r="K124" i="14"/>
  <c r="M169" i="14"/>
  <c r="K177" i="14"/>
  <c r="K167" i="14"/>
  <c r="L164" i="14"/>
  <c r="K163" i="14"/>
  <c r="L174" i="14"/>
  <c r="K172" i="14"/>
  <c r="K107" i="14"/>
  <c r="N117" i="14"/>
  <c r="K118" i="14"/>
  <c r="M140" i="14"/>
  <c r="L173" i="14"/>
  <c r="N112" i="14"/>
  <c r="M154" i="14"/>
  <c r="L113" i="14"/>
  <c r="N147" i="14"/>
  <c r="K117" i="14"/>
  <c r="M157" i="14"/>
  <c r="L152" i="14"/>
  <c r="K161" i="14"/>
  <c r="M121" i="14"/>
  <c r="L104" i="14"/>
  <c r="N105" i="14"/>
  <c r="M151" i="14"/>
  <c r="M136" i="14"/>
  <c r="N137" i="14"/>
  <c r="M131" i="14"/>
  <c r="N127" i="14"/>
  <c r="K140" i="14"/>
  <c r="L136" i="14"/>
  <c r="N139" i="14"/>
  <c r="K176" i="14"/>
  <c r="M165" i="14"/>
  <c r="M164" i="14"/>
  <c r="L175" i="14"/>
  <c r="L181" i="14"/>
  <c r="K162" i="14"/>
  <c r="F19" i="9"/>
  <c r="E19" i="9" s="1"/>
  <c r="K16" i="9"/>
  <c r="F16" i="9" s="1"/>
  <c r="F13" i="9"/>
  <c r="J18" i="9"/>
  <c r="F12" i="9"/>
  <c r="E12" i="9" s="1"/>
  <c r="J17" i="9"/>
  <c r="F17" i="9" s="1"/>
  <c r="E17" i="9" s="1"/>
  <c r="K4" i="9"/>
  <c r="K18" i="9"/>
  <c r="F9" i="9"/>
  <c r="E9" i="9" s="1"/>
  <c r="M23" i="9"/>
  <c r="F23" i="9"/>
  <c r="M13" i="9"/>
  <c r="M10" i="9"/>
  <c r="F21" i="9"/>
  <c r="E21" i="9" s="1"/>
  <c r="F14" i="9"/>
  <c r="J15" i="3"/>
  <c r="F21" i="3"/>
  <c r="G13" i="3"/>
  <c r="F22" i="3"/>
  <c r="K15" i="3"/>
  <c r="F7" i="3"/>
  <c r="F16" i="3"/>
  <c r="F8" i="3"/>
  <c r="F9" i="3"/>
  <c r="K6" i="3"/>
  <c r="F11" i="3"/>
  <c r="J8" i="3"/>
  <c r="F12" i="3"/>
  <c r="F10" i="3"/>
  <c r="J10" i="3"/>
  <c r="G6" i="3"/>
  <c r="F5" i="3"/>
  <c r="K214" i="8"/>
  <c r="E13" i="15"/>
  <c r="L12" i="12" s="1"/>
  <c r="K229" i="8"/>
  <c r="J12" i="8"/>
  <c r="J16" i="8"/>
  <c r="J18" i="8"/>
  <c r="J20" i="8"/>
  <c r="J10" i="8"/>
  <c r="J14" i="8"/>
  <c r="J9" i="8"/>
  <c r="J17" i="8"/>
  <c r="N218" i="8"/>
  <c r="N219" i="8"/>
  <c r="L218" i="8"/>
  <c r="K230" i="8"/>
  <c r="M220" i="8"/>
  <c r="K221" i="8"/>
  <c r="L230" i="8"/>
  <c r="N225" i="8"/>
  <c r="K226" i="8"/>
  <c r="K218" i="8"/>
  <c r="K228" i="8"/>
  <c r="N233" i="8"/>
  <c r="N220" i="8"/>
  <c r="L219" i="8"/>
  <c r="K231" i="8"/>
  <c r="D215" i="8"/>
  <c r="D228" i="8"/>
  <c r="M218" i="8"/>
  <c r="K219" i="8"/>
  <c r="N222" i="8"/>
  <c r="H13" i="12" s="1"/>
  <c r="K222" i="8"/>
  <c r="N221" i="8"/>
  <c r="L220" i="8"/>
  <c r="K232" i="8"/>
  <c r="D220" i="8"/>
  <c r="D219" i="8"/>
  <c r="D232" i="8"/>
  <c r="M216" i="8"/>
  <c r="K217" i="8"/>
  <c r="L223" i="8"/>
  <c r="D224" i="8"/>
  <c r="M233" i="8"/>
  <c r="D231" i="8"/>
  <c r="L221" i="8"/>
  <c r="K233" i="8"/>
  <c r="D230" i="8"/>
  <c r="D225" i="8"/>
  <c r="M214" i="8"/>
  <c r="K215" i="8"/>
  <c r="M215" i="8"/>
  <c r="M222" i="8"/>
  <c r="L224" i="8"/>
  <c r="D229" i="8"/>
  <c r="D216" i="8"/>
  <c r="M223" i="8"/>
  <c r="N226" i="8"/>
  <c r="L225" i="8"/>
  <c r="D221" i="8"/>
  <c r="D233" i="8"/>
  <c r="D226" i="8"/>
  <c r="M221" i="8"/>
  <c r="N224" i="8"/>
  <c r="N230" i="8"/>
  <c r="N227" i="8"/>
  <c r="H18" i="12" s="1"/>
  <c r="N232" i="8"/>
  <c r="L228" i="8"/>
  <c r="L226" i="8"/>
  <c r="K224" i="8"/>
  <c r="N214" i="8"/>
  <c r="L229" i="8"/>
  <c r="L227" i="8"/>
  <c r="M225" i="8"/>
  <c r="M217" i="8"/>
  <c r="K220" i="8"/>
  <c r="N215" i="8"/>
  <c r="M230" i="8"/>
  <c r="L214" i="8"/>
  <c r="M228" i="8"/>
  <c r="M231" i="8"/>
  <c r="L232" i="8"/>
  <c r="M227" i="8"/>
  <c r="K223" i="8"/>
  <c r="N216" i="8"/>
  <c r="N231" i="8"/>
  <c r="L215" i="8"/>
  <c r="N229" i="8"/>
  <c r="H20" i="12" s="1"/>
  <c r="N228" i="8"/>
  <c r="M229" i="8"/>
  <c r="D223" i="8"/>
  <c r="K216" i="8"/>
  <c r="N217" i="8"/>
  <c r="L233" i="8"/>
  <c r="L216" i="8"/>
  <c r="L231" i="8"/>
  <c r="D217" i="8"/>
  <c r="D214" i="8"/>
  <c r="M226" i="8"/>
  <c r="K227" i="8"/>
  <c r="L222" i="8"/>
  <c r="L217" i="8"/>
  <c r="M232" i="8"/>
  <c r="D227" i="8"/>
  <c r="D218" i="8"/>
  <c r="M224" i="8"/>
  <c r="K225" i="8"/>
  <c r="M219" i="8"/>
  <c r="D222" i="8"/>
  <c r="E20" i="15"/>
  <c r="E6" i="15"/>
  <c r="E7" i="15"/>
  <c r="L16" i="12" s="1"/>
  <c r="E10" i="15"/>
  <c r="E22" i="15"/>
  <c r="L22" i="12" s="1"/>
  <c r="E8" i="15"/>
  <c r="Q35" i="22" s="1"/>
  <c r="E15" i="15"/>
  <c r="E21" i="15"/>
  <c r="L20" i="12" s="1"/>
  <c r="E9" i="15"/>
  <c r="L21" i="12" s="1"/>
  <c r="E19" i="15"/>
  <c r="L15" i="12" s="1"/>
  <c r="E4" i="15"/>
  <c r="E11" i="15"/>
  <c r="L8" i="12" s="1"/>
  <c r="E18" i="15"/>
  <c r="E17" i="15"/>
  <c r="E12" i="15"/>
  <c r="L9" i="12" s="1"/>
  <c r="E14" i="15"/>
  <c r="L6" i="12" s="1"/>
  <c r="E5" i="15"/>
  <c r="L7" i="12" s="1"/>
  <c r="E16" i="15"/>
  <c r="C37" i="5"/>
  <c r="C41" i="5" s="1"/>
  <c r="B37" i="5"/>
  <c r="B41" i="5" s="1"/>
  <c r="R18" i="5"/>
  <c r="F15" i="9"/>
  <c r="E15" i="9" s="1"/>
  <c r="R617" i="6"/>
  <c r="Q636" i="6"/>
  <c r="Q634" i="6"/>
  <c r="Q626" i="6"/>
  <c r="R625" i="6"/>
  <c r="Q635" i="6"/>
  <c r="R733" i="6"/>
  <c r="R632" i="6"/>
  <c r="R636" i="6"/>
  <c r="R626" i="6"/>
  <c r="R695" i="6"/>
  <c r="R635" i="6"/>
  <c r="W461" i="6"/>
  <c r="R634" i="6"/>
  <c r="Q632" i="6"/>
  <c r="Q631" i="6"/>
  <c r="R620" i="6"/>
  <c r="Q625" i="6"/>
  <c r="R623" i="6"/>
  <c r="Q630" i="6"/>
  <c r="S630" i="6"/>
  <c r="S626" i="6"/>
  <c r="R701" i="6"/>
  <c r="R622" i="6"/>
  <c r="S616" i="6"/>
  <c r="S618" i="6"/>
  <c r="W109" i="6"/>
  <c r="R631" i="6"/>
  <c r="Q620" i="6"/>
  <c r="Q623" i="6"/>
  <c r="R630" i="6"/>
  <c r="R616" i="6"/>
  <c r="Q622" i="6"/>
  <c r="R618" i="6"/>
  <c r="Q616" i="6"/>
  <c r="Q629" i="6"/>
  <c r="R621" i="6"/>
  <c r="Q725" i="6"/>
  <c r="S731" i="6"/>
  <c r="Q731" i="6"/>
  <c r="Q687" i="6"/>
  <c r="Q686" i="6"/>
  <c r="W74" i="6"/>
  <c r="Q710" i="6"/>
  <c r="W710" i="6"/>
  <c r="Q701" i="6"/>
  <c r="W711" i="6"/>
  <c r="W89" i="6"/>
  <c r="Q715" i="6"/>
  <c r="Q666" i="6"/>
  <c r="X460" i="6"/>
  <c r="W690" i="6"/>
  <c r="R728" i="6"/>
  <c r="S666" i="6"/>
  <c r="Q670" i="6"/>
  <c r="Q728" i="6"/>
  <c r="R681" i="6"/>
  <c r="Q714" i="6"/>
  <c r="Q700" i="6"/>
  <c r="Q676" i="6"/>
  <c r="W676" i="6"/>
  <c r="Q695" i="6"/>
  <c r="R666" i="6"/>
  <c r="R673" i="6"/>
  <c r="W726" i="6"/>
  <c r="R725" i="6"/>
  <c r="R714" i="6"/>
  <c r="W79" i="6"/>
  <c r="R670" i="6"/>
  <c r="R731" i="6"/>
  <c r="Q733" i="6"/>
  <c r="Q681" i="6"/>
  <c r="Q673" i="6"/>
  <c r="W678" i="6"/>
  <c r="J7" i="8"/>
  <c r="J5" i="8"/>
  <c r="J4" i="8"/>
  <c r="J6" i="8"/>
  <c r="N856" i="6"/>
  <c r="V25" i="6"/>
  <c r="U25" i="6"/>
  <c r="F33" i="5"/>
  <c r="F37" i="5" s="1"/>
  <c r="F41" i="5" s="1"/>
  <c r="R10" i="5"/>
  <c r="N825" i="8"/>
  <c r="P1670" i="9"/>
  <c r="R7" i="5"/>
  <c r="E33" i="5"/>
  <c r="E37" i="5" s="1"/>
  <c r="E41" i="5" s="1"/>
  <c r="W27" i="6"/>
  <c r="D33" i="5"/>
  <c r="D37" i="5" s="1"/>
  <c r="D41" i="5" s="1"/>
  <c r="W29" i="6"/>
  <c r="W813" i="6"/>
  <c r="R15" i="5"/>
  <c r="R11" i="5"/>
  <c r="R14" i="5"/>
  <c r="M357" i="3"/>
  <c r="K357" i="3"/>
  <c r="L357" i="3"/>
  <c r="N357" i="3"/>
  <c r="W28" i="6"/>
  <c r="L201" i="15"/>
  <c r="M201" i="15"/>
  <c r="N201" i="15"/>
  <c r="K201" i="15"/>
  <c r="Q76" i="12" l="1"/>
  <c r="S76" i="12" s="1"/>
  <c r="T76" i="12" s="1"/>
  <c r="W814" i="6"/>
  <c r="W831" i="6"/>
  <c r="Q80" i="12"/>
  <c r="S80" i="12" s="1"/>
  <c r="U80" i="12" s="1"/>
  <c r="O223" i="12"/>
  <c r="N223" i="12"/>
  <c r="Q81" i="12"/>
  <c r="S81" i="12" s="1"/>
  <c r="T81" i="12" s="1"/>
  <c r="Q73" i="12"/>
  <c r="S73" i="12" s="1"/>
  <c r="T73" i="12" s="1"/>
  <c r="U73" i="12" s="1"/>
  <c r="Q74" i="12"/>
  <c r="S74" i="12" s="1"/>
  <c r="T74" i="12" s="1"/>
  <c r="U74" i="12" s="1"/>
  <c r="G3" i="3"/>
  <c r="W700" i="6"/>
  <c r="W826" i="6"/>
  <c r="W745" i="6"/>
  <c r="H22" i="12"/>
  <c r="F24" i="22" s="1"/>
  <c r="E21" i="8"/>
  <c r="W842" i="6"/>
  <c r="W847" i="6"/>
  <c r="E20" i="3"/>
  <c r="K26" i="12"/>
  <c r="K29" i="12" s="1"/>
  <c r="Q25" i="20"/>
  <c r="B25" i="20" s="1"/>
  <c r="P25" i="5"/>
  <c r="R25" i="5" s="1"/>
  <c r="X25" i="5"/>
  <c r="L24" i="12"/>
  <c r="V35" i="22"/>
  <c r="F16" i="21"/>
  <c r="U59" i="12"/>
  <c r="U116" i="12"/>
  <c r="K23" i="20"/>
  <c r="K23" i="22"/>
  <c r="U95" i="12"/>
  <c r="R23" i="20"/>
  <c r="R23" i="22"/>
  <c r="B27" i="22"/>
  <c r="M27" i="5" s="1"/>
  <c r="O23" i="20"/>
  <c r="O23" i="22"/>
  <c r="Q23" i="20"/>
  <c r="Q23" i="22"/>
  <c r="S23" i="20"/>
  <c r="S23" i="22"/>
  <c r="H23" i="20"/>
  <c r="H23" i="22"/>
  <c r="D23" i="20"/>
  <c r="D23" i="22"/>
  <c r="I23" i="20"/>
  <c r="I23" i="22"/>
  <c r="U23" i="20"/>
  <c r="U23" i="22"/>
  <c r="P23" i="20"/>
  <c r="N23" i="20"/>
  <c r="N23" i="22"/>
  <c r="T23" i="20"/>
  <c r="T23" i="22"/>
  <c r="U87" i="12"/>
  <c r="U88" i="12"/>
  <c r="G23" i="20"/>
  <c r="G23" i="22"/>
  <c r="I28" i="20"/>
  <c r="I28" i="22"/>
  <c r="V28" i="20"/>
  <c r="V28" i="22"/>
  <c r="G28" i="20"/>
  <c r="G28" i="22"/>
  <c r="O29" i="20"/>
  <c r="O29" i="22"/>
  <c r="L24" i="20"/>
  <c r="L24" i="22"/>
  <c r="R28" i="20"/>
  <c r="R28" i="22"/>
  <c r="T24" i="20"/>
  <c r="T24" i="22"/>
  <c r="T28" i="20"/>
  <c r="T28" i="22"/>
  <c r="O28" i="20"/>
  <c r="O28" i="22"/>
  <c r="H28" i="20"/>
  <c r="H28" i="22"/>
  <c r="U28" i="20"/>
  <c r="U28" i="22"/>
  <c r="S28" i="20"/>
  <c r="S28" i="22"/>
  <c r="U76" i="12"/>
  <c r="C28" i="20"/>
  <c r="C28" i="22"/>
  <c r="P29" i="20"/>
  <c r="P29" i="22"/>
  <c r="U24" i="20"/>
  <c r="U24" i="22"/>
  <c r="I35" i="20"/>
  <c r="I35" i="22"/>
  <c r="E28" i="20"/>
  <c r="E28" i="22"/>
  <c r="J28" i="20"/>
  <c r="J28" i="22"/>
  <c r="D28" i="20"/>
  <c r="D28" i="22"/>
  <c r="P28" i="20"/>
  <c r="P28" i="22"/>
  <c r="M28" i="20"/>
  <c r="M28" i="22"/>
  <c r="L28" i="20"/>
  <c r="L28" i="22"/>
  <c r="U40" i="12"/>
  <c r="T48" i="12"/>
  <c r="U61" i="12"/>
  <c r="F24" i="21"/>
  <c r="U189" i="12"/>
  <c r="T53" i="12"/>
  <c r="T185" i="12"/>
  <c r="T85" i="12"/>
  <c r="U85" i="12" s="1"/>
  <c r="T117" i="12"/>
  <c r="T187" i="12"/>
  <c r="U187" i="12" s="1"/>
  <c r="U217" i="12"/>
  <c r="F23" i="21" s="1"/>
  <c r="T39" i="12"/>
  <c r="T71" i="12"/>
  <c r="U71" i="12" s="1"/>
  <c r="U140" i="12"/>
  <c r="F9" i="21" s="1"/>
  <c r="L19" i="12"/>
  <c r="Q35" i="20"/>
  <c r="T119" i="12"/>
  <c r="U119" i="12" s="1"/>
  <c r="T52" i="12"/>
  <c r="U62" i="12"/>
  <c r="T118" i="12"/>
  <c r="U118" i="12" s="1"/>
  <c r="T89" i="12"/>
  <c r="U89" i="12" s="1"/>
  <c r="U188" i="12"/>
  <c r="T67" i="12"/>
  <c r="U67" i="12" s="1"/>
  <c r="T56" i="12"/>
  <c r="U214" i="12"/>
  <c r="T57" i="12"/>
  <c r="U57" i="12" s="1"/>
  <c r="T186" i="12"/>
  <c r="U186" i="12" s="1"/>
  <c r="T84" i="12"/>
  <c r="S72" i="12"/>
  <c r="H14" i="12"/>
  <c r="I8" i="12"/>
  <c r="H20" i="14"/>
  <c r="M220" i="12"/>
  <c r="Q220" i="12" s="1"/>
  <c r="M219" i="12"/>
  <c r="Q219" i="12" s="1"/>
  <c r="E9" i="12"/>
  <c r="D27" i="20"/>
  <c r="E24" i="12"/>
  <c r="V27" i="20"/>
  <c r="E22" i="12"/>
  <c r="F29" i="22" s="1"/>
  <c r="F27" i="20"/>
  <c r="E20" i="12"/>
  <c r="U27" i="20"/>
  <c r="F28" i="20"/>
  <c r="E6" i="12"/>
  <c r="E27" i="20"/>
  <c r="E18" i="12"/>
  <c r="T27" i="20"/>
  <c r="E8" i="12"/>
  <c r="G27" i="20"/>
  <c r="E11" i="12"/>
  <c r="I27" i="20"/>
  <c r="E21" i="12"/>
  <c r="R27" i="20"/>
  <c r="E19" i="12"/>
  <c r="Q27" i="20"/>
  <c r="E15" i="12"/>
  <c r="M27" i="20"/>
  <c r="E7" i="12"/>
  <c r="S27" i="20"/>
  <c r="E5" i="12"/>
  <c r="C27" i="20"/>
  <c r="E14" i="12"/>
  <c r="K27" i="20"/>
  <c r="E23" i="12"/>
  <c r="N27" i="20"/>
  <c r="E10" i="12"/>
  <c r="H27" i="20"/>
  <c r="E13" i="12"/>
  <c r="L27" i="20"/>
  <c r="E12" i="12"/>
  <c r="J27" i="20"/>
  <c r="F23" i="20"/>
  <c r="L5" i="12"/>
  <c r="E3" i="15"/>
  <c r="F3" i="15" s="1"/>
  <c r="W822" i="6"/>
  <c r="M14" i="12"/>
  <c r="I15" i="12"/>
  <c r="I20" i="12"/>
  <c r="I13" i="12"/>
  <c r="I21" i="12"/>
  <c r="I23" i="12"/>
  <c r="I12" i="12"/>
  <c r="I22" i="12"/>
  <c r="F26" i="22" s="1"/>
  <c r="I18" i="12"/>
  <c r="I14" i="12"/>
  <c r="I7" i="12"/>
  <c r="I16" i="12"/>
  <c r="I19" i="12"/>
  <c r="I10" i="12"/>
  <c r="I11" i="12"/>
  <c r="I9" i="12"/>
  <c r="I17" i="12"/>
  <c r="I6" i="12"/>
  <c r="I24" i="12"/>
  <c r="W774" i="6"/>
  <c r="W669" i="6"/>
  <c r="W686" i="6"/>
  <c r="W683" i="6"/>
  <c r="Z108" i="6"/>
  <c r="Z840" i="6" s="1"/>
  <c r="C208" i="12" s="1"/>
  <c r="X840" i="6"/>
  <c r="Q638" i="6"/>
  <c r="S638" i="6"/>
  <c r="X461" i="6"/>
  <c r="X847" i="6" s="1"/>
  <c r="R638" i="6"/>
  <c r="H3" i="3"/>
  <c r="F3" i="3"/>
  <c r="K3" i="3"/>
  <c r="J3" i="3"/>
  <c r="S25" i="5"/>
  <c r="F8" i="9"/>
  <c r="E8" i="9" s="1"/>
  <c r="K3" i="9"/>
  <c r="J3" i="9"/>
  <c r="M3" i="9"/>
  <c r="K183" i="14"/>
  <c r="I5" i="12"/>
  <c r="L183" i="14"/>
  <c r="M183" i="14"/>
  <c r="F26" i="12"/>
  <c r="J26" i="12"/>
  <c r="E22" i="8"/>
  <c r="H23" i="12"/>
  <c r="E7" i="8"/>
  <c r="H16" i="12"/>
  <c r="E8" i="8"/>
  <c r="H19" i="12"/>
  <c r="E14" i="8"/>
  <c r="H6" i="12"/>
  <c r="E9" i="8"/>
  <c r="H21" i="12"/>
  <c r="E19" i="8"/>
  <c r="H15" i="12"/>
  <c r="E5" i="8"/>
  <c r="H7" i="12"/>
  <c r="E17" i="8"/>
  <c r="H10" i="12"/>
  <c r="E18" i="8"/>
  <c r="H11" i="12"/>
  <c r="E12" i="8"/>
  <c r="H9" i="12"/>
  <c r="E4" i="8"/>
  <c r="H5" i="12"/>
  <c r="E10" i="8"/>
  <c r="H24" i="12"/>
  <c r="E11" i="8"/>
  <c r="H8" i="12"/>
  <c r="E16" i="8"/>
  <c r="H17" i="12"/>
  <c r="E13" i="8"/>
  <c r="H12" i="12"/>
  <c r="F4" i="9"/>
  <c r="E11" i="3"/>
  <c r="E19" i="3"/>
  <c r="W617" i="6"/>
  <c r="X698" i="6"/>
  <c r="E16" i="9"/>
  <c r="E23" i="9"/>
  <c r="E7" i="3"/>
  <c r="E6" i="3"/>
  <c r="E5" i="3"/>
  <c r="E23" i="3"/>
  <c r="F11" i="14"/>
  <c r="E10" i="3"/>
  <c r="E15" i="8"/>
  <c r="E6" i="8"/>
  <c r="E20" i="8"/>
  <c r="E23" i="8"/>
  <c r="F10" i="14"/>
  <c r="E10" i="14" s="1"/>
  <c r="F15" i="14"/>
  <c r="H11" i="14"/>
  <c r="F21" i="14"/>
  <c r="H4" i="14"/>
  <c r="F4" i="14"/>
  <c r="E15" i="3"/>
  <c r="E22" i="3"/>
  <c r="J3" i="8"/>
  <c r="N3" i="8" s="1"/>
  <c r="F12" i="14"/>
  <c r="H6" i="14"/>
  <c r="F18" i="14"/>
  <c r="F8" i="14"/>
  <c r="H5" i="14"/>
  <c r="F23" i="14"/>
  <c r="F16" i="14"/>
  <c r="F9" i="14"/>
  <c r="H12" i="14"/>
  <c r="F19" i="14"/>
  <c r="F7" i="14"/>
  <c r="F17" i="14"/>
  <c r="H17" i="14"/>
  <c r="H14" i="14"/>
  <c r="E14" i="14" s="1"/>
  <c r="H16" i="14"/>
  <c r="H8" i="14"/>
  <c r="F20" i="14"/>
  <c r="H13" i="14"/>
  <c r="H15" i="14"/>
  <c r="F6" i="14"/>
  <c r="F22" i="14"/>
  <c r="H7" i="14"/>
  <c r="H21" i="14"/>
  <c r="F13" i="14"/>
  <c r="H9" i="14"/>
  <c r="H18" i="14"/>
  <c r="H22" i="14"/>
  <c r="N183" i="14"/>
  <c r="F5" i="14"/>
  <c r="H19" i="14"/>
  <c r="H23" i="14"/>
  <c r="F18" i="9"/>
  <c r="E13" i="9"/>
  <c r="E14" i="9"/>
  <c r="G6" i="12" s="1"/>
  <c r="F7" i="9"/>
  <c r="E7" i="9" s="1"/>
  <c r="F10" i="9"/>
  <c r="E10" i="9" s="1"/>
  <c r="E13" i="3"/>
  <c r="E18" i="3"/>
  <c r="E14" i="3"/>
  <c r="E12" i="3"/>
  <c r="E9" i="3"/>
  <c r="E8" i="3"/>
  <c r="E17" i="3"/>
  <c r="E21" i="3"/>
  <c r="E16" i="3"/>
  <c r="E4" i="3"/>
  <c r="J33" i="5"/>
  <c r="J37" i="5" s="1"/>
  <c r="J41" i="5" s="1"/>
  <c r="K33" i="5"/>
  <c r="K37" i="5" s="1"/>
  <c r="K41" i="5" s="1"/>
  <c r="X726" i="6"/>
  <c r="W635" i="6"/>
  <c r="W621" i="6"/>
  <c r="W618" i="6"/>
  <c r="X619" i="6"/>
  <c r="W630" i="6"/>
  <c r="W629" i="6"/>
  <c r="X109" i="6"/>
  <c r="W631" i="6"/>
  <c r="W616" i="6"/>
  <c r="W636" i="6"/>
  <c r="X634" i="6"/>
  <c r="W634" i="6"/>
  <c r="W701" i="6"/>
  <c r="W622" i="6"/>
  <c r="Z621" i="6"/>
  <c r="D9" i="12" s="1"/>
  <c r="X621" i="6"/>
  <c r="X774" i="6"/>
  <c r="W626" i="6"/>
  <c r="X79" i="6"/>
  <c r="W620" i="6"/>
  <c r="X89" i="6"/>
  <c r="W625" i="6"/>
  <c r="W623" i="6"/>
  <c r="W619" i="6"/>
  <c r="Z619" i="6"/>
  <c r="D7" i="12" s="1"/>
  <c r="X711" i="6"/>
  <c r="W670" i="6"/>
  <c r="W673" i="6"/>
  <c r="W733" i="6"/>
  <c r="X710" i="6"/>
  <c r="X670" i="6"/>
  <c r="X813" i="6"/>
  <c r="W728" i="6"/>
  <c r="X669" i="6"/>
  <c r="W695" i="6"/>
  <c r="W714" i="6"/>
  <c r="W715" i="6"/>
  <c r="Z670" i="6"/>
  <c r="C38" i="12" s="1"/>
  <c r="R38" i="12" s="1"/>
  <c r="X733" i="6"/>
  <c r="W666" i="6"/>
  <c r="X74" i="6"/>
  <c r="X683" i="6" s="1"/>
  <c r="W682" i="6"/>
  <c r="W718" i="6"/>
  <c r="W674" i="6"/>
  <c r="X678" i="6"/>
  <c r="Z460" i="6"/>
  <c r="Z690" i="6" s="1"/>
  <c r="C58" i="12" s="1"/>
  <c r="R58" i="12" s="1"/>
  <c r="X690" i="6"/>
  <c r="W687" i="6"/>
  <c r="W725" i="6"/>
  <c r="W731" i="6"/>
  <c r="W681" i="6"/>
  <c r="R13" i="5"/>
  <c r="R9" i="5"/>
  <c r="L17" i="12"/>
  <c r="L13" i="12"/>
  <c r="L11" i="12"/>
  <c r="L18" i="12"/>
  <c r="L10" i="12"/>
  <c r="Q856" i="6"/>
  <c r="S856" i="6"/>
  <c r="R856" i="6"/>
  <c r="X29" i="6"/>
  <c r="X27" i="6"/>
  <c r="X28" i="6"/>
  <c r="X814" i="6" l="1"/>
  <c r="X831" i="6"/>
  <c r="U81" i="12"/>
  <c r="F24" i="20"/>
  <c r="X700" i="6"/>
  <c r="X826" i="6"/>
  <c r="X745" i="6"/>
  <c r="K226" i="12"/>
  <c r="Z698" i="6"/>
  <c r="C66" i="12" s="1"/>
  <c r="R66" i="12" s="1"/>
  <c r="Z753" i="6"/>
  <c r="C121" i="12" s="1"/>
  <c r="M121" i="12" s="1"/>
  <c r="X842" i="6"/>
  <c r="F3" i="9"/>
  <c r="R3" i="9" s="1"/>
  <c r="E17" i="14"/>
  <c r="P27" i="5"/>
  <c r="X27" i="5"/>
  <c r="B35" i="22"/>
  <c r="B35" i="20"/>
  <c r="K30" i="22"/>
  <c r="B30" i="22" s="1"/>
  <c r="M30" i="5" s="1"/>
  <c r="S30" i="5" s="1"/>
  <c r="M26" i="12"/>
  <c r="M29" i="12" s="1"/>
  <c r="E23" i="20"/>
  <c r="B27" i="20"/>
  <c r="S22" i="20"/>
  <c r="S22" i="22"/>
  <c r="D22" i="20"/>
  <c r="D22" i="22"/>
  <c r="U84" i="12"/>
  <c r="B28" i="22"/>
  <c r="M28" i="5" s="1"/>
  <c r="B28" i="20"/>
  <c r="P24" i="20"/>
  <c r="P24" i="22"/>
  <c r="O26" i="20"/>
  <c r="O26" i="22"/>
  <c r="N29" i="20"/>
  <c r="N29" i="22"/>
  <c r="R29" i="20"/>
  <c r="R29" i="22"/>
  <c r="K26" i="20"/>
  <c r="K26" i="22"/>
  <c r="K29" i="20"/>
  <c r="K29" i="22"/>
  <c r="I29" i="20"/>
  <c r="I29" i="22"/>
  <c r="S26" i="20"/>
  <c r="S26" i="22"/>
  <c r="C24" i="20"/>
  <c r="C24" i="22"/>
  <c r="R24" i="20"/>
  <c r="R24" i="22"/>
  <c r="T26" i="20"/>
  <c r="T26" i="22"/>
  <c r="V29" i="20"/>
  <c r="V29" i="22"/>
  <c r="C29" i="20"/>
  <c r="C29" i="22"/>
  <c r="G29" i="20"/>
  <c r="G29" i="22"/>
  <c r="U56" i="12"/>
  <c r="E24" i="20"/>
  <c r="E24" i="22"/>
  <c r="C26" i="20"/>
  <c r="C26" i="22"/>
  <c r="V26" i="20"/>
  <c r="V26" i="22"/>
  <c r="J26" i="20"/>
  <c r="J26" i="22"/>
  <c r="D29" i="20"/>
  <c r="D29" i="22"/>
  <c r="E20" i="14"/>
  <c r="E26" i="20"/>
  <c r="E26" i="22"/>
  <c r="N26" i="20"/>
  <c r="N26" i="22"/>
  <c r="J29" i="20"/>
  <c r="J29" i="22"/>
  <c r="S29" i="20"/>
  <c r="S29" i="22"/>
  <c r="T29" i="20"/>
  <c r="T29" i="22"/>
  <c r="J24" i="20"/>
  <c r="J24" i="22"/>
  <c r="I24" i="20"/>
  <c r="I24" i="22"/>
  <c r="Q24" i="20"/>
  <c r="Q24" i="22"/>
  <c r="P26" i="20"/>
  <c r="P26" i="22"/>
  <c r="R26" i="20"/>
  <c r="R26" i="22"/>
  <c r="D24" i="20"/>
  <c r="D24" i="22"/>
  <c r="D26" i="20"/>
  <c r="D26" i="22"/>
  <c r="L26" i="20"/>
  <c r="L26" i="22"/>
  <c r="L29" i="20"/>
  <c r="L29" i="22"/>
  <c r="M29" i="20"/>
  <c r="M29" i="22"/>
  <c r="E29" i="20"/>
  <c r="E29" i="22"/>
  <c r="U185" i="12"/>
  <c r="M24" i="20"/>
  <c r="M24" i="22"/>
  <c r="K24" i="20"/>
  <c r="K24" i="22"/>
  <c r="O24" i="20"/>
  <c r="O24" i="22"/>
  <c r="I26" i="20"/>
  <c r="I26" i="22"/>
  <c r="U26" i="20"/>
  <c r="U26" i="22"/>
  <c r="H26" i="20"/>
  <c r="H26" i="22"/>
  <c r="M26" i="20"/>
  <c r="M26" i="22"/>
  <c r="H29" i="20"/>
  <c r="H29" i="22"/>
  <c r="Q29" i="20"/>
  <c r="Q29" i="22"/>
  <c r="G26" i="20"/>
  <c r="G26" i="22"/>
  <c r="U53" i="12"/>
  <c r="V24" i="20"/>
  <c r="V24" i="22"/>
  <c r="H24" i="20"/>
  <c r="H24" i="22"/>
  <c r="G24" i="20"/>
  <c r="G24" i="22"/>
  <c r="S24" i="20"/>
  <c r="S24" i="22"/>
  <c r="N24" i="20"/>
  <c r="N24" i="22"/>
  <c r="Q26" i="20"/>
  <c r="Q26" i="22"/>
  <c r="U29" i="20"/>
  <c r="U29" i="22"/>
  <c r="K30" i="20"/>
  <c r="B30" i="20" s="1"/>
  <c r="T72" i="12"/>
  <c r="U52" i="12"/>
  <c r="U39" i="12"/>
  <c r="U117" i="12"/>
  <c r="S64" i="12"/>
  <c r="S98" i="12"/>
  <c r="M208" i="12"/>
  <c r="Q208" i="12" s="1"/>
  <c r="M38" i="12"/>
  <c r="Q38" i="12" s="1"/>
  <c r="M58" i="12"/>
  <c r="Q58" i="12" s="1"/>
  <c r="F26" i="20"/>
  <c r="E26" i="12"/>
  <c r="D226" i="12" s="1"/>
  <c r="F29" i="20"/>
  <c r="Z822" i="6"/>
  <c r="C190" i="12" s="1"/>
  <c r="X822" i="6"/>
  <c r="C16" i="12"/>
  <c r="N16" i="12" s="1"/>
  <c r="J29" i="12"/>
  <c r="Z461" i="6"/>
  <c r="Z847" i="6" s="1"/>
  <c r="C215" i="12" s="1"/>
  <c r="M215" i="12" s="1"/>
  <c r="F29" i="12"/>
  <c r="W638" i="6"/>
  <c r="F3" i="14"/>
  <c r="H3" i="14"/>
  <c r="E3" i="3"/>
  <c r="C21" i="12"/>
  <c r="N21" i="12" s="1"/>
  <c r="E3" i="8"/>
  <c r="C15" i="12"/>
  <c r="I26" i="12"/>
  <c r="H226" i="12" s="1"/>
  <c r="C12" i="12"/>
  <c r="N12" i="12" s="1"/>
  <c r="C9" i="12"/>
  <c r="N9" i="12" s="1"/>
  <c r="C7" i="12"/>
  <c r="N7" i="12" s="1"/>
  <c r="L26" i="12"/>
  <c r="H26" i="12"/>
  <c r="G226" i="12" s="1"/>
  <c r="E4" i="9"/>
  <c r="E18" i="14"/>
  <c r="E11" i="14"/>
  <c r="E18" i="9"/>
  <c r="E8" i="14"/>
  <c r="E21" i="14"/>
  <c r="E6" i="14"/>
  <c r="E23" i="14"/>
  <c r="E5" i="14"/>
  <c r="E9" i="14"/>
  <c r="E12" i="14"/>
  <c r="X618" i="6"/>
  <c r="E13" i="14"/>
  <c r="E19" i="14"/>
  <c r="E16" i="14"/>
  <c r="E7" i="14"/>
  <c r="E15" i="14"/>
  <c r="E22" i="14"/>
  <c r="E4" i="14"/>
  <c r="M218" i="12"/>
  <c r="Q218" i="12" s="1"/>
  <c r="X673" i="6"/>
  <c r="X707" i="6"/>
  <c r="Z733" i="6"/>
  <c r="C101" i="12" s="1"/>
  <c r="F22" i="21" s="1"/>
  <c r="Z634" i="6"/>
  <c r="D22" i="12" s="1"/>
  <c r="F22" i="22" s="1"/>
  <c r="F31" i="22" s="1"/>
  <c r="X728" i="6"/>
  <c r="X630" i="6"/>
  <c r="X623" i="6"/>
  <c r="Z79" i="6"/>
  <c r="Z826" i="6" s="1"/>
  <c r="C194" i="12" s="1"/>
  <c r="M194" i="12" s="1"/>
  <c r="X620" i="6"/>
  <c r="Z109" i="6"/>
  <c r="Z831" i="6" s="1"/>
  <c r="C199" i="12" s="1"/>
  <c r="M199" i="12" s="1"/>
  <c r="Q199" i="12" s="1"/>
  <c r="X631" i="6"/>
  <c r="Z632" i="6"/>
  <c r="D20" i="12" s="1"/>
  <c r="U22" i="22" s="1"/>
  <c r="X632" i="6"/>
  <c r="Z711" i="6"/>
  <c r="C79" i="12" s="1"/>
  <c r="R79" i="12" s="1"/>
  <c r="X622" i="6"/>
  <c r="X681" i="6"/>
  <c r="X731" i="6"/>
  <c r="X636" i="6"/>
  <c r="X725" i="6"/>
  <c r="X617" i="6"/>
  <c r="Z89" i="6"/>
  <c r="X625" i="6"/>
  <c r="X626" i="6"/>
  <c r="X629" i="6"/>
  <c r="X635" i="6"/>
  <c r="X616" i="6"/>
  <c r="Z710" i="6"/>
  <c r="C78" i="12" s="1"/>
  <c r="R78" i="12" s="1"/>
  <c r="X666" i="6"/>
  <c r="X701" i="6"/>
  <c r="Z813" i="6"/>
  <c r="C181" i="12" s="1"/>
  <c r="Z678" i="6"/>
  <c r="C46" i="12" s="1"/>
  <c r="M46" i="12" s="1"/>
  <c r="Q46" i="12" s="1"/>
  <c r="U46" i="12" s="1"/>
  <c r="F17" i="21" s="1"/>
  <c r="X674" i="6"/>
  <c r="Z718" i="6"/>
  <c r="C86" i="12" s="1"/>
  <c r="R86" i="12" s="1"/>
  <c r="X718" i="6"/>
  <c r="Z74" i="6"/>
  <c r="AA74" i="6" s="1"/>
  <c r="X686" i="6"/>
  <c r="X695" i="6"/>
  <c r="Z676" i="6"/>
  <c r="C44" i="12" s="1"/>
  <c r="X676" i="6"/>
  <c r="X715" i="6"/>
  <c r="Z714" i="6"/>
  <c r="C82" i="12" s="1"/>
  <c r="R82" i="12" s="1"/>
  <c r="X714" i="6"/>
  <c r="Z682" i="6"/>
  <c r="C50" i="12" s="1"/>
  <c r="X682" i="6"/>
  <c r="Z687" i="6"/>
  <c r="C55" i="12" s="1"/>
  <c r="R55" i="12" s="1"/>
  <c r="X687" i="6"/>
  <c r="Z29" i="6"/>
  <c r="AA29" i="6" s="1"/>
  <c r="H5" i="6"/>
  <c r="H12" i="6"/>
  <c r="E226" i="12"/>
  <c r="Z27" i="6"/>
  <c r="AA27" i="6" s="1"/>
  <c r="Z28" i="6"/>
  <c r="H9" i="6"/>
  <c r="Q194" i="12" l="1"/>
  <c r="T194" i="12" s="1"/>
  <c r="U194" i="12" s="1"/>
  <c r="Z715" i="6"/>
  <c r="C83" i="12" s="1"/>
  <c r="R83" i="12" s="1"/>
  <c r="AA89" i="6"/>
  <c r="Z745" i="6"/>
  <c r="C113" i="12" s="1"/>
  <c r="M113" i="12" s="1"/>
  <c r="Q113" i="12" s="1"/>
  <c r="T113" i="12" s="1"/>
  <c r="U113" i="12" s="1"/>
  <c r="Q215" i="12"/>
  <c r="T215" i="12" s="1"/>
  <c r="U215" i="12" s="1"/>
  <c r="F20" i="21" s="1"/>
  <c r="M66" i="12"/>
  <c r="Q66" i="12" s="1"/>
  <c r="S66" i="12" s="1"/>
  <c r="R91" i="12"/>
  <c r="Z842" i="6"/>
  <c r="C210" i="12" s="1"/>
  <c r="M210" i="12" s="1"/>
  <c r="Q121" i="12"/>
  <c r="T121" i="12" s="1"/>
  <c r="U121" i="12" s="1"/>
  <c r="P28" i="5"/>
  <c r="X28" i="5"/>
  <c r="P30" i="5"/>
  <c r="X30" i="5"/>
  <c r="O31" i="20"/>
  <c r="O33" i="20" s="1"/>
  <c r="O37" i="20" s="1"/>
  <c r="O41" i="20" s="1"/>
  <c r="Z620" i="6"/>
  <c r="D8" i="12" s="1"/>
  <c r="G22" i="22" s="1"/>
  <c r="G31" i="22" s="1"/>
  <c r="G33" i="22" s="1"/>
  <c r="G37" i="22" s="1"/>
  <c r="G41" i="22" s="1"/>
  <c r="AA79" i="6"/>
  <c r="Z636" i="6"/>
  <c r="D24" i="12" s="1"/>
  <c r="V22" i="22" s="1"/>
  <c r="V31" i="22" s="1"/>
  <c r="V33" i="22" s="1"/>
  <c r="V37" i="22" s="1"/>
  <c r="V41" i="22" s="1"/>
  <c r="AA28" i="6"/>
  <c r="Z674" i="6"/>
  <c r="C42" i="12" s="1"/>
  <c r="M42" i="12" s="1"/>
  <c r="Q42" i="12" s="1"/>
  <c r="H29" i="12"/>
  <c r="D31" i="20"/>
  <c r="D33" i="20" s="1"/>
  <c r="D37" i="20" s="1"/>
  <c r="D41" i="20" s="1"/>
  <c r="B6" i="22"/>
  <c r="M6" i="5" s="1"/>
  <c r="X6" i="5" s="1"/>
  <c r="J31" i="20"/>
  <c r="J33" i="20" s="1"/>
  <c r="J37" i="20" s="1"/>
  <c r="J41" i="20" s="1"/>
  <c r="R31" i="20"/>
  <c r="R33" i="20" s="1"/>
  <c r="R37" i="20" s="1"/>
  <c r="R41" i="20" s="1"/>
  <c r="B26" i="22"/>
  <c r="M26" i="5" s="1"/>
  <c r="U31" i="22"/>
  <c r="U33" i="22" s="1"/>
  <c r="U37" i="22" s="1"/>
  <c r="U41" i="22" s="1"/>
  <c r="M31" i="20"/>
  <c r="M33" i="20" s="1"/>
  <c r="M37" i="20" s="1"/>
  <c r="M41" i="20" s="1"/>
  <c r="S31" i="20"/>
  <c r="S33" i="20" s="1"/>
  <c r="S37" i="20" s="1"/>
  <c r="S41" i="20" s="1"/>
  <c r="B26" i="20"/>
  <c r="D31" i="22"/>
  <c r="D33" i="22" s="1"/>
  <c r="D37" i="22" s="1"/>
  <c r="D41" i="22" s="1"/>
  <c r="B24" i="22"/>
  <c r="M24" i="5" s="1"/>
  <c r="B24" i="20"/>
  <c r="M31" i="22"/>
  <c r="B29" i="22"/>
  <c r="M29" i="5" s="1"/>
  <c r="X29" i="5" s="1"/>
  <c r="R31" i="22"/>
  <c r="R33" i="22" s="1"/>
  <c r="R37" i="22" s="1"/>
  <c r="R41" i="22" s="1"/>
  <c r="B29" i="20"/>
  <c r="J31" i="22"/>
  <c r="J33" i="22" s="1"/>
  <c r="J37" i="22" s="1"/>
  <c r="J41" i="22" s="1"/>
  <c r="O31" i="22"/>
  <c r="O33" i="22" s="1"/>
  <c r="O37" i="22" s="1"/>
  <c r="O41" i="22" s="1"/>
  <c r="S31" i="22"/>
  <c r="S33" i="22" s="1"/>
  <c r="S37" i="22" s="1"/>
  <c r="S41" i="22" s="1"/>
  <c r="U72" i="12"/>
  <c r="T64" i="12"/>
  <c r="U64" i="12" s="1"/>
  <c r="T98" i="12"/>
  <c r="L29" i="12"/>
  <c r="L226" i="12"/>
  <c r="M55" i="12"/>
  <c r="Q55" i="12" s="1"/>
  <c r="M79" i="12"/>
  <c r="Q79" i="12" s="1"/>
  <c r="M86" i="12"/>
  <c r="Q86" i="12" s="1"/>
  <c r="M82" i="12"/>
  <c r="Q82" i="12" s="1"/>
  <c r="M190" i="12"/>
  <c r="Q190" i="12" s="1"/>
  <c r="M101" i="12"/>
  <c r="Q101" i="12" s="1"/>
  <c r="M50" i="12"/>
  <c r="Q50" i="12" s="1"/>
  <c r="M181" i="12"/>
  <c r="Q181" i="12" s="1"/>
  <c r="M44" i="12"/>
  <c r="Q44" i="12" s="1"/>
  <c r="M78" i="12"/>
  <c r="Q78" i="12" s="1"/>
  <c r="C20" i="12"/>
  <c r="N20" i="12" s="1"/>
  <c r="U22" i="20"/>
  <c r="U31" i="20" s="1"/>
  <c r="U33" i="20" s="1"/>
  <c r="U37" i="20" s="1"/>
  <c r="U41" i="20" s="1"/>
  <c r="C22" i="12"/>
  <c r="F22" i="20"/>
  <c r="F31" i="20" s="1"/>
  <c r="F33" i="20" s="1"/>
  <c r="F37" i="20" s="1"/>
  <c r="F41" i="20" s="1"/>
  <c r="E29" i="12"/>
  <c r="Z669" i="6"/>
  <c r="C37" i="12" s="1"/>
  <c r="R37" i="12" s="1"/>
  <c r="Z707" i="6"/>
  <c r="C75" i="12" s="1"/>
  <c r="R75" i="12" s="1"/>
  <c r="Z726" i="6"/>
  <c r="C94" i="12" s="1"/>
  <c r="R94" i="12" s="1"/>
  <c r="Z626" i="6"/>
  <c r="Z774" i="6"/>
  <c r="C142" i="12" s="1"/>
  <c r="K3" i="8"/>
  <c r="Z686" i="6"/>
  <c r="C54" i="12" s="1"/>
  <c r="R54" i="12" s="1"/>
  <c r="Z683" i="6"/>
  <c r="C51" i="12" s="1"/>
  <c r="R51" i="12" s="1"/>
  <c r="Z631" i="6"/>
  <c r="Z814" i="6"/>
  <c r="Z700" i="6"/>
  <c r="C68" i="12" s="1"/>
  <c r="R68" i="12" s="1"/>
  <c r="X638" i="6"/>
  <c r="E3" i="14"/>
  <c r="I3" i="14" s="1"/>
  <c r="G5" i="12"/>
  <c r="C23" i="22" s="1"/>
  <c r="B23" i="22" s="1"/>
  <c r="M23" i="5" s="1"/>
  <c r="E3" i="9"/>
  <c r="M3" i="3"/>
  <c r="Z625" i="6"/>
  <c r="H6" i="6" s="1"/>
  <c r="C92" i="12"/>
  <c r="H21" i="6"/>
  <c r="Z681" i="6"/>
  <c r="C49" i="12" s="1"/>
  <c r="R49" i="12" s="1"/>
  <c r="Z629" i="6"/>
  <c r="H16" i="6" s="1"/>
  <c r="Z623" i="6"/>
  <c r="H18" i="6" s="1"/>
  <c r="Z616" i="6"/>
  <c r="Z617" i="6"/>
  <c r="Z728" i="6"/>
  <c r="C96" i="12" s="1"/>
  <c r="R96" i="12" s="1"/>
  <c r="Z630" i="6"/>
  <c r="Z701" i="6"/>
  <c r="C69" i="12" s="1"/>
  <c r="Z622" i="6"/>
  <c r="Z673" i="6"/>
  <c r="C41" i="12" s="1"/>
  <c r="Z666" i="6"/>
  <c r="Z618" i="6"/>
  <c r="Z695" i="6"/>
  <c r="C63" i="12" s="1"/>
  <c r="R63" i="12" s="1"/>
  <c r="Z635" i="6"/>
  <c r="H23" i="6" s="1"/>
  <c r="Z725" i="6"/>
  <c r="C93" i="12" s="1"/>
  <c r="Z731" i="6"/>
  <c r="C99" i="12" s="1"/>
  <c r="R99" i="12" s="1"/>
  <c r="H7" i="6"/>
  <c r="H22" i="6"/>
  <c r="M35" i="5"/>
  <c r="J226" i="12"/>
  <c r="M69" i="12" l="1"/>
  <c r="R69" i="12"/>
  <c r="R92" i="12"/>
  <c r="M92" i="12"/>
  <c r="Q92" i="12" s="1"/>
  <c r="M83" i="12"/>
  <c r="Q83" i="12" s="1"/>
  <c r="X37" i="12"/>
  <c r="F15" i="21"/>
  <c r="I12" i="22" s="1"/>
  <c r="I19" i="22" s="1"/>
  <c r="B11" i="12" s="1"/>
  <c r="D14" i="12"/>
  <c r="K22" i="22" s="1"/>
  <c r="K31" i="22" s="1"/>
  <c r="K33" i="22" s="1"/>
  <c r="K37" i="22" s="1"/>
  <c r="K41" i="22" s="1"/>
  <c r="H15" i="6"/>
  <c r="F21" i="21"/>
  <c r="Q210" i="12"/>
  <c r="T210" i="12" s="1"/>
  <c r="U210" i="12" s="1"/>
  <c r="H10" i="6"/>
  <c r="P26" i="5"/>
  <c r="X26" i="5"/>
  <c r="P35" i="5"/>
  <c r="X35" i="5"/>
  <c r="P23" i="5"/>
  <c r="R23" i="5" s="1"/>
  <c r="X23" i="5"/>
  <c r="P24" i="5"/>
  <c r="X24" i="5"/>
  <c r="S6" i="5"/>
  <c r="P6" i="5"/>
  <c r="S29" i="5"/>
  <c r="P29" i="5"/>
  <c r="R29" i="5" s="1"/>
  <c r="H11" i="6"/>
  <c r="V22" i="20"/>
  <c r="V31" i="20" s="1"/>
  <c r="V33" i="20" s="1"/>
  <c r="V37" i="20" s="1"/>
  <c r="V41" i="20" s="1"/>
  <c r="C24" i="12"/>
  <c r="N24" i="12" s="1"/>
  <c r="G22" i="20"/>
  <c r="G31" i="20" s="1"/>
  <c r="G33" i="20" s="1"/>
  <c r="G37" i="20" s="1"/>
  <c r="G41" i="20" s="1"/>
  <c r="C8" i="12"/>
  <c r="N8" i="12" s="1"/>
  <c r="D19" i="12"/>
  <c r="Q22" i="22" s="1"/>
  <c r="Q31" i="22" s="1"/>
  <c r="Q33" i="22" s="1"/>
  <c r="Q37" i="22" s="1"/>
  <c r="Q41" i="22" s="1"/>
  <c r="H8" i="6"/>
  <c r="D5" i="12"/>
  <c r="C22" i="22" s="1"/>
  <c r="H4" i="6"/>
  <c r="C182" i="12"/>
  <c r="R182" i="12" s="1"/>
  <c r="R223" i="12" s="1"/>
  <c r="S38" i="12"/>
  <c r="S58" i="12"/>
  <c r="U98" i="12"/>
  <c r="S82" i="12"/>
  <c r="S55" i="12"/>
  <c r="M37" i="12"/>
  <c r="Q37" i="12" s="1"/>
  <c r="M51" i="12"/>
  <c r="Q51" i="12" s="1"/>
  <c r="M54" i="12"/>
  <c r="Q54" i="12" s="1"/>
  <c r="M142" i="12"/>
  <c r="M41" i="12"/>
  <c r="Q41" i="12" s="1"/>
  <c r="M99" i="12"/>
  <c r="Q99" i="12" s="1"/>
  <c r="M94" i="12"/>
  <c r="Q94" i="12" s="1"/>
  <c r="M68" i="12"/>
  <c r="Q68" i="12" s="1"/>
  <c r="M49" i="12"/>
  <c r="Q49" i="12" s="1"/>
  <c r="M75" i="12"/>
  <c r="Q75" i="12" s="1"/>
  <c r="M96" i="12"/>
  <c r="Q96" i="12" s="1"/>
  <c r="M93" i="12"/>
  <c r="Q93" i="12" s="1"/>
  <c r="M63" i="12"/>
  <c r="Q63" i="12" s="1"/>
  <c r="G26" i="12"/>
  <c r="G29" i="12" s="1"/>
  <c r="C23" i="20"/>
  <c r="B23" i="20" s="1"/>
  <c r="I29" i="12"/>
  <c r="Z638" i="6"/>
  <c r="C34" i="12"/>
  <c r="Z856" i="6"/>
  <c r="R35" i="5"/>
  <c r="R28" i="5"/>
  <c r="S28" i="5"/>
  <c r="R27" i="5"/>
  <c r="S27" i="5"/>
  <c r="D23" i="12"/>
  <c r="N22" i="22" s="1"/>
  <c r="N31" i="22" s="1"/>
  <c r="H14" i="6"/>
  <c r="D6" i="12"/>
  <c r="E22" i="22" s="1"/>
  <c r="E31" i="22" s="1"/>
  <c r="E33" i="22" s="1"/>
  <c r="E37" i="22" s="1"/>
  <c r="E41" i="22" s="1"/>
  <c r="D13" i="12"/>
  <c r="L22" i="22" s="1"/>
  <c r="L31" i="22" s="1"/>
  <c r="L33" i="22" s="1"/>
  <c r="L37" i="22" s="1"/>
  <c r="L41" i="22" s="1"/>
  <c r="D11" i="12"/>
  <c r="I22" i="22" s="1"/>
  <c r="I31" i="22" s="1"/>
  <c r="H17" i="6"/>
  <c r="D10" i="12"/>
  <c r="H22" i="22" s="1"/>
  <c r="H31" i="22" s="1"/>
  <c r="H20" i="6"/>
  <c r="D18" i="12"/>
  <c r="T22" i="22" s="1"/>
  <c r="T31" i="22" s="1"/>
  <c r="D17" i="12"/>
  <c r="P22" i="22" s="1"/>
  <c r="P31" i="22" s="1"/>
  <c r="P33" i="22" s="1"/>
  <c r="P37" i="22" s="1"/>
  <c r="P41" i="22" s="1"/>
  <c r="S24" i="5"/>
  <c r="K22" i="20" l="1"/>
  <c r="K31" i="20" s="1"/>
  <c r="K33" i="20" s="1"/>
  <c r="K37" i="20" s="1"/>
  <c r="K41" i="20" s="1"/>
  <c r="Q69" i="12"/>
  <c r="S69" i="12" s="1"/>
  <c r="U69" i="12"/>
  <c r="C14" i="12"/>
  <c r="N14" i="12" s="1"/>
  <c r="Q142" i="12"/>
  <c r="T142" i="12" s="1"/>
  <c r="U142" i="12" s="1"/>
  <c r="B12" i="22"/>
  <c r="M12" i="5" s="1"/>
  <c r="S12" i="5" s="1"/>
  <c r="F19" i="21"/>
  <c r="T8" i="22" s="1"/>
  <c r="B8" i="22" s="1"/>
  <c r="M8" i="5" s="1"/>
  <c r="X38" i="12"/>
  <c r="I33" i="22"/>
  <c r="I37" i="22" s="1"/>
  <c r="I41" i="22" s="1"/>
  <c r="P12" i="5"/>
  <c r="R12" i="5" s="1"/>
  <c r="X12" i="5"/>
  <c r="C19" i="12"/>
  <c r="N19" i="12" s="1"/>
  <c r="Q22" i="20"/>
  <c r="Q31" i="20" s="1"/>
  <c r="Q33" i="20" s="1"/>
  <c r="Q37" i="20" s="1"/>
  <c r="Q41" i="20" s="1"/>
  <c r="C223" i="12"/>
  <c r="C22" i="20"/>
  <c r="C31" i="20" s="1"/>
  <c r="C33" i="20" s="1"/>
  <c r="M182" i="12"/>
  <c r="Q182" i="12" s="1"/>
  <c r="S182" i="12" s="1"/>
  <c r="B22" i="22"/>
  <c r="C31" i="22"/>
  <c r="C33" i="22" s="1"/>
  <c r="T55" i="12"/>
  <c r="U55" i="12" s="1"/>
  <c r="T82" i="12"/>
  <c r="U82" i="12" s="1"/>
  <c r="T58" i="12"/>
  <c r="T38" i="12"/>
  <c r="U38" i="12" s="1"/>
  <c r="S91" i="12"/>
  <c r="S79" i="12"/>
  <c r="S86" i="12"/>
  <c r="S78" i="12"/>
  <c r="S83" i="12"/>
  <c r="T66" i="12"/>
  <c r="S54" i="12"/>
  <c r="S37" i="12"/>
  <c r="F226" i="12"/>
  <c r="M34" i="12"/>
  <c r="Q34" i="12" s="1"/>
  <c r="C13" i="12"/>
  <c r="N13" i="12" s="1"/>
  <c r="L22" i="20"/>
  <c r="L31" i="20" s="1"/>
  <c r="L33" i="20" s="1"/>
  <c r="L37" i="20" s="1"/>
  <c r="L41" i="20" s="1"/>
  <c r="C6" i="12"/>
  <c r="N6" i="12" s="1"/>
  <c r="E22" i="20"/>
  <c r="C23" i="12"/>
  <c r="N22" i="20"/>
  <c r="N31" i="20" s="1"/>
  <c r="N33" i="20" s="1"/>
  <c r="N37" i="20" s="1"/>
  <c r="N41" i="20" s="1"/>
  <c r="C17" i="12"/>
  <c r="N17" i="12" s="1"/>
  <c r="P22" i="20"/>
  <c r="P31" i="20" s="1"/>
  <c r="P33" i="20" s="1"/>
  <c r="P37" i="20" s="1"/>
  <c r="P41" i="20" s="1"/>
  <c r="C18" i="12"/>
  <c r="T22" i="20"/>
  <c r="T31" i="20" s="1"/>
  <c r="T33" i="20" s="1"/>
  <c r="T37" i="20" s="1"/>
  <c r="T41" i="20" s="1"/>
  <c r="C11" i="12"/>
  <c r="N11" i="12" s="1"/>
  <c r="I22" i="20"/>
  <c r="I31" i="20" s="1"/>
  <c r="I33" i="20" s="1"/>
  <c r="I37" i="20" s="1"/>
  <c r="I41" i="20" s="1"/>
  <c r="C10" i="12"/>
  <c r="H22" i="20"/>
  <c r="H31" i="20" s="1"/>
  <c r="H33" i="20" s="1"/>
  <c r="H37" i="20" s="1"/>
  <c r="H41" i="20" s="1"/>
  <c r="S23" i="5"/>
  <c r="H3" i="6"/>
  <c r="K3" i="6" s="1"/>
  <c r="R26" i="5"/>
  <c r="S26" i="5"/>
  <c r="D26" i="12"/>
  <c r="R24" i="5"/>
  <c r="C5" i="12"/>
  <c r="N5" i="12" s="1"/>
  <c r="C226" i="12" l="1"/>
  <c r="T19" i="22"/>
  <c r="B18" i="12" s="1"/>
  <c r="N18" i="12" s="1"/>
  <c r="P8" i="5"/>
  <c r="R8" i="5" s="1"/>
  <c r="X8" i="5"/>
  <c r="S8" i="5"/>
  <c r="B22" i="20"/>
  <c r="B31" i="22"/>
  <c r="M22" i="5"/>
  <c r="C26" i="12"/>
  <c r="U58" i="12"/>
  <c r="C37" i="22"/>
  <c r="T91" i="12"/>
  <c r="U91" i="12" s="1"/>
  <c r="T83" i="12"/>
  <c r="U83" i="12" s="1"/>
  <c r="T78" i="12"/>
  <c r="U78" i="12" s="1"/>
  <c r="T86" i="12"/>
  <c r="U86" i="12" s="1"/>
  <c r="T79" i="12"/>
  <c r="S49" i="12"/>
  <c r="S68" i="12"/>
  <c r="S51" i="12"/>
  <c r="S96" i="12"/>
  <c r="S94" i="12"/>
  <c r="S63" i="12"/>
  <c r="S75" i="12"/>
  <c r="S92" i="12"/>
  <c r="S99" i="12"/>
  <c r="T182" i="12"/>
  <c r="U66" i="12"/>
  <c r="T54" i="12"/>
  <c r="T37" i="12"/>
  <c r="U37" i="12" s="1"/>
  <c r="Q223" i="12"/>
  <c r="M223" i="12"/>
  <c r="E31" i="20"/>
  <c r="E33" i="20" s="1"/>
  <c r="E37" i="20" s="1"/>
  <c r="E41" i="20" s="1"/>
  <c r="B31" i="20"/>
  <c r="C37" i="20"/>
  <c r="D29" i="12"/>
  <c r="T33" i="22" l="1"/>
  <c r="T37" i="22" s="1"/>
  <c r="T41" i="22" s="1"/>
  <c r="P22" i="5"/>
  <c r="P31" i="5" s="1"/>
  <c r="X22" i="5"/>
  <c r="X31" i="5" s="1"/>
  <c r="B37" i="20"/>
  <c r="B33" i="20"/>
  <c r="C41" i="22"/>
  <c r="T63" i="12"/>
  <c r="U63" i="12" s="1"/>
  <c r="U54" i="12"/>
  <c r="U79" i="12"/>
  <c r="T94" i="12"/>
  <c r="U94" i="12" s="1"/>
  <c r="S223" i="12"/>
  <c r="T99" i="12"/>
  <c r="T75" i="12"/>
  <c r="T96" i="12"/>
  <c r="U182" i="12"/>
  <c r="T51" i="12"/>
  <c r="T92" i="12"/>
  <c r="T49" i="12"/>
  <c r="T70" i="12"/>
  <c r="U70" i="12" s="1"/>
  <c r="T68" i="12"/>
  <c r="H8" i="21"/>
  <c r="F8" i="21" s="1"/>
  <c r="C41" i="20"/>
  <c r="B41" i="20" s="1"/>
  <c r="S22" i="5"/>
  <c r="B226" i="12"/>
  <c r="U96" i="12" l="1"/>
  <c r="T223" i="12"/>
  <c r="U49" i="12"/>
  <c r="U75" i="12"/>
  <c r="X35" i="12" s="1"/>
  <c r="U51" i="12"/>
  <c r="U99" i="12"/>
  <c r="U68" i="12"/>
  <c r="U92" i="12"/>
  <c r="X34" i="12" s="1"/>
  <c r="M31" i="5"/>
  <c r="R22" i="5"/>
  <c r="H10" i="21" l="1"/>
  <c r="L10" i="21"/>
  <c r="N16" i="22" s="1"/>
  <c r="N19" i="22" s="1"/>
  <c r="B23" i="12" s="1"/>
  <c r="N23" i="12" s="1"/>
  <c r="X39" i="12"/>
  <c r="X36" i="12"/>
  <c r="H19" i="22"/>
  <c r="B5" i="22"/>
  <c r="K10" i="21"/>
  <c r="M16" i="22" s="1"/>
  <c r="M19" i="22" s="1"/>
  <c r="I10" i="21"/>
  <c r="F16" i="22" s="1"/>
  <c r="U223" i="12"/>
  <c r="V43" i="5"/>
  <c r="V22" i="5"/>
  <c r="V24" i="5"/>
  <c r="V39" i="5"/>
  <c r="V23" i="5"/>
  <c r="V35" i="5"/>
  <c r="V25" i="5"/>
  <c r="V26" i="5"/>
  <c r="V30" i="5"/>
  <c r="V29" i="5"/>
  <c r="V28" i="5"/>
  <c r="V27" i="5"/>
  <c r="S31" i="5"/>
  <c r="R31" i="5"/>
  <c r="F10" i="21" l="1"/>
  <c r="B16" i="22"/>
  <c r="M16" i="5" s="1"/>
  <c r="X16" i="5" s="1"/>
  <c r="N33" i="22"/>
  <c r="N37" i="22" s="1"/>
  <c r="N41" i="22" s="1"/>
  <c r="B15" i="12"/>
  <c r="N15" i="12" s="1"/>
  <c r="M33" i="22"/>
  <c r="M37" i="22" s="1"/>
  <c r="M41" i="22" s="1"/>
  <c r="B10" i="12"/>
  <c r="H33" i="22"/>
  <c r="H37" i="22" s="1"/>
  <c r="H41" i="22" s="1"/>
  <c r="M5" i="5"/>
  <c r="F19" i="22"/>
  <c r="F28" i="21"/>
  <c r="F40" i="21" s="1"/>
  <c r="V31" i="5"/>
  <c r="C29" i="12"/>
  <c r="P5" i="5" l="1"/>
  <c r="R5" i="5" s="1"/>
  <c r="X5" i="5"/>
  <c r="X19" i="5" s="1"/>
  <c r="X33" i="5" s="1"/>
  <c r="X37" i="5" s="1"/>
  <c r="X41" i="5" s="1"/>
  <c r="S16" i="5"/>
  <c r="P16" i="5"/>
  <c r="B19" i="22"/>
  <c r="B22" i="12"/>
  <c r="N22" i="12" s="1"/>
  <c r="F33" i="22"/>
  <c r="S5" i="5"/>
  <c r="M19" i="5"/>
  <c r="V5" i="5" s="1"/>
  <c r="N10" i="12"/>
  <c r="P19" i="5" l="1"/>
  <c r="P33" i="5" s="1"/>
  <c r="R16" i="5"/>
  <c r="R19" i="5" s="1"/>
  <c r="R33" i="5" s="1"/>
  <c r="R37" i="5" s="1"/>
  <c r="N26" i="12"/>
  <c r="B26" i="12"/>
  <c r="B29" i="12" s="1"/>
  <c r="S19" i="5"/>
  <c r="V10" i="5"/>
  <c r="V15" i="5"/>
  <c r="V9" i="5"/>
  <c r="V11" i="5"/>
  <c r="V6" i="5"/>
  <c r="V18" i="5"/>
  <c r="V7" i="5"/>
  <c r="V12" i="5"/>
  <c r="V17" i="5"/>
  <c r="V8" i="5"/>
  <c r="V14" i="5"/>
  <c r="V13" i="5"/>
  <c r="M33" i="5"/>
  <c r="V16" i="5"/>
  <c r="F37" i="22"/>
  <c r="B33" i="22"/>
  <c r="T856" i="6"/>
  <c r="T25" i="6"/>
  <c r="W856" i="6"/>
  <c r="V19" i="5" l="1"/>
  <c r="F41" i="22"/>
  <c r="B41" i="22" s="1"/>
  <c r="B37" i="22"/>
  <c r="S33" i="5"/>
  <c r="V33" i="5"/>
  <c r="M37" i="5"/>
  <c r="P37" i="5" s="1"/>
  <c r="P41" i="5" s="1"/>
  <c r="X856" i="6"/>
  <c r="S37" i="5" l="1"/>
  <c r="M41" i="5"/>
  <c r="V37" i="5"/>
  <c r="S41" i="5" l="1"/>
  <c r="V41" i="5"/>
</calcChain>
</file>

<file path=xl/comments1.xml><?xml version="1.0" encoding="utf-8"?>
<comments xmlns="http://schemas.openxmlformats.org/spreadsheetml/2006/main">
  <authors>
    <author>afulton</author>
  </authors>
  <commentList>
    <comment ref="H53" authorId="0" shapeId="0">
      <text>
        <r>
          <rPr>
            <b/>
            <sz val="10"/>
            <color indexed="81"/>
            <rFont val="Tahoma"/>
            <family val="2"/>
          </rPr>
          <t>$5.7M drawn in first 5 months of bond project</t>
        </r>
      </text>
    </comment>
    <comment ref="C59" authorId="0" shapeId="0">
      <text>
        <r>
          <rPr>
            <b/>
            <sz val="9"/>
            <color indexed="81"/>
            <rFont val="Tahoma"/>
            <family val="2"/>
          </rPr>
          <t xml:space="preserve">Due FY 2014 </t>
        </r>
      </text>
    </comment>
    <comment ref="D59" authorId="0" shapeId="0">
      <text>
        <r>
          <rPr>
            <b/>
            <sz val="9"/>
            <color indexed="81"/>
            <rFont val="Tahoma"/>
            <family val="2"/>
          </rPr>
          <t xml:space="preserve">Due FY 2015 </t>
        </r>
      </text>
    </comment>
    <comment ref="D117" authorId="0" shapeId="0">
      <text>
        <r>
          <rPr>
            <b/>
            <sz val="9"/>
            <color indexed="81"/>
            <rFont val="Tahoma"/>
            <family val="2"/>
          </rPr>
          <t xml:space="preserve">Due FY 2015 </t>
        </r>
      </text>
    </comment>
    <comment ref="D119" authorId="0" shapeId="0">
      <text>
        <r>
          <rPr>
            <b/>
            <sz val="9"/>
            <color indexed="81"/>
            <rFont val="Tahoma"/>
            <family val="2"/>
          </rPr>
          <t xml:space="preserve">Due FY 2015 </t>
        </r>
      </text>
    </comment>
  </commentList>
</comments>
</file>

<file path=xl/sharedStrings.xml><?xml version="1.0" encoding="utf-8"?>
<sst xmlns="http://schemas.openxmlformats.org/spreadsheetml/2006/main" count="15153" uniqueCount="1800">
  <si>
    <t>Projected Benefit / Accomplishment</t>
  </si>
  <si>
    <t>Comments/Remarks</t>
  </si>
  <si>
    <t>Dues &amp; Subscriptions</t>
  </si>
  <si>
    <t>Postage</t>
  </si>
  <si>
    <t>VACANT</t>
  </si>
  <si>
    <t>Classified</t>
  </si>
  <si>
    <t>Description</t>
  </si>
  <si>
    <t>Existing Contract  (Y/N)</t>
  </si>
  <si>
    <t>Incumbent Address</t>
  </si>
  <si>
    <t>Contract Start Date</t>
  </si>
  <si>
    <t>Contract End Date</t>
  </si>
  <si>
    <t>Contract Value</t>
  </si>
  <si>
    <t>Expenditures to date</t>
  </si>
  <si>
    <t>Funding Sources</t>
  </si>
  <si>
    <t>Yes</t>
  </si>
  <si>
    <t>No</t>
  </si>
  <si>
    <t>Changes</t>
  </si>
  <si>
    <t>Grand Total</t>
  </si>
  <si>
    <t>Board of Directors</t>
  </si>
  <si>
    <t>Accounting/Budget/Finance</t>
  </si>
  <si>
    <t>Executive Staff</t>
  </si>
  <si>
    <t>Internal Audit</t>
  </si>
  <si>
    <t>Communications/Public Affairs</t>
  </si>
  <si>
    <t>Policy &amp; Reporting</t>
  </si>
  <si>
    <t>Compliance/Construction Monitoring</t>
  </si>
  <si>
    <t>Desk Monitoring</t>
  </si>
  <si>
    <t>000</t>
  </si>
  <si>
    <t>005</t>
  </si>
  <si>
    <t>010</t>
  </si>
  <si>
    <t>015</t>
  </si>
  <si>
    <t>030</t>
  </si>
  <si>
    <t>035</t>
  </si>
  <si>
    <t>095</t>
  </si>
  <si>
    <t>178</t>
  </si>
  <si>
    <t>110</t>
  </si>
  <si>
    <t>166</t>
  </si>
  <si>
    <t>167</t>
  </si>
  <si>
    <t>168</t>
  </si>
  <si>
    <t>170</t>
  </si>
  <si>
    <t>172</t>
  </si>
  <si>
    <t>174</t>
  </si>
  <si>
    <t>180</t>
  </si>
  <si>
    <t>190</t>
  </si>
  <si>
    <t>195</t>
  </si>
  <si>
    <t>Budget Units</t>
  </si>
  <si>
    <t>Budget No.</t>
  </si>
  <si>
    <t>Admin Exp - Unallocable - General Fund</t>
  </si>
  <si>
    <t>HUD Disposition - Gaslight/Village de Jardin</t>
  </si>
  <si>
    <t>HUD Disposition - Willowbrook</t>
  </si>
  <si>
    <t>LA Hsg Disaster Task Force</t>
  </si>
  <si>
    <t>025</t>
  </si>
  <si>
    <t>040</t>
  </si>
  <si>
    <t>045</t>
  </si>
  <si>
    <t>050</t>
  </si>
  <si>
    <t>055</t>
  </si>
  <si>
    <t>060</t>
  </si>
  <si>
    <t>065</t>
  </si>
  <si>
    <t>070</t>
  </si>
  <si>
    <t>075</t>
  </si>
  <si>
    <t>080</t>
  </si>
  <si>
    <t>085</t>
  </si>
  <si>
    <t>090</t>
  </si>
  <si>
    <t>100</t>
  </si>
  <si>
    <t>105</t>
  </si>
  <si>
    <t>111</t>
  </si>
  <si>
    <t>112</t>
  </si>
  <si>
    <t>113</t>
  </si>
  <si>
    <t>116</t>
  </si>
  <si>
    <t>118</t>
  </si>
  <si>
    <t>119</t>
  </si>
  <si>
    <t>120</t>
  </si>
  <si>
    <t>121</t>
  </si>
  <si>
    <t>122</t>
  </si>
  <si>
    <t>123</t>
  </si>
  <si>
    <t>124</t>
  </si>
  <si>
    <t>125</t>
  </si>
  <si>
    <t>126</t>
  </si>
  <si>
    <t>135</t>
  </si>
  <si>
    <t>152</t>
  </si>
  <si>
    <t>154</t>
  </si>
  <si>
    <t>155</t>
  </si>
  <si>
    <t>156</t>
  </si>
  <si>
    <t>158</t>
  </si>
  <si>
    <t>160</t>
  </si>
  <si>
    <t>165</t>
  </si>
  <si>
    <t>175</t>
  </si>
  <si>
    <t>176</t>
  </si>
  <si>
    <t>177</t>
  </si>
  <si>
    <t>179</t>
  </si>
  <si>
    <t>200</t>
  </si>
  <si>
    <t>205</t>
  </si>
  <si>
    <t>243</t>
  </si>
  <si>
    <t>Funding Code</t>
  </si>
  <si>
    <t>144</t>
  </si>
  <si>
    <t>146</t>
  </si>
  <si>
    <t>148</t>
  </si>
  <si>
    <t>HOME Pgm</t>
  </si>
  <si>
    <t>LA Housing Trust Fund</t>
  </si>
  <si>
    <t>LIHEAP</t>
  </si>
  <si>
    <t>LIHTC</t>
  </si>
  <si>
    <t>ARRA TCAP</t>
  </si>
  <si>
    <t>ARRA TCEX</t>
  </si>
  <si>
    <t>M2M</t>
  </si>
  <si>
    <t>Mortgage Revenue Bonds</t>
  </si>
  <si>
    <t>Nat'l Foreclosure Mitigation Counseling</t>
  </si>
  <si>
    <t>Neighborhood Stabilization Program</t>
  </si>
  <si>
    <t>Kat/Rita NRPP Rd 1 &amp; Rd 3 (formerly ALL NRPP)</t>
  </si>
  <si>
    <t>Risk Sharing Program</t>
  </si>
  <si>
    <t>Performance-Based S8 Contract Administration</t>
  </si>
  <si>
    <t>Section 811 Supportive Hsg Pgm</t>
  </si>
  <si>
    <t>Kat/Rita Homelessness Supports &amp; Hsg Pgm</t>
  </si>
  <si>
    <t>Gustav/Ike Parish Alloc Pgm/Homelessness Prevention</t>
  </si>
  <si>
    <t>Gustav/Ike Public/Supportive Housing</t>
  </si>
  <si>
    <t>ESG Shelter Program</t>
  </si>
  <si>
    <t>Gustav/Ike Parish Alloc Hsg Pgms</t>
  </si>
  <si>
    <t>Gustav/Ike State Affordable Rental Pgm</t>
  </si>
  <si>
    <t>Gustav/Ike Parish Affordable Rental Pgm</t>
  </si>
  <si>
    <t>Gustav/Ike Piggyback Pgm</t>
  </si>
  <si>
    <t>Katr/Rita Supportive Hsg Svcs Pgm</t>
  </si>
  <si>
    <t>Petroleum Violation Funds</t>
  </si>
  <si>
    <t>Weatherization</t>
  </si>
  <si>
    <t>Kat/Rita STARS Contam Drywall Project Delivery</t>
  </si>
  <si>
    <t>Isaac Hazard Mitigation</t>
  </si>
  <si>
    <t>Isaac Plaq Homeowner Asst Pgm</t>
  </si>
  <si>
    <t>Mid-City Gardens</t>
  </si>
  <si>
    <t>Isaac St. John Homeowner Rehab Pgm</t>
  </si>
  <si>
    <t>Isaac St. John 1st Time Homebuyer Pgm (formerly Homeowner Asst Pgm)</t>
  </si>
  <si>
    <t>Isaac St. John Demolition &amp; Clearance Pgm</t>
  </si>
  <si>
    <t>Isaac St. John Small Rental Rehab Pgm</t>
  </si>
  <si>
    <t>NSP 3 (Big CEA)</t>
  </si>
  <si>
    <t>Isaac St. John Elevation Pgm</t>
  </si>
  <si>
    <t>Kat/Rita STARS Drywall Admin</t>
  </si>
  <si>
    <t>Kat/Rita Soft Seconds</t>
  </si>
  <si>
    <t>Kat/Rita Hsg Dev Loan Fund</t>
  </si>
  <si>
    <t>Kat/Rita Land Assembly Operations</t>
  </si>
  <si>
    <t>Isaac Homeowner Repair Program</t>
  </si>
  <si>
    <t>Gustav/Ike Soft Seconds</t>
  </si>
  <si>
    <t>CDBG QAP Program Income</t>
  </si>
  <si>
    <t>Kat/Rita NRPP Plaquemines</t>
  </si>
  <si>
    <t>181</t>
  </si>
  <si>
    <t>182</t>
  </si>
  <si>
    <t>Revenues</t>
  </si>
  <si>
    <t>GL Codes</t>
  </si>
  <si>
    <t>Investment/Interest Income</t>
  </si>
  <si>
    <t>Administrative Fees</t>
  </si>
  <si>
    <t>Issuer Fees - Single Family Bonds</t>
  </si>
  <si>
    <t>Issuer Fees - Multi-Family Bonds</t>
  </si>
  <si>
    <t>Program Income - SF Loans</t>
  </si>
  <si>
    <t>Residual Equity Transfers - Single Family Bond Programs</t>
  </si>
  <si>
    <t>HUD Disposition Program Income</t>
  </si>
  <si>
    <t>Allocation/Award Fees</t>
  </si>
  <si>
    <t>Analysis Fees</t>
  </si>
  <si>
    <t>Application Fees</t>
  </si>
  <si>
    <t>Market Study Fees</t>
  </si>
  <si>
    <t>Placed-in-Service Fees</t>
  </si>
  <si>
    <t>Sub-Layering Fees</t>
  </si>
  <si>
    <t>S8CA - IBPS - Processing Rental Adjustments</t>
  </si>
  <si>
    <t>S8CA - IBPS - Review, Verify &amp; Authorize Monthly Vouchers</t>
  </si>
  <si>
    <t>S8CA - IBPS - Life-Threatening Health &amp; Safety</t>
  </si>
  <si>
    <t>S8CA - IBPS - Non-Life Threatening Health &amp; Safety</t>
  </si>
  <si>
    <t>S8CA - IBPS - Renewals of Expiring Section 8 Contracts</t>
  </si>
  <si>
    <t>S8CA - IBPS - General Reporting Requirements</t>
  </si>
  <si>
    <t>S8CA - IBPS - Management Occupancy Reviews</t>
  </si>
  <si>
    <t>Compliance Fees</t>
  </si>
  <si>
    <t>Program Fees in Lieu of SF Issuer Fees</t>
  </si>
  <si>
    <t>Rental Income</t>
  </si>
  <si>
    <t>Miscellaneous Income</t>
  </si>
  <si>
    <t>4130</t>
  </si>
  <si>
    <t>4140</t>
  </si>
  <si>
    <t>4150</t>
  </si>
  <si>
    <t>7050</t>
  </si>
  <si>
    <t>4180</t>
  </si>
  <si>
    <t>4170</t>
  </si>
  <si>
    <t>4145</t>
  </si>
  <si>
    <t>4500</t>
  </si>
  <si>
    <t>4190</t>
  </si>
  <si>
    <t>4185</t>
  </si>
  <si>
    <t>4200</t>
  </si>
  <si>
    <t>4305</t>
  </si>
  <si>
    <t>3200</t>
  </si>
  <si>
    <t>4210</t>
  </si>
  <si>
    <t>Current Employees</t>
  </si>
  <si>
    <t>STUDENT</t>
  </si>
  <si>
    <t>TS-310</t>
  </si>
  <si>
    <t>GL Level</t>
  </si>
  <si>
    <t>Position</t>
  </si>
  <si>
    <t>JUSTIFICATION/NOTABLE Items/Descriptions</t>
  </si>
  <si>
    <t xml:space="preserve">1) </t>
  </si>
  <si>
    <t xml:space="preserve">2) </t>
  </si>
  <si>
    <t>Budget Unit</t>
  </si>
  <si>
    <t>Changes made from Original Request</t>
  </si>
  <si>
    <t>Requested By</t>
  </si>
  <si>
    <t>Date</t>
  </si>
  <si>
    <t>EE No.</t>
  </si>
  <si>
    <t>Employee Name</t>
  </si>
  <si>
    <t>CS Level</t>
  </si>
  <si>
    <t>Funding Source</t>
  </si>
  <si>
    <t>Hourly Rate of Pay</t>
  </si>
  <si>
    <t>Position No.</t>
  </si>
  <si>
    <t>Classified or Unclassified</t>
  </si>
  <si>
    <t>New Hire</t>
  </si>
  <si>
    <t>Retirement/Termination</t>
  </si>
  <si>
    <t>Layoff</t>
  </si>
  <si>
    <t>Existing</t>
  </si>
  <si>
    <t>Employment Status</t>
  </si>
  <si>
    <t>Annual Rate of Pay</t>
  </si>
  <si>
    <t>Anticipated Employee Status</t>
  </si>
  <si>
    <t>Classification</t>
  </si>
  <si>
    <t>Unclassified</t>
  </si>
  <si>
    <t>Permanent</t>
  </si>
  <si>
    <t>Job Appointment</t>
  </si>
  <si>
    <t>Probational Appointment</t>
  </si>
  <si>
    <t>Part-time - WAE</t>
  </si>
  <si>
    <t>Student</t>
  </si>
  <si>
    <t>Funded</t>
  </si>
  <si>
    <t>0</t>
  </si>
  <si>
    <t>1</t>
  </si>
  <si>
    <t>Fully  Loaded Salary</t>
  </si>
  <si>
    <t>Contract Type</t>
  </si>
  <si>
    <t>GL Account</t>
  </si>
  <si>
    <t>4045</t>
  </si>
  <si>
    <t>4040</t>
  </si>
  <si>
    <t>4160</t>
  </si>
  <si>
    <t>Legal Services</t>
  </si>
  <si>
    <t>Other Professional Services</t>
  </si>
  <si>
    <t>Type of Service</t>
  </si>
  <si>
    <t>Level of Funding</t>
  </si>
  <si>
    <t>Travel Start Date</t>
  </si>
  <si>
    <t>Travel End Date</t>
  </si>
  <si>
    <t>Traveler</t>
  </si>
  <si>
    <t>Event Description</t>
  </si>
  <si>
    <t>NCSHA Event  (Y/N)</t>
  </si>
  <si>
    <t>City, State</t>
  </si>
  <si>
    <t>Registration</t>
  </si>
  <si>
    <t>Flight</t>
  </si>
  <si>
    <t>Lodging</t>
  </si>
  <si>
    <t>Parking</t>
  </si>
  <si>
    <t>Mileage</t>
  </si>
  <si>
    <t>Other Expenses</t>
  </si>
  <si>
    <t>Position/Title</t>
  </si>
  <si>
    <t>Type of Appt</t>
  </si>
  <si>
    <t>Other Operating Expenses</t>
  </si>
  <si>
    <t>Computers &amp; Hardware</t>
  </si>
  <si>
    <t>Software &amp; Licenses</t>
  </si>
  <si>
    <t>Office Equipment &amp; Furniture</t>
  </si>
  <si>
    <t>Printing Services</t>
  </si>
  <si>
    <t>Rental - Office Equipment</t>
  </si>
  <si>
    <t>Cell Phone</t>
  </si>
  <si>
    <t>Conference Calls</t>
  </si>
  <si>
    <t>Insurance</t>
  </si>
  <si>
    <t>State Contract  (Y/N)</t>
  </si>
  <si>
    <t>Start Date</t>
  </si>
  <si>
    <t>End Date</t>
  </si>
  <si>
    <t>PO Est. Value</t>
  </si>
  <si>
    <t>Type of Supply/Service</t>
  </si>
  <si>
    <t>Vendor/Process for Selection</t>
  </si>
  <si>
    <t>Description/Purpose</t>
  </si>
  <si>
    <t>Incumbent Contractor</t>
  </si>
  <si>
    <t>Board</t>
  </si>
  <si>
    <t>Accounting</t>
  </si>
  <si>
    <t>Asset Management</t>
  </si>
  <si>
    <t>Legal</t>
  </si>
  <si>
    <t>HUMAN RESOURCES</t>
  </si>
  <si>
    <t>Total Human Resource Expense</t>
  </si>
  <si>
    <t>Travel and Training Expenses</t>
  </si>
  <si>
    <t>Operating Income</t>
  </si>
  <si>
    <t>Contractual/Professional Services</t>
  </si>
  <si>
    <t>Single Family Production</t>
  </si>
  <si>
    <t>Rental Production</t>
  </si>
  <si>
    <t>Louisiana Housing Corporation</t>
  </si>
  <si>
    <t>Total Operating Income</t>
  </si>
  <si>
    <t>Operating Expenses</t>
  </si>
  <si>
    <t>Human Resources</t>
  </si>
  <si>
    <t>Travel &amp; Training</t>
  </si>
  <si>
    <t>Operating Services</t>
  </si>
  <si>
    <t>Building Expenses</t>
  </si>
  <si>
    <t>Supplies</t>
  </si>
  <si>
    <t>Auditing</t>
  </si>
  <si>
    <t>Professional Services</t>
  </si>
  <si>
    <t>Section 8 Contract Administration</t>
  </si>
  <si>
    <t>Capital Expenditures</t>
  </si>
  <si>
    <t>Type of Service/Supplies</t>
  </si>
  <si>
    <t>New</t>
  </si>
  <si>
    <t>1*-****</t>
  </si>
  <si>
    <t>Contract Status</t>
  </si>
  <si>
    <t>Maintenance - Auto</t>
  </si>
  <si>
    <t>Expendable Furniture</t>
  </si>
  <si>
    <t>Office Supplies</t>
  </si>
  <si>
    <t xml:space="preserve">9% Low Income Housing Tax Credits (9% LIHTC)  </t>
  </si>
  <si>
    <t>9% LIHTC</t>
  </si>
  <si>
    <t>The low-income housing tax credit (LIHTC) program, created in 1986 and made permanent in 1993, is an indirect federal subsidy used to finance the construction and rehabilitation of low-income affordable rental housing. Washington lawmakers created this as an incentive for private developers and investors to provide more low-income housing. Without the incentive, affordable rental housing projects do not generate sufficient profit to warrant the investment.   The 70 percent subsidy, or 9 percent tax credit, supports new construction without any additional federal subsidies.</t>
  </si>
  <si>
    <t xml:space="preserve">4% Low Income Housing Tax Credits (4% LIHTC)  </t>
  </si>
  <si>
    <t>4% LIHTC</t>
  </si>
  <si>
    <t>The low-income housing tax credit (LIHTC) program, created in 1986 and made permanent in 1993, is an indirect federal subsidy used to finance the construction and rehabilitation of low-income affordable rental housing. Washington lawmakers created this as an incentive for private developers and investors to provide more low-income housing. Without the incentive, affordable rental housing projects do not generate sufficient profit to warrant the investment. The 30 percent subsidy, which is the 4 percent tax credit, covers new construction that uses additional subsidies or the acquisition cost of existing buildings.</t>
  </si>
  <si>
    <t>Multi-family Mortgage Revenue Bond (MRB)</t>
  </si>
  <si>
    <t>MRB</t>
  </si>
  <si>
    <t xml:space="preserve">LHC is a conduit issuer for State of Louisiana with authority to issue tax-exempt and taxable Multifamily Mortgage Revenue Bonds statewide. The bonds are used to fund loans to for-profit and nonprofit developers for the acquisition and rehabilitation or new construction of affordable rental developments. The Multifamily Bond Program is coupled with the Non-competitive (4%) Housing Tax Credit program when the bonds finance at least 50% of the cost of the land and buildings in the Development. </t>
  </si>
  <si>
    <t xml:space="preserve">HOME Investment Partnerships Program (HOME) </t>
  </si>
  <si>
    <t>HOME</t>
  </si>
  <si>
    <t xml:space="preserve">The HOME Investment Partnerships Program (HOME) provides formula grants to States and localities that communities use - often in partnership with local nonprofit groups - to fund a wide range of activities including building, buying, and/or rehabilitating affordable housing for rent or homeownership or providing direct rental assistance to low-income people. LHC uses all 4 activities available (Rental Production, Homebuyer Production, Homeowner Rehabilitation and Tenant-Based Rental Assistance).  </t>
  </si>
  <si>
    <t>TCAP (Program Income)</t>
  </si>
  <si>
    <t>TCAP</t>
  </si>
  <si>
    <t xml:space="preserve">The Tax Credit Assistance Program (TCAP) provides grant funding for capital investment in Low Income Housing Tax Credit (LIHTC) projects via a formula-based allocation to State housing credit allocation agencies. The housing credit agencies in each State shall distribute these funds competitively and according to their qualified allocation plan. LHC is beginning to receive repayments and can utilize these dollars to hold competitive funding rounds for our 4%'s and bonds to increase production. </t>
  </si>
  <si>
    <t>NSP (Program Income)</t>
  </si>
  <si>
    <t>NSP</t>
  </si>
  <si>
    <t>The Neighborhood Stabilization Program (NSP) was established for the purpose of stabilizing communities that have suffered from foreclosures and abandonment. Through the purchase and redevelopment of foreclosed and abandoned homes and residential properties, the goal of the program is being realized.  LHC is beginning to receive repayments and can utilize these dollars to hold competitive funding rounds for our 4%'s and bonds to increase production.</t>
  </si>
  <si>
    <t>Risk Sharing</t>
  </si>
  <si>
    <t xml:space="preserve">Section 542 (c) enables HUD and state and local housing finance agencies (“HFAs”) such as the LHC to provide risk-sharing arrangements to help those agencies provide greater access to insurance and credit for multifamily loans. The HUD/HFA Risk-Sharing Program provides insurance authority independent of the National Housing Act and the HUD/HFA Risk-Sharing Program also provides full FHA mortgage insurance to enhance LHC bonds to investment grade. Section 542(c) provides credit enhancement for mortgages of multifamily-housing projects whose loans are underwritten, processed, serviced, and disposed of by HFAs. </t>
  </si>
  <si>
    <t>Rental Assistance Demonstration (RAD)</t>
  </si>
  <si>
    <t>RAD</t>
  </si>
  <si>
    <t>Rental Assistance Demonstration (RAD) is a U.S. Department of Housing and Urban Development (HUD) Program for the conversion of public housing units to either Project Based Vouchers (PBV) or Project Based Rental Assistance (PBRA).</t>
  </si>
  <si>
    <t>D-CDBG (Katrina, Rita, Gustav, Ike and Isaac)</t>
  </si>
  <si>
    <t>D-CDBG</t>
  </si>
  <si>
    <t>Disaster CDBG funds allocated to the State of Louisiana. These dollars are used to administer programs and enhance LHC's ability to deliver housing initiatives. Programs include: Soft-seconds, Piggyback, Homeowner Repair, Homeowner Compensation, Affordable Rental (Sustainable), Short-term Rental Assistance, First-time Homebuyer, Non-Profit Rebuilding Pilot Program (Sustainable), Small Rental Property Program (Sustainable), K/R Homelessness Supports and Housing (LHA), K/R Supportive Housing Services (LHA), STARS (K/R) (LHA) and G/I Homeless Prevention (LHA).</t>
  </si>
  <si>
    <t>NRPP-HR</t>
  </si>
  <si>
    <t>LHC Homebuyer Counseling Programs</t>
  </si>
  <si>
    <t>LHCHC</t>
  </si>
  <si>
    <t>The Housing Counseling Department was created to help increase housing sustainability by  increasing the availability of housing counseling services across the State and the number of person receiving these services. The services being provided are as follows: pre-and-post purchase homebuyer education counseling, rental housing counseling, and resolving/preventing mortgage delinquency or default.2</t>
  </si>
  <si>
    <t>Single-Family Loan Programs</t>
  </si>
  <si>
    <t>SF LP</t>
  </si>
  <si>
    <t>Current loan programs: Market Rate GNMA and Government Loan TBA4. NEW PROGRAMS IN 'FY15 INCLUDE LHC PREFERRED CONVENTIONAL AND A NEW 5% DPA TBA.</t>
  </si>
  <si>
    <t>Low-Income Home Energy Assistance Program (LIHEAP)</t>
  </si>
  <si>
    <t xml:space="preserve">The LIHEAP was authorized by the Low-Income Home Energy Act of 1981 (Title XXVI of Public Law 97-35; the Omnibus Budget Reconciliation Act of 1981). As stated in Sec. 2602 (a) the program was authorized to assist low-income households, particularly those with the lowest incomes, that pay a high proportion of household income for home energy, primarily in meeting their immediate home energy needs. </t>
  </si>
  <si>
    <t>Weatherization Assistance Program (WAP)</t>
  </si>
  <si>
    <t>WAP</t>
  </si>
  <si>
    <t xml:space="preserve">The U.S. Department of Energy's (DOE) Weatherization Assistance Program (WAP) was created in 1976 to assist low-income families who lacked resources to invest in energy efficiency. WAP is operated in all 50 states, the District of Columbia, Native American tribes, and U.S. Territories. Funds are used to improve the energy efficiency of low-income homes using the most advanced technologies and testing protocols available in the housing industry. </t>
  </si>
  <si>
    <t>Project Based Contract Administration (PBCA)</t>
  </si>
  <si>
    <t>PBCA</t>
  </si>
  <si>
    <t>The purpose of HUD's PBCA program is to implement the policy of the United States. The ACC is the funding mechanism to support the PHA's public purpose in making assistance payments to Section 8 project owners. The ACC includes Exhibit A, section 4 of which includes a detailed treatment of the Administrative Fee. Section 5, "Performance Requirements Summary" (PRS), includes a table that specifies the Acceptable Quality Level (AQL) for performance of each of the 8 Performance-Based Tasks (PBTs), the Performance-Based Allocation Percentage, the method used to evaluate performance, and the frequency with which HUD will assess and pay the Basic Administrative Fee Earned.</t>
  </si>
  <si>
    <t>Permanent Supportive Housing - Project Based Voucher Program (PBV)</t>
  </si>
  <si>
    <t>PBV</t>
  </si>
  <si>
    <t>Project-based vouchers are a component of agencies housing choice voucher program.  The voucher assistance is attached to specific housing units if the owner agrees to either rehabilitate or construct the units, or the owner agrees to set-aside a portion of the units in an existing development. A PHA enters into an assistance contract with the owner for specified units and for a specified term. The PHA refers families from its waiting list to the project owner to fill vacancies. Because the assistance is tied to the unit, a family who moves from the project-based unit does not have any right to continued housing assistance.</t>
  </si>
  <si>
    <t>Permanent Supportive Housing - Shelter Plus Care         (S + C)</t>
  </si>
  <si>
    <t>S + C</t>
  </si>
  <si>
    <t>The purpose of the program is to provide permanent housing in connection with supportive services to homeless people with disabilities and their families. The primary target populations are homeless people who have: 
• serious mental illness; and/or 
• chronic problems with alcohol, drugs or both; and/or 
• acquired immunodeficiency syndrome (AIDS) or related diseases. 
The program provides rental assistance for a variety of housing choices, accompanied by a range of supportive services funded by other sources.</t>
  </si>
  <si>
    <t>Permanent Supportive Housing - Section 811</t>
  </si>
  <si>
    <t>Perm 811</t>
  </si>
  <si>
    <t>HUD's Section 811 Supportive Housing for Persons with Disabilities Program is a critical program that assists the lowest income people with significant and long-term disabilities to live independently in the community by providing affordable housing linked with voluntary services and supports. The enactment of the Frank Melville Supportive Housing Investment Act of 2010 reformed Section 811, creating the opportunity to systematically develop thousands of new permanent supportive housing units integrated within affordable housing properties every year.</t>
  </si>
  <si>
    <t>Emergency Shelter Grants (ESG)</t>
  </si>
  <si>
    <t>ESG</t>
  </si>
  <si>
    <t>The Emergency Solutions Program is a  federally funded program by HUD, for activities in connection with emergency shelter of homeless people. This funding is awarded to local units of government statewide. The ESG eligible activities are for the emergency shelter  operating costs, and eligible social services expenses, and homelessness prevention and rapid re-housing activities to include short-term and medium-term rental assistance and services to stabilize individuals and households who are homeless or at risk of becoming.  This program generates no program income.</t>
  </si>
  <si>
    <t>Homeless Emergency Solutions Grant (HESG)7</t>
  </si>
  <si>
    <t>HESG</t>
  </si>
  <si>
    <t>This is a onetime allocation of funding for the Emergency Solutions Grants Program, a HUD  funded program.  This funding will be utilized to prevent homelessness and rapidly re-house those who are already experiencing homelessness. The ESG eligible activities  for homelessness prevention and rapid re-housing  activities are short-term and medium-term rental assistance, which includes rental payments and deposits, utility payments and deposits, and services to stabilize individuals and households who are homeless.   This program generates no program income.</t>
  </si>
  <si>
    <t>Total</t>
  </si>
  <si>
    <t>Prof Services</t>
  </si>
  <si>
    <t xml:space="preserve">Contracts - </t>
  </si>
  <si>
    <t>Operating Svcs</t>
  </si>
  <si>
    <t>by Budget Unit</t>
  </si>
  <si>
    <t>Construction &amp; Compliance Monitoring</t>
  </si>
  <si>
    <t>Energy Assistance</t>
  </si>
  <si>
    <t>Check total (should be zero)</t>
  </si>
  <si>
    <t>Operating Expenses - Auto Fuel</t>
  </si>
  <si>
    <t>Disaster CDBG funds allocated to the State of Louisiana. These dollars are used to administer programs and enhance LHC's ability to deliver housing initiatives. Programs include:  Katrina/Rita NRPP, Katrina/Rita Plaquemines Parish NRPP, and Isaac Homeowner Repair.</t>
  </si>
  <si>
    <t>Operations - Administration/Facilities &amp; Fleet Mgt</t>
  </si>
  <si>
    <t>Location</t>
  </si>
  <si>
    <t>Telephone/Internet</t>
  </si>
  <si>
    <t>Travel Expenses</t>
  </si>
  <si>
    <t>In-State Meetings &amp; Monitoring</t>
  </si>
  <si>
    <t>In-State Employee Development</t>
  </si>
  <si>
    <t>In-State Travel - NCSHA</t>
  </si>
  <si>
    <t>Out-of-State Meetings</t>
  </si>
  <si>
    <t>Out-of-State Employee Development</t>
  </si>
  <si>
    <t>Out-of-State Travel - NCSHA</t>
  </si>
  <si>
    <t>Professional Expenses</t>
  </si>
  <si>
    <t>Legal Fees</t>
  </si>
  <si>
    <t>Building Codes</t>
  </si>
  <si>
    <t>Maintenance Services</t>
  </si>
  <si>
    <t>Advertising</t>
  </si>
  <si>
    <t>Sponsorships</t>
  </si>
  <si>
    <t>Bank Service/Trustee Fees</t>
  </si>
  <si>
    <t>6112 Regular Hours</t>
  </si>
  <si>
    <t>6116 Termination Pay</t>
  </si>
  <si>
    <t>6142 Medicare</t>
  </si>
  <si>
    <t>6142 Social Security</t>
  </si>
  <si>
    <t>6152 Dental Insurance</t>
  </si>
  <si>
    <t>6152 Life Insurance</t>
  </si>
  <si>
    <t>6152 Health Insurance &amp; HSA Contributions</t>
  </si>
  <si>
    <t>6165 Pension Liability Expense</t>
  </si>
  <si>
    <t>6365 Unemployment Expense</t>
  </si>
  <si>
    <t>RETIREES</t>
  </si>
  <si>
    <t>Supplies Expenses Estimates by Budget Unit, and Funding Source</t>
  </si>
  <si>
    <t>Supplies Codes</t>
  </si>
  <si>
    <t>Program</t>
  </si>
  <si>
    <t>Other Operating Services</t>
  </si>
  <si>
    <t>Supplies - Food</t>
  </si>
  <si>
    <t>Previous or Current Contract No.</t>
  </si>
  <si>
    <t>Bldg Expense</t>
  </si>
  <si>
    <t>Operations Admin/Facilities/Fleet</t>
  </si>
  <si>
    <t>Rental Space/Off-site Storage</t>
  </si>
  <si>
    <t>Continuing Education - Required Certifications/Licenses</t>
  </si>
  <si>
    <t>Performance-Based Sect 8 Contract Administration</t>
  </si>
  <si>
    <t xml:space="preserve"> </t>
  </si>
  <si>
    <t>Food Supplies</t>
  </si>
  <si>
    <t>Disaster Housing</t>
  </si>
  <si>
    <t>Full-Time Employees</t>
  </si>
  <si>
    <t>Statutory Appointment</t>
  </si>
  <si>
    <t>140</t>
  </si>
  <si>
    <t>Fixed Assets - Regular</t>
  </si>
  <si>
    <t>Fixed Assets - Buildings</t>
  </si>
  <si>
    <t>Fixed Assets - Computers</t>
  </si>
  <si>
    <t>Fixed Assets - Vehicles</t>
  </si>
  <si>
    <t>Fixed Assets - Other</t>
  </si>
  <si>
    <t>Fixed Assets - Land</t>
  </si>
  <si>
    <t>Fixed Assets - Land Improvements</t>
  </si>
  <si>
    <t>Type of Fixed Asset</t>
  </si>
  <si>
    <t>1) We anticipate doing new contracts for legal services with the incumbent contractors at the same rates approved by the La Attorney Generals Office.</t>
  </si>
  <si>
    <t>Building Maintenance Expenses</t>
  </si>
  <si>
    <t>Unfunded</t>
  </si>
  <si>
    <t>Training and Technical Assistance</t>
  </si>
  <si>
    <t>4115</t>
  </si>
  <si>
    <t>Re-Processing Fees</t>
  </si>
  <si>
    <t>Capital Expend.</t>
  </si>
  <si>
    <t>Electrical</t>
  </si>
  <si>
    <t>Plumbing</t>
  </si>
  <si>
    <t>Water Treatment</t>
  </si>
  <si>
    <t>Grounds</t>
  </si>
  <si>
    <t>Appliances</t>
  </si>
  <si>
    <t>Janitorial Services</t>
  </si>
  <si>
    <t>Janitorial Supplies</t>
  </si>
  <si>
    <t>Locksmith</t>
  </si>
  <si>
    <t>Exterminating</t>
  </si>
  <si>
    <t>Elevator</t>
  </si>
  <si>
    <t>Fire Safety</t>
  </si>
  <si>
    <t>Quail Drive</t>
  </si>
  <si>
    <t>162</t>
  </si>
  <si>
    <t>Total Operating Expenses</t>
  </si>
  <si>
    <t>FTE's</t>
  </si>
  <si>
    <t>Revenues &amp; Expenses</t>
  </si>
  <si>
    <t>Net Income</t>
  </si>
  <si>
    <t>Disaster Housing Programs - Administrative Fees</t>
  </si>
  <si>
    <t>Multi-Family Issuer Fees</t>
  </si>
  <si>
    <t>Bond Projects</t>
  </si>
  <si>
    <t xml:space="preserve">Actual </t>
  </si>
  <si>
    <t>Actual to Date</t>
  </si>
  <si>
    <t>Proj remaing</t>
  </si>
  <si>
    <t>Projected</t>
  </si>
  <si>
    <t>Notes</t>
  </si>
  <si>
    <t>1501 Canal Apts 2012</t>
  </si>
  <si>
    <t>Arbor Place</t>
  </si>
  <si>
    <t>Blue Plate Lofts 2011</t>
  </si>
  <si>
    <t>Canaan Village 2014</t>
  </si>
  <si>
    <t>Mandatory tendor date 12/15/15</t>
  </si>
  <si>
    <t xml:space="preserve">Cantebury/Sherwood </t>
  </si>
  <si>
    <t>Choctaw Lodge 2014</t>
  </si>
  <si>
    <t>The Crossing Apts 2006</t>
  </si>
  <si>
    <t>Cypress Springs 2015</t>
  </si>
  <si>
    <t>Cyrus Homes 2013</t>
  </si>
  <si>
    <t>The Elysians Project 2012</t>
  </si>
  <si>
    <t>Emerald Point 2007</t>
  </si>
  <si>
    <t>Galilee 2003</t>
  </si>
  <si>
    <t>Garden Senior 2012</t>
  </si>
  <si>
    <t>GCHP - Esplanade 2014</t>
  </si>
  <si>
    <t>Guste Homes III 2013</t>
  </si>
  <si>
    <t>Holy Family 2014</t>
  </si>
  <si>
    <t>Bonds are to pay off by 10/1/2015</t>
  </si>
  <si>
    <t>Hooper Pointe</t>
  </si>
  <si>
    <t>Iberville Phase IV</t>
  </si>
  <si>
    <t>Jefferson Lakes Apts</t>
  </si>
  <si>
    <t>Lapalco Apts</t>
  </si>
  <si>
    <t>Louisiana Chateau</t>
  </si>
  <si>
    <t>Mallard Crossing 2011</t>
  </si>
  <si>
    <t>Meadowbrook 2006</t>
  </si>
  <si>
    <t>Melrose 2002</t>
  </si>
  <si>
    <t>The Muses 2010</t>
  </si>
  <si>
    <t>Palmetto</t>
  </si>
  <si>
    <t>Peppermill Apartments Ph II</t>
  </si>
  <si>
    <t>Port Royal Apartments</t>
  </si>
  <si>
    <t>Renaissance Gateway 2013</t>
  </si>
  <si>
    <t>Reserve at Jefferson Crossing</t>
  </si>
  <si>
    <t>Restoration 2002</t>
  </si>
  <si>
    <t>Ridgefield Apts.</t>
  </si>
  <si>
    <t>Advance pmt of issuer fees in FY16 - bonds defeased</t>
  </si>
  <si>
    <t>Spanish Arms Apts</t>
  </si>
  <si>
    <t>Walmsley</t>
  </si>
  <si>
    <t>Windsor Place 2013</t>
  </si>
  <si>
    <t>New Bonds Issued</t>
  </si>
  <si>
    <t xml:space="preserve">Single Family Issuer Fees </t>
  </si>
  <si>
    <t>Trustee</t>
  </si>
  <si>
    <t>Whitney</t>
  </si>
  <si>
    <t>2010A</t>
  </si>
  <si>
    <t>2011A</t>
  </si>
  <si>
    <t>2012A</t>
  </si>
  <si>
    <t>2013A</t>
  </si>
  <si>
    <t>2015A</t>
  </si>
  <si>
    <t>6132 LASERS Retirement</t>
  </si>
  <si>
    <t>By Category</t>
  </si>
  <si>
    <t>Food</t>
  </si>
  <si>
    <t>Other Miscellaneous Expense</t>
  </si>
  <si>
    <t>Lean 6 Sigma</t>
  </si>
  <si>
    <t>164</t>
  </si>
  <si>
    <t>Nat'l Housing Trust Fund</t>
  </si>
  <si>
    <t>184</t>
  </si>
  <si>
    <t>Full-time - WAE</t>
  </si>
  <si>
    <t>Disaster Case Mgt - FEMA</t>
  </si>
  <si>
    <t>186</t>
  </si>
  <si>
    <t>Home/Nat'l Hsg Trust Fund Program &amp; Agency Admin Fees</t>
  </si>
  <si>
    <t>Public Notices</t>
  </si>
  <si>
    <t>Project Delivery</t>
  </si>
  <si>
    <t>Travel-Mtgs/Monitoring</t>
  </si>
  <si>
    <t>Training-EE Development</t>
  </si>
  <si>
    <t>Total In-State</t>
  </si>
  <si>
    <t>Total Out-of-State</t>
  </si>
  <si>
    <t>IN-STATE TRAVEL &amp; TRAINING</t>
  </si>
  <si>
    <t>OUT-OF-STATE TRAVEL &amp; TRAINING</t>
  </si>
  <si>
    <t>1) Progressive Pay Series</t>
  </si>
  <si>
    <t>Inc/(Decr)</t>
  </si>
  <si>
    <t>001</t>
  </si>
  <si>
    <t>Environmental &amp; Labor Compliance</t>
  </si>
  <si>
    <t>136</t>
  </si>
  <si>
    <t>Homelessness Solutions</t>
  </si>
  <si>
    <t>4110000</t>
  </si>
  <si>
    <t>4120000</t>
  </si>
  <si>
    <t>Advertising Services</t>
  </si>
  <si>
    <t>Eddie Robinson Drive</t>
  </si>
  <si>
    <t>Willowbrook Apartments</t>
  </si>
  <si>
    <t>Village de Jardin Apartments</t>
  </si>
  <si>
    <t>Lighting &amp; Fixtures</t>
  </si>
  <si>
    <t>Carpet &amp; Tile</t>
  </si>
  <si>
    <t>HVAC</t>
  </si>
  <si>
    <t>Misc. Exterior Expense</t>
  </si>
  <si>
    <t>Misc. Interior Expense</t>
  </si>
  <si>
    <t>Security</t>
  </si>
  <si>
    <t>Utilities - Electricity</t>
  </si>
  <si>
    <t>Auditing Fees</t>
  </si>
  <si>
    <t>Other Professional Services - Housing Conference</t>
  </si>
  <si>
    <t>Printing Services - Housing Conference</t>
  </si>
  <si>
    <t>Utilities - Waste Removal</t>
  </si>
  <si>
    <t>Utilities - Water &amp; Sewer</t>
  </si>
  <si>
    <t>Windows &amp; Glass</t>
  </si>
  <si>
    <t>Building Maintenance - Appliances</t>
  </si>
  <si>
    <t>Building Maintenance - Carpet &amp; Tile</t>
  </si>
  <si>
    <t>Building Maintenance - Electrical</t>
  </si>
  <si>
    <t>Building Maintenance - Elevator</t>
  </si>
  <si>
    <t>Building Maintenance - Exterminating</t>
  </si>
  <si>
    <t>Building Maintenance - Fire Safety</t>
  </si>
  <si>
    <t>Building Maintenance - Grounds</t>
  </si>
  <si>
    <t>Building Maintenance - HVAC</t>
  </si>
  <si>
    <t>Building Maintenance - Janitorial Services</t>
  </si>
  <si>
    <t>Building Maintenance - Janitorial Supplies</t>
  </si>
  <si>
    <t>Building Mainenance - Lighting &amp; Fixtures</t>
  </si>
  <si>
    <t>Building Maintenance - Locksmith</t>
  </si>
  <si>
    <t>Building Maintenance - Misc. Exterior Expense</t>
  </si>
  <si>
    <t>Building Maintenance - Misc. Interior Expense</t>
  </si>
  <si>
    <t>Building Maintenance - Plumbing</t>
  </si>
  <si>
    <t>Building Maintenance - Security</t>
  </si>
  <si>
    <t>Building Maintenance - Water Treatment</t>
  </si>
  <si>
    <t>Building Maintenance - Windows &amp; Glass</t>
  </si>
  <si>
    <t>Auditing Services</t>
  </si>
  <si>
    <t>COLLIER SARAH</t>
  </si>
  <si>
    <t>DWYER STEPHEN</t>
  </si>
  <si>
    <t>GENTRY WENDY</t>
  </si>
  <si>
    <t>HARRELL ALFRED</t>
  </si>
  <si>
    <t>HATTIER STEVEN</t>
  </si>
  <si>
    <t>MABRY TONYA</t>
  </si>
  <si>
    <t>RACK WILLIE</t>
  </si>
  <si>
    <t>VIDRINE JENNIFER</t>
  </si>
  <si>
    <t>WILLIAMS BRANDON</t>
  </si>
  <si>
    <t>WINDER RICHARD</t>
  </si>
  <si>
    <t xml:space="preserve">BRIGNAC MARY </t>
  </si>
  <si>
    <t>CARTER BRUMFIELD JALISACIA</t>
  </si>
  <si>
    <t>FOREMAN, DAKORA</t>
  </si>
  <si>
    <t>HARRINGTON JATIS</t>
  </si>
  <si>
    <t>MAYERS MELISSA</t>
  </si>
  <si>
    <t>MUSE JENNELL</t>
  </si>
  <si>
    <t>ROBERTS TRACY</t>
  </si>
  <si>
    <t>ROBINSON RAMONA</t>
  </si>
  <si>
    <t>WATTS CHARMAINE</t>
  </si>
  <si>
    <t>XU LAN</t>
  </si>
  <si>
    <t>BROOKS BARRY</t>
  </si>
  <si>
    <t>CHAMBERS LESLIE RICARD</t>
  </si>
  <si>
    <t>DECULUS DONNA</t>
  </si>
  <si>
    <t>EVANS BRENDA</t>
  </si>
  <si>
    <t>FIELDS DARLENE</t>
  </si>
  <si>
    <t>FOLSE TODD</t>
  </si>
  <si>
    <t>JOSEPH NATASHA</t>
  </si>
  <si>
    <t>RUSSELL LOUIS</t>
  </si>
  <si>
    <t>WILLMAN MARJORIANNA</t>
  </si>
  <si>
    <t>BOWIE MIRIAM</t>
  </si>
  <si>
    <t>JOSHUA DENISA</t>
  </si>
  <si>
    <t>MCKARRY GABRIELLE</t>
  </si>
  <si>
    <t>RICHARD BRIDGETTE</t>
  </si>
  <si>
    <t>WEST PLEZETTA</t>
  </si>
  <si>
    <t>ACKOURY EVELYN</t>
  </si>
  <si>
    <t>BLOUNT NAKESLA</t>
  </si>
  <si>
    <t>HOLLIDAY DENIECE</t>
  </si>
  <si>
    <t>STANLEY CARONDA</t>
  </si>
  <si>
    <t>WELLS TREASURE</t>
  </si>
  <si>
    <t>BERTRAND STERLING</t>
  </si>
  <si>
    <t>BRINGIER HARRIS KONCHETTA</t>
  </si>
  <si>
    <t>ESNAULT MONICA</t>
  </si>
  <si>
    <t>HERNANDEZ NORMA</t>
  </si>
  <si>
    <t>MATHIS COLLETTE</t>
  </si>
  <si>
    <t>RICHARD SHANTEL</t>
  </si>
  <si>
    <t>BIZETTE BREANNE</t>
  </si>
  <si>
    <t>MILES RONDA</t>
  </si>
  <si>
    <t>ORTEGA ANDREANA</t>
  </si>
  <si>
    <t>PEARSON ANGELICA</t>
  </si>
  <si>
    <t>RANDALL SEUANA</t>
  </si>
  <si>
    <t>ALEXANDER DEXTER</t>
  </si>
  <si>
    <t>ANDREWS SONJA</t>
  </si>
  <si>
    <t>DAVIS SARAH</t>
  </si>
  <si>
    <t>DUGGAN DANIEL</t>
  </si>
  <si>
    <t>HALE TERRY</t>
  </si>
  <si>
    <t>HENDERSON CODY</t>
  </si>
  <si>
    <t>JENKINS SHANNON</t>
  </si>
  <si>
    <t>MCCLEARY KEVIN</t>
  </si>
  <si>
    <t>MEILLEUR MONICA</t>
  </si>
  <si>
    <t>RACHAL SHARONDA</t>
  </si>
  <si>
    <t>WOODS KELYA</t>
  </si>
  <si>
    <t>CHIN SUE</t>
  </si>
  <si>
    <t>GALOSE DEREK</t>
  </si>
  <si>
    <t>GLEE SHANNA</t>
  </si>
  <si>
    <t>LAVERGNE AMBER</t>
  </si>
  <si>
    <t>REDLER MICHELLE</t>
  </si>
  <si>
    <t>BURNS BRETT</t>
  </si>
  <si>
    <t>CONNOR WINONA</t>
  </si>
  <si>
    <t>DAVIS ANGELA</t>
  </si>
  <si>
    <t>DIETZ ANDREW</t>
  </si>
  <si>
    <t>HARGROVE SHANNON</t>
  </si>
  <si>
    <t>HOGAN KELLY</t>
  </si>
  <si>
    <t>HUGHES DARLENE</t>
  </si>
  <si>
    <t>JOHNSON VICTORIA</t>
  </si>
  <si>
    <t>JONES TONI</t>
  </si>
  <si>
    <t>KEMBER KIMBERLY</t>
  </si>
  <si>
    <t>LACY VONETTA</t>
  </si>
  <si>
    <t>LEBLANC AIMEE</t>
  </si>
  <si>
    <t>MCCARTER JOANNE</t>
  </si>
  <si>
    <t>NEW (COC)</t>
  </si>
  <si>
    <t>NEW (DATA ENTRY)</t>
  </si>
  <si>
    <t>NORMAN JESSICA</t>
  </si>
  <si>
    <t>PATTERSON CARRIE</t>
  </si>
  <si>
    <t>RAYFORD ERICA</t>
  </si>
  <si>
    <t>STEPHENSON DE'VAN</t>
  </si>
  <si>
    <t>AVERHART KYLA</t>
  </si>
  <si>
    <t>JOHNSON WHITE JUDY</t>
  </si>
  <si>
    <t>SHERMAN ALEXIS</t>
  </si>
  <si>
    <t>WALKER VICE MICHAEL</t>
  </si>
  <si>
    <t>JOHNSON JR ALVIN</t>
  </si>
  <si>
    <t>GRIFFIN KENDRA</t>
  </si>
  <si>
    <t>PERKINS MARVA</t>
  </si>
  <si>
    <t>RUCKER SAMIRA</t>
  </si>
  <si>
    <t>AMPIM JOHN</t>
  </si>
  <si>
    <t>ANDRY DANIELLE</t>
  </si>
  <si>
    <t>BROWN RENDELL</t>
  </si>
  <si>
    <t>JACKSON RASHAAD</t>
  </si>
  <si>
    <t>JAVIUS BRIDGET</t>
  </si>
  <si>
    <t>NELSON JAQUINCY</t>
  </si>
  <si>
    <t>ROBINSON ANNIE</t>
  </si>
  <si>
    <t>WATZKE JR LEON</t>
  </si>
  <si>
    <t>AUSTIN KENNETH</t>
  </si>
  <si>
    <t>DUKES JAELA</t>
  </si>
  <si>
    <t>LANDINGHAM BRIDGETTE</t>
  </si>
  <si>
    <t>MCCRAY MYEISHA</t>
  </si>
  <si>
    <t>RODRIGUEZ RAYMOND</t>
  </si>
  <si>
    <t xml:space="preserve">SHAW JENNIFER </t>
  </si>
  <si>
    <t>ARMSTEAD DESIREE</t>
  </si>
  <si>
    <t>BREWSTER ASHLEY</t>
  </si>
  <si>
    <t>CHAUVIN MITCHEL</t>
  </si>
  <si>
    <t>GARDNER STEPHEN</t>
  </si>
  <si>
    <t>HOLMES LAUREN</t>
  </si>
  <si>
    <t>HOWARD RANDIESHA</t>
  </si>
  <si>
    <t>LEBLANC PRISCILLA</t>
  </si>
  <si>
    <t>MCGEE BRIDGET</t>
  </si>
  <si>
    <t>MCQUAIRTER CAROLYN</t>
  </si>
  <si>
    <t>OGLESBY COLLETTE</t>
  </si>
  <si>
    <t>STEWART DONNA</t>
  </si>
  <si>
    <t>STOETZNER BARBARA</t>
  </si>
  <si>
    <t>BURNETT DONNA</t>
  </si>
  <si>
    <t>CHRISS SHALONDA</t>
  </si>
  <si>
    <t>CONEY PORSCHA</t>
  </si>
  <si>
    <t>EDWARDS LEOLA</t>
  </si>
  <si>
    <t>ELLIS LOKI</t>
  </si>
  <si>
    <t>FRANKLIN NATASHA</t>
  </si>
  <si>
    <t>HAMPTON PATRICIA</t>
  </si>
  <si>
    <t>MARTIN LATONYA</t>
  </si>
  <si>
    <t>MYERS JALYNN</t>
  </si>
  <si>
    <t>SMART TONIKA</t>
  </si>
  <si>
    <t>STRADFORD, CHALONDRA</t>
  </si>
  <si>
    <t>TERRELL LADRIKA</t>
  </si>
  <si>
    <t>WILLIAMS ADRIANNA</t>
  </si>
  <si>
    <t>HALL WENDY</t>
  </si>
  <si>
    <t>NAVARRA JOHN</t>
  </si>
  <si>
    <t>BATES THOMAS</t>
  </si>
  <si>
    <t>BILLINGSLEY DANAE</t>
  </si>
  <si>
    <t>JOHNSON PAUL</t>
  </si>
  <si>
    <t>MCNEESE ROBERT</t>
  </si>
  <si>
    <t>BELL TANETTRA</t>
  </si>
  <si>
    <t>BUCHHOLZ RICHARD</t>
  </si>
  <si>
    <t>DENNIS JR LIONEL</t>
  </si>
  <si>
    <t>FIELDS SANDRA</t>
  </si>
  <si>
    <t>MCDONNELL JAMES</t>
  </si>
  <si>
    <t>WASHINGTON ALICE</t>
  </si>
  <si>
    <t>BROWN JOERICA</t>
  </si>
  <si>
    <t>DUNN CHRIS</t>
  </si>
  <si>
    <t>DURNIN JOSEPH</t>
  </si>
  <si>
    <t>FLETCHER SHADAVIS</t>
  </si>
  <si>
    <t>GAINES KOURTNEY</t>
  </si>
  <si>
    <t>HAND CADE</t>
  </si>
  <si>
    <t>HARRIS DIANA</t>
  </si>
  <si>
    <t>HEVEY JEFFREY</t>
  </si>
  <si>
    <t>JOURNEE, TONJA</t>
  </si>
  <si>
    <t>LEWANDOWSKI PAMELA</t>
  </si>
  <si>
    <t>LONDON KEAIRA</t>
  </si>
  <si>
    <t>MARQUETTE DAVID</t>
  </si>
  <si>
    <t>SCANLAN JEFFREY</t>
  </si>
  <si>
    <t>ST PIERRE KIMBERLY</t>
  </si>
  <si>
    <t>WELLS ANDREA</t>
  </si>
  <si>
    <t>WHITE BERNARD</t>
  </si>
  <si>
    <t>EDMONSTON SYDNEY</t>
  </si>
  <si>
    <t>KIMBENG FRANKLINE</t>
  </si>
  <si>
    <t>MCCOY INGRID</t>
  </si>
  <si>
    <t>MILTON DIONE</t>
  </si>
  <si>
    <t>UNCL-REG</t>
  </si>
  <si>
    <t>AS-615</t>
  </si>
  <si>
    <t>AS-612</t>
  </si>
  <si>
    <t>AS-623</t>
  </si>
  <si>
    <t>AS-618</t>
  </si>
  <si>
    <t>AS-619</t>
  </si>
  <si>
    <t>AS-617</t>
  </si>
  <si>
    <t>AS-613</t>
  </si>
  <si>
    <t>AS-614</t>
  </si>
  <si>
    <t>AS-621</t>
  </si>
  <si>
    <t>AS-622</t>
  </si>
  <si>
    <t>AS-620</t>
  </si>
  <si>
    <t>AS-611</t>
  </si>
  <si>
    <t>TS-311</t>
  </si>
  <si>
    <t>TS-314</t>
  </si>
  <si>
    <t>TS-308</t>
  </si>
  <si>
    <t>TS-313</t>
  </si>
  <si>
    <t>AS-609</t>
  </si>
  <si>
    <t>AS-607</t>
  </si>
  <si>
    <t>WS-210</t>
  </si>
  <si>
    <t>TS-320</t>
  </si>
  <si>
    <t>TS-312</t>
  </si>
  <si>
    <t>TS-316</t>
  </si>
  <si>
    <t>TS-307</t>
  </si>
  <si>
    <t>MEM BD OR COMMISS</t>
  </si>
  <si>
    <t>BUDGET ANALYST 3</t>
  </si>
  <si>
    <t>ACCOUNTANT 1</t>
  </si>
  <si>
    <t>ACCOUNTANT ADMIN 4</t>
  </si>
  <si>
    <t>ACCOUNTANT MANAGER 1</t>
  </si>
  <si>
    <t>ACCOUNTANT MANAGER 2</t>
  </si>
  <si>
    <t>ACCOUNTANT 3</t>
  </si>
  <si>
    <t>ACCOUNTANT 4</t>
  </si>
  <si>
    <t>ACCOUNTANT 2</t>
  </si>
  <si>
    <t>CONFIDENTIAL ASST</t>
  </si>
  <si>
    <t>CHIEF OF STAFF</t>
  </si>
  <si>
    <t>ADMIN ASSISTANT 6</t>
  </si>
  <si>
    <t>CHIEF OPERATING OFFICER</t>
  </si>
  <si>
    <t>EXECUTIVE MANAGEMENT OFFI</t>
  </si>
  <si>
    <t>DIRECTOR</t>
  </si>
  <si>
    <t>EXEC DIRECTOR</t>
  </si>
  <si>
    <t>ADMIN ASSISTANT 5</t>
  </si>
  <si>
    <t>ATTORNEY 1</t>
  </si>
  <si>
    <t>ATTORNEY 4</t>
  </si>
  <si>
    <t>ATTORNEY - GENERAL COUNSEL</t>
  </si>
  <si>
    <t>ATTORNEY SUPERVISOR</t>
  </si>
  <si>
    <t>HUMAN RESOURCES SPECIALIST</t>
  </si>
  <si>
    <t>ADMIN PROGRAM DIRECTOR 3</t>
  </si>
  <si>
    <t>HUMAN RESOURCES ANALYST B</t>
  </si>
  <si>
    <t>AUDITOR 4</t>
  </si>
  <si>
    <t>AUDITOR SUPERVISOR</t>
  </si>
  <si>
    <t>AUDITOR 3</t>
  </si>
  <si>
    <t>AUDIT DIRECTOR 2</t>
  </si>
  <si>
    <t>AUDITOR 2</t>
  </si>
  <si>
    <t>PUBLIC INFORMATION OFFICER 3</t>
  </si>
  <si>
    <t>HOUSING FINANCE SPEC 3</t>
  </si>
  <si>
    <t>HOUSING FINANCE SUPERVISO</t>
  </si>
  <si>
    <t>HOUSING FINANCE MANAGER</t>
  </si>
  <si>
    <t>MARKETING REP 1</t>
  </si>
  <si>
    <t>HOUS FIN SPEC2</t>
  </si>
  <si>
    <t>MARKETING REP SUPV</t>
  </si>
  <si>
    <t>HOUS FIN MGR</t>
  </si>
  <si>
    <t>ADMIN ASSISTANT 4</t>
  </si>
  <si>
    <t>ENV IMPACT SPECIALIST 3</t>
  </si>
  <si>
    <t>ENV IMPACT MANAGER 1</t>
  </si>
  <si>
    <t>ENV IMPACT SPECIALIST 1</t>
  </si>
  <si>
    <t>HOUS FIN DEPUTY ADMIN</t>
  </si>
  <si>
    <t>HOUSING FINANCE SUPERVISOR</t>
  </si>
  <si>
    <t>HOUS FIN SPEC1</t>
  </si>
  <si>
    <t>BUSINESS TECHNOLOGY ANALY</t>
  </si>
  <si>
    <t>ADMINISTRATIVE PROGRAM SPECIALIST  B</t>
  </si>
  <si>
    <t>POLICY PLANNER 1</t>
  </si>
  <si>
    <t>ADMIN COORDINATOR 3</t>
  </si>
  <si>
    <t>ADMIN PROG SPEC A</t>
  </si>
  <si>
    <t>ADMIN COORDINATOR 2</t>
  </si>
  <si>
    <t>MAINTENANCE REPAIRER 1</t>
  </si>
  <si>
    <t>IT DIRECTOR</t>
  </si>
  <si>
    <t>IT TECHNICAL SUPPORT ANAL</t>
  </si>
  <si>
    <t>IT SUPERVISOR</t>
  </si>
  <si>
    <t>IT APPLICATIONS DEVELOPER</t>
  </si>
  <si>
    <t>HOUS FIN SPEC 1</t>
  </si>
  <si>
    <t>ADMINSTRATIVE ASSISTANT 4</t>
  </si>
  <si>
    <t>BUDGET ANALYST 1</t>
  </si>
  <si>
    <t>ADMIN PROG SPEC B</t>
  </si>
  <si>
    <t>HOUSING FINANCE DEPUTY ADMIN</t>
  </si>
  <si>
    <t>HOUS FIN SUPERVISOR</t>
  </si>
  <si>
    <t>BUILDING PLANS EXAMINER 1</t>
  </si>
  <si>
    <t>HOUSING FINANCE SPEC 1</t>
  </si>
  <si>
    <t>ADMIN PROG SPEC C</t>
  </si>
  <si>
    <t>BUILDING PLANS EXAMINER 3</t>
  </si>
  <si>
    <t>ADMIN COORDINATOR 4</t>
  </si>
  <si>
    <t>HOUS FIN SPEC3</t>
  </si>
  <si>
    <t>COMPLIANCE EXAMINER 3</t>
  </si>
  <si>
    <t>COMPLIANCE EXAMINER 2</t>
  </si>
  <si>
    <t>Projected 2024 Expense</t>
  </si>
  <si>
    <t>Budget Fiscal 2024</t>
  </si>
  <si>
    <t>Advertising Services - Housing Conference</t>
  </si>
  <si>
    <t>Advertising - Housing Conference</t>
  </si>
  <si>
    <t>Operations Administration</t>
  </si>
  <si>
    <t>Performance-Based S8 Contract Admin Pgm</t>
  </si>
  <si>
    <t>2016A</t>
  </si>
  <si>
    <t>2017A</t>
  </si>
  <si>
    <t>2018A</t>
  </si>
  <si>
    <t>2019A</t>
  </si>
  <si>
    <t>2020A</t>
  </si>
  <si>
    <t>2021A</t>
  </si>
  <si>
    <t>2021C</t>
  </si>
  <si>
    <t>2022A</t>
  </si>
  <si>
    <t>2022B</t>
  </si>
  <si>
    <t>2023A</t>
  </si>
  <si>
    <t>2023C</t>
  </si>
  <si>
    <t>2024A</t>
  </si>
  <si>
    <t>2025AB</t>
  </si>
  <si>
    <t>FY 2024</t>
  </si>
  <si>
    <t>FY 2025</t>
  </si>
  <si>
    <t>FY 2023</t>
  </si>
  <si>
    <t>FY 2022</t>
  </si>
  <si>
    <t>1300 OCH</t>
  </si>
  <si>
    <t>FY 2025 Single Family Issuer Fees</t>
  </si>
  <si>
    <t>Arbors at Lafayette</t>
  </si>
  <si>
    <t>Bastion New Orleans</t>
  </si>
  <si>
    <t>Belmont Village</t>
  </si>
  <si>
    <t>Canal Apts</t>
  </si>
  <si>
    <t>CCM Lake Charles</t>
  </si>
  <si>
    <t>Chef Menteur</t>
  </si>
  <si>
    <t>Cypress Pointe</t>
  </si>
  <si>
    <t>Elysian III</t>
  </si>
  <si>
    <t>England Apts</t>
  </si>
  <si>
    <t>Gabriel Villa</t>
  </si>
  <si>
    <t>GCHP Progress Park</t>
  </si>
  <si>
    <t>Grove Place</t>
  </si>
  <si>
    <t>HC3 LLC</t>
  </si>
  <si>
    <t>Hollywood Acres</t>
  </si>
  <si>
    <t>Hollywood Heights</t>
  </si>
  <si>
    <t>Iberville VII</t>
  </si>
  <si>
    <t>Lafayette Bottle Art Lofts</t>
  </si>
  <si>
    <t>Lake Forest Manor</t>
  </si>
  <si>
    <t>LaPlaya</t>
  </si>
  <si>
    <t>Les Maisons de Bayou Lafourche</t>
  </si>
  <si>
    <t>Lotus Village</t>
  </si>
  <si>
    <t>Mabry Place</t>
  </si>
  <si>
    <t>Malcolm Kenner</t>
  </si>
  <si>
    <t>OCH Development</t>
  </si>
  <si>
    <t>Pine Hill Estates</t>
  </si>
  <si>
    <t>Reserve at Howell Place</t>
  </si>
  <si>
    <t>Reveal New Orleans</t>
  </si>
  <si>
    <t>Robinson Place II</t>
  </si>
  <si>
    <t>Villas of Lafayette</t>
  </si>
  <si>
    <t>West Park</t>
  </si>
  <si>
    <t>Winnfield Housing</t>
  </si>
  <si>
    <t>Royal Cambridge</t>
  </si>
  <si>
    <t>Sandal Family Apts</t>
  </si>
  <si>
    <t>Sherwood Apts</t>
  </si>
  <si>
    <t>Shreveport Millenium</t>
  </si>
  <si>
    <t>Bayou D'Arbonne</t>
  </si>
  <si>
    <t>Briarwood &amp; Burton</t>
  </si>
  <si>
    <t>Byers Estates V</t>
  </si>
  <si>
    <t>Caddo Homes</t>
  </si>
  <si>
    <t>Cypress at Gardere</t>
  </si>
  <si>
    <t>Drakes Landing</t>
  </si>
  <si>
    <t>Galilee Senior</t>
  </si>
  <si>
    <t>Hammond Station</t>
  </si>
  <si>
    <t>Jefferson Crossing</t>
  </si>
  <si>
    <t>Lafayette Bottle Art Lofts II</t>
  </si>
  <si>
    <t>Lee Hardware &amp; United Jewelers</t>
  </si>
  <si>
    <t>Lemann Building</t>
  </si>
  <si>
    <t>Miller Roy Building</t>
  </si>
  <si>
    <t>Morningside at Juban Lakes</t>
  </si>
  <si>
    <t>Iberville</t>
  </si>
  <si>
    <t>Ouachita Homes</t>
  </si>
  <si>
    <t>SBP-LP</t>
  </si>
  <si>
    <t>Sherwood Oaks</t>
  </si>
  <si>
    <t>Stone Vista II</t>
  </si>
  <si>
    <t>The Burrow</t>
  </si>
  <si>
    <t>Reserve at Joor Place</t>
  </si>
  <si>
    <t>Reserve at Juban Lakes</t>
  </si>
  <si>
    <t>Federal Building 10</t>
  </si>
  <si>
    <t>Barton Drive Apt</t>
  </si>
  <si>
    <t>Brooke Pointe</t>
  </si>
  <si>
    <t>Calcasieu Heights Sr Village</t>
  </si>
  <si>
    <t>Canal Crossing Sr Apts</t>
  </si>
  <si>
    <t>Capdau</t>
  </si>
  <si>
    <t>Capstone at the Oaks</t>
  </si>
  <si>
    <t>Cypress at Ardendale</t>
  </si>
  <si>
    <t>EC England</t>
  </si>
  <si>
    <t>Fairfield Title</t>
  </si>
  <si>
    <t>Fairmont Tower</t>
  </si>
  <si>
    <t>Glen Oaks</t>
  </si>
  <si>
    <t>MacArthur Place</t>
  </si>
  <si>
    <t>Millenium Studios III</t>
  </si>
  <si>
    <t>Morningside at Gersner Place</t>
  </si>
  <si>
    <t>Park Homes of Iowa</t>
  </si>
  <si>
    <t>Peppermill</t>
  </si>
  <si>
    <t>Rapides Homes</t>
  </si>
  <si>
    <t>Tivoli Place</t>
  </si>
  <si>
    <t>St. Claude Gardens II</t>
  </si>
  <si>
    <t>Tangipahoa Homes</t>
  </si>
  <si>
    <t>Reserve at Power Place</t>
  </si>
  <si>
    <t>Woodring Apts Phase II</t>
  </si>
  <si>
    <t>Operating Budget - FY 24/25</t>
  </si>
  <si>
    <t>FY 2024 Actuals</t>
  </si>
  <si>
    <t>FY 2024 Budget</t>
  </si>
  <si>
    <t>FY 2023 Actual</t>
  </si>
  <si>
    <t>FY 2023 Budget</t>
  </si>
  <si>
    <t>FY 2022 Budget</t>
  </si>
  <si>
    <t>FY 2022 Actual</t>
  </si>
  <si>
    <t>Energy Programs (LIHEAP, LIHWAP, BILWAP, WAP)</t>
  </si>
  <si>
    <t>Post-meeting Updated FY 2025 Budget</t>
  </si>
  <si>
    <t>Technology Services</t>
  </si>
  <si>
    <t>CDBG LIHTC Piggyback (Hsg Dev)</t>
  </si>
  <si>
    <t>CDBG Homeowner Assistance Fund</t>
  </si>
  <si>
    <t>CDBG Laura/Delta PSH Pgm Del</t>
  </si>
  <si>
    <t>CDBG Ida PSH Pgm Del</t>
  </si>
  <si>
    <t>CDBG Laura/Delta RHP Pgm Del</t>
  </si>
  <si>
    <t>Kat/Rita 1st Time Homebuyer Pgm (formerly ALL CDBG 1st Time Homebuyer)</t>
  </si>
  <si>
    <t>CDBG Ida RHP Pgm Del</t>
  </si>
  <si>
    <t>Laura/Delta Soft Seconds Pgm Del</t>
  </si>
  <si>
    <t>Ida Soft Seconds Pgm Del</t>
  </si>
  <si>
    <t>K/R Plaq Glen Oaks Admin</t>
  </si>
  <si>
    <t>K/R Plaq Glen Oaks Pgm Del</t>
  </si>
  <si>
    <t>CDBG Laura/Delta PRIME Admin</t>
  </si>
  <si>
    <t>CDBG Laura/Delta PRIME Pgm Del</t>
  </si>
  <si>
    <t>CDBG Ida PRIME Admin</t>
  </si>
  <si>
    <t>CDBG Ida PRIME Pgm Del</t>
  </si>
  <si>
    <t>CDBG Laura/Delta NLRP Admin</t>
  </si>
  <si>
    <t>CDBG Laura/Delta NLRP Pgm Del</t>
  </si>
  <si>
    <t>CDBG Ida NLRP Admin</t>
  </si>
  <si>
    <t>CDBG Ida NLRP Pgm Del</t>
  </si>
  <si>
    <t>CDBG Laura/Delta MidMkt Admin</t>
  </si>
  <si>
    <t>CDBG Laura/Delta MidMkt Pgm Del</t>
  </si>
  <si>
    <t>CDBG Ida MidMkt Admin</t>
  </si>
  <si>
    <t>CDBG Ida MidMkt Pgm Del</t>
  </si>
  <si>
    <t>Blue Tarp Roof Repair Admin</t>
  </si>
  <si>
    <t>Blue Tarp Roof Repair Pgm Del</t>
  </si>
  <si>
    <t>LDH SOAR Adm</t>
  </si>
  <si>
    <t>LDH SOAR Pgm Del</t>
  </si>
  <si>
    <t>Kat/Rita Small Rental Property Pgm ADMIN</t>
  </si>
  <si>
    <t>Kat/Rita Small Rental Property Pgm PD</t>
  </si>
  <si>
    <t>CDBG Laura/Delta RRH</t>
  </si>
  <si>
    <t>CDBG Ida RRH</t>
  </si>
  <si>
    <t>CDBG Laura/Delta PSH</t>
  </si>
  <si>
    <t>CDBG Ida PSH</t>
  </si>
  <si>
    <t>Project-Based Section 8 Hsg Choice Voucher Pgm</t>
  </si>
  <si>
    <t>Section 8 Hsg Choice VASH Pgm</t>
  </si>
  <si>
    <t>CDBG Restore Pgm - OCD</t>
  </si>
  <si>
    <t>LA DOJ Nursing Hm Transition Project</t>
  </si>
  <si>
    <t>Section 811 Mainstream Pgm</t>
  </si>
  <si>
    <t>Continuum of Care - Maison des Ami</t>
  </si>
  <si>
    <t>Kat/Rita QAP3 Admin</t>
  </si>
  <si>
    <t>Kat/Rita QAP3 Program Delivery</t>
  </si>
  <si>
    <t>Gustav/Ike Soft Seconds Admin</t>
  </si>
  <si>
    <t>Supportive Hsg Pgm (duplicate)</t>
  </si>
  <si>
    <t>Continuum of Care - Our Lady of the Lake</t>
  </si>
  <si>
    <t>CDBG 1st Time Homebuyer (duplicate)</t>
  </si>
  <si>
    <t>Shelter Plus Care (expired)</t>
  </si>
  <si>
    <t>Katr/Rita LIHTC Piggyback Pgm (LHA)</t>
  </si>
  <si>
    <t>LHA HOME Tenant-Based Rental Assistance Pgm</t>
  </si>
  <si>
    <t>Gustav/Ike Closeout</t>
  </si>
  <si>
    <t>Isaac Closeout</t>
  </si>
  <si>
    <t>Katrina/Rita Closeout</t>
  </si>
  <si>
    <t>2016 Flood Piggyback Acct Admin</t>
  </si>
  <si>
    <t>2016 Flood Piggyback Acct Pgm Delivery</t>
  </si>
  <si>
    <t>Isaac Soft Seconds Admin</t>
  </si>
  <si>
    <t>Isaac Soft Seconds Program Delivery</t>
  </si>
  <si>
    <t>DOE Weatherization T&amp;TA</t>
  </si>
  <si>
    <t>LIHEAP Client Education</t>
  </si>
  <si>
    <t>DHHS Weatherization T&amp;TA</t>
  </si>
  <si>
    <t>Hsg Counseling Pgm (Compr - HUD)</t>
  </si>
  <si>
    <t>2016 Flood Soft Seconds Admin</t>
  </si>
  <si>
    <t>St. John Housing Authority Asst</t>
  </si>
  <si>
    <t>2016 Flood Soft Seconds Pgm Del</t>
  </si>
  <si>
    <t>Homebuyer Education (Classes - GF)</t>
  </si>
  <si>
    <t>CDBG 2016 Flood NLRP Phase II Admin</t>
  </si>
  <si>
    <t>CDBG 2016 Flood NLRP Phase II Pgm Del</t>
  </si>
  <si>
    <t>2016 Flood Blight Remediation Admin</t>
  </si>
  <si>
    <t>Gustav/Ike Homeowner Rehab (duplicate)</t>
  </si>
  <si>
    <t>2016 Flood Blight Remediation Pgm Del</t>
  </si>
  <si>
    <t>Workforce Development Pgm</t>
  </si>
  <si>
    <t>COC RRH Grant - Rental Assistance Pgm Del</t>
  </si>
  <si>
    <t>Continuum of Care - Capital Area Alliance</t>
  </si>
  <si>
    <t>Continuum of Care Options Foundation</t>
  </si>
  <si>
    <t>Continuum of Care Planning Grant</t>
  </si>
  <si>
    <t>Continuum of Care PD</t>
  </si>
  <si>
    <t>Continuum of Care RRH Grant</t>
  </si>
  <si>
    <t>EBR Flood Sanction - Landlord Admin</t>
  </si>
  <si>
    <t>HMIS SW Costs</t>
  </si>
  <si>
    <t>EBR Flood Sanction - Developer Admin</t>
  </si>
  <si>
    <t>HMIS SW Costs Admin</t>
  </si>
  <si>
    <t>Gustav/Ike NDRC</t>
  </si>
  <si>
    <t>Continuum of Care Youth Oasis</t>
  </si>
  <si>
    <t>EBR Aug 16 Flood Sanction - Developer</t>
  </si>
  <si>
    <t>Continuum of Care ADM</t>
  </si>
  <si>
    <t>CDBG 2016 Flood PSH Program Delivery</t>
  </si>
  <si>
    <t>CDBG 2016 Flood PSH Admin</t>
  </si>
  <si>
    <t>CDBG 2016 Flood Rapid Rehsg Cont Drywall Prog Delivery</t>
  </si>
  <si>
    <t>FHLB EE Flood Assistance</t>
  </si>
  <si>
    <t>CDBG 2016 Flood Rapid Rehsg Cont Drywall Admin</t>
  </si>
  <si>
    <t>Rapid Rehsg Flood Asst (duplicate)</t>
  </si>
  <si>
    <t>CDBG 2016 Flood Landlord Program Delivery</t>
  </si>
  <si>
    <t>CDBG 2016 Flood Landlord Admin</t>
  </si>
  <si>
    <t>CDBG 2016 Flood Multi-Family Program Delivery</t>
  </si>
  <si>
    <t>CDBG 2016 Flood Multi-Family Admin</t>
  </si>
  <si>
    <t>EBR Aug 16 Flood Sanction - Landlord</t>
  </si>
  <si>
    <t>Isle de Jean Charles Relocation Project</t>
  </si>
  <si>
    <t>Isle de Jean Charles Admin</t>
  </si>
  <si>
    <t>Lafourche Nat'l Disaster Recovery - ADM</t>
  </si>
  <si>
    <t>Lafourche Nat'l Disaster Recovery - PD</t>
  </si>
  <si>
    <t>Allocable - All Others</t>
  </si>
  <si>
    <t>Lead Hazard Admin</t>
  </si>
  <si>
    <t>Lead Hazard Pgm Delivery</t>
  </si>
  <si>
    <t>CDBG Piggyback PRIME Admin</t>
  </si>
  <si>
    <t>CDBG Piggyback PRIME Pgm Delivery</t>
  </si>
  <si>
    <t>Kat/Rita QAP2 Admin ($24 mil)</t>
  </si>
  <si>
    <t>Kat/Rita QAP2 Pgm Del ($24 mil)</t>
  </si>
  <si>
    <t>RRH Pecan Acres Admin</t>
  </si>
  <si>
    <t>RRH Pecan Acres Prog Del</t>
  </si>
  <si>
    <t>ESG - Cares Grant</t>
  </si>
  <si>
    <t>ESG 2017 Covid 19 Grant</t>
  </si>
  <si>
    <t>LIHEAP Cares Act Grant</t>
  </si>
  <si>
    <t>Project-Based Section 8 Voucher - CARES Act</t>
  </si>
  <si>
    <t>Section 811 Mainstream Pgm - CARES Act</t>
  </si>
  <si>
    <t>FEMA COVID-19</t>
  </si>
  <si>
    <t>CDBG 2016 Flood Safe Haven Adm</t>
  </si>
  <si>
    <t>CDBG 2016 Flood Safe Haven PD</t>
  </si>
  <si>
    <t>CoC Coordinated Entry Admin</t>
  </si>
  <si>
    <t>CoC Coordinated Entry Pgm Del</t>
  </si>
  <si>
    <t>FEMA - Hurricane Laura, Zeta, Delta</t>
  </si>
  <si>
    <t>Emergency Rental Asst Pgm (ERAP)</t>
  </si>
  <si>
    <t>CoC RRH HMIS</t>
  </si>
  <si>
    <t>LIHWAP (Consolidated Appropriations Act)</t>
  </si>
  <si>
    <t>Housing Preservation Grant</t>
  </si>
  <si>
    <t>EBR PHA Endeavor Agreement</t>
  </si>
  <si>
    <t>Emergency Housing Voucher Award</t>
  </si>
  <si>
    <t>CDBG Rural Bond Pgm - Admin</t>
  </si>
  <si>
    <t>CDBG Rural Bond Pgm - Pgm Del</t>
  </si>
  <si>
    <t>LIHWAP (American Rescue Plan)</t>
  </si>
  <si>
    <t>LIHEAP (American Rescue Plan)</t>
  </si>
  <si>
    <t>HOME (American Rescue Plan)</t>
  </si>
  <si>
    <t>Allocable Paid Time Off</t>
  </si>
  <si>
    <t>Hurricane Ida</t>
  </si>
  <si>
    <t>CDBG 2016 Flood NLRP Phase 3 Admin</t>
  </si>
  <si>
    <t>CDBG 2016 Flood NLRP Phase 3 Pgm Del</t>
  </si>
  <si>
    <t>CDBG Laura/Delta Soft Seconds Admin</t>
  </si>
  <si>
    <t>CDBG Ida Soft Seconds Admin</t>
  </si>
  <si>
    <t>BIL WAP Admin</t>
  </si>
  <si>
    <t>BIL WAP DOE T&amp;TA</t>
  </si>
  <si>
    <t>2016 Flood EBR Inspections</t>
  </si>
  <si>
    <t>006</t>
  </si>
  <si>
    <t>007</t>
  </si>
  <si>
    <t>008</t>
  </si>
  <si>
    <t>009</t>
  </si>
  <si>
    <t>011</t>
  </si>
  <si>
    <t>012</t>
  </si>
  <si>
    <t>013</t>
  </si>
  <si>
    <t>016</t>
  </si>
  <si>
    <t>017</t>
  </si>
  <si>
    <t>018</t>
  </si>
  <si>
    <t>019</t>
  </si>
  <si>
    <t>020</t>
  </si>
  <si>
    <t>021</t>
  </si>
  <si>
    <t>022</t>
  </si>
  <si>
    <t>023</t>
  </si>
  <si>
    <t>024</t>
  </si>
  <si>
    <t>026</t>
  </si>
  <si>
    <t>027</t>
  </si>
  <si>
    <t>028</t>
  </si>
  <si>
    <t>029</t>
  </si>
  <si>
    <t>032</t>
  </si>
  <si>
    <t>033</t>
  </si>
  <si>
    <t>087</t>
  </si>
  <si>
    <t>091</t>
  </si>
  <si>
    <t>092</t>
  </si>
  <si>
    <t>093</t>
  </si>
  <si>
    <t>094</t>
  </si>
  <si>
    <t>101</t>
  </si>
  <si>
    <t>102</t>
  </si>
  <si>
    <t>103</t>
  </si>
  <si>
    <t>104</t>
  </si>
  <si>
    <t>106</t>
  </si>
  <si>
    <t>107</t>
  </si>
  <si>
    <t>108</t>
  </si>
  <si>
    <t>109</t>
  </si>
  <si>
    <t>114</t>
  </si>
  <si>
    <t>117</t>
  </si>
  <si>
    <t>127</t>
  </si>
  <si>
    <t>128</t>
  </si>
  <si>
    <t>129</t>
  </si>
  <si>
    <t>131</t>
  </si>
  <si>
    <t>132</t>
  </si>
  <si>
    <t>133</t>
  </si>
  <si>
    <t>134</t>
  </si>
  <si>
    <t>138</t>
  </si>
  <si>
    <t>139</t>
  </si>
  <si>
    <t>141</t>
  </si>
  <si>
    <t>142</t>
  </si>
  <si>
    <t>143</t>
  </si>
  <si>
    <t>145</t>
  </si>
  <si>
    <t>147</t>
  </si>
  <si>
    <t>149</t>
  </si>
  <si>
    <t>150</t>
  </si>
  <si>
    <t>151</t>
  </si>
  <si>
    <t>153</t>
  </si>
  <si>
    <t>157</t>
  </si>
  <si>
    <t>159</t>
  </si>
  <si>
    <t>161</t>
  </si>
  <si>
    <t>163</t>
  </si>
  <si>
    <t>169</t>
  </si>
  <si>
    <t>171</t>
  </si>
  <si>
    <t>173</t>
  </si>
  <si>
    <t>183</t>
  </si>
  <si>
    <t>187</t>
  </si>
  <si>
    <t>188</t>
  </si>
  <si>
    <t>189</t>
  </si>
  <si>
    <t>191</t>
  </si>
  <si>
    <t>192</t>
  </si>
  <si>
    <t>193</t>
  </si>
  <si>
    <t>194</t>
  </si>
  <si>
    <t>196</t>
  </si>
  <si>
    <t>197</t>
  </si>
  <si>
    <t>198</t>
  </si>
  <si>
    <t>199</t>
  </si>
  <si>
    <t>201</t>
  </si>
  <si>
    <t>202</t>
  </si>
  <si>
    <t>203</t>
  </si>
  <si>
    <t>204</t>
  </si>
  <si>
    <t>206</t>
  </si>
  <si>
    <t>207</t>
  </si>
  <si>
    <t>208</t>
  </si>
  <si>
    <t>209</t>
  </si>
  <si>
    <t>211</t>
  </si>
  <si>
    <t>212</t>
  </si>
  <si>
    <t>218</t>
  </si>
  <si>
    <t>219</t>
  </si>
  <si>
    <t>221</t>
  </si>
  <si>
    <t>222</t>
  </si>
  <si>
    <t>223</t>
  </si>
  <si>
    <t>224</t>
  </si>
  <si>
    <t>226</t>
  </si>
  <si>
    <t>227</t>
  </si>
  <si>
    <t>228</t>
  </si>
  <si>
    <t>229</t>
  </si>
  <si>
    <t>231</t>
  </si>
  <si>
    <t>232</t>
  </si>
  <si>
    <t>233</t>
  </si>
  <si>
    <t>234</t>
  </si>
  <si>
    <t>236</t>
  </si>
  <si>
    <t>237</t>
  </si>
  <si>
    <t>238</t>
  </si>
  <si>
    <t>239</t>
  </si>
  <si>
    <t>241</t>
  </si>
  <si>
    <t>242</t>
  </si>
  <si>
    <t>244</t>
  </si>
  <si>
    <t>246</t>
  </si>
  <si>
    <t>247</t>
  </si>
  <si>
    <t>248</t>
  </si>
  <si>
    <t>249</t>
  </si>
  <si>
    <t>250</t>
  </si>
  <si>
    <t>251</t>
  </si>
  <si>
    <t>252</t>
  </si>
  <si>
    <t>Environmental Reviews</t>
  </si>
  <si>
    <t>LA Housing Authority</t>
  </si>
  <si>
    <t>6215xxx</t>
  </si>
  <si>
    <t>6235xxx</t>
  </si>
  <si>
    <t>6222xxx</t>
  </si>
  <si>
    <t>6220xxx</t>
  </si>
  <si>
    <t>6212xxx</t>
  </si>
  <si>
    <t>6210xxx</t>
  </si>
  <si>
    <t>Certifications</t>
  </si>
  <si>
    <t>NCSHA Training - EE Development</t>
  </si>
  <si>
    <t>6245xxx</t>
  </si>
  <si>
    <t>Executive Counsel</t>
  </si>
  <si>
    <t>Travel-Mtgs</t>
  </si>
  <si>
    <t>Jason's Deli</t>
  </si>
  <si>
    <t>Chicken Shack</t>
  </si>
  <si>
    <t>Office Depot</t>
  </si>
  <si>
    <t>Walmart</t>
  </si>
  <si>
    <t>National Business Furniture</t>
  </si>
  <si>
    <t>Legal Research Software</t>
  </si>
  <si>
    <t>LexisNexis</t>
  </si>
  <si>
    <t>Zoom</t>
  </si>
  <si>
    <t>GBR SHRM Membership Fees</t>
  </si>
  <si>
    <t>LA IMPA Membership Fees</t>
  </si>
  <si>
    <t>Grammarly business communications</t>
  </si>
  <si>
    <t>Provantage</t>
  </si>
  <si>
    <t>IIA Dues</t>
  </si>
  <si>
    <t>YARDI</t>
  </si>
  <si>
    <t>NCHM</t>
  </si>
  <si>
    <t>PHA Public Notice</t>
  </si>
  <si>
    <t>PolicyMap</t>
  </si>
  <si>
    <t>ArcGIS Dues</t>
  </si>
  <si>
    <t>ARGIS</t>
  </si>
  <si>
    <t>computers</t>
  </si>
  <si>
    <t>All Regs</t>
  </si>
  <si>
    <t>Bond Application Fees</t>
  </si>
  <si>
    <t>Counselor Max</t>
  </si>
  <si>
    <t>NCSHA HFA Institute</t>
  </si>
  <si>
    <t>Property Site Visits</t>
  </si>
  <si>
    <t>Howard Randiesha</t>
  </si>
  <si>
    <t>Board Member</t>
  </si>
  <si>
    <t>Operations Admin</t>
  </si>
  <si>
    <t>VACANT - CFO</t>
  </si>
  <si>
    <t>ACCOUNTANT MGR 1</t>
  </si>
  <si>
    <t>ACCOUNTANT MGR 2</t>
  </si>
  <si>
    <t>AS 615</t>
  </si>
  <si>
    <t>UNCL</t>
  </si>
  <si>
    <t>6114 Premium Pay Hrs</t>
  </si>
  <si>
    <t>Premium Pay</t>
  </si>
  <si>
    <t>Cell Phones</t>
  </si>
  <si>
    <t>AT&amp;T</t>
  </si>
  <si>
    <t>Verizon</t>
  </si>
  <si>
    <t>Zivver</t>
  </si>
  <si>
    <t>LA Office of Telecommunications</t>
  </si>
  <si>
    <t>Blumira</t>
  </si>
  <si>
    <t>JPI Data Resource</t>
  </si>
  <si>
    <t>Annual maintenance &amp; support</t>
  </si>
  <si>
    <t>HDS</t>
  </si>
  <si>
    <t>FTP software</t>
  </si>
  <si>
    <t>Filezilla</t>
  </si>
  <si>
    <t>Uniti Fiber</t>
  </si>
  <si>
    <t>Turnkey</t>
  </si>
  <si>
    <t>Preferred</t>
  </si>
  <si>
    <t>REV</t>
  </si>
  <si>
    <t>ReciteMe</t>
  </si>
  <si>
    <t>Scale DR Cluster</t>
  </si>
  <si>
    <t>Shared Infrastructure Cloud Services</t>
  </si>
  <si>
    <t>Answerfirst</t>
  </si>
  <si>
    <t>IREC QCI course accrediatin</t>
  </si>
  <si>
    <t>Wells Andrea</t>
  </si>
  <si>
    <t>Gaines Kourtney</t>
  </si>
  <si>
    <t>Routine In state compliance monitoring</t>
  </si>
  <si>
    <t>Hevey Jeffrey</t>
  </si>
  <si>
    <t>Hand Cade</t>
  </si>
  <si>
    <t>Durnin Joseph</t>
  </si>
  <si>
    <t>Holmes Lauren</t>
  </si>
  <si>
    <t>RCS Appraiser Review - Gill Group</t>
  </si>
  <si>
    <t>RCS Appraiser Review - Doyle Real Estate</t>
  </si>
  <si>
    <t>Milton Dione</t>
  </si>
  <si>
    <t>CHAM - Asset Management Conference</t>
  </si>
  <si>
    <t>Outside litigatin counsel - Long Law</t>
  </si>
  <si>
    <t>Westaff - temporary workers</t>
  </si>
  <si>
    <t>Business cards - Bimpress</t>
  </si>
  <si>
    <t>1095 processing - Aatrix</t>
  </si>
  <si>
    <t>drug testing - RN Expertise</t>
  </si>
  <si>
    <t>lighthouse services - confidential hotline</t>
  </si>
  <si>
    <t>background screener - Simpliverified</t>
  </si>
  <si>
    <t>SHRM</t>
  </si>
  <si>
    <t>Indeed - sponsored job postings</t>
  </si>
  <si>
    <t>Hailey McNamara</t>
  </si>
  <si>
    <t>NCSHA Annual Conference</t>
  </si>
  <si>
    <t>Stanley Caronda</t>
  </si>
  <si>
    <t>Program monitoring ESG</t>
  </si>
  <si>
    <t>Hogan Kelly</t>
  </si>
  <si>
    <t>Progrom monitoring LAPSHI</t>
  </si>
  <si>
    <t>Lacy Vonetta</t>
  </si>
  <si>
    <t>Program monitoring COC RRH</t>
  </si>
  <si>
    <t>Davis Angela</t>
  </si>
  <si>
    <t>Johnson Victoria</t>
  </si>
  <si>
    <t>Dietz Andrew</t>
  </si>
  <si>
    <t>Patterson Carrie</t>
  </si>
  <si>
    <t>Connor Winona</t>
  </si>
  <si>
    <t>Leblanc Aimee</t>
  </si>
  <si>
    <t>NCSHA</t>
  </si>
  <si>
    <t>CSRS HOME ARP implementation</t>
  </si>
  <si>
    <t>CSRS</t>
  </si>
  <si>
    <t>Simtech - APP for PIT Count</t>
  </si>
  <si>
    <t>Yardi</t>
  </si>
  <si>
    <t>Aatrix 1099-1098 Reporting</t>
  </si>
  <si>
    <t>Aatrix - 941, LA Dept of Labor, LA Dept of Rev &amp; W-2 reporting</t>
  </si>
  <si>
    <t>DHHM - Auditing re: audit of Gen Fund</t>
  </si>
  <si>
    <t>DHHM - Auditing re: audit of LA Hsg Authority</t>
  </si>
  <si>
    <t>DHHM - Auditing re: audit of Mid City Gardens</t>
  </si>
  <si>
    <t>DHHM - Auditing re: audit of SF Bonds for Moody's</t>
  </si>
  <si>
    <t>DHHM - Auditing re: audit of Village de Jardin</t>
  </si>
  <si>
    <t>DHHM - Auditing re: audit of Willowbrook Apts</t>
  </si>
  <si>
    <t>DHHM - Consulting re: audit of LA Hsg Authority</t>
  </si>
  <si>
    <t>Dobbs, Ramm - Arbitrage Calculations</t>
  </si>
  <si>
    <t>NextLevel Solutions - Building rpts, troubleshooting</t>
  </si>
  <si>
    <t>NextLevel Solutions - Install Software Updates</t>
  </si>
  <si>
    <t>NextLevel Solutions - Purchasing/Funds Availability Implementation</t>
  </si>
  <si>
    <t>NextLevel Solutions - Troubleshooting LIHEAP CTX issues</t>
  </si>
  <si>
    <t>NextLevel Solutions - Troubleshooting/Process Improvement</t>
  </si>
  <si>
    <t>RFP/MGT of America - Cost Allocation Plan Approval</t>
  </si>
  <si>
    <t>Trustee Fees</t>
  </si>
  <si>
    <t>Check Printing Fees</t>
  </si>
  <si>
    <t>JPMorgan Chase</t>
  </si>
  <si>
    <t>Document Mgt Licesnes</t>
  </si>
  <si>
    <t>NextLevel</t>
  </si>
  <si>
    <t>F9 Report Writer</t>
  </si>
  <si>
    <t>Funds Availability &amp; Purchasing Software</t>
  </si>
  <si>
    <t>Tairox User Maintenance</t>
  </si>
  <si>
    <t>Treasury Software</t>
  </si>
  <si>
    <t>Printboss linense</t>
  </si>
  <si>
    <t>Sage Payroll Software subscription</t>
  </si>
  <si>
    <t>Sage</t>
  </si>
  <si>
    <t>LANTEC - Excel Beginning Classes</t>
  </si>
  <si>
    <t>20 vehicles inspections and washes</t>
  </si>
  <si>
    <t>Benny's</t>
  </si>
  <si>
    <t>off site record storage</t>
  </si>
  <si>
    <t>Iron Mountain</t>
  </si>
  <si>
    <t>Paragon</t>
  </si>
  <si>
    <t>Atrium Music</t>
  </si>
  <si>
    <t>Metro Communications</t>
  </si>
  <si>
    <t>Mavis Tire</t>
  </si>
  <si>
    <t>WEX</t>
  </si>
  <si>
    <t>OTS letter head and business envelopes</t>
  </si>
  <si>
    <t>Hubspot</t>
  </si>
  <si>
    <t>Website for social media presence,email blasts</t>
  </si>
  <si>
    <t>Online Design Program (Photos &amp; Videos)</t>
  </si>
  <si>
    <t>Canva</t>
  </si>
  <si>
    <t>Emergent Method</t>
  </si>
  <si>
    <t>BPI Annual Proctor Fee - Chris &amp; Pam</t>
  </si>
  <si>
    <t>Miscellaneous - Training Venues (ACAP, etc.)</t>
  </si>
  <si>
    <t>CDBG Ida Midmkt Pgm Del</t>
  </si>
  <si>
    <t>Zoom - 3 paid accounts</t>
  </si>
  <si>
    <t>onsite monitoring</t>
  </si>
  <si>
    <t>Energy related meetings, onsite visits</t>
  </si>
  <si>
    <t>Chauvin Mitchel</t>
  </si>
  <si>
    <t>Subgrantee - Onsite Monitoring, Meetings, etc.</t>
  </si>
  <si>
    <t>Randall Seuana</t>
  </si>
  <si>
    <t>Subgrantee - Onsite Monitoring, T&amp;TA, Meetings, etc.</t>
  </si>
  <si>
    <t>Subgrantee - Onsite Monitoring &amp; T&amp;TA</t>
  </si>
  <si>
    <t>NEADA Spring Meeting - Washington DC</t>
  </si>
  <si>
    <t>NASCSP Winter Conference - Arlington, VA</t>
  </si>
  <si>
    <t>National Home Performance Conference (NHPC)- New Orleans this year</t>
  </si>
  <si>
    <t>Rodriguez Raymond</t>
  </si>
  <si>
    <t>Landingham Bridgette</t>
  </si>
  <si>
    <t>Realtor Registration Events</t>
  </si>
  <si>
    <t>Duggan Daniel</t>
  </si>
  <si>
    <t>Alexander Dexter</t>
  </si>
  <si>
    <t>LA press</t>
  </si>
  <si>
    <t>Amerinational</t>
  </si>
  <si>
    <t xml:space="preserve">Credico </t>
  </si>
  <si>
    <t>Tiger Canopy</t>
  </si>
  <si>
    <t>CSRS Disaster Recovery Management, LLC Task Order CSRS-011 RRDP Phase I</t>
  </si>
  <si>
    <t>Franklin Associates, LLC.</t>
  </si>
  <si>
    <t>Monthly Committees-Board Meetings</t>
  </si>
  <si>
    <t>NCSHA Legislative Conference</t>
  </si>
  <si>
    <t>NCSHA Housing Credit Connect</t>
  </si>
  <si>
    <t>Board Retreat Orientation</t>
  </si>
  <si>
    <t>Miscellaneous In-State routine travel</t>
  </si>
  <si>
    <t>Court Reporting Services</t>
  </si>
  <si>
    <t>Sexton Law Firm</t>
  </si>
  <si>
    <t>Novogradac 2025 Housing Needs Assessment</t>
  </si>
  <si>
    <t>4imprint - marketing/promo supplies</t>
  </si>
  <si>
    <t xml:space="preserve">NCHSA/ABA Professional Training or Conference </t>
  </si>
  <si>
    <t>Admin Professional Training or Conference</t>
  </si>
  <si>
    <t>Joseph Natasha</t>
  </si>
  <si>
    <t>Brooks Barry</t>
  </si>
  <si>
    <t>CDBG IDA PSH Pgm Del</t>
  </si>
  <si>
    <t>Hall Wendy</t>
  </si>
  <si>
    <t>Navarra John</t>
  </si>
  <si>
    <t>NCSHA Conference</t>
  </si>
  <si>
    <t>Billingsley Danae</t>
  </si>
  <si>
    <t>Fields Sandra</t>
  </si>
  <si>
    <t>DropBox Annual Subscription</t>
  </si>
  <si>
    <t>Market Studies</t>
  </si>
  <si>
    <t>LPA Publishing</t>
  </si>
  <si>
    <t>Government Consultants Underwriting services</t>
  </si>
  <si>
    <t>Butler Snow Loan Closings</t>
  </si>
  <si>
    <t>Housing Conference</t>
  </si>
  <si>
    <t>Hancock Bank</t>
  </si>
  <si>
    <t>Misc Other Operating Expenses</t>
  </si>
  <si>
    <t>Conference call services</t>
  </si>
  <si>
    <t>Help desk services</t>
  </si>
  <si>
    <t>Software support renewal</t>
  </si>
  <si>
    <t>Secondary shared internet cidr block</t>
  </si>
  <si>
    <t>Software for accessibility and language</t>
  </si>
  <si>
    <t>Maintenance support for hardware/software</t>
  </si>
  <si>
    <t>Facility Automation</t>
  </si>
  <si>
    <t>LA State Board Association/Disciplinary Board</t>
  </si>
  <si>
    <t>Dues for the attorneys</t>
  </si>
  <si>
    <t>Mail Chimp</t>
  </si>
  <si>
    <t>COC listserve</t>
  </si>
  <si>
    <t>Square Space</t>
  </si>
  <si>
    <t>COC website</t>
  </si>
  <si>
    <t>Laptops</t>
  </si>
  <si>
    <t>Membership dues</t>
  </si>
  <si>
    <t>FedEx/Neo Post</t>
  </si>
  <si>
    <t>Postage Machine Rental</t>
  </si>
  <si>
    <t>Email Services</t>
  </si>
  <si>
    <t>LA Office of Technology Services</t>
  </si>
  <si>
    <t>Microsoft 365</t>
  </si>
  <si>
    <t>Projected 2025 Expense</t>
  </si>
  <si>
    <t>LA Office of Risk Management</t>
  </si>
  <si>
    <t>Auto Liab, Comm Gen Liab, Bond/Crime, Workers Comp, Statewide Property</t>
  </si>
  <si>
    <t>Industriplex &amp; Quail</t>
  </si>
  <si>
    <t>Fifth Wall</t>
  </si>
  <si>
    <t>Cyber security insurance policy</t>
  </si>
  <si>
    <t>Quadient Finance</t>
  </si>
  <si>
    <t>Equipment PPE, etc</t>
  </si>
  <si>
    <t>NASCSP</t>
  </si>
  <si>
    <t>NEADA</t>
  </si>
  <si>
    <t>NEUAC</t>
  </si>
  <si>
    <t>2025 Membership Dues</t>
  </si>
  <si>
    <t>Land's End</t>
  </si>
  <si>
    <t>Shirts for Monitoring</t>
  </si>
  <si>
    <t>BPI</t>
  </si>
  <si>
    <t>LCPtracker</t>
  </si>
  <si>
    <t>Davis-Bacon payroll monitoring</t>
  </si>
  <si>
    <t>Dropbox</t>
  </si>
  <si>
    <t>Environmental files storage and transfer (4 licenses)</t>
  </si>
  <si>
    <t>Quickbase</t>
  </si>
  <si>
    <t>Office furniture</t>
  </si>
  <si>
    <t>Fleet vehicle gas</t>
  </si>
  <si>
    <t>Vehicle maintenance</t>
  </si>
  <si>
    <t>Roadside assistance for fleet vehicles</t>
  </si>
  <si>
    <t>GBR SHRM</t>
  </si>
  <si>
    <t>Shirts for field team monitoring</t>
  </si>
  <si>
    <t>Best Buy/Provantage</t>
  </si>
  <si>
    <t>Dues</t>
  </si>
  <si>
    <t>Lender Broker Recognition Awards</t>
  </si>
  <si>
    <t>Recording Equipment for boardroom</t>
  </si>
  <si>
    <t>Email security software</t>
  </si>
  <si>
    <t>Land line phone services</t>
  </si>
  <si>
    <t>Network security subscription</t>
  </si>
  <si>
    <t>Laserfiche support</t>
  </si>
  <si>
    <t>Advertising, Public Notices, Printing, Sponsorships</t>
  </si>
  <si>
    <t xml:space="preserve">The Emergency Solutions Program is a  federally funded program by HUD, for activities in connection with emergency shelter of homeless people. This funding is awarded to local units of government statewide. The ESG eligible activities are for the emergency shelter  operating costs, and eligible social services expenses, and homelessness prevention and rapid re-housing activities to include short-term and medium-term rental assistance and services to stabilize individuals and households who are homeless or at risk of becoming.  </t>
  </si>
  <si>
    <t>Emergency Solutions Grants (ESG)</t>
  </si>
  <si>
    <t xml:space="preserve">The Continuum of Care (CoC) Program is designed to promote communitywide commitment to the goal of ending homelessness; provide funding for efforts by nonprofit providers, and State and local governments to quickly rehouse homeless individuals and families while minimizing the trauma and dislocation caused to homeless individuals, families, and communities by homelessness; promote access to and effect utilization of mainstream programs by homeless individuals and families; and optimize self-sufficiency among individuals and families experiencing homelessness. </t>
  </si>
  <si>
    <t>Balance of State Continuum of Care</t>
  </si>
  <si>
    <t xml:space="preserve">Project-based vouchers are a component of agencies housing choice voucher program.  The voucher assistance is attached to specific housing units if the owner agrees to either rehabilitate or construct the units, or the owner agrees to set-aside a portion of the units in an existing development. A PHA enters into an assistance contract with the owner for specified units and for a specified term. The PHA refers families from its waiting list to the project owner to fill vacancies. Because the assistance is tied to the unit, a family who moves from the project-based unit does not have any right to continued housing assistance. </t>
  </si>
  <si>
    <t>Permanent Supportive Housing - Project Based Voucher Program (EHV - Emergency Housing Voucher)</t>
  </si>
  <si>
    <t>Permanent Supportive Housing - Project Based Voucher Program (Mainstream)</t>
  </si>
  <si>
    <t>The U.S. Department of Energy's (DOE) Weatherization Assistance Program (WAP) was created in 1976 to assist low-income families who lacked resources to invest in energy efficiency. WAP is operated in all 50 states, the District of Columbia, Native American tribes, and U.S. Territories. Funds are used to improve the energy efficiency of low-income homes using the most advanced technologies and testing protocols available in the housing industry. 4-5 Subgrantees - Allowable admin is shared. Program also has Training &amp; Technical Assistance funds that supplement direct LHC programmatic staffing expenses.</t>
  </si>
  <si>
    <t>Weatherization Assistance Program (DOE - Bi-Partisan Infrastructure Law [BIL] WAP)</t>
  </si>
  <si>
    <t>The U.S. Department of Energy's (DOE) Weatherization Assistance Program (WAP) was created in 1976 to assist low-income families who lacked resources to invest in energy efficiency. WAP is operated in all 50 states, the District of Columbia, Native American tribes, and U.S. Territories. Funds are used to improve the energy efficiency of low-income homes using the most advanced technologies and testing protocols available in the housing industry. 4 Subgrantees - Allowable admin is shared.  Program also has Training &amp; Technical Assistance funds that supplement direct LHC programmatic staffing expenses.</t>
  </si>
  <si>
    <t>Weatherization Assistance Program (DOE - WAP)</t>
  </si>
  <si>
    <t>The LIHEAP was authorized by the Low-Income Home Energy Act of 1981 (Title XXVI of Public Law 97-35; the Omnibus Budget Reconciliation Act of 1981). As stated in Sec. 2602 (a) the program was authorized to assist low-income households, particularly those with the lowest incomes, that pay a high proportion of household income for home energy, primarily in meeting their immediate home energy needs.  39 LIHEAP Subgrantees/4 WAP Subgrantees - Allowable admin is shared.</t>
  </si>
  <si>
    <t>Low-Income Home Energy Assistance Program (DHHS - LIHEAP - Regular - Includes WAP)</t>
  </si>
  <si>
    <t xml:space="preserve">Current major loan program: Mortgage Revenue Bonds (MRBs) are tax-exempt bonds that state governments issue through housing finance agencies to help fund below-market-interest-rate mortgages for first-time qualifying homebuyers. Eligible borrowers are first-time homebuyers with low to moderate incomes below 115 percent of median family income. </t>
  </si>
  <si>
    <t xml:space="preserve">Homeownership Financing </t>
  </si>
  <si>
    <t xml:space="preserve">Premier Finances provides daily funding at the market rate.
 </t>
  </si>
  <si>
    <t>TBA Homebuyer Program/Lakeview Servicer</t>
  </si>
  <si>
    <r>
      <t xml:space="preserve">The Housing Counseling Department was created to help increase housing sustainability by  increasing the availability of housing counseling services across the State and the number of person receiving these services. The services being provided are as follows: pre-and-post purchase homebuyer education counseling, rental housing counseling, and resolving/preventing mortgage delinquency or default. </t>
    </r>
    <r>
      <rPr>
        <sz val="12"/>
        <color rgb="FFFF0000"/>
        <rFont val="Calibri"/>
        <family val="2"/>
        <scheme val="minor"/>
      </rPr>
      <t>.</t>
    </r>
  </si>
  <si>
    <t xml:space="preserve">Disaster CDBG funds allocated to the State of Louisiana. These dollars are used to administer programs and enhance LHC's ability to deliver housing initiatives. Programs include: Piggyback, Neighborhood Landlord, First-time Homebuyer, Non-Profit Rebuilding Pilot Program, Homelessness Supports and Housing Supportive Services, Homeless Prevention, Rapid Re-housing Program and Disaster Resiliency. </t>
  </si>
  <si>
    <t>CDBG-DR  (Katrina, Rita, Gustav, Ike, Isaac and 2016 Floods, Laura, Delta, Ida)</t>
  </si>
  <si>
    <t>The HOME Investment Partnerships Program (HOME) provides formula grants to States and localities that communities use - often in partnership with local nonprofit groups - to fund a wide range of activities including building, buying, and/or rehabilitating affordable housing for rent or homeownership or providing direct rental assistance to low-income people. LHC uses all 4 activities available (Rental Production, Homebuyer Production, Homeowner Rehabilitation and Tenant-Based Rental Assistance).</t>
  </si>
  <si>
    <t xml:space="preserve">HOME Investment Partnerships Program (HOME - ARP) </t>
  </si>
  <si>
    <r>
      <t xml:space="preserve">The HOME Investment Partnerships Program (HOME) provides formula grants to States and localities that communities use - often in partnership with local nonprofit groups - to fund a wide range of activities including building, buying, and/or rehabilitating affordable housing for rent or homeownership or providing direct rental assistance to low-income people. LHC uses all 4 activities available (Rental Production, Homebuyer Production, Homeowner Rehabilitation and Tenant-Based Rental Assistance). </t>
    </r>
    <r>
      <rPr>
        <sz val="12"/>
        <color rgb="FFFF0000"/>
        <rFont val="Calibri"/>
        <family val="2"/>
        <scheme val="minor"/>
      </rPr>
      <t xml:space="preserve"> </t>
    </r>
  </si>
  <si>
    <t xml:space="preserve">HOME Investment Partnerships Program (HOME-Regular) </t>
  </si>
  <si>
    <t>Housing Development</t>
  </si>
  <si>
    <t>The Housing Trust Fund (HTF) is an affordable housing production program that complements existing Federal, state and local efforts to increase and preserve the supply of decent, safe, and sanitary affordable housing for extremely low- and very low-income households, including homeless families. HTF funds may be used for the production or preservation of affordable housing through the acquisition, new construction, reconstruction, and/or rehabilitation of non-luxury housing with suitable amenities.</t>
  </si>
  <si>
    <t>National Housing Trust Fund (HTF)</t>
  </si>
  <si>
    <t>Houisng Development</t>
  </si>
  <si>
    <t>FY25 Projected Earned Fees</t>
  </si>
  <si>
    <t xml:space="preserve">FY25 Anticipated Disburment </t>
  </si>
  <si>
    <t>Total Program Dollars Available</t>
  </si>
  <si>
    <t xml:space="preserve">Total Administrative Fee Avaiable </t>
  </si>
  <si>
    <t>Program Description</t>
  </si>
  <si>
    <t>Program Name</t>
  </si>
  <si>
    <t>Homelesssness Solutions</t>
  </si>
  <si>
    <t>Network security</t>
  </si>
  <si>
    <t>Internet for agency and phones for Sherwood location</t>
  </si>
  <si>
    <t>Maintenance support for building access</t>
  </si>
  <si>
    <t>Client Management</t>
  </si>
  <si>
    <t>Equipment</t>
  </si>
  <si>
    <t>Zoom License Fees</t>
  </si>
  <si>
    <t>Homeownership Production</t>
  </si>
  <si>
    <t>Rental Assistance (LHA)</t>
  </si>
  <si>
    <t>Homeownership</t>
  </si>
  <si>
    <t>Maintenance - Automobiles</t>
  </si>
  <si>
    <t>CDBG Ida Soft Seconds Pgm Del</t>
  </si>
  <si>
    <t>Homeownership - Bond Deal Income</t>
  </si>
  <si>
    <t>Homeownership - Homebuyer Counseling Programs</t>
  </si>
  <si>
    <t>Housing Development - Issuer Fees and MRB Application Fees</t>
  </si>
  <si>
    <t>Housing Development - LIHTC Fees, M2M &amp; Risk Sharing</t>
  </si>
  <si>
    <t>Compliance Monitoring - LIHTC Recipients/Training Center</t>
  </si>
  <si>
    <t>Rental Assistance (LHA) - Supportive Housing</t>
  </si>
  <si>
    <t>Transfer from Reserves</t>
  </si>
  <si>
    <t>Income/(Loss) from Operations</t>
  </si>
  <si>
    <t>Income/(Loss) from Operating including Capital Expenditures</t>
  </si>
  <si>
    <t>Net Income/(Loss) after Transfers from Reserves</t>
  </si>
  <si>
    <t>% Increase / (Decrease) from FY 2024</t>
  </si>
  <si>
    <t>% of Budget Request</t>
  </si>
  <si>
    <t>Lead Hazard Grant</t>
  </si>
  <si>
    <t>Performance-Based Contract Administration (PBCA)</t>
  </si>
  <si>
    <t>YWCA</t>
  </si>
  <si>
    <t>Use of the Weatherization Training Center</t>
  </si>
  <si>
    <t>Various Participants</t>
  </si>
  <si>
    <t>Verizon Wireless</t>
  </si>
  <si>
    <t>Lease of Land behind Quail Drive Location for their Tower - 1/1/21 - 12/31/25 Initial term</t>
  </si>
  <si>
    <t>Lease at Mid-City Gardens - 3/1/24 - 2/28/27 - 1st 6 mos $4,000; then $4,500</t>
  </si>
  <si>
    <t>Donations/Sponsorships</t>
  </si>
  <si>
    <t>LA Dept of Labor</t>
  </si>
  <si>
    <t>FY 2024-25 Budget Request</t>
  </si>
  <si>
    <t>ACCOUNTING</t>
  </si>
  <si>
    <t>ASSET MGT</t>
  </si>
  <si>
    <t>BOARD</t>
  </si>
  <si>
    <t>COMPLIANCE</t>
  </si>
  <si>
    <t>DISASTER RECOVERY</t>
  </si>
  <si>
    <t>COMM DEV BLOCK GRANT</t>
  </si>
  <si>
    <t>ENERGY</t>
  </si>
  <si>
    <t>EXECUTIVE COUNSEL</t>
  </si>
  <si>
    <t>ENVIRONMENTAL &amp; LABOR COMPLIANCE</t>
  </si>
  <si>
    <t>HOMELESS SOLUTIONS</t>
  </si>
  <si>
    <t>HOMEOWNERSHIP</t>
  </si>
  <si>
    <t>INTERNAL AUDIT</t>
  </si>
  <si>
    <t>EXECUTIVE ADMIN</t>
  </si>
  <si>
    <t>OPERATIONS ADMIN</t>
  </si>
  <si>
    <t>POLICY</t>
  </si>
  <si>
    <t>PUBLIC AFFAIRS</t>
  </si>
  <si>
    <t>SECTION 8 CONTR ADMIN</t>
  </si>
  <si>
    <t>RENTAL ASST (LHA)</t>
  </si>
  <si>
    <t>TECHNOLOGY SERVICES</t>
  </si>
  <si>
    <t>WAP TRAINING CTR</t>
  </si>
  <si>
    <t>Perf-Based Section 8 Contract Administration</t>
  </si>
  <si>
    <t>2024-25 Budget: by Funding Source &amp; Expenditure Type</t>
  </si>
  <si>
    <t>Subtotal by Funding Source</t>
  </si>
  <si>
    <t>Less Equipment</t>
  </si>
  <si>
    <t>Less Rent</t>
  </si>
  <si>
    <t>MTDC Base</t>
  </si>
  <si>
    <t>n/a</t>
  </si>
  <si>
    <t>Amount</t>
  </si>
  <si>
    <t>110 Subtotal</t>
  </si>
  <si>
    <t>150 Subtotal</t>
  </si>
  <si>
    <t>170 Subtotal</t>
  </si>
  <si>
    <t>172 Subtotal</t>
  </si>
  <si>
    <t>178 Subtotal</t>
  </si>
  <si>
    <t>Original OCD Base - HR @ 47%</t>
  </si>
  <si>
    <t>Remaining OCD Base @ 10% of MTDC</t>
  </si>
  <si>
    <t>10% de Minimis Indirect Rate remainder of the year</t>
  </si>
  <si>
    <t>9% &amp; 4% Low Income Housing Tax Credits - Compliance Fees ONLY</t>
  </si>
  <si>
    <t>Compliance</t>
  </si>
  <si>
    <t>Agency Rental Properties</t>
  </si>
  <si>
    <t>Mid-City Gardens, Village de Jardin &amp; Willowbrook Apartments</t>
  </si>
  <si>
    <t>CDBG RRH pgms</t>
  </si>
  <si>
    <t>DRU</t>
  </si>
  <si>
    <t>CDBG</t>
  </si>
  <si>
    <t>Homeless</t>
  </si>
  <si>
    <t>SOAR Program</t>
  </si>
  <si>
    <t>Chase Card Rewards</t>
  </si>
  <si>
    <t>Chase Corporate Card Rewards</t>
  </si>
  <si>
    <t>LPAA Receipts</t>
  </si>
  <si>
    <t>Misc Income from the sale of assets</t>
  </si>
  <si>
    <t>St. John Hsg Auth Project</t>
  </si>
  <si>
    <t>Monitoring Assistance with EBR Parish</t>
  </si>
  <si>
    <t>MRB Bond Application fees ONLY</t>
  </si>
  <si>
    <t>DOJ Program</t>
  </si>
  <si>
    <t>Exp &amp; Cap Assets</t>
  </si>
  <si>
    <t>Weatherization Training Ctr</t>
  </si>
  <si>
    <t>1st $25,000 of each Sub award - Program Services</t>
  </si>
  <si>
    <t>180 Subtotal</t>
  </si>
  <si>
    <t>Homeless Solutions</t>
  </si>
  <si>
    <t>Lead Based Paint Hazard Reduction (LHR) grant program is to assist states, cities, counties/parishes, Native American Tribes or other units of local government in undertaking comprehensive programs to identify and control lead-based paint hazards in eligible privately-owned rental or owner-occupied housing populations.  This grant closed on June 30, 2024 – In Close-Out.</t>
  </si>
  <si>
    <t xml:space="preserve">SSI/SSDI Outreach, Access, and Recovery (SOAR) helps  communities increase access to Supplemental Security Income/Social Security Disability Insurance (SSI/SSDI) benefits for people who are experiencing or at risk of homelessness and have a serious mental illness, medical impairment, and/or a co-occurring substance use disorder. The SOAR Model expedities the processing of SSI/SSDI Applications therefore improves the quality of the information submitted which reducess the processing time of application. </t>
  </si>
  <si>
    <t xml:space="preserve">The My Choice project is a partnership with Louisiana Department of Health (LDH).  The project provides rental subsidy to individuals that are exiting institutions, this subsidy allows them to live independently in the community.  LHC provides the supportive services for the program participants.  LHC is reimbursed the rental subsidy by LHC.  </t>
  </si>
  <si>
    <t>K/R SRPP</t>
  </si>
  <si>
    <t>SF</t>
  </si>
  <si>
    <t>BELL, TRISHTON</t>
  </si>
  <si>
    <t>Per Month</t>
  </si>
  <si>
    <t>Housing Development - LIHTC Fees</t>
  </si>
  <si>
    <t>Homeownership - Bond Deal Income &amp; Turnkey</t>
  </si>
  <si>
    <t>Compliance Monitoring - LIHTC Recipients</t>
  </si>
  <si>
    <t>BROOKS MARY</t>
  </si>
  <si>
    <t>ANDERSON, SOMMER</t>
  </si>
  <si>
    <t>Louisiana Civil Service - shared cost of operations</t>
  </si>
  <si>
    <t>Savings</t>
  </si>
  <si>
    <t>Chase Corporate Card Fee</t>
  </si>
  <si>
    <t>IRS/LASERS</t>
  </si>
  <si>
    <t>Sage annual license/maintenance</t>
  </si>
  <si>
    <t>NCSHA Annual Conference &amp; Tradeshow, Phoenix AZ</t>
  </si>
  <si>
    <t>COSCDA Annual Conference &amp; Pgm Mgrs, Reno, NV</t>
  </si>
  <si>
    <t>Neighborworks Training Institute, Pittsburgh, PA</t>
  </si>
  <si>
    <t>SAVINGS</t>
  </si>
  <si>
    <t>LA Dept of Natural Resourches</t>
  </si>
  <si>
    <t>Misc income from use of Weatherization Training Center</t>
  </si>
  <si>
    <t>Weatherization Training Center participation in New Dept of Natural Resources Grant</t>
  </si>
  <si>
    <t>HUD Disposition Program Income/Rental Properties</t>
  </si>
  <si>
    <t>Software</t>
  </si>
  <si>
    <t>Neighborly Software</t>
  </si>
  <si>
    <t>Excess Cash from Mid-City Gardens, Village de Jardin &amp; Willowbrook Apartments</t>
  </si>
  <si>
    <t>Variance</t>
  </si>
  <si>
    <t>Reduction</t>
  </si>
  <si>
    <t>Watchquard (Turnkey)</t>
  </si>
  <si>
    <t>CDW-G (Microsoft, Adobe Pro)</t>
  </si>
  <si>
    <t xml:space="preserve">Office Supplies </t>
  </si>
  <si>
    <t>Operating Budget - FY 25/26</t>
  </si>
  <si>
    <t>FY 2026 Budget Request</t>
  </si>
  <si>
    <t>FY 2025-26 Budget Request</t>
  </si>
  <si>
    <t>Catering for LHC meeting and events</t>
  </si>
  <si>
    <t>Projected 2026 Expense</t>
  </si>
  <si>
    <t>Budget   Fiscal 2026</t>
  </si>
  <si>
    <t>Catering for LHC Board Meetings</t>
  </si>
  <si>
    <t>Cost for LHC meetings, events</t>
  </si>
  <si>
    <t>Budget FY 2026</t>
  </si>
  <si>
    <t>NED LANCE</t>
  </si>
  <si>
    <t>LOFTIN KAREN</t>
  </si>
  <si>
    <t>2025-26</t>
  </si>
  <si>
    <t>Annual subscription 27 seats for RDP</t>
  </si>
  <si>
    <t>CDBG Ida RRDP Pgm Del</t>
  </si>
  <si>
    <t>CDBG Laura/Delta RRDP Pgm Del</t>
  </si>
  <si>
    <t>Project tracking (1 licenses)</t>
  </si>
  <si>
    <t>Project tracking (41 licenses)</t>
  </si>
  <si>
    <t>Project tracking (10 licenses)</t>
  </si>
  <si>
    <t>2 users</t>
  </si>
  <si>
    <t>6 users</t>
  </si>
  <si>
    <t>1 user</t>
  </si>
  <si>
    <t>Total FY 2026 Request</t>
  </si>
  <si>
    <t>FY 2025  Actuals</t>
  </si>
  <si>
    <t>State taxes</t>
  </si>
  <si>
    <t>LA Public Sector HR Association</t>
  </si>
  <si>
    <t>Grammerly</t>
  </si>
  <si>
    <t>2026 Annual Employee Appreciation</t>
  </si>
  <si>
    <t>Miscellaneous Vendors</t>
  </si>
  <si>
    <t>2025 Annual Employee Appreciation</t>
  </si>
  <si>
    <t>Office supplies</t>
  </si>
  <si>
    <t>Staples</t>
  </si>
  <si>
    <t>LA SHRM Annual 2026</t>
  </si>
  <si>
    <t>SHRM 26</t>
  </si>
  <si>
    <t>FY 2025 Budget</t>
  </si>
  <si>
    <t>FY 2025 Actuals</t>
  </si>
  <si>
    <t>FY 2026 Actuals thru 08/2025</t>
  </si>
  <si>
    <t>Average Budget for FY 2023 - 2025</t>
  </si>
  <si>
    <t>Average Expenses for FY 2023 - 2025</t>
  </si>
  <si>
    <t xml:space="preserve">FY26 Anticipated Disburment </t>
  </si>
  <si>
    <t>2025-26 Budget</t>
  </si>
  <si>
    <t>036</t>
  </si>
  <si>
    <t>037</t>
  </si>
  <si>
    <t>Blue Tarp Roof Repair Admin (Rd 2)</t>
  </si>
  <si>
    <t>Blue Tarp Roof Repair Pgm Del (Rd 2)</t>
  </si>
  <si>
    <t>MILLER SHAWN</t>
  </si>
  <si>
    <t>AMBERS JACQUEZ</t>
  </si>
  <si>
    <t>BARTON KEONDRE</t>
  </si>
  <si>
    <t>DELAHOUSSAYE KEVIN</t>
  </si>
  <si>
    <t>EXECUTIVE DIRECTOR</t>
  </si>
  <si>
    <t>ROZAS CHRISTINE</t>
  </si>
  <si>
    <t>PUBLIC INFOR OFF</t>
  </si>
  <si>
    <t>MINOR ASHLEY</t>
  </si>
  <si>
    <t>HOUS FIN SPEC 2</t>
  </si>
  <si>
    <t>HOUSING FINANCE SPEC 2</t>
  </si>
  <si>
    <t>BOUDREAUX OLIVIA</t>
  </si>
  <si>
    <t>MARTIN AMANDA</t>
  </si>
  <si>
    <t>ATTORNEY 3</t>
  </si>
  <si>
    <t>VOELKER PATRICK</t>
  </si>
  <si>
    <t>AS-624</t>
  </si>
  <si>
    <t>ATTORNEY-GENERAL COUNSEL</t>
  </si>
  <si>
    <t>BAZILE ADAM</t>
  </si>
  <si>
    <t>Ambers Jacquez</t>
  </si>
  <si>
    <t>Norman Jessica</t>
  </si>
  <si>
    <t>NCHM training</t>
  </si>
  <si>
    <t>Other miscellaneous expense</t>
  </si>
  <si>
    <t>Cost Rev Software</t>
  </si>
  <si>
    <t>Home Pgm</t>
  </si>
  <si>
    <t>ICC</t>
  </si>
  <si>
    <t>Paper</t>
  </si>
  <si>
    <t>Ink</t>
  </si>
  <si>
    <t>Multitech</t>
  </si>
  <si>
    <t>Various</t>
  </si>
  <si>
    <t>CDBG Ida PRIME III Pgm Del</t>
  </si>
  <si>
    <t>260</t>
  </si>
  <si>
    <t>CDBG Ida PRIME III Admin Del</t>
  </si>
  <si>
    <t>259</t>
  </si>
  <si>
    <t>LAAHP</t>
  </si>
  <si>
    <t>Downtown Duplicating</t>
  </si>
  <si>
    <t>Bizette Breanne</t>
  </si>
  <si>
    <t xml:space="preserve">NCSHA Conference </t>
  </si>
  <si>
    <t>X (Twitter)</t>
  </si>
  <si>
    <t>Social Media Subscription</t>
  </si>
  <si>
    <t>Vimeo</t>
  </si>
  <si>
    <t>online video platform</t>
  </si>
  <si>
    <t>office equipment and furniture</t>
  </si>
  <si>
    <t>Sherman Alexis</t>
  </si>
  <si>
    <t>Policy/Grant Development &amp; Training</t>
  </si>
  <si>
    <t>NCSHA Conference volunteer Work</t>
  </si>
  <si>
    <t>USPS</t>
  </si>
  <si>
    <t>Geocoding software</t>
  </si>
  <si>
    <t>Dotsquare</t>
  </si>
  <si>
    <t>computer hardwre</t>
  </si>
  <si>
    <t>FY26 Projected Earned Fees</t>
  </si>
  <si>
    <t>BPA CEU's</t>
  </si>
  <si>
    <t>office supplies</t>
  </si>
  <si>
    <t>Rozas Christine</t>
  </si>
  <si>
    <t>Voelker Patrick</t>
  </si>
  <si>
    <t>Martin Amanda</t>
  </si>
  <si>
    <t>Boudreaux Olivia</t>
  </si>
  <si>
    <t xml:space="preserve">Total Administrative Fee Available </t>
  </si>
  <si>
    <t>General Office supplies</t>
  </si>
  <si>
    <t>Staples/Office Depot</t>
  </si>
  <si>
    <t>NCHM certifications Loke and Donna</t>
  </si>
  <si>
    <t>zoom</t>
  </si>
  <si>
    <t>Annual LHA Audit</t>
  </si>
  <si>
    <t>background screener - Kentech</t>
  </si>
  <si>
    <t>Business Cards and envelopes - OTS</t>
  </si>
  <si>
    <t>Aatrix 1099 Reporting Services</t>
  </si>
  <si>
    <t>Yardi Tech Support</t>
  </si>
  <si>
    <t>Dues and subscriptions</t>
  </si>
  <si>
    <t>Next Level</t>
  </si>
  <si>
    <t xml:space="preserve">NCSHA </t>
  </si>
  <si>
    <t>LHA Staff routine monitoring</t>
  </si>
  <si>
    <t>Various webinars</t>
  </si>
  <si>
    <t>certifications</t>
  </si>
  <si>
    <t>Laserfiche licenses</t>
  </si>
  <si>
    <t>QAP Program Income</t>
  </si>
  <si>
    <t>NCSHM</t>
  </si>
  <si>
    <t>FedEx</t>
  </si>
  <si>
    <t>Continuing Education</t>
  </si>
  <si>
    <t>Minor Ashley</t>
  </si>
  <si>
    <t>Energy Kits for Public Distribution</t>
  </si>
  <si>
    <t>NSPIRE Inspections</t>
  </si>
  <si>
    <t>printer ink cartridges</t>
  </si>
  <si>
    <t>miscellaneous WAP day</t>
  </si>
  <si>
    <t>WAP Vehicle Expenses</t>
  </si>
  <si>
    <t>Mavis</t>
  </si>
  <si>
    <t>Fuel for Vehicles</t>
  </si>
  <si>
    <t>Exxon</t>
  </si>
  <si>
    <t xml:space="preserve">Annual subscription </t>
  </si>
  <si>
    <t>Hancock Energy Software</t>
  </si>
  <si>
    <t xml:space="preserve"> WAP Gas Combustion Analyzer - Calibration &amp; O2 Sensor</t>
  </si>
  <si>
    <t>Misc Certifications and Trainings</t>
  </si>
  <si>
    <t>Grants Management Consultant</t>
  </si>
  <si>
    <t>Bayou Title</t>
  </si>
  <si>
    <t>printing Services</t>
  </si>
  <si>
    <t xml:space="preserve">Covalent </t>
  </si>
  <si>
    <t>NOLA Lot Lawn Maintenance</t>
  </si>
  <si>
    <t>Generator Maintenance</t>
  </si>
  <si>
    <t>Plumbing Repairs</t>
  </si>
  <si>
    <t>Logo Mats</t>
  </si>
  <si>
    <t>HVAC Maintenance</t>
  </si>
  <si>
    <t>Natural Gas</t>
  </si>
  <si>
    <t>Entergy</t>
  </si>
  <si>
    <t>Temperature Controls &amp; Alarms</t>
  </si>
  <si>
    <t>paper products</t>
  </si>
  <si>
    <t>Electrical Maintenance</t>
  </si>
  <si>
    <t>outside lighting repairs</t>
  </si>
  <si>
    <t>pest control</t>
  </si>
  <si>
    <t>Elevator Maintenance</t>
  </si>
  <si>
    <t>chilled water system</t>
  </si>
  <si>
    <t>Utility Payment Processing</t>
  </si>
  <si>
    <t>garbage collection</t>
  </si>
  <si>
    <t>security</t>
  </si>
  <si>
    <t>appliance replacement</t>
  </si>
  <si>
    <t>coffie supplies</t>
  </si>
  <si>
    <t>community coffee</t>
  </si>
  <si>
    <t>storage boxes</t>
  </si>
  <si>
    <t>la secretary of state</t>
  </si>
  <si>
    <t>office depot</t>
  </si>
  <si>
    <t>General Office supplies / copy paper</t>
  </si>
  <si>
    <t>copier lease</t>
  </si>
  <si>
    <t>Sharp Electronics</t>
  </si>
  <si>
    <t>auto glass repair and replacement</t>
  </si>
  <si>
    <t>Safelite</t>
  </si>
  <si>
    <t>First Aid Safety Kits</t>
  </si>
  <si>
    <t>Unifirst First Aid</t>
  </si>
  <si>
    <t>Collision Repairs</t>
  </si>
  <si>
    <t>Precision Auto Body</t>
  </si>
  <si>
    <t>on site shredding</t>
  </si>
  <si>
    <t>alarm fee</t>
  </si>
  <si>
    <t>EBR Sheriff's office</t>
  </si>
  <si>
    <t>Lawn equipment</t>
  </si>
  <si>
    <t>registration titles</t>
  </si>
  <si>
    <t>In state travel meetings</t>
  </si>
  <si>
    <t>rental Production</t>
  </si>
  <si>
    <t>Bell Tanettra</t>
  </si>
  <si>
    <t>Fed Ex</t>
  </si>
  <si>
    <t>Neighborhood Annual Subscription</t>
  </si>
  <si>
    <t>Covalent</t>
  </si>
  <si>
    <t>Government Consultants</t>
  </si>
  <si>
    <t>answering service</t>
  </si>
  <si>
    <t>FTR</t>
  </si>
  <si>
    <t>Parallels RAS Licenses to allow remote work</t>
  </si>
  <si>
    <t>Parallels</t>
  </si>
  <si>
    <t>Phone system maintenance and services support</t>
  </si>
  <si>
    <t>Network Security Software</t>
  </si>
  <si>
    <t>Amazon Web Services for User authentication serivces</t>
  </si>
  <si>
    <t>AWS</t>
  </si>
  <si>
    <t>National Alliance to End Homeless</t>
  </si>
  <si>
    <t>Wellsky Annual Training HMIS</t>
  </si>
  <si>
    <t>Neighborly</t>
  </si>
  <si>
    <t>Rotolos Pizzeria</t>
  </si>
  <si>
    <t>Crown Trophy</t>
  </si>
  <si>
    <t>Veritext</t>
  </si>
  <si>
    <t>LAAHP Annual Conference</t>
  </si>
  <si>
    <t>Delahoussaye Kevin</t>
  </si>
  <si>
    <t>2025 National Parlimentarians Conference</t>
  </si>
  <si>
    <t>Deculus Donna</t>
  </si>
  <si>
    <t>2025 Admin Professionals conference</t>
  </si>
  <si>
    <t>Fields Darlene</t>
  </si>
  <si>
    <t>Lesgislative Affairs</t>
  </si>
  <si>
    <t>Building Compliance Trainings</t>
  </si>
  <si>
    <t>In state travel meetings/monitoring</t>
  </si>
  <si>
    <t>NCSHA New Orleans</t>
  </si>
  <si>
    <t>Technical Services Group</t>
  </si>
  <si>
    <t>KnowBe4</t>
  </si>
  <si>
    <t>security awaremess training subscriptions</t>
  </si>
  <si>
    <t>HOME ARP TBRA</t>
  </si>
  <si>
    <t>262</t>
  </si>
  <si>
    <t>Emphasys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</si>
</sst>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quot;$&quot;#,##0\)"/>
    <numFmt numFmtId="165" formatCode="m/d"/>
    <numFmt numFmtId="166" formatCode="mm/dd/yy;@"/>
    <numFmt numFmtId="167" formatCode="_-* #,##0.00_-;\-* #,##0.00_-;_-* &quot;-&quot;??_-;_-@_-"/>
    <numFmt numFmtId="168" formatCode="_-* #,##0_-;\-* #,##0_-;_-* &quot;-&quot;??_-;_-@_-"/>
    <numFmt numFmtId="169" formatCode="_(* #,##0.0_);_(* \(#,##0.0\);_(* &quot;-&quot;?_);_(@_)"/>
    <numFmt numFmtId="170" formatCode="_(&quot;$&quot;* #,##0_);_(&quot;$&quot;* \(#,##0\);_(&quot;$&quot;* &quot;-&quot;??_);_(@_)"/>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u/>
      <sz val="10"/>
      <name val="Arial"/>
      <family val="2"/>
    </font>
    <font>
      <sz val="10"/>
      <name val="Arial"/>
      <family val="2"/>
    </font>
    <font>
      <b/>
      <sz val="18"/>
      <name val="Arial"/>
      <family val="2"/>
    </font>
    <font>
      <b/>
      <sz val="12"/>
      <name val="Arial"/>
      <family val="2"/>
    </font>
    <font>
      <sz val="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fornian FB"/>
      <family val="1"/>
    </font>
    <font>
      <b/>
      <sz val="11"/>
      <name val="Californian FB"/>
      <family val="1"/>
    </font>
    <font>
      <sz val="14"/>
      <name val="Calibri"/>
      <family val="2"/>
      <scheme val="minor"/>
    </font>
    <font>
      <sz val="11"/>
      <name val="Calibri"/>
      <family val="2"/>
      <scheme val="minor"/>
    </font>
    <font>
      <sz val="11"/>
      <name val="Arial"/>
      <family val="2"/>
    </font>
    <font>
      <b/>
      <sz val="11"/>
      <name val="Arial"/>
      <family val="2"/>
    </font>
    <font>
      <b/>
      <sz val="14"/>
      <name val="Calibri"/>
      <family val="2"/>
      <scheme val="minor"/>
    </font>
    <font>
      <b/>
      <sz val="11"/>
      <name val="Calibri"/>
      <family val="2"/>
      <scheme val="minor"/>
    </font>
    <font>
      <sz val="10"/>
      <color theme="1"/>
      <name val="Arial"/>
      <family val="2"/>
    </font>
    <font>
      <sz val="11"/>
      <name val="Cambria"/>
      <family val="1"/>
      <scheme val="major"/>
    </font>
    <font>
      <sz val="12"/>
      <name val="Cambria"/>
      <family val="1"/>
      <scheme val="major"/>
    </font>
    <font>
      <b/>
      <sz val="16"/>
      <name val="Calibri"/>
      <family val="2"/>
      <scheme val="minor"/>
    </font>
    <font>
      <b/>
      <u/>
      <sz val="14"/>
      <name val="Arial"/>
      <family val="2"/>
    </font>
    <font>
      <i/>
      <sz val="11"/>
      <color theme="1"/>
      <name val="Calibri"/>
      <family val="2"/>
      <scheme val="minor"/>
    </font>
    <font>
      <u/>
      <sz val="11"/>
      <color theme="1"/>
      <name val="Calibri"/>
      <family val="2"/>
      <scheme val="minor"/>
    </font>
    <font>
      <b/>
      <sz val="11"/>
      <color rgb="FFFF0000"/>
      <name val="Calibri"/>
      <family val="2"/>
      <scheme val="minor"/>
    </font>
    <font>
      <b/>
      <u/>
      <sz val="11"/>
      <color theme="1"/>
      <name val="Calibri"/>
      <family val="2"/>
      <scheme val="minor"/>
    </font>
    <font>
      <b/>
      <u/>
      <sz val="11"/>
      <color rgb="FFFF0000"/>
      <name val="Calibri"/>
      <family val="2"/>
      <scheme val="minor"/>
    </font>
    <font>
      <sz val="10"/>
      <color rgb="FFFF0000"/>
      <name val="Arial"/>
      <family val="2"/>
    </font>
    <font>
      <sz val="10"/>
      <name val="Californian FB"/>
      <family val="1"/>
    </font>
    <font>
      <sz val="11"/>
      <color rgb="FFFF0000"/>
      <name val="Californian FB"/>
      <family val="1"/>
    </font>
    <font>
      <b/>
      <sz val="9"/>
      <color indexed="81"/>
      <name val="Tahoma"/>
      <family val="2"/>
    </font>
    <font>
      <b/>
      <sz val="10"/>
      <color rgb="FFFF0000"/>
      <name val="Arial"/>
      <family val="2"/>
    </font>
    <font>
      <b/>
      <sz val="14"/>
      <name val="Arial"/>
      <family val="2"/>
    </font>
    <font>
      <sz val="10"/>
      <name val="Arial"/>
      <family val="2"/>
    </font>
    <font>
      <b/>
      <u val="singleAccounting"/>
      <sz val="10"/>
      <name val="Arial"/>
      <family val="2"/>
    </font>
    <font>
      <b/>
      <u/>
      <sz val="11"/>
      <name val="Calibri"/>
      <family val="2"/>
      <scheme val="minor"/>
    </font>
    <font>
      <b/>
      <sz val="8"/>
      <color rgb="FFFF0000"/>
      <name val="Arial"/>
      <family val="2"/>
    </font>
    <font>
      <sz val="8"/>
      <name val="Arial"/>
      <family val="2"/>
    </font>
    <font>
      <sz val="8"/>
      <color rgb="FFFF0000"/>
      <name val="Arial"/>
      <family val="2"/>
    </font>
    <font>
      <b/>
      <sz val="10"/>
      <color indexed="81"/>
      <name val="Tahoma"/>
      <family val="2"/>
    </font>
    <font>
      <sz val="11"/>
      <name val="Cambria"/>
      <family val="1"/>
    </font>
    <font>
      <sz val="10"/>
      <name val="Cambria"/>
      <family val="1"/>
    </font>
    <font>
      <b/>
      <sz val="12"/>
      <name val="Californian FB"/>
      <family val="1"/>
    </font>
    <font>
      <sz val="13"/>
      <name val="Calibri"/>
      <family val="2"/>
      <scheme val="minor"/>
    </font>
    <font>
      <b/>
      <sz val="11"/>
      <name val="Cambria"/>
      <family val="1"/>
    </font>
    <font>
      <b/>
      <sz val="13"/>
      <name val="Calibri"/>
      <family val="2"/>
      <scheme val="minor"/>
    </font>
    <font>
      <sz val="12"/>
      <color theme="1"/>
      <name val="Calibri"/>
      <family val="2"/>
      <scheme val="minor"/>
    </font>
    <font>
      <sz val="12"/>
      <name val="Calibri"/>
      <family val="2"/>
      <scheme val="minor"/>
    </font>
    <font>
      <b/>
      <sz val="12"/>
      <name val="Calibri"/>
      <family val="2"/>
      <scheme val="minor"/>
    </font>
    <font>
      <sz val="12"/>
      <color rgb="FFFF0000"/>
      <name val="Calibri"/>
      <family val="2"/>
      <scheme val="minor"/>
    </font>
    <font>
      <b/>
      <sz val="12"/>
      <color theme="1"/>
      <name val="Calibri"/>
      <family val="2"/>
      <scheme val="minor"/>
    </font>
    <font>
      <sz val="12"/>
      <name val="Calibri"/>
      <family val="2"/>
    </font>
    <font>
      <sz val="10"/>
      <name val="Arial"/>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92D05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bgColor indexed="64"/>
      </patternFill>
    </fill>
    <fill>
      <patternFill patternType="solid">
        <fgColor rgb="FF00B0F0"/>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59999389629810485"/>
        <bgColor indexed="64"/>
      </patternFill>
    </fill>
  </fills>
  <borders count="129">
    <border>
      <left/>
      <right/>
      <top/>
      <bottom/>
      <diagonal/>
    </border>
    <border>
      <left style="medium">
        <color indexed="64"/>
      </left>
      <right/>
      <top/>
      <bottom/>
      <diagonal/>
    </border>
    <border>
      <left/>
      <right/>
      <top style="double">
        <color indexed="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top/>
      <bottom style="thin">
        <color indexed="64"/>
      </bottom>
      <diagonal/>
    </border>
    <border>
      <left style="thin">
        <color auto="1"/>
      </left>
      <right style="medium">
        <color auto="1"/>
      </right>
      <top/>
      <bottom style="medium">
        <color indexed="64"/>
      </bottom>
      <diagonal/>
    </border>
    <border>
      <left style="medium">
        <color auto="1"/>
      </left>
      <right/>
      <top style="medium">
        <color auto="1"/>
      </top>
      <bottom/>
      <diagonal/>
    </border>
    <border>
      <left style="medium">
        <color auto="1"/>
      </left>
      <right/>
      <top/>
      <bottom style="medium">
        <color indexed="64"/>
      </bottom>
      <diagonal/>
    </border>
    <border>
      <left style="medium">
        <color auto="1"/>
      </left>
      <right/>
      <top style="thin">
        <color auto="1"/>
      </top>
      <bottom style="medium">
        <color indexed="64"/>
      </bottom>
      <diagonal/>
    </border>
    <border>
      <left style="medium">
        <color auto="1"/>
      </left>
      <right style="thin">
        <color auto="1"/>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auto="1"/>
      </left>
      <right style="medium">
        <color auto="1"/>
      </right>
      <top style="thin">
        <color auto="1"/>
      </top>
      <bottom style="medium">
        <color indexed="64"/>
      </bottom>
      <diagonal/>
    </border>
    <border>
      <left style="thin">
        <color auto="1"/>
      </left>
      <right/>
      <top/>
      <bottom/>
      <diagonal/>
    </border>
    <border>
      <left style="thin">
        <color auto="1"/>
      </left>
      <right/>
      <top style="thin">
        <color auto="1"/>
      </top>
      <bottom style="medium">
        <color indexed="64"/>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medium">
        <color indexed="64"/>
      </bottom>
      <diagonal/>
    </border>
    <border>
      <left style="medium">
        <color auto="1"/>
      </left>
      <right style="medium">
        <color auto="1"/>
      </right>
      <top style="medium">
        <color indexed="64"/>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rgb="FF00B050"/>
      </left>
      <right/>
      <top style="medium">
        <color rgb="FF00B050"/>
      </top>
      <bottom/>
      <diagonal/>
    </border>
    <border>
      <left/>
      <right/>
      <top style="medium">
        <color rgb="FF00B050"/>
      </top>
      <bottom/>
      <diagonal/>
    </border>
    <border>
      <left/>
      <right style="medium">
        <color rgb="FF00B050"/>
      </right>
      <top style="medium">
        <color rgb="FF00B050"/>
      </top>
      <bottom/>
      <diagonal/>
    </border>
    <border>
      <left style="medium">
        <color rgb="FF00B050"/>
      </left>
      <right/>
      <top/>
      <bottom/>
      <diagonal/>
    </border>
    <border>
      <left/>
      <right style="medium">
        <color rgb="FF00B050"/>
      </right>
      <top/>
      <bottom/>
      <diagonal/>
    </border>
    <border>
      <left style="medium">
        <color rgb="FF00B050"/>
      </left>
      <right/>
      <top/>
      <bottom style="medium">
        <color rgb="FF00B050"/>
      </bottom>
      <diagonal/>
    </border>
    <border>
      <left/>
      <right/>
      <top/>
      <bottom style="medium">
        <color rgb="FF00B050"/>
      </bottom>
      <diagonal/>
    </border>
    <border>
      <left/>
      <right style="medium">
        <color rgb="FF00B050"/>
      </right>
      <top/>
      <bottom style="medium">
        <color rgb="FF00B050"/>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rgb="FF00B050"/>
      </left>
      <right style="medium">
        <color rgb="FF00B050"/>
      </right>
      <top style="medium">
        <color auto="1"/>
      </top>
      <bottom style="medium">
        <color auto="1"/>
      </bottom>
      <diagonal/>
    </border>
    <border>
      <left style="medium">
        <color rgb="FF00B050"/>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medium">
        <color auto="1"/>
      </top>
      <bottom style="medium">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right/>
      <top/>
      <bottom style="double">
        <color auto="1"/>
      </bottom>
      <diagonal/>
    </border>
    <border>
      <left/>
      <right style="thin">
        <color auto="1"/>
      </right>
      <top/>
      <bottom/>
      <diagonal/>
    </border>
    <border>
      <left style="thin">
        <color auto="1"/>
      </left>
      <right/>
      <top style="thin">
        <color auto="1"/>
      </top>
      <bottom/>
      <diagonal/>
    </border>
    <border>
      <left/>
      <right/>
      <top style="thin">
        <color auto="1"/>
      </top>
      <bottom style="double">
        <color auto="1"/>
      </bottom>
      <diagonal/>
    </border>
    <border>
      <left/>
      <right style="thin">
        <color auto="1"/>
      </right>
      <top style="thin">
        <color auto="1"/>
      </top>
      <bottom/>
      <diagonal/>
    </border>
    <border>
      <left/>
      <right/>
      <top style="thin">
        <color auto="1"/>
      </top>
      <bottom/>
      <diagonal/>
    </border>
    <border>
      <left/>
      <right/>
      <top style="medium">
        <color rgb="FFFF0000"/>
      </top>
      <bottom style="medium">
        <color rgb="FFFF0000"/>
      </bottom>
      <diagonal/>
    </border>
    <border>
      <left/>
      <right style="thin">
        <color auto="1"/>
      </right>
      <top style="thin">
        <color auto="1"/>
      </top>
      <bottom style="medium">
        <color indexed="64"/>
      </bottom>
      <diagonal/>
    </border>
    <border>
      <left style="thin">
        <color auto="1"/>
      </left>
      <right/>
      <top/>
      <bottom style="double">
        <color auto="1"/>
      </bottom>
      <diagonal/>
    </border>
    <border>
      <left/>
      <right style="thin">
        <color auto="1"/>
      </right>
      <top/>
      <bottom style="double">
        <color auto="1"/>
      </bottom>
      <diagonal/>
    </border>
    <border>
      <left/>
      <right style="medium">
        <color auto="1"/>
      </right>
      <top/>
      <bottom/>
      <diagonal/>
    </border>
    <border>
      <left style="medium">
        <color auto="1"/>
      </left>
      <right/>
      <top/>
      <bottom style="thin">
        <color indexed="64"/>
      </bottom>
      <diagonal/>
    </border>
    <border>
      <left style="medium">
        <color auto="1"/>
      </left>
      <right/>
      <top/>
      <bottom style="double">
        <color auto="1"/>
      </bottom>
      <diagonal/>
    </border>
    <border>
      <left/>
      <right style="thin">
        <color auto="1"/>
      </right>
      <top style="medium">
        <color auto="1"/>
      </top>
      <bottom style="medium">
        <color auto="1"/>
      </bottom>
      <diagonal/>
    </border>
    <border>
      <left style="thin">
        <color auto="1"/>
      </left>
      <right/>
      <top style="medium">
        <color rgb="FFFF0000"/>
      </top>
      <bottom style="medium">
        <color rgb="FFFF0000"/>
      </bottom>
      <diagonal/>
    </border>
    <border>
      <left style="thin">
        <color rgb="FF00B050"/>
      </left>
      <right style="medium">
        <color rgb="FF00B050"/>
      </right>
      <top style="medium">
        <color rgb="FF00B050"/>
      </top>
      <bottom/>
      <diagonal/>
    </border>
    <border>
      <left style="thin">
        <color rgb="FF00B050"/>
      </left>
      <right style="medium">
        <color rgb="FF00B050"/>
      </right>
      <top/>
      <bottom/>
      <diagonal/>
    </border>
    <border>
      <left style="thin">
        <color rgb="FF00B050"/>
      </left>
      <right style="medium">
        <color rgb="FF00B050"/>
      </right>
      <top/>
      <bottom style="medium">
        <color rgb="FF00B050"/>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style="double">
        <color auto="1"/>
      </bottom>
      <diagonal/>
    </border>
    <border>
      <left style="medium">
        <color auto="1"/>
      </left>
      <right style="medium">
        <color auto="1"/>
      </right>
      <top/>
      <bottom style="medium">
        <color auto="1"/>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style="thin">
        <color auto="1"/>
      </left>
      <right/>
      <top style="medium">
        <color rgb="FF00B050"/>
      </top>
      <bottom style="medium">
        <color rgb="FF00B050"/>
      </bottom>
      <diagonal/>
    </border>
    <border>
      <left/>
      <right style="thin">
        <color auto="1"/>
      </right>
      <top style="medium">
        <color rgb="FF00B050"/>
      </top>
      <bottom style="medium">
        <color rgb="FF00B050"/>
      </bottom>
      <diagonal/>
    </border>
    <border>
      <left style="thin">
        <color rgb="FF00B050"/>
      </left>
      <right style="medium">
        <color rgb="FF00B050"/>
      </right>
      <top style="medium">
        <color rgb="FF00B050"/>
      </top>
      <bottom style="medium">
        <color rgb="FF00B050"/>
      </bottom>
      <diagonal/>
    </border>
    <border>
      <left style="thin">
        <color rgb="FF00B050"/>
      </left>
      <right style="thin">
        <color rgb="FF00B050"/>
      </right>
      <top style="medium">
        <color rgb="FF00B050"/>
      </top>
      <bottom style="medium">
        <color rgb="FF00B050"/>
      </bottom>
      <diagonal/>
    </border>
    <border>
      <left style="thin">
        <color rgb="FF00B050"/>
      </left>
      <right style="thin">
        <color rgb="FF00B050"/>
      </right>
      <top style="medium">
        <color rgb="FF00B050"/>
      </top>
      <bottom/>
      <diagonal/>
    </border>
    <border>
      <left style="thin">
        <color rgb="FF00B050"/>
      </left>
      <right style="thin">
        <color rgb="FF00B050"/>
      </right>
      <top/>
      <bottom/>
      <diagonal/>
    </border>
    <border>
      <left style="thin">
        <color rgb="FF00B050"/>
      </left>
      <right style="thin">
        <color rgb="FF00B050"/>
      </right>
      <top/>
      <bottom style="medium">
        <color rgb="FF00B050"/>
      </bottom>
      <diagonal/>
    </border>
    <border>
      <left style="medium">
        <color rgb="FF00B050"/>
      </left>
      <right style="thin">
        <color auto="1"/>
      </right>
      <top/>
      <bottom style="medium">
        <color rgb="FF00B050"/>
      </bottom>
      <diagonal/>
    </border>
    <border>
      <left style="medium">
        <color rgb="FF00B050"/>
      </left>
      <right style="thin">
        <color rgb="FF00B050"/>
      </right>
      <top style="medium">
        <color rgb="FF00B050"/>
      </top>
      <bottom style="medium">
        <color rgb="FF00B050"/>
      </bottom>
      <diagonal/>
    </border>
    <border>
      <left style="thin">
        <color rgb="FF00B050"/>
      </left>
      <right/>
      <top style="medium">
        <color rgb="FF00B050"/>
      </top>
      <bottom style="medium">
        <color rgb="FF00B050"/>
      </bottom>
      <diagonal/>
    </border>
    <border>
      <left style="medium">
        <color rgb="FF00B050"/>
      </left>
      <right style="thin">
        <color rgb="FF00B050"/>
      </right>
      <top style="medium">
        <color rgb="FF00B050"/>
      </top>
      <bottom/>
      <diagonal/>
    </border>
    <border>
      <left style="thin">
        <color rgb="FF00B050"/>
      </left>
      <right/>
      <top style="medium">
        <color rgb="FF00B050"/>
      </top>
      <bottom/>
      <diagonal/>
    </border>
    <border>
      <left style="medium">
        <color rgb="FF00B050"/>
      </left>
      <right style="thin">
        <color rgb="FF00B050"/>
      </right>
      <top/>
      <bottom/>
      <diagonal/>
    </border>
    <border>
      <left style="thin">
        <color rgb="FF00B050"/>
      </left>
      <right/>
      <top/>
      <bottom/>
      <diagonal/>
    </border>
    <border>
      <left style="medium">
        <color rgb="FF00B050"/>
      </left>
      <right style="thin">
        <color rgb="FF00B050"/>
      </right>
      <top/>
      <bottom style="medium">
        <color rgb="FF00B050"/>
      </bottom>
      <diagonal/>
    </border>
    <border>
      <left style="thin">
        <color rgb="FF00B050"/>
      </left>
      <right/>
      <top/>
      <bottom style="medium">
        <color rgb="FF00B050"/>
      </bottom>
      <diagonal/>
    </border>
    <border>
      <left style="medium">
        <color indexed="64"/>
      </left>
      <right style="medium">
        <color indexed="64"/>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indexed="64"/>
      </right>
      <top/>
      <bottom style="thin">
        <color auto="1"/>
      </bottom>
      <diagonal/>
    </border>
    <border>
      <left style="medium">
        <color indexed="64"/>
      </left>
      <right style="thin">
        <color auto="1"/>
      </right>
      <top/>
      <bottom style="thin">
        <color auto="1"/>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medium">
        <color rgb="FF00B050"/>
      </left>
      <right style="medium">
        <color rgb="FF00B050"/>
      </right>
      <top/>
      <bottom style="medium">
        <color rgb="FF00B050"/>
      </bottom>
      <diagonal/>
    </border>
    <border>
      <left/>
      <right style="thin">
        <color auto="1"/>
      </right>
      <top style="double">
        <color auto="1"/>
      </top>
      <bottom/>
      <diagonal/>
    </border>
    <border>
      <left/>
      <right style="thin">
        <color auto="1"/>
      </right>
      <top style="thin">
        <color auto="1"/>
      </top>
      <bottom style="double">
        <color auto="1"/>
      </bottom>
      <diagonal/>
    </border>
    <border>
      <left/>
      <right style="medium">
        <color auto="1"/>
      </right>
      <top style="double">
        <color auto="1"/>
      </top>
      <bottom/>
      <diagonal/>
    </border>
    <border>
      <left/>
      <right style="medium">
        <color auto="1"/>
      </right>
      <top style="thin">
        <color auto="1"/>
      </top>
      <bottom style="double">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indexed="64"/>
      </top>
      <bottom style="double">
        <color indexed="64"/>
      </bottom>
      <diagonal/>
    </border>
    <border>
      <left style="thin">
        <color auto="1"/>
      </left>
      <right style="thin">
        <color auto="1"/>
      </right>
      <top/>
      <bottom style="double">
        <color indexed="64"/>
      </bottom>
      <diagonal/>
    </border>
    <border>
      <left style="thin">
        <color auto="1"/>
      </left>
      <right style="thin">
        <color auto="1"/>
      </right>
      <top/>
      <bottom style="thin">
        <color indexed="64"/>
      </bottom>
      <diagonal/>
    </border>
    <border>
      <left style="thin">
        <color indexed="64"/>
      </left>
      <right style="thin">
        <color indexed="64"/>
      </right>
      <top style="thin">
        <color indexed="64"/>
      </top>
      <bottom/>
      <diagonal/>
    </border>
    <border>
      <left/>
      <right style="medium">
        <color auto="1"/>
      </right>
      <top style="medium">
        <color indexed="64"/>
      </top>
      <bottom style="thin">
        <color indexed="64"/>
      </bottom>
      <diagonal/>
    </border>
    <border>
      <left style="medium">
        <color auto="1"/>
      </left>
      <right style="thin">
        <color auto="1"/>
      </right>
      <top style="thin">
        <color auto="1"/>
      </top>
      <bottom/>
      <diagonal/>
    </border>
    <border>
      <left/>
      <right style="medium">
        <color auto="1"/>
      </right>
      <top/>
      <bottom style="medium">
        <color indexed="64"/>
      </bottom>
      <diagonal/>
    </border>
    <border>
      <left style="medium">
        <color indexed="64"/>
      </left>
      <right style="medium">
        <color auto="1"/>
      </right>
      <top style="thin">
        <color auto="1"/>
      </top>
      <bottom style="thin">
        <color indexed="64"/>
      </bottom>
      <diagonal/>
    </border>
    <border>
      <left/>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bottom style="double">
        <color auto="1"/>
      </bottom>
      <diagonal/>
    </border>
    <border>
      <left/>
      <right style="medium">
        <color auto="1"/>
      </right>
      <top style="medium">
        <color auto="1"/>
      </top>
      <bottom/>
      <diagonal/>
    </border>
    <border>
      <left/>
      <right style="medium">
        <color auto="1"/>
      </right>
      <top style="thin">
        <color auto="1"/>
      </top>
      <bottom style="medium">
        <color indexed="64"/>
      </bottom>
      <diagonal/>
    </border>
    <border>
      <left/>
      <right style="medium">
        <color auto="1"/>
      </right>
      <top/>
      <bottom style="thin">
        <color indexed="64"/>
      </bottom>
      <diagonal/>
    </border>
    <border>
      <left/>
      <right style="medium">
        <color auto="1"/>
      </right>
      <top/>
      <bottom style="double">
        <color auto="1"/>
      </bottom>
      <diagonal/>
    </border>
  </borders>
  <cellStyleXfs count="57785">
    <xf numFmtId="0" fontId="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3" fontId="39" fillId="0" borderId="0" applyFont="0" applyFill="0" applyBorder="0" applyAlignment="0" applyProtection="0"/>
    <xf numFmtId="3" fontId="39" fillId="0" borderId="0" applyFont="0" applyFill="0" applyBorder="0" applyAlignment="0" applyProtection="0"/>
    <xf numFmtId="3" fontId="39" fillId="0" borderId="0" applyFont="0" applyFill="0" applyBorder="0" applyAlignment="0" applyProtection="0"/>
    <xf numFmtId="3" fontId="39" fillId="0" borderId="0" applyFont="0" applyFill="0" applyBorder="0" applyAlignment="0" applyProtection="0"/>
    <xf numFmtId="3"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4"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 fontId="39" fillId="0" borderId="0" applyFont="0" applyFill="0" applyBorder="0" applyAlignment="0" applyProtection="0"/>
    <xf numFmtId="2" fontId="39" fillId="0" borderId="0" applyFont="0" applyFill="0" applyBorder="0" applyAlignment="0" applyProtection="0"/>
    <xf numFmtId="2" fontId="39" fillId="0" borderId="0" applyFont="0" applyFill="0" applyBorder="0" applyAlignment="0" applyProtection="0"/>
    <xf numFmtId="0" fontId="40" fillId="0" borderId="0" applyNumberFormat="0" applyFont="0" applyFill="0" applyAlignment="0" applyProtection="0"/>
    <xf numFmtId="0" fontId="41" fillId="0" borderId="0" applyNumberFormat="0" applyFont="0" applyFill="0" applyAlignment="0" applyProtection="0"/>
    <xf numFmtId="0" fontId="36" fillId="0" borderId="0"/>
    <xf numFmtId="0" fontId="39" fillId="0" borderId="0"/>
    <xf numFmtId="0" fontId="39" fillId="0" borderId="0"/>
    <xf numFmtId="0" fontId="39"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9" fillId="0" borderId="0"/>
    <xf numFmtId="0" fontId="42" fillId="0" borderId="0"/>
    <xf numFmtId="0" fontId="36" fillId="0" borderId="0"/>
    <xf numFmtId="0" fontId="36" fillId="0" borderId="0"/>
    <xf numFmtId="0" fontId="36" fillId="0" borderId="0"/>
    <xf numFmtId="9" fontId="39"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39" fillId="0" borderId="2" applyNumberFormat="0" applyFont="0" applyBorder="0" applyAlignment="0" applyProtection="0"/>
    <xf numFmtId="0" fontId="43" fillId="0" borderId="0" applyNumberFormat="0" applyFill="0" applyBorder="0" applyAlignment="0" applyProtection="0"/>
    <xf numFmtId="0" fontId="44" fillId="0" borderId="3" applyNumberFormat="0" applyFill="0" applyAlignment="0" applyProtection="0"/>
    <xf numFmtId="0" fontId="45" fillId="0" borderId="4" applyNumberFormat="0" applyFill="0" applyAlignment="0" applyProtection="0"/>
    <xf numFmtId="0" fontId="46" fillId="0" borderId="5" applyNumberFormat="0" applyFill="0" applyAlignment="0" applyProtection="0"/>
    <xf numFmtId="0" fontId="46" fillId="0" borderId="0" applyNumberFormat="0" applyFill="0" applyBorder="0" applyAlignment="0" applyProtection="0"/>
    <xf numFmtId="0" fontId="47" fillId="2" borderId="0" applyNumberFormat="0" applyBorder="0" applyAlignment="0" applyProtection="0"/>
    <xf numFmtId="0" fontId="48" fillId="3" borderId="0" applyNumberFormat="0" applyBorder="0" applyAlignment="0" applyProtection="0"/>
    <xf numFmtId="0" fontId="49" fillId="4" borderId="0" applyNumberFormat="0" applyBorder="0" applyAlignment="0" applyProtection="0"/>
    <xf numFmtId="0" fontId="50" fillId="5" borderId="6" applyNumberFormat="0" applyAlignment="0" applyProtection="0"/>
    <xf numFmtId="0" fontId="51" fillId="6" borderId="7" applyNumberFormat="0" applyAlignment="0" applyProtection="0"/>
    <xf numFmtId="0" fontId="52" fillId="6" borderId="6" applyNumberFormat="0" applyAlignment="0" applyProtection="0"/>
    <xf numFmtId="0" fontId="53" fillId="0" borderId="8" applyNumberFormat="0" applyFill="0" applyAlignment="0" applyProtection="0"/>
    <xf numFmtId="0" fontId="54" fillId="7" borderId="9"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11" applyNumberFormat="0" applyFill="0" applyAlignment="0" applyProtection="0"/>
    <xf numFmtId="0" fontId="58" fillId="9" borderId="0" applyNumberFormat="0" applyBorder="0" applyAlignment="0" applyProtection="0"/>
    <xf numFmtId="0" fontId="35" fillId="10" borderId="0" applyNumberFormat="0" applyBorder="0" applyAlignment="0" applyProtection="0"/>
    <xf numFmtId="0" fontId="35" fillId="11" borderId="0" applyNumberFormat="0" applyBorder="0" applyAlignment="0" applyProtection="0"/>
    <xf numFmtId="0" fontId="58" fillId="12" borderId="0" applyNumberFormat="0" applyBorder="0" applyAlignment="0" applyProtection="0"/>
    <xf numFmtId="0" fontId="58" fillId="13"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58" fillId="16" borderId="0" applyNumberFormat="0" applyBorder="0" applyAlignment="0" applyProtection="0"/>
    <xf numFmtId="0" fontId="58" fillId="17"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58" fillId="20" borderId="0" applyNumberFormat="0" applyBorder="0" applyAlignment="0" applyProtection="0"/>
    <xf numFmtId="0" fontId="58" fillId="21"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58" fillId="24" borderId="0" applyNumberFormat="0" applyBorder="0" applyAlignment="0" applyProtection="0"/>
    <xf numFmtId="0" fontId="58" fillId="25"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58" fillId="28" borderId="0" applyNumberFormat="0" applyBorder="0" applyAlignment="0" applyProtection="0"/>
    <xf numFmtId="0" fontId="58" fillId="29"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58" fillId="32" borderId="0" applyNumberFormat="0" applyBorder="0" applyAlignment="0" applyProtection="0"/>
    <xf numFmtId="0" fontId="35" fillId="8" borderId="10" applyNumberFormat="0" applyFont="0" applyAlignment="0" applyProtection="0"/>
    <xf numFmtId="0" fontId="35" fillId="8" borderId="10"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8" borderId="10"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8" borderId="10"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8" borderId="10"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5" fillId="8" borderId="10" applyNumberFormat="0" applyFont="0" applyAlignment="0" applyProtection="0"/>
    <xf numFmtId="0" fontId="35" fillId="10" borderId="0" applyNumberFormat="0" applyBorder="0" applyAlignment="0" applyProtection="0"/>
    <xf numFmtId="0" fontId="35" fillId="11" borderId="0" applyNumberFormat="0" applyBorder="0" applyAlignment="0" applyProtection="0"/>
    <xf numFmtId="0" fontId="35" fillId="14" borderId="0" applyNumberFormat="0" applyBorder="0" applyAlignment="0" applyProtection="0"/>
    <xf numFmtId="0" fontId="35" fillId="15" borderId="0" applyNumberFormat="0" applyBorder="0" applyAlignment="0" applyProtection="0"/>
    <xf numFmtId="0" fontId="35" fillId="18" borderId="0" applyNumberFormat="0" applyBorder="0" applyAlignment="0" applyProtection="0"/>
    <xf numFmtId="0" fontId="35" fillId="19" borderId="0" applyNumberFormat="0" applyBorder="0" applyAlignment="0" applyProtection="0"/>
    <xf numFmtId="0" fontId="35" fillId="22" borderId="0" applyNumberFormat="0" applyBorder="0" applyAlignment="0" applyProtection="0"/>
    <xf numFmtId="0" fontId="35" fillId="23" borderId="0" applyNumberFormat="0" applyBorder="0" applyAlignment="0" applyProtection="0"/>
    <xf numFmtId="0" fontId="35" fillId="26" borderId="0" applyNumberFormat="0" applyBorder="0" applyAlignment="0" applyProtection="0"/>
    <xf numFmtId="0" fontId="35" fillId="27" borderId="0" applyNumberFormat="0" applyBorder="0" applyAlignment="0" applyProtection="0"/>
    <xf numFmtId="0" fontId="35" fillId="30" borderId="0" applyNumberFormat="0" applyBorder="0" applyAlignment="0" applyProtection="0"/>
    <xf numFmtId="0" fontId="35" fillId="31" borderId="0" applyNumberFormat="0" applyBorder="0" applyAlignment="0" applyProtection="0"/>
    <xf numFmtId="0" fontId="34" fillId="0" borderId="0"/>
    <xf numFmtId="44" fontId="34" fillId="0" borderId="0" applyFont="0" applyFill="0" applyBorder="0" applyAlignment="0" applyProtection="0"/>
    <xf numFmtId="9" fontId="34" fillId="0" borderId="0" applyFont="0" applyFill="0" applyBorder="0" applyAlignment="0" applyProtection="0"/>
    <xf numFmtId="167" fontId="34" fillId="0" borderId="0" applyFont="0" applyFill="0" applyBorder="0" applyAlignment="0" applyProtection="0"/>
    <xf numFmtId="0" fontId="33" fillId="0" borderId="0"/>
    <xf numFmtId="44" fontId="33" fillId="0" borderId="0" applyFont="0" applyFill="0" applyBorder="0" applyAlignment="0" applyProtection="0"/>
    <xf numFmtId="9" fontId="33" fillId="0" borderId="0" applyFont="0" applyFill="0" applyBorder="0" applyAlignment="0" applyProtection="0"/>
    <xf numFmtId="167" fontId="33"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167"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167"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9" fontId="30" fillId="0" borderId="0" applyFont="0" applyFill="0" applyBorder="0" applyAlignment="0" applyProtection="0"/>
    <xf numFmtId="9" fontId="30" fillId="0" borderId="0" applyFont="0" applyFill="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8" borderId="10" applyNumberFormat="0" applyFont="0" applyAlignment="0" applyProtection="0"/>
    <xf numFmtId="0" fontId="30" fillId="10" borderId="0" applyNumberFormat="0" applyBorder="0" applyAlignment="0" applyProtection="0"/>
    <xf numFmtId="0" fontId="30" fillId="11" borderId="0" applyNumberFormat="0" applyBorder="0" applyAlignment="0" applyProtection="0"/>
    <xf numFmtId="0" fontId="30" fillId="14" borderId="0" applyNumberFormat="0" applyBorder="0" applyAlignment="0" applyProtection="0"/>
    <xf numFmtId="0" fontId="30" fillId="15"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30" fillId="22" borderId="0" applyNumberFormat="0" applyBorder="0" applyAlignment="0" applyProtection="0"/>
    <xf numFmtId="0" fontId="30" fillId="23" borderId="0" applyNumberFormat="0" applyBorder="0" applyAlignment="0" applyProtection="0"/>
    <xf numFmtId="0" fontId="30" fillId="26" borderId="0" applyNumberFormat="0" applyBorder="0" applyAlignment="0" applyProtection="0"/>
    <xf numFmtId="0" fontId="30" fillId="27" borderId="0" applyNumberFormat="0" applyBorder="0" applyAlignment="0" applyProtection="0"/>
    <xf numFmtId="0" fontId="30" fillId="30" borderId="0" applyNumberFormat="0" applyBorder="0" applyAlignment="0" applyProtection="0"/>
    <xf numFmtId="0" fontId="30" fillId="31" borderId="0" applyNumberFormat="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167" fontId="30" fillId="0" borderId="0" applyFont="0" applyFill="0" applyBorder="0" applyAlignment="0" applyProtection="0"/>
    <xf numFmtId="0" fontId="30" fillId="0" borderId="0"/>
    <xf numFmtId="44" fontId="30" fillId="0" borderId="0" applyFont="0" applyFill="0" applyBorder="0" applyAlignment="0" applyProtection="0"/>
    <xf numFmtId="9" fontId="30" fillId="0" borderId="0" applyFont="0" applyFill="0" applyBorder="0" applyAlignment="0" applyProtection="0"/>
    <xf numFmtId="167"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8" borderId="10" applyNumberFormat="0" applyFont="0" applyAlignment="0" applyProtection="0"/>
    <xf numFmtId="0" fontId="29" fillId="10" borderId="0" applyNumberFormat="0" applyBorder="0" applyAlignment="0" applyProtection="0"/>
    <xf numFmtId="0" fontId="29" fillId="11" borderId="0" applyNumberFormat="0" applyBorder="0" applyAlignment="0" applyProtection="0"/>
    <xf numFmtId="0" fontId="29" fillId="14" borderId="0" applyNumberFormat="0" applyBorder="0" applyAlignment="0" applyProtection="0"/>
    <xf numFmtId="0" fontId="29" fillId="15" borderId="0" applyNumberFormat="0" applyBorder="0" applyAlignment="0" applyProtection="0"/>
    <xf numFmtId="0" fontId="29" fillId="18" borderId="0" applyNumberFormat="0" applyBorder="0" applyAlignment="0" applyProtection="0"/>
    <xf numFmtId="0" fontId="29" fillId="19" borderId="0" applyNumberFormat="0" applyBorder="0" applyAlignment="0" applyProtection="0"/>
    <xf numFmtId="0" fontId="29" fillId="22" borderId="0" applyNumberFormat="0" applyBorder="0" applyAlignment="0" applyProtection="0"/>
    <xf numFmtId="0" fontId="29" fillId="23" borderId="0" applyNumberFormat="0" applyBorder="0" applyAlignment="0" applyProtection="0"/>
    <xf numFmtId="0" fontId="29" fillId="26" borderId="0" applyNumberFormat="0" applyBorder="0" applyAlignment="0" applyProtection="0"/>
    <xf numFmtId="0" fontId="29" fillId="27" borderId="0" applyNumberFormat="0" applyBorder="0" applyAlignment="0" applyProtection="0"/>
    <xf numFmtId="0" fontId="29" fillId="30" borderId="0" applyNumberFormat="0" applyBorder="0" applyAlignment="0" applyProtection="0"/>
    <xf numFmtId="0" fontId="29" fillId="31" borderId="0" applyNumberFormat="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0" fontId="29" fillId="0" borderId="0"/>
    <xf numFmtId="44" fontId="29" fillId="0" borderId="0" applyFont="0" applyFill="0" applyBorder="0" applyAlignment="0" applyProtection="0"/>
    <xf numFmtId="9" fontId="29" fillId="0" borderId="0" applyFont="0" applyFill="0" applyBorder="0" applyAlignment="0" applyProtection="0"/>
    <xf numFmtId="167" fontId="29"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9" fontId="28" fillId="0" borderId="0" applyFont="0" applyFill="0" applyBorder="0" applyAlignment="0" applyProtection="0"/>
    <xf numFmtId="9" fontId="28" fillId="0" borderId="0" applyFont="0" applyFill="0" applyBorder="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8" borderId="10" applyNumberFormat="0" applyFont="0" applyAlignment="0" applyProtection="0"/>
    <xf numFmtId="0" fontId="28" fillId="10" borderId="0" applyNumberFormat="0" applyBorder="0" applyAlignment="0" applyProtection="0"/>
    <xf numFmtId="0" fontId="28" fillId="11" borderId="0" applyNumberFormat="0" applyBorder="0" applyAlignment="0" applyProtection="0"/>
    <xf numFmtId="0" fontId="28" fillId="14" borderId="0" applyNumberFormat="0" applyBorder="0" applyAlignment="0" applyProtection="0"/>
    <xf numFmtId="0" fontId="28" fillId="15" borderId="0" applyNumberFormat="0" applyBorder="0" applyAlignment="0" applyProtection="0"/>
    <xf numFmtId="0" fontId="28" fillId="18" borderId="0" applyNumberFormat="0" applyBorder="0" applyAlignment="0" applyProtection="0"/>
    <xf numFmtId="0" fontId="28" fillId="19" borderId="0" applyNumberFormat="0" applyBorder="0" applyAlignment="0" applyProtection="0"/>
    <xf numFmtId="0" fontId="28" fillId="22" borderId="0" applyNumberFormat="0" applyBorder="0" applyAlignment="0" applyProtection="0"/>
    <xf numFmtId="0" fontId="28" fillId="23" borderId="0" applyNumberFormat="0" applyBorder="0" applyAlignment="0" applyProtection="0"/>
    <xf numFmtId="0" fontId="28" fillId="26" borderId="0" applyNumberFormat="0" applyBorder="0" applyAlignment="0" applyProtection="0"/>
    <xf numFmtId="0" fontId="28" fillId="27" borderId="0" applyNumberFormat="0" applyBorder="0" applyAlignment="0" applyProtection="0"/>
    <xf numFmtId="0" fontId="28" fillId="30" borderId="0" applyNumberFormat="0" applyBorder="0" applyAlignment="0" applyProtection="0"/>
    <xf numFmtId="0" fontId="28" fillId="31" borderId="0" applyNumberFormat="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0" fontId="28" fillId="0" borderId="0"/>
    <xf numFmtId="44" fontId="28" fillId="0" borderId="0" applyFont="0" applyFill="0" applyBorder="0" applyAlignment="0" applyProtection="0"/>
    <xf numFmtId="9" fontId="28" fillId="0" borderId="0" applyFont="0" applyFill="0" applyBorder="0" applyAlignment="0" applyProtection="0"/>
    <xf numFmtId="167" fontId="2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9" fontId="27" fillId="0" borderId="0" applyFont="0" applyFill="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8" borderId="10" applyNumberFormat="0" applyFont="0" applyAlignment="0" applyProtection="0"/>
    <xf numFmtId="0" fontId="27" fillId="10" borderId="0" applyNumberFormat="0" applyBorder="0" applyAlignment="0" applyProtection="0"/>
    <xf numFmtId="0" fontId="27" fillId="11"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0" fontId="27" fillId="0" borderId="0"/>
    <xf numFmtId="44" fontId="27" fillId="0" borderId="0" applyFont="0" applyFill="0" applyBorder="0" applyAlignment="0" applyProtection="0"/>
    <xf numFmtId="9" fontId="27" fillId="0" borderId="0" applyFont="0" applyFill="0" applyBorder="0" applyAlignment="0" applyProtection="0"/>
    <xf numFmtId="167"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167"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6" fillId="0" borderId="0" applyFont="0" applyFill="0" applyBorder="0" applyAlignment="0" applyProtection="0"/>
    <xf numFmtId="9" fontId="26" fillId="0" borderId="0" applyFont="0" applyFill="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8" borderId="10" applyNumberFormat="0" applyFont="0" applyAlignment="0" applyProtection="0"/>
    <xf numFmtId="0" fontId="26" fillId="10"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6" fillId="15"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2" borderId="0" applyNumberFormat="0" applyBorder="0" applyAlignment="0" applyProtection="0"/>
    <xf numFmtId="0" fontId="26" fillId="23" borderId="0" applyNumberFormat="0" applyBorder="0" applyAlignment="0" applyProtection="0"/>
    <xf numFmtId="0" fontId="26" fillId="26" borderId="0" applyNumberFormat="0" applyBorder="0" applyAlignment="0" applyProtection="0"/>
    <xf numFmtId="0" fontId="26" fillId="27"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167" fontId="26" fillId="0" borderId="0" applyFont="0" applyFill="0" applyBorder="0" applyAlignment="0" applyProtection="0"/>
    <xf numFmtId="0" fontId="26" fillId="0" borderId="0"/>
    <xf numFmtId="44" fontId="26" fillId="0" borderId="0" applyFont="0" applyFill="0" applyBorder="0" applyAlignment="0" applyProtection="0"/>
    <xf numFmtId="9" fontId="26" fillId="0" borderId="0" applyFont="0" applyFill="0" applyBorder="0" applyAlignment="0" applyProtection="0"/>
    <xf numFmtId="167" fontId="26"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9" fontId="25" fillId="0" borderId="0" applyFont="0" applyFill="0" applyBorder="0" applyAlignment="0" applyProtection="0"/>
    <xf numFmtId="9" fontId="25" fillId="0" borderId="0" applyFont="0" applyFill="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8" borderId="10" applyNumberFormat="0" applyFont="0" applyAlignment="0" applyProtection="0"/>
    <xf numFmtId="0" fontId="25" fillId="10" borderId="0" applyNumberFormat="0" applyBorder="0" applyAlignment="0" applyProtection="0"/>
    <xf numFmtId="0" fontId="25" fillId="11"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8" borderId="0" applyNumberFormat="0" applyBorder="0" applyAlignment="0" applyProtection="0"/>
    <xf numFmtId="0" fontId="25" fillId="19" borderId="0" applyNumberFormat="0" applyBorder="0" applyAlignment="0" applyProtection="0"/>
    <xf numFmtId="0" fontId="25" fillId="22" borderId="0" applyNumberFormat="0" applyBorder="0" applyAlignment="0" applyProtection="0"/>
    <xf numFmtId="0" fontId="25" fillId="23" borderId="0" applyNumberFormat="0" applyBorder="0" applyAlignment="0" applyProtection="0"/>
    <xf numFmtId="0" fontId="25" fillId="26" borderId="0" applyNumberFormat="0" applyBorder="0" applyAlignment="0" applyProtection="0"/>
    <xf numFmtId="0" fontId="25" fillId="27" borderId="0" applyNumberFormat="0" applyBorder="0" applyAlignment="0" applyProtection="0"/>
    <xf numFmtId="0" fontId="25" fillId="30" borderId="0" applyNumberFormat="0" applyBorder="0" applyAlignment="0" applyProtection="0"/>
    <xf numFmtId="0" fontId="25" fillId="31" borderId="0" applyNumberFormat="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0" fontId="25" fillId="0" borderId="0"/>
    <xf numFmtId="44" fontId="25" fillId="0" borderId="0" applyFont="0" applyFill="0" applyBorder="0" applyAlignment="0" applyProtection="0"/>
    <xf numFmtId="9" fontId="25" fillId="0" borderId="0" applyFont="0" applyFill="0" applyBorder="0" applyAlignment="0" applyProtection="0"/>
    <xf numFmtId="167" fontId="25"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24" fillId="0" borderId="0" applyFont="0" applyFill="0" applyBorder="0" applyAlignment="0" applyProtection="0"/>
    <xf numFmtId="9" fontId="24" fillId="0" borderId="0" applyFont="0" applyFill="0" applyBorder="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8" borderId="10" applyNumberFormat="0" applyFont="0" applyAlignment="0" applyProtection="0"/>
    <xf numFmtId="0" fontId="24" fillId="10" borderId="0" applyNumberFormat="0" applyBorder="0" applyAlignment="0" applyProtection="0"/>
    <xf numFmtId="0" fontId="24" fillId="11"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0" fontId="24" fillId="0" borderId="0"/>
    <xf numFmtId="44" fontId="24" fillId="0" borderId="0" applyFont="0" applyFill="0" applyBorder="0" applyAlignment="0" applyProtection="0"/>
    <xf numFmtId="9" fontId="24" fillId="0" borderId="0" applyFont="0" applyFill="0" applyBorder="0" applyAlignment="0" applyProtection="0"/>
    <xf numFmtId="167" fontId="2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23" fillId="0" borderId="0" applyFont="0" applyFill="0" applyBorder="0" applyAlignment="0" applyProtection="0"/>
    <xf numFmtId="9" fontId="23" fillId="0" borderId="0" applyFont="0" applyFill="0" applyBorder="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8" borderId="10" applyNumberFormat="0" applyFont="0" applyAlignment="0" applyProtection="0"/>
    <xf numFmtId="0" fontId="23" fillId="10"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8" borderId="10" applyNumberFormat="0" applyFont="0" applyAlignment="0" applyProtection="0"/>
    <xf numFmtId="0" fontId="22" fillId="10" borderId="0" applyNumberFormat="0" applyBorder="0" applyAlignment="0" applyProtection="0"/>
    <xf numFmtId="0" fontId="22" fillId="11"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0" fontId="22" fillId="0" borderId="0"/>
    <xf numFmtId="44" fontId="22" fillId="0" borderId="0" applyFont="0" applyFill="0" applyBorder="0" applyAlignment="0" applyProtection="0"/>
    <xf numFmtId="9" fontId="22" fillId="0" borderId="0" applyFont="0" applyFill="0" applyBorder="0" applyAlignment="0" applyProtection="0"/>
    <xf numFmtId="167"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167"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8" borderId="10" applyNumberFormat="0" applyFont="0" applyAlignment="0" applyProtection="0"/>
    <xf numFmtId="0" fontId="20" fillId="10" borderId="0" applyNumberFormat="0" applyBorder="0" applyAlignment="0" applyProtection="0"/>
    <xf numFmtId="0" fontId="20" fillId="11"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167" fontId="20" fillId="0" borderId="0" applyFont="0" applyFill="0" applyBorder="0" applyAlignment="0" applyProtection="0"/>
    <xf numFmtId="0" fontId="20" fillId="0" borderId="0"/>
    <xf numFmtId="44" fontId="20" fillId="0" borderId="0" applyFont="0" applyFill="0" applyBorder="0" applyAlignment="0" applyProtection="0"/>
    <xf numFmtId="9" fontId="20" fillId="0" borderId="0" applyFont="0" applyFill="0" applyBorder="0" applyAlignment="0" applyProtection="0"/>
    <xf numFmtId="167" fontId="20" fillId="0" borderId="0" applyFont="0" applyFill="0" applyBorder="0" applyAlignment="0" applyProtection="0"/>
    <xf numFmtId="0" fontId="20" fillId="0" borderId="0"/>
    <xf numFmtId="44" fontId="20" fillId="0" borderId="0" applyFont="0" applyFill="0" applyBorder="0" applyAlignment="0" applyProtection="0"/>
    <xf numFmtId="9" fontId="83"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8" borderId="10" applyNumberFormat="0" applyFont="0" applyAlignment="0" applyProtection="0"/>
    <xf numFmtId="0" fontId="19" fillId="10" borderId="0" applyNumberFormat="0" applyBorder="0" applyAlignment="0" applyProtection="0"/>
    <xf numFmtId="0" fontId="19" fillId="11"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22" borderId="0" applyNumberFormat="0" applyBorder="0" applyAlignment="0" applyProtection="0"/>
    <xf numFmtId="0" fontId="19" fillId="23" borderId="0" applyNumberFormat="0" applyBorder="0" applyAlignment="0" applyProtection="0"/>
    <xf numFmtId="0" fontId="19" fillId="26" borderId="0" applyNumberFormat="0" applyBorder="0" applyAlignment="0" applyProtection="0"/>
    <xf numFmtId="0" fontId="19" fillId="27" borderId="0" applyNumberFormat="0" applyBorder="0" applyAlignment="0" applyProtection="0"/>
    <xf numFmtId="0" fontId="19" fillId="30" borderId="0" applyNumberFormat="0" applyBorder="0" applyAlignment="0" applyProtection="0"/>
    <xf numFmtId="0" fontId="19" fillId="31" borderId="0" applyNumberFormat="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0" fontId="19" fillId="0" borderId="0"/>
    <xf numFmtId="44" fontId="19" fillId="0" borderId="0" applyFont="0" applyFill="0" applyBorder="0" applyAlignment="0" applyProtection="0"/>
    <xf numFmtId="9" fontId="19" fillId="0" borderId="0" applyFont="0" applyFill="0" applyBorder="0" applyAlignment="0" applyProtection="0"/>
    <xf numFmtId="167"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8" borderId="10" applyNumberFormat="0" applyFont="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0" fontId="18" fillId="0" borderId="0"/>
    <xf numFmtId="44" fontId="18" fillId="0" borderId="0" applyFont="0" applyFill="0" applyBorder="0" applyAlignment="0" applyProtection="0"/>
    <xf numFmtId="9" fontId="18" fillId="0" borderId="0" applyFont="0" applyFill="0" applyBorder="0" applyAlignment="0" applyProtection="0"/>
    <xf numFmtId="167"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167"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167"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9" fontId="17" fillId="0" borderId="0" applyFont="0" applyFill="0" applyBorder="0" applyAlignment="0" applyProtection="0"/>
    <xf numFmtId="9" fontId="17" fillId="0" borderId="0" applyFont="0" applyFill="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8" borderId="10" applyNumberFormat="0" applyFont="0" applyAlignment="0" applyProtection="0"/>
    <xf numFmtId="0" fontId="17" fillId="10" borderId="0" applyNumberFormat="0" applyBorder="0" applyAlignment="0" applyProtection="0"/>
    <xf numFmtId="0" fontId="17" fillId="11"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167" fontId="17" fillId="0" borderId="0" applyFont="0" applyFill="0" applyBorder="0" applyAlignment="0" applyProtection="0"/>
    <xf numFmtId="0" fontId="17" fillId="0" borderId="0"/>
    <xf numFmtId="44" fontId="17" fillId="0" borderId="0" applyFont="0" applyFill="0" applyBorder="0" applyAlignment="0" applyProtection="0"/>
    <xf numFmtId="9" fontId="17" fillId="0" borderId="0" applyFont="0" applyFill="0" applyBorder="0" applyAlignment="0" applyProtection="0"/>
    <xf numFmtId="167" fontId="17" fillId="0" borderId="0" applyFont="0" applyFill="0" applyBorder="0" applyAlignment="0" applyProtection="0"/>
    <xf numFmtId="0" fontId="16" fillId="31"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19" borderId="0" applyNumberFormat="0" applyBorder="0" applyAlignment="0" applyProtection="0"/>
    <xf numFmtId="0" fontId="16" fillId="31" borderId="0" applyNumberFormat="0" applyBorder="0" applyAlignment="0" applyProtection="0"/>
    <xf numFmtId="0" fontId="16" fillId="0" borderId="0"/>
    <xf numFmtId="0" fontId="16" fillId="26"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8" borderId="10" applyNumberFormat="0" applyFont="0" applyAlignment="0" applyProtection="0"/>
    <xf numFmtId="0" fontId="16" fillId="0" borderId="0"/>
    <xf numFmtId="0" fontId="16" fillId="14" borderId="0" applyNumberFormat="0" applyBorder="0" applyAlignment="0" applyProtection="0"/>
    <xf numFmtId="0" fontId="16" fillId="0" borderId="0"/>
    <xf numFmtId="0" fontId="16" fillId="10"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0" borderId="0"/>
    <xf numFmtId="0" fontId="16" fillId="31"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44" fontId="16" fillId="0" borderId="0" applyFont="0" applyFill="0" applyBorder="0" applyAlignment="0" applyProtection="0"/>
    <xf numFmtId="0" fontId="16" fillId="23" borderId="0" applyNumberFormat="0" applyBorder="0" applyAlignment="0" applyProtection="0"/>
    <xf numFmtId="44" fontId="16" fillId="0" borderId="0" applyFont="0" applyFill="0" applyBorder="0" applyAlignment="0" applyProtection="0"/>
    <xf numFmtId="0" fontId="16" fillId="30" borderId="0" applyNumberFormat="0" applyBorder="0" applyAlignment="0" applyProtection="0"/>
    <xf numFmtId="0" fontId="16" fillId="30" borderId="0" applyNumberFormat="0" applyBorder="0" applyAlignment="0" applyProtection="0"/>
    <xf numFmtId="9" fontId="16" fillId="0" borderId="0" applyFont="0" applyFill="0" applyBorder="0" applyAlignment="0" applyProtection="0"/>
    <xf numFmtId="0" fontId="16" fillId="0" borderId="0"/>
    <xf numFmtId="0" fontId="16" fillId="14"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27" borderId="0" applyNumberFormat="0" applyBorder="0" applyAlignment="0" applyProtection="0"/>
    <xf numFmtId="0" fontId="16" fillId="0" borderId="0"/>
    <xf numFmtId="0" fontId="16" fillId="10" borderId="0" applyNumberFormat="0" applyBorder="0" applyAlignment="0" applyProtection="0"/>
    <xf numFmtId="9" fontId="16" fillId="0" borderId="0" applyFont="0" applyFill="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44" fontId="16" fillId="0" borderId="0" applyFont="0" applyFill="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0" borderId="0"/>
    <xf numFmtId="0" fontId="16" fillId="0" borderId="0"/>
    <xf numFmtId="0" fontId="16" fillId="26" borderId="0" applyNumberFormat="0" applyBorder="0" applyAlignment="0" applyProtection="0"/>
    <xf numFmtId="0" fontId="16" fillId="11" borderId="0" applyNumberFormat="0" applyBorder="0" applyAlignment="0" applyProtection="0"/>
    <xf numFmtId="0" fontId="16" fillId="0" borderId="0"/>
    <xf numFmtId="0" fontId="16" fillId="22"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0" borderId="0"/>
    <xf numFmtId="0" fontId="16" fillId="26"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0" borderId="0"/>
    <xf numFmtId="44" fontId="16" fillId="0" borderId="0" applyFont="0" applyFill="0" applyBorder="0" applyAlignment="0" applyProtection="0"/>
    <xf numFmtId="0" fontId="16" fillId="10" borderId="0" applyNumberFormat="0" applyBorder="0" applyAlignment="0" applyProtection="0"/>
    <xf numFmtId="0" fontId="16" fillId="30" borderId="0" applyNumberFormat="0" applyBorder="0" applyAlignment="0" applyProtection="0"/>
    <xf numFmtId="43" fontId="16" fillId="0" borderId="0" applyFont="0" applyFill="0" applyBorder="0" applyAlignment="0" applyProtection="0"/>
    <xf numFmtId="0" fontId="16" fillId="0" borderId="0"/>
    <xf numFmtId="0" fontId="16" fillId="3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43" fontId="16" fillId="0" borderId="0" applyFont="0" applyFill="0" applyBorder="0" applyAlignment="0" applyProtection="0"/>
    <xf numFmtId="0" fontId="16" fillId="8" borderId="10" applyNumberFormat="0" applyFont="0" applyAlignment="0" applyProtection="0"/>
    <xf numFmtId="0" fontId="16" fillId="23"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0" borderId="0"/>
    <xf numFmtId="0" fontId="16" fillId="27" borderId="0" applyNumberFormat="0" applyBorder="0" applyAlignment="0" applyProtection="0"/>
    <xf numFmtId="0" fontId="16" fillId="0" borderId="0"/>
    <xf numFmtId="0" fontId="16" fillId="11"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0" borderId="0"/>
    <xf numFmtId="0" fontId="16" fillId="26"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9" fontId="16" fillId="0" borderId="0" applyFont="0" applyFill="0" applyBorder="0" applyAlignment="0" applyProtection="0"/>
    <xf numFmtId="167" fontId="16" fillId="0" borderId="0" applyFont="0" applyFill="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31" borderId="0" applyNumberFormat="0" applyBorder="0" applyAlignment="0" applyProtection="0"/>
    <xf numFmtId="0" fontId="16" fillId="0" borderId="0"/>
    <xf numFmtId="0" fontId="16" fillId="14" borderId="0" applyNumberFormat="0" applyBorder="0" applyAlignment="0" applyProtection="0"/>
    <xf numFmtId="0" fontId="16" fillId="30" borderId="0" applyNumberFormat="0" applyBorder="0" applyAlignment="0" applyProtection="0"/>
    <xf numFmtId="9" fontId="16" fillId="0" borderId="0" applyFont="0" applyFill="0" applyBorder="0" applyAlignment="0" applyProtection="0"/>
    <xf numFmtId="0" fontId="16" fillId="8" borderId="10" applyNumberFormat="0" applyFont="0" applyAlignment="0" applyProtection="0"/>
    <xf numFmtId="9" fontId="16" fillId="0" borderId="0" applyFont="0" applyFill="0" applyBorder="0" applyAlignment="0" applyProtection="0"/>
    <xf numFmtId="0" fontId="16" fillId="27"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19"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1" borderId="0" applyNumberFormat="0" applyBorder="0" applyAlignment="0" applyProtection="0"/>
    <xf numFmtId="9" fontId="16" fillId="0" borderId="0" applyFont="0" applyFill="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30" borderId="0" applyNumberFormat="0" applyBorder="0" applyAlignment="0" applyProtection="0"/>
    <xf numFmtId="0" fontId="16" fillId="0" borderId="0"/>
    <xf numFmtId="0" fontId="16" fillId="19"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4"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0" borderId="0"/>
    <xf numFmtId="0" fontId="16" fillId="19" borderId="0" applyNumberFormat="0" applyBorder="0" applyAlignment="0" applyProtection="0"/>
    <xf numFmtId="0" fontId="16" fillId="8" borderId="10" applyNumberFormat="0" applyFont="0" applyAlignment="0" applyProtection="0"/>
    <xf numFmtId="0" fontId="16" fillId="23"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167" fontId="16" fillId="0" borderId="0" applyFont="0" applyFill="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0" borderId="0"/>
    <xf numFmtId="0" fontId="16" fillId="30" borderId="0" applyNumberFormat="0" applyBorder="0" applyAlignment="0" applyProtection="0"/>
    <xf numFmtId="0" fontId="16" fillId="10" borderId="0" applyNumberFormat="0" applyBorder="0" applyAlignment="0" applyProtection="0"/>
    <xf numFmtId="0" fontId="16" fillId="0" borderId="0"/>
    <xf numFmtId="0" fontId="16" fillId="31"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167" fontId="16" fillId="0" borderId="0" applyFont="0" applyFill="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0" borderId="0"/>
    <xf numFmtId="0" fontId="16" fillId="0" borderId="0"/>
    <xf numFmtId="0" fontId="16" fillId="11" borderId="0" applyNumberFormat="0" applyBorder="0" applyAlignment="0" applyProtection="0"/>
    <xf numFmtId="0" fontId="16" fillId="0" borderId="0"/>
    <xf numFmtId="0" fontId="16" fillId="11"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0" borderId="0"/>
    <xf numFmtId="0" fontId="16" fillId="8" borderId="10" applyNumberFormat="0" applyFont="0" applyAlignment="0" applyProtection="0"/>
    <xf numFmtId="0" fontId="16" fillId="14"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0" borderId="0"/>
    <xf numFmtId="0" fontId="16" fillId="18" borderId="0" applyNumberFormat="0" applyBorder="0" applyAlignment="0" applyProtection="0"/>
    <xf numFmtId="0" fontId="16" fillId="0" borderId="0"/>
    <xf numFmtId="0" fontId="16" fillId="23" borderId="0" applyNumberFormat="0" applyBorder="0" applyAlignment="0" applyProtection="0"/>
    <xf numFmtId="0" fontId="16" fillId="11" borderId="0" applyNumberFormat="0" applyBorder="0" applyAlignment="0" applyProtection="0"/>
    <xf numFmtId="0" fontId="16" fillId="22" borderId="0" applyNumberFormat="0" applyBorder="0" applyAlignment="0" applyProtection="0"/>
    <xf numFmtId="167" fontId="16" fillId="0" borderId="0" applyFont="0" applyFill="0" applyBorder="0" applyAlignment="0" applyProtection="0"/>
    <xf numFmtId="0" fontId="16" fillId="11" borderId="0" applyNumberFormat="0" applyBorder="0" applyAlignment="0" applyProtection="0"/>
    <xf numFmtId="43" fontId="16" fillId="0" borderId="0" applyFont="0" applyFill="0" applyBorder="0" applyAlignment="0" applyProtection="0"/>
    <xf numFmtId="0" fontId="16" fillId="0" borderId="0"/>
    <xf numFmtId="0" fontId="16" fillId="18" borderId="0" applyNumberFormat="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0" borderId="0"/>
    <xf numFmtId="0" fontId="16" fillId="18"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0" borderId="0"/>
    <xf numFmtId="0" fontId="16" fillId="15"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6" borderId="0" applyNumberFormat="0" applyBorder="0" applyAlignment="0" applyProtection="0"/>
    <xf numFmtId="167" fontId="16" fillId="0" borderId="0" applyFont="0" applyFill="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0" borderId="0"/>
    <xf numFmtId="0" fontId="16" fillId="0" borderId="0"/>
    <xf numFmtId="0" fontId="16" fillId="22" borderId="0" applyNumberFormat="0" applyBorder="0" applyAlignment="0" applyProtection="0"/>
    <xf numFmtId="0" fontId="16" fillId="11" borderId="0" applyNumberFormat="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19"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0" borderId="0"/>
    <xf numFmtId="0" fontId="16" fillId="19"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0" borderId="0"/>
    <xf numFmtId="0" fontId="16" fillId="23" borderId="0" applyNumberFormat="0" applyBorder="0" applyAlignment="0" applyProtection="0"/>
    <xf numFmtId="0" fontId="16" fillId="27"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0" borderId="0"/>
    <xf numFmtId="0" fontId="16" fillId="8" borderId="10" applyNumberFormat="0" applyFont="0" applyAlignment="0" applyProtection="0"/>
    <xf numFmtId="0" fontId="16" fillId="15"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0" borderId="0"/>
    <xf numFmtId="0" fontId="16" fillId="8" borderId="10" applyNumberFormat="0" applyFont="0" applyAlignment="0" applyProtection="0"/>
    <xf numFmtId="0" fontId="16" fillId="0" borderId="0"/>
    <xf numFmtId="0" fontId="16" fillId="8" borderId="10" applyNumberFormat="0" applyFont="0" applyAlignment="0" applyProtection="0"/>
    <xf numFmtId="0" fontId="16" fillId="8" borderId="10" applyNumberFormat="0" applyFont="0" applyAlignment="0" applyProtection="0"/>
    <xf numFmtId="0" fontId="16" fillId="14" borderId="0" applyNumberFormat="0" applyBorder="0" applyAlignment="0" applyProtection="0"/>
    <xf numFmtId="167" fontId="16" fillId="0" borderId="0" applyFont="0" applyFill="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0" borderId="0"/>
    <xf numFmtId="0" fontId="16" fillId="0" borderId="0"/>
    <xf numFmtId="0" fontId="16" fillId="18" borderId="0" applyNumberFormat="0" applyBorder="0" applyAlignment="0" applyProtection="0"/>
    <xf numFmtId="9" fontId="16" fillId="0" borderId="0" applyFont="0" applyFill="0" applyBorder="0" applyAlignment="0" applyProtection="0"/>
    <xf numFmtId="0" fontId="16" fillId="0" borderId="0"/>
    <xf numFmtId="0" fontId="16" fillId="0" borderId="0"/>
    <xf numFmtId="0" fontId="16" fillId="11" borderId="0" applyNumberFormat="0" applyBorder="0" applyAlignment="0" applyProtection="0"/>
    <xf numFmtId="0" fontId="16" fillId="0" borderId="0"/>
    <xf numFmtId="0" fontId="16" fillId="11"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0" borderId="0"/>
    <xf numFmtId="0" fontId="16" fillId="11"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9" fontId="16" fillId="0" borderId="0" applyFont="0" applyFill="0" applyBorder="0" applyAlignment="0" applyProtection="0"/>
    <xf numFmtId="0" fontId="16" fillId="0" borderId="0"/>
    <xf numFmtId="0" fontId="16" fillId="18"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0" borderId="0"/>
    <xf numFmtId="0" fontId="16" fillId="27" borderId="0" applyNumberFormat="0" applyBorder="0" applyAlignment="0" applyProtection="0"/>
    <xf numFmtId="43" fontId="16" fillId="0" borderId="0" applyFont="0" applyFill="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167" fontId="16" fillId="0" borderId="0" applyFont="0" applyFill="0" applyBorder="0" applyAlignment="0" applyProtection="0"/>
    <xf numFmtId="0" fontId="16" fillId="27" borderId="0" applyNumberFormat="0" applyBorder="0" applyAlignment="0" applyProtection="0"/>
    <xf numFmtId="9" fontId="16" fillId="0" borderId="0" applyFont="0" applyFill="0" applyBorder="0" applyAlignment="0" applyProtection="0"/>
    <xf numFmtId="0" fontId="16" fillId="8" borderId="10" applyNumberFormat="0" applyFont="0" applyAlignment="0" applyProtection="0"/>
    <xf numFmtId="0" fontId="16" fillId="19" borderId="0" applyNumberFormat="0" applyBorder="0" applyAlignment="0" applyProtection="0"/>
    <xf numFmtId="0" fontId="16" fillId="0" borderId="0"/>
    <xf numFmtId="0" fontId="16" fillId="10"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0" borderId="0"/>
    <xf numFmtId="0" fontId="16" fillId="14" borderId="0" applyNumberFormat="0" applyBorder="0" applyAlignment="0" applyProtection="0"/>
    <xf numFmtId="0" fontId="16" fillId="23" borderId="0" applyNumberFormat="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0" borderId="0"/>
    <xf numFmtId="0" fontId="16" fillId="10" borderId="0" applyNumberFormat="0" applyBorder="0" applyAlignment="0" applyProtection="0"/>
    <xf numFmtId="0" fontId="16" fillId="0" borderId="0"/>
    <xf numFmtId="0" fontId="16" fillId="27" borderId="0" applyNumberFormat="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27"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0" borderId="0"/>
    <xf numFmtId="0" fontId="16" fillId="27" borderId="0" applyNumberFormat="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11" borderId="0" applyNumberFormat="0" applyBorder="0" applyAlignment="0" applyProtection="0"/>
    <xf numFmtId="44" fontId="16" fillId="0" borderId="0" applyFont="0" applyFill="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27" borderId="0" applyNumberFormat="0" applyBorder="0" applyAlignment="0" applyProtection="0"/>
    <xf numFmtId="0" fontId="16" fillId="0" borderId="0"/>
    <xf numFmtId="0" fontId="16" fillId="31"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27"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0" fontId="16" fillId="0" borderId="0"/>
    <xf numFmtId="0" fontId="16" fillId="15"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0" borderId="0"/>
    <xf numFmtId="0" fontId="16" fillId="19" borderId="0" applyNumberFormat="0" applyBorder="0" applyAlignment="0" applyProtection="0"/>
    <xf numFmtId="0" fontId="16" fillId="0" borderId="0"/>
    <xf numFmtId="0" fontId="16" fillId="19"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0" borderId="0"/>
    <xf numFmtId="0" fontId="16" fillId="18"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0" borderId="0"/>
    <xf numFmtId="0" fontId="16" fillId="26" borderId="0" applyNumberFormat="0" applyBorder="0" applyAlignment="0" applyProtection="0"/>
    <xf numFmtId="0" fontId="16" fillId="0" borderId="0"/>
    <xf numFmtId="0" fontId="16" fillId="26"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167"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0" borderId="0"/>
    <xf numFmtId="0" fontId="16" fillId="30"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0" borderId="0"/>
    <xf numFmtId="0" fontId="16" fillId="26" borderId="0" applyNumberFormat="0" applyBorder="0" applyAlignment="0" applyProtection="0"/>
    <xf numFmtId="0" fontId="16" fillId="30" borderId="0" applyNumberFormat="0" applyBorder="0" applyAlignment="0" applyProtection="0"/>
    <xf numFmtId="0" fontId="16" fillId="0" borderId="0"/>
    <xf numFmtId="0" fontId="16" fillId="11" borderId="0" applyNumberFormat="0" applyBorder="0" applyAlignment="0" applyProtection="0"/>
    <xf numFmtId="0" fontId="16" fillId="0" borderId="0"/>
    <xf numFmtId="0" fontId="16" fillId="11" borderId="0" applyNumberFormat="0" applyBorder="0" applyAlignment="0" applyProtection="0"/>
    <xf numFmtId="0" fontId="16" fillId="10" borderId="0" applyNumberFormat="0" applyBorder="0" applyAlignment="0" applyProtection="0"/>
    <xf numFmtId="0" fontId="16" fillId="0" borderId="0"/>
    <xf numFmtId="0" fontId="16" fillId="19"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1" borderId="0" applyNumberFormat="0" applyBorder="0" applyAlignment="0" applyProtection="0"/>
    <xf numFmtId="0" fontId="16" fillId="0" borderId="0"/>
    <xf numFmtId="0" fontId="16" fillId="27" borderId="0" applyNumberFormat="0" applyBorder="0" applyAlignment="0" applyProtection="0"/>
    <xf numFmtId="0" fontId="16" fillId="30" borderId="0" applyNumberFormat="0" applyBorder="0" applyAlignment="0" applyProtection="0"/>
    <xf numFmtId="0" fontId="16" fillId="8" borderId="10" applyNumberFormat="0" applyFont="0" applyAlignment="0" applyProtection="0"/>
    <xf numFmtId="167" fontId="16" fillId="0" borderId="0" applyFont="0" applyFill="0" applyBorder="0" applyAlignment="0" applyProtection="0"/>
    <xf numFmtId="0" fontId="16" fillId="27" borderId="0" applyNumberFormat="0" applyBorder="0" applyAlignment="0" applyProtection="0"/>
    <xf numFmtId="0" fontId="16" fillId="0" borderId="0"/>
    <xf numFmtId="0" fontId="16" fillId="0" borderId="0"/>
    <xf numFmtId="0" fontId="16" fillId="11"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0" borderId="0"/>
    <xf numFmtId="0" fontId="16" fillId="0" borderId="0"/>
    <xf numFmtId="0" fontId="16" fillId="27"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0" borderId="0"/>
    <xf numFmtId="0" fontId="16" fillId="23" borderId="0" applyNumberFormat="0" applyBorder="0" applyAlignment="0" applyProtection="0"/>
    <xf numFmtId="0" fontId="16" fillId="0" borderId="0"/>
    <xf numFmtId="0" fontId="16" fillId="0" borderId="0"/>
    <xf numFmtId="0" fontId="16" fillId="22" borderId="0" applyNumberFormat="0" applyBorder="0" applyAlignment="0" applyProtection="0"/>
    <xf numFmtId="0" fontId="16" fillId="23"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30" borderId="0" applyNumberFormat="0" applyBorder="0" applyAlignment="0" applyProtection="0"/>
    <xf numFmtId="0" fontId="16" fillId="0" borderId="0"/>
    <xf numFmtId="0" fontId="16" fillId="30"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0" fontId="16" fillId="0" borderId="0"/>
    <xf numFmtId="0" fontId="16" fillId="31"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0" borderId="0"/>
    <xf numFmtId="0" fontId="16" fillId="15" borderId="0" applyNumberFormat="0" applyBorder="0" applyAlignment="0" applyProtection="0"/>
    <xf numFmtId="0" fontId="16" fillId="0" borderId="0"/>
    <xf numFmtId="9" fontId="16" fillId="0" borderId="0" applyFont="0" applyFill="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0" borderId="0"/>
    <xf numFmtId="0" fontId="16" fillId="8" borderId="10" applyNumberFormat="0" applyFont="0" applyAlignment="0" applyProtection="0"/>
    <xf numFmtId="0" fontId="16" fillId="8" borderId="10" applyNumberFormat="0" applyFont="0" applyAlignment="0" applyProtection="0"/>
    <xf numFmtId="0" fontId="16" fillId="0" borderId="0"/>
    <xf numFmtId="0" fontId="16" fillId="14"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0" fontId="16" fillId="0" borderId="0"/>
    <xf numFmtId="0" fontId="16" fillId="14"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44" fontId="16" fillId="0" borderId="0" applyFont="0" applyFill="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0" borderId="0"/>
    <xf numFmtId="0" fontId="16" fillId="23" borderId="0" applyNumberFormat="0" applyBorder="0" applyAlignment="0" applyProtection="0"/>
    <xf numFmtId="0" fontId="16" fillId="15" borderId="0" applyNumberFormat="0" applyBorder="0" applyAlignment="0" applyProtection="0"/>
    <xf numFmtId="44" fontId="16" fillId="0" borderId="0" applyFont="0" applyFill="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0" borderId="0"/>
    <xf numFmtId="0" fontId="16" fillId="31" borderId="0" applyNumberFormat="0" applyBorder="0" applyAlignment="0" applyProtection="0"/>
    <xf numFmtId="0" fontId="16" fillId="23" borderId="0" applyNumberFormat="0" applyBorder="0" applyAlignment="0" applyProtection="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11" borderId="0" applyNumberFormat="0" applyBorder="0" applyAlignment="0" applyProtection="0"/>
    <xf numFmtId="0" fontId="16" fillId="8" borderId="10" applyNumberFormat="0" applyFont="0" applyAlignment="0" applyProtection="0"/>
    <xf numFmtId="0" fontId="16" fillId="0" borderId="0"/>
    <xf numFmtId="0" fontId="16" fillId="8" borderId="10" applyNumberFormat="0" applyFont="0" applyAlignment="0" applyProtection="0"/>
    <xf numFmtId="0" fontId="16" fillId="19"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0" borderId="0"/>
    <xf numFmtId="0" fontId="16" fillId="27"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0" borderId="0"/>
    <xf numFmtId="0" fontId="16" fillId="11" borderId="0" applyNumberFormat="0" applyBorder="0" applyAlignment="0" applyProtection="0"/>
    <xf numFmtId="0" fontId="16" fillId="27" borderId="0" applyNumberFormat="0" applyBorder="0" applyAlignment="0" applyProtection="0"/>
    <xf numFmtId="43" fontId="16" fillId="0" borderId="0" applyFont="0" applyFill="0" applyBorder="0" applyAlignment="0" applyProtection="0"/>
    <xf numFmtId="0" fontId="16" fillId="18" borderId="0" applyNumberFormat="0" applyBorder="0" applyAlignment="0" applyProtection="0"/>
    <xf numFmtId="0" fontId="16" fillId="0" borderId="0"/>
    <xf numFmtId="0" fontId="16" fillId="22"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0" borderId="0"/>
    <xf numFmtId="0" fontId="16" fillId="31"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0" borderId="0"/>
    <xf numFmtId="0" fontId="16" fillId="0" borderId="0"/>
    <xf numFmtId="0" fontId="16" fillId="10"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0" borderId="0"/>
    <xf numFmtId="0" fontId="16" fillId="30" borderId="0" applyNumberFormat="0" applyBorder="0" applyAlignment="0" applyProtection="0"/>
    <xf numFmtId="0" fontId="16" fillId="14" borderId="0" applyNumberFormat="0" applyBorder="0" applyAlignment="0" applyProtection="0"/>
    <xf numFmtId="0" fontId="16" fillId="0" borderId="0"/>
    <xf numFmtId="167" fontId="16" fillId="0" borderId="0" applyFont="0" applyFill="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0" borderId="0"/>
    <xf numFmtId="0" fontId="16" fillId="18"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0" borderId="0"/>
    <xf numFmtId="0" fontId="16" fillId="23"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0" borderId="0"/>
    <xf numFmtId="0" fontId="16" fillId="30" borderId="0" applyNumberFormat="0" applyBorder="0" applyAlignment="0" applyProtection="0"/>
    <xf numFmtId="167" fontId="16" fillId="0" borderId="0" applyFont="0" applyFill="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31" borderId="0" applyNumberFormat="0" applyBorder="0" applyAlignment="0" applyProtection="0"/>
    <xf numFmtId="0" fontId="16" fillId="0" borderId="0"/>
    <xf numFmtId="0" fontId="16" fillId="26" borderId="0" applyNumberFormat="0" applyBorder="0" applyAlignment="0" applyProtection="0"/>
    <xf numFmtId="0" fontId="16" fillId="0" borderId="0"/>
    <xf numFmtId="0" fontId="16" fillId="11"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0" borderId="0"/>
    <xf numFmtId="0" fontId="16" fillId="31" borderId="0" applyNumberFormat="0" applyBorder="0" applyAlignment="0" applyProtection="0"/>
    <xf numFmtId="167" fontId="16" fillId="0" borderId="0" applyFont="0" applyFill="0" applyBorder="0" applyAlignment="0" applyProtection="0"/>
    <xf numFmtId="0" fontId="16" fillId="0" borderId="0"/>
    <xf numFmtId="0" fontId="16" fillId="11"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0" borderId="0"/>
    <xf numFmtId="9" fontId="16" fillId="0" borderId="0" applyFont="0" applyFill="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22" borderId="0" applyNumberFormat="0" applyBorder="0" applyAlignment="0" applyProtection="0"/>
    <xf numFmtId="43" fontId="16" fillId="0" borderId="0" applyFont="0" applyFill="0" applyBorder="0" applyAlignment="0" applyProtection="0"/>
    <xf numFmtId="0" fontId="16" fillId="0" borderId="0"/>
    <xf numFmtId="0" fontId="16" fillId="26"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8" borderId="10" applyNumberFormat="0" applyFont="0" applyAlignment="0" applyProtection="0"/>
    <xf numFmtId="167" fontId="16" fillId="0" borderId="0" applyFont="0" applyFill="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167" fontId="16" fillId="0" borderId="0" applyFont="0" applyFill="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0" fontId="16" fillId="0" borderId="0"/>
    <xf numFmtId="0" fontId="16" fillId="18"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0" borderId="0"/>
    <xf numFmtId="0" fontId="16" fillId="27"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10" borderId="0" applyNumberFormat="0" applyBorder="0" applyAlignment="0" applyProtection="0"/>
    <xf numFmtId="0" fontId="16" fillId="0" borderId="0"/>
    <xf numFmtId="9" fontId="16" fillId="0" borderId="0" applyFont="0" applyFill="0" applyBorder="0" applyAlignment="0" applyProtection="0"/>
    <xf numFmtId="0" fontId="16" fillId="18"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0" borderId="0"/>
    <xf numFmtId="0" fontId="16" fillId="19"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0" borderId="0"/>
    <xf numFmtId="0" fontId="16" fillId="11"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167" fontId="16" fillId="0" borderId="0" applyFont="0" applyFill="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0" borderId="0"/>
    <xf numFmtId="0" fontId="16" fillId="18" borderId="0" applyNumberFormat="0" applyBorder="0" applyAlignment="0" applyProtection="0"/>
    <xf numFmtId="0" fontId="16" fillId="23" borderId="0" applyNumberFormat="0" applyBorder="0" applyAlignment="0" applyProtection="0"/>
    <xf numFmtId="0" fontId="16" fillId="0" borderId="0"/>
    <xf numFmtId="0" fontId="16" fillId="15"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0" borderId="0"/>
    <xf numFmtId="0" fontId="16" fillId="26"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8" borderId="10" applyNumberFormat="0" applyFont="0" applyAlignment="0" applyProtection="0"/>
    <xf numFmtId="0" fontId="16" fillId="15"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0" borderId="0"/>
    <xf numFmtId="0" fontId="16" fillId="31" borderId="0" applyNumberFormat="0" applyBorder="0" applyAlignment="0" applyProtection="0"/>
    <xf numFmtId="0" fontId="16" fillId="8" borderId="10" applyNumberFormat="0" applyFont="0" applyAlignment="0" applyProtection="0"/>
    <xf numFmtId="44" fontId="16" fillId="0" borderId="0" applyFon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43" fontId="16" fillId="0" borderId="0" applyFont="0" applyFill="0" applyBorder="0" applyAlignment="0" applyProtection="0"/>
    <xf numFmtId="0" fontId="16" fillId="14" borderId="0" applyNumberFormat="0" applyBorder="0" applyAlignment="0" applyProtection="0"/>
    <xf numFmtId="0" fontId="16" fillId="0" borderId="0"/>
    <xf numFmtId="0" fontId="16" fillId="11" borderId="0" applyNumberFormat="0" applyBorder="0" applyAlignment="0" applyProtection="0"/>
    <xf numFmtId="0" fontId="16" fillId="11" borderId="0" applyNumberFormat="0" applyBorder="0" applyAlignment="0" applyProtection="0"/>
    <xf numFmtId="0" fontId="16" fillId="18" borderId="0" applyNumberFormat="0" applyBorder="0" applyAlignment="0" applyProtection="0"/>
    <xf numFmtId="0" fontId="16" fillId="0" borderId="0"/>
    <xf numFmtId="0" fontId="16" fillId="10"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0" borderId="0"/>
    <xf numFmtId="0" fontId="16" fillId="14"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0" borderId="0"/>
    <xf numFmtId="0" fontId="16" fillId="14"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26" borderId="0" applyNumberFormat="0" applyBorder="0" applyAlignment="0" applyProtection="0"/>
    <xf numFmtId="0" fontId="16" fillId="0" borderId="0"/>
    <xf numFmtId="0" fontId="16" fillId="18" borderId="0" applyNumberFormat="0" applyBorder="0" applyAlignment="0" applyProtection="0"/>
    <xf numFmtId="0" fontId="16" fillId="0" borderId="0"/>
    <xf numFmtId="0" fontId="16" fillId="3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15"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43" fontId="16" fillId="0" borderId="0" applyFont="0" applyFill="0" applyBorder="0" applyAlignment="0" applyProtection="0"/>
    <xf numFmtId="0" fontId="16" fillId="27"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0" borderId="0"/>
    <xf numFmtId="0" fontId="16" fillId="30"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0" borderId="0"/>
    <xf numFmtId="0" fontId="16" fillId="8" borderId="10" applyNumberFormat="0" applyFont="0" applyAlignment="0" applyProtection="0"/>
    <xf numFmtId="0" fontId="16" fillId="14" borderId="0" applyNumberFormat="0" applyBorder="0" applyAlignment="0" applyProtection="0"/>
    <xf numFmtId="167" fontId="16" fillId="0" borderId="0" applyFont="0" applyFill="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167" fontId="16"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16" fillId="23"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0" borderId="0"/>
    <xf numFmtId="0" fontId="16" fillId="8" borderId="10" applyNumberFormat="0" applyFont="0" applyAlignment="0" applyProtection="0"/>
    <xf numFmtId="9" fontId="16" fillId="0" borderId="0" applyFont="0" applyFill="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0" borderId="0"/>
    <xf numFmtId="0" fontId="16" fillId="10"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8" borderId="0" applyNumberFormat="0" applyBorder="0" applyAlignment="0" applyProtection="0"/>
    <xf numFmtId="0" fontId="16" fillId="0" borderId="0"/>
    <xf numFmtId="0" fontId="16" fillId="22"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167" fontId="16" fillId="0" borderId="0" applyFont="0" applyFill="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167" fontId="16" fillId="0" borderId="0" applyFont="0" applyFill="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44" fontId="16" fillId="0" borderId="0" applyFont="0" applyFill="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0" borderId="0"/>
    <xf numFmtId="0" fontId="16" fillId="11" borderId="0" applyNumberFormat="0" applyBorder="0" applyAlignment="0" applyProtection="0"/>
    <xf numFmtId="0" fontId="16" fillId="31"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14" borderId="0" applyNumberFormat="0" applyBorder="0" applyAlignment="0" applyProtection="0"/>
    <xf numFmtId="44" fontId="16" fillId="0" borderId="0" applyFont="0" applyFill="0" applyBorder="0" applyAlignment="0" applyProtection="0"/>
    <xf numFmtId="0" fontId="16" fillId="0" borderId="0"/>
    <xf numFmtId="0" fontId="16" fillId="22"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0" borderId="0"/>
    <xf numFmtId="0" fontId="16" fillId="8" borderId="10" applyNumberFormat="0" applyFont="0" applyAlignment="0" applyProtection="0"/>
    <xf numFmtId="0" fontId="16" fillId="10"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0" borderId="0"/>
    <xf numFmtId="0" fontId="16" fillId="30"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44" fontId="16" fillId="0" borderId="0" applyFont="0" applyFill="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0" fontId="16" fillId="0" borderId="0"/>
    <xf numFmtId="0" fontId="16" fillId="8" borderId="10" applyNumberFormat="0" applyFont="0" applyAlignment="0" applyProtection="0"/>
    <xf numFmtId="0" fontId="16" fillId="22" borderId="0" applyNumberFormat="0" applyBorder="0" applyAlignment="0" applyProtection="0"/>
    <xf numFmtId="0" fontId="16" fillId="0" borderId="0"/>
    <xf numFmtId="0" fontId="16" fillId="10"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30"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9" fontId="16" fillId="0" borderId="0" applyFont="0" applyFill="0" applyBorder="0" applyAlignment="0" applyProtection="0"/>
    <xf numFmtId="0" fontId="16" fillId="14" borderId="0" applyNumberFormat="0" applyBorder="0" applyAlignment="0" applyProtection="0"/>
    <xf numFmtId="0" fontId="16" fillId="0" borderId="0"/>
    <xf numFmtId="0" fontId="16" fillId="27"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0" borderId="0"/>
    <xf numFmtId="0" fontId="16" fillId="0" borderId="0"/>
    <xf numFmtId="0" fontId="16" fillId="19"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0" borderId="0"/>
    <xf numFmtId="167" fontId="16" fillId="0" borderId="0" applyFont="0" applyFill="0" applyBorder="0" applyAlignment="0" applyProtection="0"/>
    <xf numFmtId="0" fontId="16" fillId="27"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0" borderId="0"/>
    <xf numFmtId="0" fontId="16" fillId="14"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0" borderId="0"/>
    <xf numFmtId="0" fontId="16" fillId="10"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19"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43" fontId="16" fillId="0" borderId="0" applyFont="0" applyFill="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0" borderId="0"/>
    <xf numFmtId="0" fontId="16" fillId="22"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43" fontId="16" fillId="0" borderId="0" applyFont="0" applyFill="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0" borderId="0"/>
    <xf numFmtId="0" fontId="16" fillId="15"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31" borderId="0" applyNumberFormat="0" applyBorder="0" applyAlignment="0" applyProtection="0"/>
    <xf numFmtId="9" fontId="16" fillId="0" borderId="0" applyFont="0" applyFill="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0" borderId="0"/>
    <xf numFmtId="43" fontId="16" fillId="0" borderId="0" applyFont="0" applyFill="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0" borderId="0"/>
    <xf numFmtId="0" fontId="16" fillId="26" borderId="0" applyNumberFormat="0" applyBorder="0" applyAlignment="0" applyProtection="0"/>
    <xf numFmtId="0" fontId="16" fillId="0" borderId="0"/>
    <xf numFmtId="0" fontId="16" fillId="27"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9" borderId="0" applyNumberFormat="0" applyBorder="0" applyAlignment="0" applyProtection="0"/>
    <xf numFmtId="0" fontId="16" fillId="18" borderId="0" applyNumberFormat="0" applyBorder="0" applyAlignment="0" applyProtection="0"/>
    <xf numFmtId="167" fontId="16" fillId="0" borderId="0" applyFont="0" applyFill="0" applyBorder="0" applyAlignment="0" applyProtection="0"/>
    <xf numFmtId="0" fontId="16" fillId="15" borderId="0" applyNumberFormat="0" applyBorder="0" applyAlignment="0" applyProtection="0"/>
    <xf numFmtId="0" fontId="16" fillId="31" borderId="0" applyNumberFormat="0" applyBorder="0" applyAlignment="0" applyProtection="0"/>
    <xf numFmtId="9" fontId="16" fillId="0" borderId="0" applyFont="0" applyFill="0" applyBorder="0" applyAlignment="0" applyProtection="0"/>
    <xf numFmtId="43" fontId="16" fillId="0" borderId="0" applyFont="0" applyFill="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0" borderId="0"/>
    <xf numFmtId="0" fontId="16" fillId="22" borderId="0" applyNumberFormat="0" applyBorder="0" applyAlignment="0" applyProtection="0"/>
    <xf numFmtId="44" fontId="16" fillId="0" borderId="0" applyFont="0" applyFill="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0" fontId="16" fillId="27" borderId="0" applyNumberFormat="0" applyBorder="0" applyAlignment="0" applyProtection="0"/>
    <xf numFmtId="0" fontId="16" fillId="0" borderId="0"/>
    <xf numFmtId="0" fontId="16" fillId="19"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44" fontId="16" fillId="0" borderId="0" applyFont="0" applyFill="0" applyBorder="0" applyAlignment="0" applyProtection="0"/>
    <xf numFmtId="0" fontId="16" fillId="8" borderId="10" applyNumberFormat="0" applyFont="0" applyAlignment="0" applyProtection="0"/>
    <xf numFmtId="0" fontId="16" fillId="19"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0" borderId="0"/>
    <xf numFmtId="0" fontId="16" fillId="27"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0" borderId="0"/>
    <xf numFmtId="0" fontId="16" fillId="27" borderId="0" applyNumberFormat="0" applyBorder="0" applyAlignment="0" applyProtection="0"/>
    <xf numFmtId="167" fontId="16" fillId="0" borderId="0" applyFont="0" applyFill="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0" borderId="0"/>
    <xf numFmtId="0" fontId="16" fillId="0" borderId="0"/>
    <xf numFmtId="0" fontId="16" fillId="22"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44" fontId="16" fillId="0" borderId="0" applyFont="0" applyFill="0" applyBorder="0" applyAlignment="0" applyProtection="0"/>
    <xf numFmtId="0" fontId="16" fillId="30" borderId="0" applyNumberFormat="0" applyBorder="0" applyAlignment="0" applyProtection="0"/>
    <xf numFmtId="0" fontId="16" fillId="0" borderId="0"/>
    <xf numFmtId="9" fontId="16" fillId="0" borderId="0" applyFont="0" applyFill="0" applyBorder="0" applyAlignment="0" applyProtection="0"/>
    <xf numFmtId="0" fontId="16" fillId="31" borderId="0" applyNumberFormat="0" applyBorder="0" applyAlignment="0" applyProtection="0"/>
    <xf numFmtId="9" fontId="16" fillId="0" borderId="0" applyFont="0" applyFill="0" applyBorder="0" applyAlignment="0" applyProtection="0"/>
    <xf numFmtId="0" fontId="16" fillId="0" borderId="0"/>
    <xf numFmtId="0" fontId="16" fillId="23" borderId="0" applyNumberFormat="0" applyBorder="0" applyAlignment="0" applyProtection="0"/>
    <xf numFmtId="0" fontId="16" fillId="0" borderId="0"/>
    <xf numFmtId="0" fontId="16" fillId="11"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0" borderId="0"/>
    <xf numFmtId="0" fontId="16" fillId="30"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0" borderId="0"/>
    <xf numFmtId="0" fontId="16" fillId="18" borderId="0" applyNumberFormat="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0" borderId="0"/>
    <xf numFmtId="0" fontId="16" fillId="14"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0" borderId="0"/>
    <xf numFmtId="0" fontId="16" fillId="11"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0" borderId="0"/>
    <xf numFmtId="0" fontId="16" fillId="15"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0" borderId="0"/>
    <xf numFmtId="0" fontId="16" fillId="15" borderId="0" applyNumberFormat="0" applyBorder="0" applyAlignment="0" applyProtection="0"/>
    <xf numFmtId="0" fontId="16" fillId="8" borderId="10" applyNumberFormat="0" applyFont="0" applyAlignment="0" applyProtection="0"/>
    <xf numFmtId="0" fontId="16" fillId="0" borderId="0"/>
    <xf numFmtId="0" fontId="16" fillId="31"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9" fontId="16" fillId="0" borderId="0" applyFont="0" applyFill="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0" borderId="0"/>
    <xf numFmtId="0" fontId="16" fillId="8" borderId="10" applyNumberFormat="0" applyFont="0" applyAlignment="0" applyProtection="0"/>
    <xf numFmtId="0" fontId="16" fillId="23" borderId="0" applyNumberFormat="0" applyBorder="0" applyAlignment="0" applyProtection="0"/>
    <xf numFmtId="0" fontId="16" fillId="0" borderId="0"/>
    <xf numFmtId="0" fontId="16" fillId="27"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30" borderId="0" applyNumberFormat="0" applyBorder="0" applyAlignment="0" applyProtection="0"/>
    <xf numFmtId="167" fontId="16" fillId="0" borderId="0" applyFont="0" applyFill="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167" fontId="16" fillId="0" borderId="0" applyFont="0" applyFill="0" applyBorder="0" applyAlignment="0" applyProtection="0"/>
    <xf numFmtId="0" fontId="16" fillId="22" borderId="0" applyNumberFormat="0" applyBorder="0" applyAlignment="0" applyProtection="0"/>
    <xf numFmtId="0" fontId="16" fillId="0" borderId="0"/>
    <xf numFmtId="0" fontId="16" fillId="23"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44" fontId="16" fillId="0" borderId="0" applyFont="0" applyFill="0" applyBorder="0" applyAlignment="0" applyProtection="0"/>
    <xf numFmtId="0" fontId="16" fillId="0" borderId="0"/>
    <xf numFmtId="0" fontId="16" fillId="0" borderId="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0" fontId="16" fillId="0" borderId="0"/>
    <xf numFmtId="0" fontId="16" fillId="14"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43" fontId="16" fillId="0" borderId="0" applyFont="0" applyFill="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5"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19"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0" borderId="0"/>
    <xf numFmtId="0" fontId="16" fillId="22"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0" borderId="0"/>
    <xf numFmtId="167" fontId="16" fillId="0" borderId="0" applyFont="0" applyFill="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0" borderId="0"/>
    <xf numFmtId="0" fontId="16" fillId="27" borderId="0" applyNumberFormat="0" applyBorder="0" applyAlignment="0" applyProtection="0"/>
    <xf numFmtId="0" fontId="16" fillId="0" borderId="0"/>
    <xf numFmtId="9" fontId="16" fillId="0" borderId="0" applyFont="0" applyFill="0" applyBorder="0" applyAlignment="0" applyProtection="0"/>
    <xf numFmtId="0" fontId="16" fillId="19"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0" fontId="16" fillId="11" borderId="0" applyNumberFormat="0" applyBorder="0" applyAlignment="0" applyProtection="0"/>
    <xf numFmtId="0" fontId="16" fillId="27" borderId="0" applyNumberFormat="0" applyBorder="0" applyAlignment="0" applyProtection="0"/>
    <xf numFmtId="0" fontId="16" fillId="0" borderId="0"/>
    <xf numFmtId="0" fontId="16" fillId="11"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30" borderId="0" applyNumberFormat="0" applyBorder="0" applyAlignment="0" applyProtection="0"/>
    <xf numFmtId="44" fontId="16" fillId="0" borderId="0" applyFont="0" applyFill="0" applyBorder="0" applyAlignment="0" applyProtection="0"/>
    <xf numFmtId="0" fontId="16" fillId="15" borderId="0" applyNumberFormat="0" applyBorder="0" applyAlignment="0" applyProtection="0"/>
    <xf numFmtId="43" fontId="16" fillId="0" borderId="0" applyFont="0" applyFill="0" applyBorder="0" applyAlignment="0" applyProtection="0"/>
    <xf numFmtId="0" fontId="16" fillId="19" borderId="0" applyNumberFormat="0" applyBorder="0" applyAlignment="0" applyProtection="0"/>
    <xf numFmtId="0" fontId="16" fillId="0" borderId="0"/>
    <xf numFmtId="0" fontId="16" fillId="0" borderId="0"/>
    <xf numFmtId="0" fontId="16" fillId="27" borderId="0" applyNumberFormat="0" applyBorder="0" applyAlignment="0" applyProtection="0"/>
    <xf numFmtId="0" fontId="16" fillId="0" borderId="0"/>
    <xf numFmtId="0" fontId="16" fillId="27"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0" borderId="0"/>
    <xf numFmtId="0" fontId="16" fillId="19"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0" borderId="0"/>
    <xf numFmtId="0" fontId="16" fillId="23" borderId="0" applyNumberFormat="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30" borderId="0" applyNumberFormat="0" applyBorder="0" applyAlignment="0" applyProtection="0"/>
    <xf numFmtId="9" fontId="16" fillId="0" borderId="0" applyFont="0" applyFill="0" applyBorder="0" applyAlignment="0" applyProtection="0"/>
    <xf numFmtId="0" fontId="16" fillId="19" borderId="0" applyNumberFormat="0" applyBorder="0" applyAlignment="0" applyProtection="0"/>
    <xf numFmtId="44" fontId="16" fillId="0" borderId="0" applyFont="0" applyFill="0" applyBorder="0" applyAlignment="0" applyProtection="0"/>
    <xf numFmtId="0" fontId="16" fillId="31" borderId="0" applyNumberFormat="0" applyBorder="0" applyAlignment="0" applyProtection="0"/>
    <xf numFmtId="44" fontId="16" fillId="0" borderId="0" applyFont="0" applyFill="0" applyBorder="0" applyAlignment="0" applyProtection="0"/>
    <xf numFmtId="0" fontId="16" fillId="23" borderId="0" applyNumberFormat="0" applyBorder="0" applyAlignment="0" applyProtection="0"/>
    <xf numFmtId="0" fontId="16" fillId="26" borderId="0" applyNumberFormat="0" applyBorder="0" applyAlignment="0" applyProtection="0"/>
    <xf numFmtId="43" fontId="16" fillId="0" borderId="0" applyFont="0" applyFill="0" applyBorder="0" applyAlignment="0" applyProtection="0"/>
    <xf numFmtId="0" fontId="16" fillId="27" borderId="0" applyNumberFormat="0" applyBorder="0" applyAlignment="0" applyProtection="0"/>
    <xf numFmtId="167" fontId="16" fillId="0" borderId="0" applyFont="0" applyFill="0" applyBorder="0" applyAlignment="0" applyProtection="0"/>
    <xf numFmtId="0" fontId="16" fillId="11"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15" borderId="0" applyNumberFormat="0" applyBorder="0" applyAlignment="0" applyProtection="0"/>
    <xf numFmtId="0" fontId="16" fillId="11" borderId="0" applyNumberFormat="0" applyBorder="0" applyAlignment="0" applyProtection="0"/>
    <xf numFmtId="43" fontId="16" fillId="0" borderId="0" applyFont="0" applyFill="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19" borderId="0" applyNumberFormat="0" applyBorder="0" applyAlignment="0" applyProtection="0"/>
    <xf numFmtId="0" fontId="16" fillId="30" borderId="0" applyNumberFormat="0" applyBorder="0" applyAlignment="0" applyProtection="0"/>
    <xf numFmtId="0" fontId="16" fillId="0" borderId="0"/>
    <xf numFmtId="0" fontId="16" fillId="0" borderId="0"/>
    <xf numFmtId="0" fontId="16" fillId="30" borderId="0" applyNumberFormat="0" applyBorder="0" applyAlignment="0" applyProtection="0"/>
    <xf numFmtId="0" fontId="16" fillId="23" borderId="0" applyNumberFormat="0" applyBorder="0" applyAlignment="0" applyProtection="0"/>
    <xf numFmtId="9" fontId="16" fillId="0" borderId="0" applyFont="0" applyFill="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26" borderId="0" applyNumberFormat="0" applyBorder="0" applyAlignment="0" applyProtection="0"/>
    <xf numFmtId="0" fontId="16" fillId="0" borderId="0"/>
    <xf numFmtId="0" fontId="16" fillId="19"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0" borderId="0"/>
    <xf numFmtId="0" fontId="16" fillId="18"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0" borderId="0"/>
    <xf numFmtId="167" fontId="16" fillId="0" borderId="0" applyFont="0" applyFill="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0" borderId="0"/>
    <xf numFmtId="0" fontId="16" fillId="14"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43" fontId="16" fillId="0" borderId="0" applyFont="0" applyFill="0" applyBorder="0" applyAlignment="0" applyProtection="0"/>
    <xf numFmtId="0" fontId="16" fillId="30" borderId="0" applyNumberFormat="0" applyBorder="0" applyAlignment="0" applyProtection="0"/>
    <xf numFmtId="0" fontId="16" fillId="0" borderId="0"/>
    <xf numFmtId="0" fontId="16" fillId="15" borderId="0" applyNumberFormat="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0" borderId="0"/>
    <xf numFmtId="0" fontId="16" fillId="30" borderId="0" applyNumberFormat="0" applyBorder="0" applyAlignment="0" applyProtection="0"/>
    <xf numFmtId="0" fontId="16" fillId="0" borderId="0"/>
    <xf numFmtId="0" fontId="16" fillId="14" borderId="0" applyNumberFormat="0" applyBorder="0" applyAlignment="0" applyProtection="0"/>
    <xf numFmtId="0" fontId="16" fillId="0" borderId="0"/>
    <xf numFmtId="0" fontId="16" fillId="26"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31" borderId="0" applyNumberFormat="0" applyBorder="0" applyAlignment="0" applyProtection="0"/>
    <xf numFmtId="0" fontId="16" fillId="0" borderId="0"/>
    <xf numFmtId="0" fontId="16" fillId="23"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0" borderId="0"/>
    <xf numFmtId="0" fontId="16" fillId="23" borderId="0" applyNumberFormat="0" applyBorder="0" applyAlignment="0" applyProtection="0"/>
    <xf numFmtId="0" fontId="16" fillId="10" borderId="0" applyNumberFormat="0" applyBorder="0" applyAlignment="0" applyProtection="0"/>
    <xf numFmtId="44" fontId="16" fillId="0" borderId="0" applyFont="0" applyFill="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8" borderId="10" applyNumberFormat="0" applyFont="0" applyAlignment="0" applyProtection="0"/>
    <xf numFmtId="0" fontId="16" fillId="23"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9" fontId="16" fillId="0" borderId="0" applyFont="0" applyFill="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8" borderId="10" applyNumberFormat="0" applyFont="0" applyAlignment="0" applyProtection="0"/>
    <xf numFmtId="43" fontId="16" fillId="0" borderId="0" applyFont="0" applyFill="0" applyBorder="0" applyAlignment="0" applyProtection="0"/>
    <xf numFmtId="0" fontId="16" fillId="19"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0" borderId="0"/>
    <xf numFmtId="0" fontId="16" fillId="31" borderId="0" applyNumberFormat="0" applyBorder="0" applyAlignment="0" applyProtection="0"/>
    <xf numFmtId="0" fontId="16" fillId="0" borderId="0"/>
    <xf numFmtId="0" fontId="16" fillId="14" borderId="0" applyNumberFormat="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0" borderId="0"/>
    <xf numFmtId="0" fontId="16" fillId="30"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0" borderId="0"/>
    <xf numFmtId="0" fontId="16" fillId="8" borderId="10" applyNumberFormat="0" applyFont="0" applyAlignment="0" applyProtection="0"/>
    <xf numFmtId="0" fontId="16" fillId="11"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0" borderId="0"/>
    <xf numFmtId="9" fontId="16" fillId="0" borderId="0" applyFont="0" applyFill="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0" borderId="0"/>
    <xf numFmtId="9" fontId="16" fillId="0" borderId="0" applyFont="0" applyFill="0" applyBorder="0" applyAlignment="0" applyProtection="0"/>
    <xf numFmtId="0" fontId="16" fillId="18" borderId="0" applyNumberFormat="0" applyBorder="0" applyAlignment="0" applyProtection="0"/>
    <xf numFmtId="0" fontId="16" fillId="10" borderId="0" applyNumberFormat="0" applyBorder="0" applyAlignment="0" applyProtection="0"/>
    <xf numFmtId="43" fontId="16" fillId="0" borderId="0" applyFont="0" applyFill="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0" borderId="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43" fontId="16" fillId="0" borderId="0" applyFont="0" applyFill="0" applyBorder="0" applyAlignment="0" applyProtection="0"/>
    <xf numFmtId="0" fontId="16" fillId="0" borderId="0"/>
    <xf numFmtId="9" fontId="16" fillId="0" borderId="0" applyFont="0" applyFill="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0" borderId="0"/>
    <xf numFmtId="0" fontId="16" fillId="15" borderId="0" applyNumberFormat="0" applyBorder="0" applyAlignment="0" applyProtection="0"/>
    <xf numFmtId="0" fontId="16" fillId="0" borderId="0"/>
    <xf numFmtId="0" fontId="16" fillId="26"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30" borderId="0" applyNumberFormat="0" applyBorder="0" applyAlignment="0" applyProtection="0"/>
    <xf numFmtId="167" fontId="16" fillId="0" borderId="0" applyFont="0" applyFill="0" applyBorder="0" applyAlignment="0" applyProtection="0"/>
    <xf numFmtId="0" fontId="16" fillId="15" borderId="0" applyNumberFormat="0" applyBorder="0" applyAlignment="0" applyProtection="0"/>
    <xf numFmtId="0" fontId="16" fillId="0" borderId="0"/>
    <xf numFmtId="0" fontId="16" fillId="10" borderId="0" applyNumberFormat="0" applyBorder="0" applyAlignment="0" applyProtection="0"/>
    <xf numFmtId="0" fontId="16" fillId="0" borderId="0"/>
    <xf numFmtId="0" fontId="16" fillId="30"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31"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0" borderId="0"/>
    <xf numFmtId="0" fontId="16" fillId="26"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0" borderId="0"/>
    <xf numFmtId="167" fontId="16" fillId="0" borderId="0" applyFont="0" applyFill="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0" borderId="0"/>
    <xf numFmtId="0" fontId="16" fillId="27"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27" borderId="0" applyNumberFormat="0" applyBorder="0" applyAlignment="0" applyProtection="0"/>
    <xf numFmtId="43" fontId="16" fillId="0" borderId="0" applyFont="0" applyFill="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31" borderId="0" applyNumberFormat="0" applyBorder="0" applyAlignment="0" applyProtection="0"/>
    <xf numFmtId="167" fontId="16" fillId="0" borderId="0" applyFont="0" applyFill="0" applyBorder="0" applyAlignment="0" applyProtection="0"/>
    <xf numFmtId="0" fontId="16" fillId="30" borderId="0" applyNumberFormat="0" applyBorder="0" applyAlignment="0" applyProtection="0"/>
    <xf numFmtId="0" fontId="16" fillId="0" borderId="0"/>
    <xf numFmtId="0" fontId="16" fillId="23" borderId="0" applyNumberFormat="0" applyBorder="0" applyAlignment="0" applyProtection="0"/>
    <xf numFmtId="167"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0" borderId="0"/>
    <xf numFmtId="0" fontId="16" fillId="19"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43" fontId="16" fillId="0" borderId="0" applyFont="0" applyFill="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44" fontId="16" fillId="0" borderId="0" applyFont="0" applyFill="0" applyBorder="0" applyAlignment="0" applyProtection="0"/>
    <xf numFmtId="0" fontId="16" fillId="0" borderId="0"/>
    <xf numFmtId="0" fontId="16" fillId="0" borderId="0"/>
    <xf numFmtId="0" fontId="16" fillId="26" borderId="0" applyNumberFormat="0" applyBorder="0" applyAlignment="0" applyProtection="0"/>
    <xf numFmtId="0" fontId="16" fillId="0" borderId="0"/>
    <xf numFmtId="0" fontId="16" fillId="22" borderId="0" applyNumberFormat="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0" borderId="0"/>
    <xf numFmtId="0" fontId="16" fillId="18"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31" borderId="0" applyNumberFormat="0" applyBorder="0" applyAlignment="0" applyProtection="0"/>
    <xf numFmtId="0" fontId="16" fillId="19" borderId="0" applyNumberFormat="0" applyBorder="0" applyAlignment="0" applyProtection="0"/>
    <xf numFmtId="44" fontId="16" fillId="0" borderId="0" applyFont="0" applyFill="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44" fontId="16" fillId="0" borderId="0" applyFont="0" applyFill="0" applyBorder="0" applyAlignment="0" applyProtection="0"/>
    <xf numFmtId="0" fontId="16" fillId="0" borderId="0"/>
    <xf numFmtId="0" fontId="16" fillId="23"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0" borderId="0"/>
    <xf numFmtId="0" fontId="16" fillId="18"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27" borderId="0" applyNumberFormat="0" applyBorder="0" applyAlignment="0" applyProtection="0"/>
    <xf numFmtId="0" fontId="16" fillId="0" borderId="0"/>
    <xf numFmtId="0" fontId="16" fillId="26" borderId="0" applyNumberFormat="0" applyBorder="0" applyAlignment="0" applyProtection="0"/>
    <xf numFmtId="0" fontId="16" fillId="11"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0" borderId="0"/>
    <xf numFmtId="0" fontId="16" fillId="30" borderId="0" applyNumberFormat="0" applyBorder="0" applyAlignment="0" applyProtection="0"/>
    <xf numFmtId="0" fontId="16" fillId="0" borderId="0"/>
    <xf numFmtId="0" fontId="16" fillId="0" borderId="0"/>
    <xf numFmtId="44" fontId="16" fillId="0" borderId="0" applyFont="0" applyFill="0" applyBorder="0" applyAlignment="0" applyProtection="0"/>
    <xf numFmtId="0" fontId="16" fillId="0" borderId="0"/>
    <xf numFmtId="0" fontId="16" fillId="18"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43" fontId="16" fillId="0" borderId="0" applyFont="0" applyFill="0" applyBorder="0" applyAlignment="0" applyProtection="0"/>
    <xf numFmtId="0" fontId="16" fillId="27" borderId="0" applyNumberFormat="0" applyBorder="0" applyAlignment="0" applyProtection="0"/>
    <xf numFmtId="0" fontId="16" fillId="0" borderId="0"/>
    <xf numFmtId="0" fontId="16" fillId="23"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167" fontId="16" fillId="0" borderId="0" applyFont="0" applyFill="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0" borderId="0"/>
    <xf numFmtId="0" fontId="16" fillId="0" borderId="0"/>
    <xf numFmtId="0" fontId="16" fillId="31"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26"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9" fontId="16" fillId="0" borderId="0" applyFont="0" applyFill="0" applyBorder="0" applyAlignment="0" applyProtection="0"/>
    <xf numFmtId="0" fontId="16" fillId="15"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0" borderId="0"/>
    <xf numFmtId="0" fontId="16" fillId="15" borderId="0" applyNumberFormat="0" applyBorder="0" applyAlignment="0" applyProtection="0"/>
    <xf numFmtId="0" fontId="16" fillId="31" borderId="0" applyNumberFormat="0" applyBorder="0" applyAlignment="0" applyProtection="0"/>
    <xf numFmtId="0" fontId="16" fillId="23" borderId="0" applyNumberFormat="0" applyBorder="0" applyAlignment="0" applyProtection="0"/>
    <xf numFmtId="43" fontId="16" fillId="0" borderId="0" applyFont="0" applyFill="0" applyBorder="0" applyAlignment="0" applyProtection="0"/>
    <xf numFmtId="0" fontId="16" fillId="23" borderId="0" applyNumberFormat="0" applyBorder="0" applyAlignment="0" applyProtection="0"/>
    <xf numFmtId="0" fontId="16" fillId="0" borderId="0"/>
    <xf numFmtId="0" fontId="16" fillId="26"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44" fontId="16" fillId="0" borderId="0" applyFont="0" applyFill="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0" borderId="0"/>
    <xf numFmtId="0" fontId="16" fillId="22"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44" fontId="16" fillId="0" borderId="0" applyFont="0" applyFill="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0" fontId="16" fillId="0" borderId="0"/>
    <xf numFmtId="0" fontId="16" fillId="0" borderId="0"/>
    <xf numFmtId="0" fontId="16" fillId="15" borderId="0" applyNumberFormat="0" applyBorder="0" applyAlignment="0" applyProtection="0"/>
    <xf numFmtId="0" fontId="16" fillId="30" borderId="0" applyNumberFormat="0" applyBorder="0" applyAlignment="0" applyProtection="0"/>
    <xf numFmtId="0" fontId="16" fillId="0" borderId="0"/>
    <xf numFmtId="0" fontId="16" fillId="15"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0" fontId="16" fillId="18" borderId="0" applyNumberFormat="0" applyBorder="0" applyAlignment="0" applyProtection="0"/>
    <xf numFmtId="167" fontId="16" fillId="0" borderId="0" applyFont="0" applyFill="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11"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44" fontId="16" fillId="0" borderId="0" applyFont="0" applyFill="0" applyBorder="0" applyAlignment="0" applyProtection="0"/>
    <xf numFmtId="0" fontId="16" fillId="19" borderId="0" applyNumberFormat="0" applyBorder="0" applyAlignment="0" applyProtection="0"/>
    <xf numFmtId="0" fontId="16" fillId="10" borderId="0" applyNumberFormat="0" applyBorder="0" applyAlignment="0" applyProtection="0"/>
    <xf numFmtId="0" fontId="16" fillId="0" borderId="0"/>
    <xf numFmtId="0" fontId="16" fillId="22" borderId="0" applyNumberFormat="0" applyBorder="0" applyAlignment="0" applyProtection="0"/>
    <xf numFmtId="0" fontId="16" fillId="10"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43" fontId="16" fillId="0" borderId="0" applyFont="0" applyFill="0" applyBorder="0" applyAlignment="0" applyProtection="0"/>
    <xf numFmtId="0" fontId="16" fillId="0" borderId="0"/>
    <xf numFmtId="44" fontId="16" fillId="0" borderId="0" applyFont="0" applyFill="0" applyBorder="0" applyAlignment="0" applyProtection="0"/>
    <xf numFmtId="0" fontId="16" fillId="0" borderId="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0" borderId="0"/>
    <xf numFmtId="0" fontId="16" fillId="31"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0" borderId="0"/>
    <xf numFmtId="0" fontId="16" fillId="11" borderId="0" applyNumberFormat="0" applyBorder="0" applyAlignment="0" applyProtection="0"/>
    <xf numFmtId="0" fontId="16" fillId="0" borderId="0"/>
    <xf numFmtId="0" fontId="16" fillId="10" borderId="0" applyNumberFormat="0" applyBorder="0" applyAlignment="0" applyProtection="0"/>
    <xf numFmtId="0" fontId="16" fillId="22" borderId="0" applyNumberFormat="0" applyBorder="0" applyAlignment="0" applyProtection="0"/>
    <xf numFmtId="44" fontId="16" fillId="0" borderId="0" applyFont="0" applyFill="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0" borderId="0"/>
    <xf numFmtId="0" fontId="16" fillId="10" borderId="0" applyNumberFormat="0" applyBorder="0" applyAlignment="0" applyProtection="0"/>
    <xf numFmtId="167" fontId="16" fillId="0" borderId="0" applyFont="0" applyFill="0" applyBorder="0" applyAlignment="0" applyProtection="0"/>
    <xf numFmtId="0" fontId="16" fillId="11" borderId="0" applyNumberFormat="0" applyBorder="0" applyAlignment="0" applyProtection="0"/>
    <xf numFmtId="0" fontId="16" fillId="18" borderId="0" applyNumberFormat="0" applyBorder="0" applyAlignment="0" applyProtection="0"/>
    <xf numFmtId="43" fontId="16" fillId="0" borderId="0" applyFont="0" applyFill="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11" borderId="0" applyNumberFormat="0" applyBorder="0" applyAlignment="0" applyProtection="0"/>
    <xf numFmtId="0" fontId="16" fillId="0" borderId="0"/>
    <xf numFmtId="0" fontId="16" fillId="30" borderId="0" applyNumberFormat="0" applyBorder="0" applyAlignment="0" applyProtection="0"/>
    <xf numFmtId="0" fontId="16" fillId="30" borderId="0" applyNumberFormat="0" applyBorder="0" applyAlignment="0" applyProtection="0"/>
    <xf numFmtId="9" fontId="16" fillId="0" borderId="0" applyFont="0" applyFill="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0" borderId="0"/>
    <xf numFmtId="0" fontId="16" fillId="0" borderId="0"/>
    <xf numFmtId="0" fontId="16" fillId="8" borderId="10" applyNumberFormat="0" applyFont="0" applyAlignment="0" applyProtection="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22" borderId="0" applyNumberFormat="0" applyBorder="0" applyAlignment="0" applyProtection="0"/>
    <xf numFmtId="0" fontId="16" fillId="0" borderId="0"/>
    <xf numFmtId="9" fontId="16" fillId="0" borderId="0" applyFont="0" applyFill="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18"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0" borderId="0"/>
    <xf numFmtId="0" fontId="16" fillId="19"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26" borderId="0" applyNumberFormat="0" applyBorder="0" applyAlignment="0" applyProtection="0"/>
    <xf numFmtId="0" fontId="16" fillId="27" borderId="0" applyNumberFormat="0" applyBorder="0" applyAlignment="0" applyProtection="0"/>
    <xf numFmtId="0" fontId="16" fillId="0" borderId="0"/>
    <xf numFmtId="0" fontId="16" fillId="10" borderId="0" applyNumberFormat="0" applyBorder="0" applyAlignment="0" applyProtection="0"/>
    <xf numFmtId="0" fontId="16" fillId="0" borderId="0"/>
    <xf numFmtId="0" fontId="16" fillId="0" borderId="0"/>
    <xf numFmtId="0" fontId="16" fillId="23" borderId="0" applyNumberFormat="0" applyBorder="0" applyAlignment="0" applyProtection="0"/>
    <xf numFmtId="0" fontId="16" fillId="11"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0" borderId="0"/>
    <xf numFmtId="0" fontId="16" fillId="10" borderId="0" applyNumberFormat="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0" borderId="0"/>
    <xf numFmtId="0" fontId="16" fillId="22"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9" fontId="16" fillId="0" borderId="0" applyFont="0" applyFill="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0" borderId="0"/>
    <xf numFmtId="0" fontId="16" fillId="14" borderId="0" applyNumberFormat="0" applyBorder="0" applyAlignment="0" applyProtection="0"/>
    <xf numFmtId="0" fontId="16" fillId="14" borderId="0" applyNumberFormat="0" applyBorder="0" applyAlignment="0" applyProtection="0"/>
    <xf numFmtId="0" fontId="16" fillId="0" borderId="0"/>
    <xf numFmtId="0" fontId="16" fillId="11"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0" borderId="0"/>
    <xf numFmtId="0" fontId="16" fillId="0" borderId="0"/>
    <xf numFmtId="43" fontId="16" fillId="0" borderId="0" applyFont="0" applyFill="0" applyBorder="0" applyAlignment="0" applyProtection="0"/>
    <xf numFmtId="0" fontId="16" fillId="15" borderId="0" applyNumberFormat="0" applyBorder="0" applyAlignment="0" applyProtection="0"/>
    <xf numFmtId="9" fontId="16" fillId="0" borderId="0" applyFont="0" applyFill="0" applyBorder="0" applyAlignment="0" applyProtection="0"/>
    <xf numFmtId="0" fontId="16" fillId="0" borderId="0"/>
    <xf numFmtId="167" fontId="16" fillId="0" borderId="0" applyFont="0" applyFill="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15" borderId="0" applyNumberFormat="0" applyBorder="0" applyAlignment="0" applyProtection="0"/>
    <xf numFmtId="0" fontId="16" fillId="11" borderId="0" applyNumberFormat="0" applyBorder="0" applyAlignment="0" applyProtection="0"/>
    <xf numFmtId="0" fontId="16" fillId="0" borderId="0"/>
    <xf numFmtId="0" fontId="16" fillId="19" borderId="0" applyNumberFormat="0" applyBorder="0" applyAlignment="0" applyProtection="0"/>
    <xf numFmtId="0" fontId="16" fillId="0" borderId="0"/>
    <xf numFmtId="0" fontId="16" fillId="27" borderId="0" applyNumberFormat="0" applyBorder="0" applyAlignment="0" applyProtection="0"/>
    <xf numFmtId="0" fontId="16" fillId="27"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11" borderId="0" applyNumberFormat="0" applyBorder="0" applyAlignment="0" applyProtection="0"/>
    <xf numFmtId="0" fontId="16" fillId="31" borderId="0" applyNumberFormat="0" applyBorder="0" applyAlignment="0" applyProtection="0"/>
    <xf numFmtId="0" fontId="16" fillId="0" borderId="0"/>
    <xf numFmtId="0" fontId="16" fillId="30"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0" fontId="16" fillId="27" borderId="0" applyNumberFormat="0" applyBorder="0" applyAlignment="0" applyProtection="0"/>
    <xf numFmtId="167" fontId="16" fillId="0" borderId="0" applyFont="0" applyFill="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22" borderId="0" applyNumberFormat="0" applyBorder="0" applyAlignment="0" applyProtection="0"/>
    <xf numFmtId="0" fontId="16" fillId="0" borderId="0"/>
    <xf numFmtId="0" fontId="16" fillId="14" borderId="0" applyNumberFormat="0" applyBorder="0" applyAlignment="0" applyProtection="0"/>
    <xf numFmtId="0" fontId="16" fillId="0" borderId="0"/>
    <xf numFmtId="167" fontId="16" fillId="0" borderId="0" applyFont="0" applyFill="0" applyBorder="0" applyAlignment="0" applyProtection="0"/>
    <xf numFmtId="0" fontId="16" fillId="0" borderId="0"/>
    <xf numFmtId="0" fontId="16" fillId="15"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23"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0" borderId="0"/>
    <xf numFmtId="0" fontId="16" fillId="14" borderId="0" applyNumberFormat="0" applyBorder="0" applyAlignment="0" applyProtection="0"/>
    <xf numFmtId="0" fontId="16" fillId="22" borderId="0" applyNumberFormat="0" applyBorder="0" applyAlignment="0" applyProtection="0"/>
    <xf numFmtId="0" fontId="16" fillId="0" borderId="0"/>
    <xf numFmtId="0" fontId="16" fillId="15" borderId="0" applyNumberFormat="0" applyBorder="0" applyAlignment="0" applyProtection="0"/>
    <xf numFmtId="9" fontId="16" fillId="0" borderId="0" applyFont="0" applyFill="0" applyBorder="0" applyAlignment="0" applyProtection="0"/>
    <xf numFmtId="0" fontId="16" fillId="0" borderId="0"/>
    <xf numFmtId="0" fontId="16" fillId="26" borderId="0" applyNumberFormat="0" applyBorder="0" applyAlignment="0" applyProtection="0"/>
    <xf numFmtId="0" fontId="16" fillId="27" borderId="0" applyNumberFormat="0" applyBorder="0" applyAlignment="0" applyProtection="0"/>
    <xf numFmtId="0" fontId="16" fillId="0" borderId="0"/>
    <xf numFmtId="0" fontId="16" fillId="0" borderId="0"/>
    <xf numFmtId="0" fontId="16" fillId="18" borderId="0" applyNumberFormat="0" applyBorder="0" applyAlignment="0" applyProtection="0"/>
    <xf numFmtId="44" fontId="16" fillId="0" borderId="0" applyFont="0" applyFill="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0" borderId="0"/>
    <xf numFmtId="0" fontId="16" fillId="30"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0" borderId="0"/>
    <xf numFmtId="0" fontId="16" fillId="14" borderId="0" applyNumberFormat="0" applyBorder="0" applyAlignment="0" applyProtection="0"/>
    <xf numFmtId="0" fontId="16" fillId="26" borderId="0" applyNumberFormat="0" applyBorder="0" applyAlignment="0" applyProtection="0"/>
    <xf numFmtId="9" fontId="16" fillId="0" borderId="0" applyFont="0" applyFill="0" applyBorder="0" applyAlignment="0" applyProtection="0"/>
    <xf numFmtId="0" fontId="16" fillId="0" borderId="0"/>
    <xf numFmtId="0" fontId="16" fillId="27"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22" borderId="0" applyNumberFormat="0" applyBorder="0" applyAlignment="0" applyProtection="0"/>
    <xf numFmtId="0" fontId="16" fillId="0" borderId="0"/>
    <xf numFmtId="0" fontId="16" fillId="26" borderId="0" applyNumberFormat="0" applyBorder="0" applyAlignment="0" applyProtection="0"/>
    <xf numFmtId="0" fontId="16" fillId="18" borderId="0" applyNumberFormat="0" applyBorder="0" applyAlignment="0" applyProtection="0"/>
    <xf numFmtId="0" fontId="16" fillId="27" borderId="0" applyNumberFormat="0" applyBorder="0" applyAlignment="0" applyProtection="0"/>
    <xf numFmtId="0" fontId="16" fillId="11" borderId="0" applyNumberFormat="0" applyBorder="0" applyAlignment="0" applyProtection="0"/>
    <xf numFmtId="0" fontId="16" fillId="27"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9" fontId="16" fillId="0" borderId="0" applyFont="0" applyFill="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10" borderId="0" applyNumberFormat="0" applyBorder="0" applyAlignment="0" applyProtection="0"/>
    <xf numFmtId="0" fontId="16" fillId="0" borderId="0"/>
    <xf numFmtId="0" fontId="16" fillId="31" borderId="0" applyNumberFormat="0" applyBorder="0" applyAlignment="0" applyProtection="0"/>
    <xf numFmtId="9" fontId="16" fillId="0" borderId="0" applyFont="0" applyFill="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14"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0" borderId="0"/>
    <xf numFmtId="0" fontId="16" fillId="15" borderId="0" applyNumberFormat="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18" borderId="0" applyNumberFormat="0" applyBorder="0" applyAlignment="0" applyProtection="0"/>
    <xf numFmtId="0" fontId="16" fillId="0" borderId="0"/>
    <xf numFmtId="0" fontId="16" fillId="22"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0" borderId="0"/>
    <xf numFmtId="0" fontId="16" fillId="0" borderId="0"/>
    <xf numFmtId="0" fontId="16" fillId="15"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43" fontId="16" fillId="0" borderId="0" applyFont="0" applyFill="0" applyBorder="0" applyAlignment="0" applyProtection="0"/>
    <xf numFmtId="167" fontId="16" fillId="0" borderId="0" applyFont="0" applyFill="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0" borderId="0"/>
    <xf numFmtId="0" fontId="16" fillId="30" borderId="0" applyNumberFormat="0" applyBorder="0" applyAlignment="0" applyProtection="0"/>
    <xf numFmtId="0" fontId="16" fillId="22" borderId="0" applyNumberFormat="0" applyBorder="0" applyAlignment="0" applyProtection="0"/>
    <xf numFmtId="0" fontId="16" fillId="0" borderId="0"/>
    <xf numFmtId="0" fontId="16" fillId="0" borderId="0"/>
    <xf numFmtId="0" fontId="16" fillId="23" borderId="0" applyNumberFormat="0" applyBorder="0" applyAlignment="0" applyProtection="0"/>
    <xf numFmtId="0" fontId="16" fillId="31" borderId="0" applyNumberFormat="0" applyBorder="0" applyAlignment="0" applyProtection="0"/>
    <xf numFmtId="9" fontId="16" fillId="0" borderId="0" applyFont="0" applyFill="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22"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27"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9" fontId="16" fillId="0" borderId="0" applyFont="0" applyFill="0" applyBorder="0" applyAlignment="0" applyProtection="0"/>
    <xf numFmtId="0" fontId="16" fillId="0" borderId="0"/>
    <xf numFmtId="0" fontId="16" fillId="18" borderId="0" applyNumberFormat="0" applyBorder="0" applyAlignment="0" applyProtection="0"/>
    <xf numFmtId="0" fontId="16" fillId="15" borderId="0" applyNumberFormat="0" applyBorder="0" applyAlignment="0" applyProtection="0"/>
    <xf numFmtId="44" fontId="16" fillId="0" borderId="0" applyFont="0" applyFill="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19" borderId="0" applyNumberFormat="0" applyBorder="0" applyAlignment="0" applyProtection="0"/>
    <xf numFmtId="0" fontId="16" fillId="0" borderId="0"/>
    <xf numFmtId="0" fontId="16" fillId="22" borderId="0" applyNumberFormat="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14" borderId="0" applyNumberFormat="0" applyBorder="0" applyAlignment="0" applyProtection="0"/>
    <xf numFmtId="44" fontId="16" fillId="0" borderId="0" applyFont="0" applyFill="0" applyBorder="0" applyAlignment="0" applyProtection="0"/>
    <xf numFmtId="0" fontId="16" fillId="18" borderId="0" applyNumberFormat="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27" borderId="0" applyNumberFormat="0" applyBorder="0" applyAlignment="0" applyProtection="0"/>
    <xf numFmtId="9" fontId="16" fillId="0" borderId="0" applyFont="0" applyFill="0" applyBorder="0" applyAlignment="0" applyProtection="0"/>
    <xf numFmtId="0" fontId="16" fillId="27" borderId="0" applyNumberFormat="0" applyBorder="0" applyAlignment="0" applyProtection="0"/>
    <xf numFmtId="0" fontId="16" fillId="0" borderId="0"/>
    <xf numFmtId="0" fontId="16" fillId="14" borderId="0" applyNumberFormat="0" applyBorder="0" applyAlignment="0" applyProtection="0"/>
    <xf numFmtId="0" fontId="16" fillId="8" borderId="10" applyNumberFormat="0" applyFont="0" applyAlignment="0" applyProtection="0"/>
    <xf numFmtId="0" fontId="16" fillId="15" borderId="0" applyNumberFormat="0" applyBorder="0" applyAlignment="0" applyProtection="0"/>
    <xf numFmtId="9" fontId="16" fillId="0" borderId="0" applyFont="0" applyFill="0" applyBorder="0" applyAlignment="0" applyProtection="0"/>
    <xf numFmtId="0" fontId="16" fillId="0" borderId="0"/>
    <xf numFmtId="0" fontId="16" fillId="30"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27" borderId="0" applyNumberFormat="0" applyBorder="0" applyAlignment="0" applyProtection="0"/>
    <xf numFmtId="9" fontId="16" fillId="0" borderId="0" applyFont="0" applyFill="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0" borderId="0"/>
    <xf numFmtId="0" fontId="16" fillId="11" borderId="0" applyNumberFormat="0" applyBorder="0" applyAlignment="0" applyProtection="0"/>
    <xf numFmtId="0" fontId="16" fillId="0" borderId="0"/>
    <xf numFmtId="9" fontId="16" fillId="0" borderId="0" applyFont="0" applyFill="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14" borderId="0" applyNumberFormat="0" applyBorder="0" applyAlignment="0" applyProtection="0"/>
    <xf numFmtId="0" fontId="16" fillId="0" borderId="0"/>
    <xf numFmtId="0" fontId="16" fillId="0" borderId="0"/>
    <xf numFmtId="0" fontId="16" fillId="10"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0" borderId="0"/>
    <xf numFmtId="167" fontId="16" fillId="0" borderId="0" applyFont="0" applyFill="0" applyBorder="0" applyAlignment="0" applyProtection="0"/>
    <xf numFmtId="0" fontId="16" fillId="0" borderId="0"/>
    <xf numFmtId="0" fontId="16" fillId="19" borderId="0" applyNumberFormat="0" applyBorder="0" applyAlignment="0" applyProtection="0"/>
    <xf numFmtId="0" fontId="16" fillId="10"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44" fontId="16" fillId="0" borderId="0" applyFont="0" applyFill="0" applyBorder="0" applyAlignment="0" applyProtection="0"/>
    <xf numFmtId="43" fontId="16" fillId="0" borderId="0" applyFont="0" applyFill="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0" borderId="0"/>
    <xf numFmtId="0" fontId="16" fillId="0" borderId="0"/>
    <xf numFmtId="0" fontId="16" fillId="8" borderId="10" applyNumberFormat="0" applyFont="0" applyAlignment="0" applyProtection="0"/>
    <xf numFmtId="0" fontId="16" fillId="22"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0" borderId="0"/>
    <xf numFmtId="0" fontId="16" fillId="8" borderId="10" applyNumberFormat="0" applyFont="0" applyAlignment="0" applyProtection="0"/>
    <xf numFmtId="0" fontId="16" fillId="18" borderId="0" applyNumberFormat="0" applyBorder="0" applyAlignment="0" applyProtection="0"/>
    <xf numFmtId="167" fontId="16" fillId="0" borderId="0" applyFont="0" applyFill="0" applyBorder="0" applyAlignment="0" applyProtection="0"/>
    <xf numFmtId="0" fontId="16" fillId="0" borderId="0"/>
    <xf numFmtId="0" fontId="16" fillId="30"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0" borderId="0"/>
    <xf numFmtId="0" fontId="16" fillId="3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0" borderId="0"/>
    <xf numFmtId="0" fontId="16" fillId="26" borderId="0" applyNumberFormat="0" applyBorder="0" applyAlignment="0" applyProtection="0"/>
    <xf numFmtId="0" fontId="16" fillId="18" borderId="0" applyNumberFormat="0" applyBorder="0" applyAlignment="0" applyProtection="0"/>
    <xf numFmtId="0" fontId="16" fillId="0" borderId="0"/>
    <xf numFmtId="0" fontId="16" fillId="26"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44" fontId="16" fillId="0" borderId="0" applyFont="0" applyFill="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26" borderId="0" applyNumberFormat="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0" borderId="0"/>
    <xf numFmtId="9" fontId="16" fillId="0" borderId="0" applyFont="0" applyFill="0" applyBorder="0" applyAlignment="0" applyProtection="0"/>
    <xf numFmtId="0" fontId="16" fillId="0" borderId="0"/>
    <xf numFmtId="0" fontId="16" fillId="15" borderId="0" applyNumberFormat="0" applyBorder="0" applyAlignment="0" applyProtection="0"/>
    <xf numFmtId="43" fontId="16" fillId="0" borderId="0" applyFont="0" applyFill="0" applyBorder="0" applyAlignment="0" applyProtection="0"/>
    <xf numFmtId="0" fontId="16" fillId="18"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8" borderId="0" applyNumberFormat="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0" borderId="0"/>
    <xf numFmtId="0" fontId="16" fillId="23"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10"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8" borderId="10" applyNumberFormat="0" applyFont="0" applyAlignment="0" applyProtection="0"/>
    <xf numFmtId="0" fontId="16" fillId="0" borderId="0"/>
    <xf numFmtId="0" fontId="16" fillId="14"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0" borderId="0"/>
    <xf numFmtId="0" fontId="16" fillId="22" borderId="0" applyNumberFormat="0" applyBorder="0" applyAlignment="0" applyProtection="0"/>
    <xf numFmtId="0" fontId="16" fillId="8" borderId="10" applyNumberFormat="0" applyFont="0" applyAlignment="0" applyProtection="0"/>
    <xf numFmtId="0" fontId="16" fillId="23" borderId="0" applyNumberFormat="0" applyBorder="0" applyAlignment="0" applyProtection="0"/>
    <xf numFmtId="0" fontId="16" fillId="15" borderId="0" applyNumberFormat="0" applyBorder="0" applyAlignment="0" applyProtection="0"/>
    <xf numFmtId="0" fontId="16" fillId="0" borderId="0"/>
    <xf numFmtId="0" fontId="16" fillId="31" borderId="0" applyNumberFormat="0" applyBorder="0" applyAlignment="0" applyProtection="0"/>
    <xf numFmtId="0" fontId="16" fillId="22" borderId="0" applyNumberFormat="0" applyBorder="0" applyAlignment="0" applyProtection="0"/>
    <xf numFmtId="0" fontId="16" fillId="31" borderId="0" applyNumberFormat="0" applyBorder="0" applyAlignment="0" applyProtection="0"/>
    <xf numFmtId="0" fontId="16" fillId="0" borderId="0"/>
    <xf numFmtId="0" fontId="16" fillId="27" borderId="0" applyNumberFormat="0" applyBorder="0" applyAlignment="0" applyProtection="0"/>
    <xf numFmtId="44" fontId="16" fillId="0" borderId="0" applyFont="0" applyFill="0" applyBorder="0" applyAlignment="0" applyProtection="0"/>
    <xf numFmtId="0" fontId="16" fillId="22" borderId="0" applyNumberFormat="0" applyBorder="0" applyAlignment="0" applyProtection="0"/>
    <xf numFmtId="0" fontId="16" fillId="27"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0" borderId="0"/>
    <xf numFmtId="0" fontId="16" fillId="0" borderId="0"/>
    <xf numFmtId="0" fontId="16" fillId="19" borderId="0" applyNumberFormat="0" applyBorder="0" applyAlignment="0" applyProtection="0"/>
    <xf numFmtId="0" fontId="16" fillId="14" borderId="0" applyNumberFormat="0" applyBorder="0" applyAlignment="0" applyProtection="0"/>
    <xf numFmtId="44" fontId="16" fillId="0" borderId="0" applyFont="0" applyFill="0" applyBorder="0" applyAlignment="0" applyProtection="0"/>
    <xf numFmtId="0" fontId="16" fillId="26" borderId="0" applyNumberFormat="0" applyBorder="0" applyAlignment="0" applyProtection="0"/>
    <xf numFmtId="0" fontId="16" fillId="11"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15" borderId="0" applyNumberFormat="0" applyBorder="0" applyAlignment="0" applyProtection="0"/>
    <xf numFmtId="0" fontId="16" fillId="22" borderId="0" applyNumberFormat="0" applyBorder="0" applyAlignment="0" applyProtection="0"/>
    <xf numFmtId="0" fontId="16" fillId="0" borderId="0"/>
    <xf numFmtId="0" fontId="16" fillId="31" borderId="0" applyNumberFormat="0" applyBorder="0" applyAlignment="0" applyProtection="0"/>
    <xf numFmtId="0" fontId="16" fillId="0" borderId="0"/>
    <xf numFmtId="0" fontId="16" fillId="10" borderId="0" applyNumberFormat="0" applyBorder="0" applyAlignment="0" applyProtection="0"/>
    <xf numFmtId="0" fontId="16" fillId="18"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9" fontId="16" fillId="0" borderId="0" applyFont="0" applyFill="0" applyBorder="0" applyAlignment="0" applyProtection="0"/>
    <xf numFmtId="0" fontId="16" fillId="31" borderId="0" applyNumberFormat="0" applyBorder="0" applyAlignment="0" applyProtection="0"/>
    <xf numFmtId="0" fontId="16" fillId="18"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9" fontId="16" fillId="0" borderId="0" applyFont="0" applyFill="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15" borderId="0" applyNumberFormat="0" applyBorder="0" applyAlignment="0" applyProtection="0"/>
    <xf numFmtId="0" fontId="16" fillId="0" borderId="0"/>
    <xf numFmtId="0" fontId="16" fillId="0" borderId="0"/>
    <xf numFmtId="0" fontId="16" fillId="3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8" borderId="10" applyNumberFormat="0" applyFont="0" applyAlignment="0" applyProtection="0"/>
    <xf numFmtId="0" fontId="16" fillId="0" borderId="0"/>
    <xf numFmtId="0" fontId="16" fillId="10" borderId="0" applyNumberFormat="0" applyBorder="0" applyAlignment="0" applyProtection="0"/>
    <xf numFmtId="43" fontId="16" fillId="0" borderId="0" applyFont="0" applyFill="0" applyBorder="0" applyAlignment="0" applyProtection="0"/>
    <xf numFmtId="0" fontId="16" fillId="11" borderId="0" applyNumberFormat="0" applyBorder="0" applyAlignment="0" applyProtection="0"/>
    <xf numFmtId="0" fontId="16" fillId="0" borderId="0"/>
    <xf numFmtId="0" fontId="16" fillId="26" borderId="0" applyNumberFormat="0" applyBorder="0" applyAlignment="0" applyProtection="0"/>
    <xf numFmtId="0" fontId="16" fillId="10" borderId="0" applyNumberFormat="0" applyBorder="0" applyAlignment="0" applyProtection="0"/>
    <xf numFmtId="0" fontId="16" fillId="0" borderId="0"/>
    <xf numFmtId="44" fontId="16" fillId="0" borderId="0" applyFont="0" applyFill="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19" borderId="0" applyNumberFormat="0" applyBorder="0" applyAlignment="0" applyProtection="0"/>
    <xf numFmtId="167" fontId="16" fillId="0" borderId="0" applyFont="0" applyFill="0" applyBorder="0" applyAlignment="0" applyProtection="0"/>
    <xf numFmtId="0" fontId="16" fillId="8" borderId="10" applyNumberFormat="0" applyFont="0" applyAlignment="0" applyProtection="0"/>
    <xf numFmtId="0" fontId="16" fillId="26" borderId="0" applyNumberFormat="0" applyBorder="0" applyAlignment="0" applyProtection="0"/>
    <xf numFmtId="0" fontId="16" fillId="30" borderId="0" applyNumberFormat="0" applyBorder="0" applyAlignment="0" applyProtection="0"/>
    <xf numFmtId="0" fontId="16" fillId="10" borderId="0" applyNumberFormat="0" applyBorder="0" applyAlignment="0" applyProtection="0"/>
    <xf numFmtId="167" fontId="16" fillId="0" borderId="0" applyFont="0" applyFill="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0" borderId="0"/>
    <xf numFmtId="0" fontId="16" fillId="10"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6" fillId="14"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8" borderId="10" applyNumberFormat="0" applyFont="0" applyAlignment="0" applyProtection="0"/>
    <xf numFmtId="0" fontId="16" fillId="30" borderId="0" applyNumberFormat="0" applyBorder="0" applyAlignment="0" applyProtection="0"/>
    <xf numFmtId="0" fontId="16" fillId="0" borderId="0"/>
    <xf numFmtId="0" fontId="16" fillId="0" borderId="0"/>
    <xf numFmtId="0" fontId="16" fillId="0" borderId="0"/>
    <xf numFmtId="0" fontId="16" fillId="0" borderId="0"/>
    <xf numFmtId="0" fontId="16" fillId="23" borderId="0" applyNumberFormat="0" applyBorder="0" applyAlignment="0" applyProtection="0"/>
    <xf numFmtId="0" fontId="16" fillId="18" borderId="0" applyNumberFormat="0" applyBorder="0" applyAlignment="0" applyProtection="0"/>
    <xf numFmtId="0" fontId="16" fillId="23" borderId="0" applyNumberFormat="0" applyBorder="0" applyAlignment="0" applyProtection="0"/>
    <xf numFmtId="0" fontId="16" fillId="30" borderId="0" applyNumberFormat="0" applyBorder="0" applyAlignment="0" applyProtection="0"/>
    <xf numFmtId="0" fontId="16" fillId="23" borderId="0" applyNumberFormat="0" applyBorder="0" applyAlignment="0" applyProtection="0"/>
    <xf numFmtId="0" fontId="16" fillId="11" borderId="0" applyNumberFormat="0" applyBorder="0" applyAlignment="0" applyProtection="0"/>
    <xf numFmtId="167" fontId="16" fillId="0" borderId="0" applyFont="0" applyFill="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30" borderId="0" applyNumberFormat="0" applyBorder="0" applyAlignment="0" applyProtection="0"/>
    <xf numFmtId="0" fontId="16" fillId="19"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7" borderId="0" applyNumberFormat="0" applyBorder="0" applyAlignment="0" applyProtection="0"/>
    <xf numFmtId="9" fontId="16" fillId="0" borderId="0" applyFont="0" applyFill="0" applyBorder="0" applyAlignment="0" applyProtection="0"/>
    <xf numFmtId="0" fontId="16" fillId="19" borderId="0" applyNumberFormat="0" applyBorder="0" applyAlignment="0" applyProtection="0"/>
    <xf numFmtId="43" fontId="16" fillId="0" borderId="0" applyFont="0" applyFill="0" applyBorder="0" applyAlignment="0" applyProtection="0"/>
    <xf numFmtId="0" fontId="16" fillId="22" borderId="0" applyNumberFormat="0" applyBorder="0" applyAlignment="0" applyProtection="0"/>
    <xf numFmtId="44" fontId="16" fillId="0" borderId="0" applyFont="0" applyFill="0" applyBorder="0" applyAlignment="0" applyProtection="0"/>
    <xf numFmtId="0" fontId="16" fillId="0" borderId="0"/>
    <xf numFmtId="0" fontId="16" fillId="18" borderId="0" applyNumberFormat="0" applyBorder="0" applyAlignment="0" applyProtection="0"/>
    <xf numFmtId="0" fontId="16" fillId="26" borderId="0" applyNumberFormat="0" applyBorder="0" applyAlignment="0" applyProtection="0"/>
    <xf numFmtId="0" fontId="16" fillId="14" borderId="0" applyNumberFormat="0" applyBorder="0" applyAlignment="0" applyProtection="0"/>
    <xf numFmtId="0" fontId="16" fillId="0" borderId="0"/>
    <xf numFmtId="0" fontId="16" fillId="14" borderId="0" applyNumberFormat="0" applyBorder="0" applyAlignment="0" applyProtection="0"/>
    <xf numFmtId="0" fontId="16" fillId="22"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18"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5" borderId="0" applyNumberFormat="0" applyBorder="0" applyAlignment="0" applyProtection="0"/>
    <xf numFmtId="0" fontId="16" fillId="26" borderId="0" applyNumberFormat="0" applyBorder="0" applyAlignment="0" applyProtection="0"/>
    <xf numFmtId="0" fontId="16" fillId="10" borderId="0" applyNumberFormat="0" applyBorder="0" applyAlignment="0" applyProtection="0"/>
    <xf numFmtId="0" fontId="16" fillId="0" borderId="0"/>
    <xf numFmtId="0" fontId="16" fillId="26" borderId="0" applyNumberFormat="0" applyBorder="0" applyAlignment="0" applyProtection="0"/>
    <xf numFmtId="0" fontId="16" fillId="14" borderId="0" applyNumberFormat="0" applyBorder="0" applyAlignment="0" applyProtection="0"/>
    <xf numFmtId="0" fontId="16" fillId="11" borderId="0" applyNumberFormat="0" applyBorder="0" applyAlignment="0" applyProtection="0"/>
    <xf numFmtId="0" fontId="16" fillId="14" borderId="0" applyNumberFormat="0" applyBorder="0" applyAlignment="0" applyProtection="0"/>
    <xf numFmtId="0" fontId="16" fillId="0" borderId="0"/>
    <xf numFmtId="0" fontId="16" fillId="10" borderId="0" applyNumberFormat="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23" borderId="0" applyNumberFormat="0" applyBorder="0" applyAlignment="0" applyProtection="0"/>
    <xf numFmtId="0" fontId="16" fillId="0" borderId="0"/>
    <xf numFmtId="0" fontId="16" fillId="27" borderId="0" applyNumberFormat="0" applyBorder="0" applyAlignment="0" applyProtection="0"/>
    <xf numFmtId="0" fontId="16" fillId="30" borderId="0" applyNumberFormat="0" applyBorder="0" applyAlignment="0" applyProtection="0"/>
    <xf numFmtId="0" fontId="16" fillId="0" borderId="0"/>
    <xf numFmtId="0" fontId="16" fillId="14" borderId="0" applyNumberFormat="0" applyBorder="0" applyAlignment="0" applyProtection="0"/>
    <xf numFmtId="0" fontId="16" fillId="22" borderId="0" applyNumberFormat="0" applyBorder="0" applyAlignment="0" applyProtection="0"/>
    <xf numFmtId="0" fontId="16" fillId="10"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18" borderId="0" applyNumberFormat="0" applyBorder="0" applyAlignment="0" applyProtection="0"/>
    <xf numFmtId="0" fontId="16" fillId="8" borderId="10" applyNumberFormat="0" applyFont="0" applyAlignment="0" applyProtection="0"/>
    <xf numFmtId="0" fontId="16" fillId="22" borderId="0" applyNumberFormat="0" applyBorder="0" applyAlignment="0" applyProtection="0"/>
    <xf numFmtId="0" fontId="16" fillId="8" borderId="10" applyNumberFormat="0" applyFont="0" applyAlignment="0" applyProtection="0"/>
    <xf numFmtId="0" fontId="16" fillId="0" borderId="0"/>
    <xf numFmtId="0" fontId="16" fillId="14" borderId="0" applyNumberFormat="0" applyBorder="0" applyAlignment="0" applyProtection="0"/>
    <xf numFmtId="0" fontId="16" fillId="8" borderId="10" applyNumberFormat="0" applyFont="0" applyAlignment="0" applyProtection="0"/>
    <xf numFmtId="0" fontId="16" fillId="23" borderId="0" applyNumberFormat="0" applyBorder="0" applyAlignment="0" applyProtection="0"/>
    <xf numFmtId="0" fontId="16" fillId="0" borderId="0"/>
    <xf numFmtId="43" fontId="16" fillId="0" borderId="0" applyFont="0" applyFill="0" applyBorder="0" applyAlignment="0" applyProtection="0"/>
    <xf numFmtId="44" fontId="16" fillId="0" borderId="0" applyFont="0" applyFill="0" applyBorder="0" applyAlignment="0" applyProtection="0"/>
    <xf numFmtId="0" fontId="16" fillId="27" borderId="0" applyNumberFormat="0" applyBorder="0" applyAlignment="0" applyProtection="0"/>
    <xf numFmtId="0" fontId="16" fillId="15" borderId="0" applyNumberFormat="0" applyBorder="0" applyAlignment="0" applyProtection="0"/>
    <xf numFmtId="0" fontId="16" fillId="0" borderId="0"/>
    <xf numFmtId="0" fontId="16" fillId="30" borderId="0" applyNumberFormat="0" applyBorder="0" applyAlignment="0" applyProtection="0"/>
    <xf numFmtId="0" fontId="16" fillId="31" borderId="0" applyNumberFormat="0" applyBorder="0" applyAlignment="0" applyProtection="0"/>
    <xf numFmtId="9" fontId="16" fillId="0" borderId="0" applyFont="0" applyFill="0" applyBorder="0" applyAlignment="0" applyProtection="0"/>
    <xf numFmtId="0" fontId="16" fillId="0" borderId="0"/>
    <xf numFmtId="9" fontId="16" fillId="0" borderId="0" applyFont="0" applyFill="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43" fontId="16" fillId="0" borderId="0" applyFont="0" applyFill="0" applyBorder="0" applyAlignment="0" applyProtection="0"/>
    <xf numFmtId="0" fontId="16" fillId="0" borderId="0"/>
    <xf numFmtId="0" fontId="16" fillId="31" borderId="0" applyNumberFormat="0" applyBorder="0" applyAlignment="0" applyProtection="0"/>
    <xf numFmtId="0" fontId="16" fillId="11"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0" borderId="0"/>
    <xf numFmtId="0" fontId="16" fillId="14" borderId="0" applyNumberFormat="0" applyBorder="0" applyAlignment="0" applyProtection="0"/>
    <xf numFmtId="0" fontId="16" fillId="3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167" fontId="16" fillId="0" borderId="0" applyFont="0" applyFill="0" applyBorder="0" applyAlignment="0" applyProtection="0"/>
    <xf numFmtId="0" fontId="16" fillId="10" borderId="0" applyNumberFormat="0" applyBorder="0" applyAlignment="0" applyProtection="0"/>
    <xf numFmtId="0" fontId="16" fillId="0" borderId="0"/>
    <xf numFmtId="0" fontId="16" fillId="0" borderId="0"/>
    <xf numFmtId="0" fontId="16" fillId="8" borderId="10" applyNumberFormat="0" applyFont="0" applyAlignment="0" applyProtection="0"/>
    <xf numFmtId="0" fontId="16" fillId="30" borderId="0" applyNumberFormat="0" applyBorder="0" applyAlignment="0" applyProtection="0"/>
    <xf numFmtId="0" fontId="16" fillId="0" borderId="0"/>
    <xf numFmtId="0" fontId="16" fillId="27" borderId="0" applyNumberFormat="0" applyBorder="0" applyAlignment="0" applyProtection="0"/>
    <xf numFmtId="0" fontId="16" fillId="30" borderId="0" applyNumberFormat="0" applyBorder="0" applyAlignment="0" applyProtection="0"/>
    <xf numFmtId="0" fontId="16" fillId="15" borderId="0" applyNumberFormat="0" applyBorder="0" applyAlignment="0" applyProtection="0"/>
    <xf numFmtId="0" fontId="16" fillId="11" borderId="0" applyNumberFormat="0" applyBorder="0" applyAlignment="0" applyProtection="0"/>
    <xf numFmtId="0" fontId="16" fillId="22" borderId="0" applyNumberFormat="0" applyBorder="0" applyAlignment="0" applyProtection="0"/>
    <xf numFmtId="0" fontId="16" fillId="14" borderId="0" applyNumberFormat="0" applyBorder="0" applyAlignment="0" applyProtection="0"/>
    <xf numFmtId="0" fontId="16" fillId="31" borderId="0" applyNumberFormat="0" applyBorder="0" applyAlignment="0" applyProtection="0"/>
    <xf numFmtId="0" fontId="16" fillId="0" borderId="0"/>
    <xf numFmtId="167" fontId="16" fillId="0" borderId="0" applyFont="0" applyFill="0" applyBorder="0" applyAlignment="0" applyProtection="0"/>
    <xf numFmtId="0" fontId="16" fillId="0" borderId="0"/>
    <xf numFmtId="0" fontId="16" fillId="19" borderId="0" applyNumberFormat="0" applyBorder="0" applyAlignment="0" applyProtection="0"/>
    <xf numFmtId="0" fontId="16" fillId="14" borderId="0" applyNumberFormat="0" applyBorder="0" applyAlignment="0" applyProtection="0"/>
    <xf numFmtId="0" fontId="16" fillId="26" borderId="0" applyNumberFormat="0" applyBorder="0" applyAlignment="0" applyProtection="0"/>
    <xf numFmtId="0" fontId="16" fillId="8" borderId="10" applyNumberFormat="0" applyFont="0" applyAlignment="0" applyProtection="0"/>
    <xf numFmtId="0" fontId="16" fillId="0" borderId="0"/>
    <xf numFmtId="0" fontId="16" fillId="0" borderId="0"/>
    <xf numFmtId="0" fontId="16" fillId="26" borderId="0" applyNumberFormat="0" applyBorder="0" applyAlignment="0" applyProtection="0"/>
    <xf numFmtId="0" fontId="16" fillId="10" borderId="0" applyNumberFormat="0" applyBorder="0" applyAlignment="0" applyProtection="0"/>
    <xf numFmtId="0" fontId="16" fillId="0" borderId="0"/>
    <xf numFmtId="0" fontId="16" fillId="15" borderId="0" applyNumberFormat="0" applyBorder="0" applyAlignment="0" applyProtection="0"/>
    <xf numFmtId="0" fontId="16" fillId="11" borderId="0" applyNumberFormat="0" applyBorder="0" applyAlignment="0" applyProtection="0"/>
    <xf numFmtId="0" fontId="16" fillId="23"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10" borderId="0" applyNumberFormat="0" applyBorder="0" applyAlignment="0" applyProtection="0"/>
    <xf numFmtId="0" fontId="16" fillId="15" borderId="0" applyNumberFormat="0" applyBorder="0" applyAlignment="0" applyProtection="0"/>
    <xf numFmtId="0" fontId="16" fillId="30" borderId="0" applyNumberFormat="0" applyBorder="0" applyAlignment="0" applyProtection="0"/>
    <xf numFmtId="0" fontId="16" fillId="27" borderId="0" applyNumberFormat="0" applyBorder="0" applyAlignment="0" applyProtection="0"/>
    <xf numFmtId="0" fontId="16" fillId="26" borderId="0" applyNumberFormat="0" applyBorder="0" applyAlignment="0" applyProtection="0"/>
    <xf numFmtId="0" fontId="16" fillId="0" borderId="0"/>
    <xf numFmtId="9" fontId="16" fillId="0" borderId="0" applyFont="0" applyFill="0" applyBorder="0" applyAlignment="0" applyProtection="0"/>
    <xf numFmtId="0" fontId="16" fillId="30" borderId="0" applyNumberFormat="0" applyBorder="0" applyAlignment="0" applyProtection="0"/>
    <xf numFmtId="0" fontId="16" fillId="3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0" borderId="0"/>
    <xf numFmtId="0" fontId="16" fillId="26" borderId="0" applyNumberFormat="0" applyBorder="0" applyAlignment="0" applyProtection="0"/>
    <xf numFmtId="0" fontId="16" fillId="11" borderId="0" applyNumberFormat="0" applyBorder="0" applyAlignment="0" applyProtection="0"/>
    <xf numFmtId="9" fontId="16" fillId="0" borderId="0" applyFont="0" applyFill="0" applyBorder="0" applyAlignment="0" applyProtection="0"/>
    <xf numFmtId="0" fontId="16" fillId="26" borderId="0" applyNumberFormat="0" applyBorder="0" applyAlignment="0" applyProtection="0"/>
    <xf numFmtId="9" fontId="16" fillId="0" borderId="0" applyFont="0" applyFill="0" applyBorder="0" applyAlignment="0" applyProtection="0"/>
    <xf numFmtId="0" fontId="16" fillId="0" borderId="0"/>
    <xf numFmtId="0" fontId="16" fillId="27" borderId="0" applyNumberFormat="0" applyBorder="0" applyAlignment="0" applyProtection="0"/>
    <xf numFmtId="0" fontId="16" fillId="23"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8" borderId="10" applyNumberFormat="0" applyFont="0" applyAlignment="0" applyProtection="0"/>
    <xf numFmtId="0" fontId="16" fillId="8" borderId="10" applyNumberFormat="0" applyFont="0" applyAlignment="0" applyProtection="0"/>
    <xf numFmtId="0" fontId="16" fillId="23" borderId="0" applyNumberFormat="0" applyBorder="0" applyAlignment="0" applyProtection="0"/>
    <xf numFmtId="0" fontId="16" fillId="0" borderId="0"/>
    <xf numFmtId="0" fontId="16" fillId="0" borderId="0"/>
    <xf numFmtId="0" fontId="16" fillId="0" borderId="0"/>
    <xf numFmtId="0" fontId="16" fillId="19" borderId="0" applyNumberFormat="0" applyBorder="0" applyAlignment="0" applyProtection="0"/>
    <xf numFmtId="0" fontId="16" fillId="11" borderId="0" applyNumberFormat="0" applyBorder="0" applyAlignment="0" applyProtection="0"/>
    <xf numFmtId="0" fontId="16" fillId="19" borderId="0" applyNumberFormat="0" applyBorder="0" applyAlignment="0" applyProtection="0"/>
    <xf numFmtId="0" fontId="16" fillId="15" borderId="0" applyNumberFormat="0" applyBorder="0" applyAlignment="0" applyProtection="0"/>
    <xf numFmtId="0" fontId="16" fillId="10"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10"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0" borderId="0"/>
    <xf numFmtId="0" fontId="16" fillId="31" borderId="0" applyNumberFormat="0" applyBorder="0" applyAlignment="0" applyProtection="0"/>
    <xf numFmtId="0" fontId="16" fillId="22" borderId="0" applyNumberFormat="0" applyBorder="0" applyAlignment="0" applyProtection="0"/>
    <xf numFmtId="0" fontId="16" fillId="0" borderId="0"/>
    <xf numFmtId="9" fontId="16" fillId="0" borderId="0" applyFont="0" applyFill="0" applyBorder="0" applyAlignment="0" applyProtection="0"/>
    <xf numFmtId="0" fontId="16" fillId="23" borderId="0" applyNumberFormat="0" applyBorder="0" applyAlignment="0" applyProtection="0"/>
    <xf numFmtId="0" fontId="16" fillId="18" borderId="0" applyNumberFormat="0" applyBorder="0" applyAlignment="0" applyProtection="0"/>
    <xf numFmtId="0" fontId="16" fillId="0" borderId="0"/>
    <xf numFmtId="0" fontId="16" fillId="26" borderId="0" applyNumberFormat="0" applyBorder="0" applyAlignment="0" applyProtection="0"/>
    <xf numFmtId="0" fontId="16" fillId="30" borderId="0" applyNumberFormat="0" applyBorder="0" applyAlignment="0" applyProtection="0"/>
    <xf numFmtId="0" fontId="16" fillId="22"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8" borderId="10" applyNumberFormat="0" applyFont="0" applyAlignment="0" applyProtection="0"/>
    <xf numFmtId="0" fontId="16" fillId="10" borderId="0" applyNumberFormat="0" applyBorder="0" applyAlignment="0" applyProtection="0"/>
    <xf numFmtId="0" fontId="16" fillId="0" borderId="0"/>
    <xf numFmtId="0" fontId="16" fillId="15" borderId="0" applyNumberFormat="0" applyBorder="0" applyAlignment="0" applyProtection="0"/>
    <xf numFmtId="0" fontId="16" fillId="31" borderId="0" applyNumberFormat="0" applyBorder="0" applyAlignment="0" applyProtection="0"/>
    <xf numFmtId="0" fontId="16" fillId="0" borderId="0"/>
    <xf numFmtId="0" fontId="16" fillId="22" borderId="0" applyNumberFormat="0" applyBorder="0" applyAlignment="0" applyProtection="0"/>
    <xf numFmtId="0" fontId="16" fillId="0" borderId="0"/>
    <xf numFmtId="0" fontId="16" fillId="27" borderId="0" applyNumberFormat="0" applyBorder="0" applyAlignment="0" applyProtection="0"/>
    <xf numFmtId="0" fontId="16" fillId="31" borderId="0" applyNumberFormat="0" applyBorder="0" applyAlignment="0" applyProtection="0"/>
    <xf numFmtId="0" fontId="16" fillId="11" borderId="0" applyNumberFormat="0" applyBorder="0" applyAlignment="0" applyProtection="0"/>
    <xf numFmtId="0" fontId="16" fillId="26" borderId="0" applyNumberFormat="0" applyBorder="0" applyAlignment="0" applyProtection="0"/>
    <xf numFmtId="0" fontId="16" fillId="23" borderId="0" applyNumberFormat="0" applyBorder="0" applyAlignment="0" applyProtection="0"/>
    <xf numFmtId="0" fontId="16" fillId="0" borderId="0"/>
    <xf numFmtId="0" fontId="16" fillId="22" borderId="0" applyNumberFormat="0" applyBorder="0" applyAlignment="0" applyProtection="0"/>
    <xf numFmtId="0" fontId="16" fillId="27" borderId="0" applyNumberFormat="0" applyBorder="0" applyAlignment="0" applyProtection="0"/>
    <xf numFmtId="0" fontId="16" fillId="0" borderId="0"/>
    <xf numFmtId="0" fontId="16" fillId="11" borderId="0" applyNumberFormat="0" applyBorder="0" applyAlignment="0" applyProtection="0"/>
    <xf numFmtId="0" fontId="16" fillId="8" borderId="10" applyNumberFormat="0" applyFont="0" applyAlignment="0" applyProtection="0"/>
    <xf numFmtId="0" fontId="16" fillId="18" borderId="0" applyNumberFormat="0" applyBorder="0" applyAlignment="0" applyProtection="0"/>
    <xf numFmtId="0" fontId="16" fillId="11" borderId="0" applyNumberFormat="0" applyBorder="0" applyAlignment="0" applyProtection="0"/>
    <xf numFmtId="0" fontId="16" fillId="18" borderId="0" applyNumberFormat="0" applyBorder="0" applyAlignment="0" applyProtection="0"/>
    <xf numFmtId="0" fontId="16" fillId="8" borderId="10" applyNumberFormat="0" applyFont="0" applyAlignment="0" applyProtection="0"/>
    <xf numFmtId="9" fontId="16" fillId="0" borderId="0" applyFont="0" applyFill="0" applyBorder="0" applyAlignment="0" applyProtection="0"/>
    <xf numFmtId="0" fontId="16" fillId="22" borderId="0" applyNumberFormat="0" applyBorder="0" applyAlignment="0" applyProtection="0"/>
    <xf numFmtId="44" fontId="16" fillId="0" borderId="0" applyFont="0" applyFill="0" applyBorder="0" applyAlignment="0" applyProtection="0"/>
    <xf numFmtId="0" fontId="16" fillId="0" borderId="0"/>
    <xf numFmtId="0" fontId="16" fillId="31" borderId="0" applyNumberFormat="0" applyBorder="0" applyAlignment="0" applyProtection="0"/>
    <xf numFmtId="0" fontId="16" fillId="31" borderId="0" applyNumberFormat="0" applyBorder="0" applyAlignment="0" applyProtection="0"/>
    <xf numFmtId="0" fontId="16" fillId="8" borderId="10" applyNumberFormat="0" applyFont="0" applyAlignment="0" applyProtection="0"/>
    <xf numFmtId="0" fontId="16" fillId="31" borderId="0" applyNumberFormat="0" applyBorder="0" applyAlignment="0" applyProtection="0"/>
    <xf numFmtId="0" fontId="16" fillId="30" borderId="0" applyNumberFormat="0" applyBorder="0" applyAlignment="0" applyProtection="0"/>
    <xf numFmtId="0" fontId="16" fillId="0" borderId="0"/>
    <xf numFmtId="44" fontId="16" fillId="0" borderId="0" applyFont="0" applyFill="0" applyBorder="0" applyAlignment="0" applyProtection="0"/>
    <xf numFmtId="0" fontId="16" fillId="30" borderId="0" applyNumberFormat="0" applyBorder="0" applyAlignment="0" applyProtection="0"/>
    <xf numFmtId="0" fontId="16" fillId="14"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43" fontId="16" fillId="0" borderId="0" applyFont="0" applyFill="0" applyBorder="0" applyAlignment="0" applyProtection="0"/>
    <xf numFmtId="0" fontId="16" fillId="0" borderId="0"/>
    <xf numFmtId="0" fontId="16" fillId="30" borderId="0" applyNumberFormat="0" applyBorder="0" applyAlignment="0" applyProtection="0"/>
    <xf numFmtId="0" fontId="16" fillId="18" borderId="0" applyNumberFormat="0" applyBorder="0" applyAlignment="0" applyProtection="0"/>
    <xf numFmtId="0" fontId="16" fillId="30" borderId="0" applyNumberFormat="0" applyBorder="0" applyAlignment="0" applyProtection="0"/>
    <xf numFmtId="0" fontId="16" fillId="0" borderId="0"/>
    <xf numFmtId="0" fontId="16" fillId="27" borderId="0" applyNumberFormat="0" applyBorder="0" applyAlignment="0" applyProtection="0"/>
    <xf numFmtId="0" fontId="16" fillId="10" borderId="0" applyNumberFormat="0" applyBorder="0" applyAlignment="0" applyProtection="0"/>
    <xf numFmtId="0" fontId="16" fillId="22" borderId="0" applyNumberFormat="0" applyBorder="0" applyAlignment="0" applyProtection="0"/>
    <xf numFmtId="0" fontId="16" fillId="23"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8" borderId="10" applyNumberFormat="0" applyFont="0" applyAlignment="0" applyProtection="0"/>
    <xf numFmtId="0" fontId="15" fillId="10" borderId="0" applyNumberFormat="0" applyBorder="0" applyAlignment="0" applyProtection="0"/>
    <xf numFmtId="0" fontId="15" fillId="11"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6" borderId="0" applyNumberFormat="0" applyBorder="0" applyAlignment="0" applyProtection="0"/>
    <xf numFmtId="0" fontId="15" fillId="27" borderId="0" applyNumberFormat="0" applyBorder="0" applyAlignment="0" applyProtection="0"/>
    <xf numFmtId="0" fontId="15" fillId="30" borderId="0" applyNumberFormat="0" applyBorder="0" applyAlignment="0" applyProtection="0"/>
    <xf numFmtId="0" fontId="15" fillId="31" borderId="0" applyNumberFormat="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0" fontId="15" fillId="0" borderId="0"/>
    <xf numFmtId="44" fontId="15" fillId="0" borderId="0" applyFont="0" applyFill="0" applyBorder="0" applyAlignment="0" applyProtection="0"/>
    <xf numFmtId="9" fontId="15" fillId="0" borderId="0" applyFont="0" applyFill="0" applyBorder="0" applyAlignment="0" applyProtection="0"/>
    <xf numFmtId="167" fontId="15"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0" borderId="0"/>
    <xf numFmtId="0" fontId="12" fillId="2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8" borderId="10" applyNumberFormat="0" applyFont="0" applyAlignment="0" applyProtection="0"/>
    <xf numFmtId="0" fontId="12" fillId="0" borderId="0"/>
    <xf numFmtId="0" fontId="12" fillId="14" borderId="0" applyNumberFormat="0" applyBorder="0" applyAlignment="0" applyProtection="0"/>
    <xf numFmtId="0" fontId="12" fillId="0" borderId="0"/>
    <xf numFmtId="0" fontId="12" fillId="10"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0" borderId="0"/>
    <xf numFmtId="0" fontId="12" fillId="31"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44" fontId="12" fillId="0" borderId="0" applyFont="0" applyFill="0" applyBorder="0" applyAlignment="0" applyProtection="0"/>
    <xf numFmtId="0" fontId="12" fillId="23" borderId="0" applyNumberFormat="0" applyBorder="0" applyAlignment="0" applyProtection="0"/>
    <xf numFmtId="44" fontId="12" fillId="0" borderId="0" applyFont="0" applyFill="0" applyBorder="0" applyAlignment="0" applyProtection="0"/>
    <xf numFmtId="0" fontId="12" fillId="30" borderId="0" applyNumberFormat="0" applyBorder="0" applyAlignment="0" applyProtection="0"/>
    <xf numFmtId="0" fontId="12" fillId="30" borderId="0" applyNumberFormat="0" applyBorder="0" applyAlignment="0" applyProtection="0"/>
    <xf numFmtId="9" fontId="12" fillId="0" borderId="0" applyFont="0" applyFill="0" applyBorder="0" applyAlignment="0" applyProtection="0"/>
    <xf numFmtId="0" fontId="12" fillId="0" borderId="0"/>
    <xf numFmtId="0" fontId="12" fillId="14"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27" borderId="0" applyNumberFormat="0" applyBorder="0" applyAlignment="0" applyProtection="0"/>
    <xf numFmtId="0" fontId="12" fillId="0" borderId="0"/>
    <xf numFmtId="0" fontId="12" fillId="10" borderId="0" applyNumberFormat="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26" borderId="0" applyNumberFormat="0" applyBorder="0" applyAlignment="0" applyProtection="0"/>
    <xf numFmtId="0" fontId="12" fillId="11" borderId="0" applyNumberFormat="0" applyBorder="0" applyAlignment="0" applyProtection="0"/>
    <xf numFmtId="0" fontId="12" fillId="0" borderId="0"/>
    <xf numFmtId="0" fontId="12" fillId="22"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0" borderId="0"/>
    <xf numFmtId="0" fontId="12" fillId="26"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0" borderId="0"/>
    <xf numFmtId="44" fontId="12" fillId="0" borderId="0" applyFont="0" applyFill="0" applyBorder="0" applyAlignment="0" applyProtection="0"/>
    <xf numFmtId="0" fontId="12" fillId="10" borderId="0" applyNumberFormat="0" applyBorder="0" applyAlignment="0" applyProtection="0"/>
    <xf numFmtId="0" fontId="12" fillId="30" borderId="0" applyNumberFormat="0" applyBorder="0" applyAlignment="0" applyProtection="0"/>
    <xf numFmtId="43" fontId="12" fillId="0" borderId="0" applyFont="0" applyFill="0" applyBorder="0" applyAlignment="0" applyProtection="0"/>
    <xf numFmtId="0" fontId="12" fillId="0" borderId="0"/>
    <xf numFmtId="0" fontId="12" fillId="3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43" fontId="12" fillId="0" borderId="0" applyFont="0" applyFill="0" applyBorder="0" applyAlignment="0" applyProtection="0"/>
    <xf numFmtId="0" fontId="12" fillId="8" borderId="10" applyNumberFormat="0" applyFont="0" applyAlignment="0" applyProtection="0"/>
    <xf numFmtId="0" fontId="12" fillId="23"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0" borderId="0"/>
    <xf numFmtId="0" fontId="12" fillId="27" borderId="0" applyNumberFormat="0" applyBorder="0" applyAlignment="0" applyProtection="0"/>
    <xf numFmtId="0" fontId="12" fillId="0" borderId="0"/>
    <xf numFmtId="0" fontId="12" fillId="11"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0" borderId="0"/>
    <xf numFmtId="0" fontId="12" fillId="26"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0" borderId="0"/>
    <xf numFmtId="0" fontId="12" fillId="14" borderId="0" applyNumberFormat="0" applyBorder="0" applyAlignment="0" applyProtection="0"/>
    <xf numFmtId="0" fontId="12" fillId="30" borderId="0" applyNumberFormat="0" applyBorder="0" applyAlignment="0" applyProtection="0"/>
    <xf numFmtId="9" fontId="12" fillId="0" borderId="0" applyFont="0" applyFill="0" applyBorder="0" applyAlignment="0" applyProtection="0"/>
    <xf numFmtId="0" fontId="12" fillId="8" borderId="10" applyNumberFormat="0" applyFont="0" applyAlignment="0" applyProtection="0"/>
    <xf numFmtId="9"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19"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1" borderId="0" applyNumberFormat="0" applyBorder="0" applyAlignment="0" applyProtection="0"/>
    <xf numFmtId="9" fontId="12" fillId="0" borderId="0" applyFont="0" applyFill="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30" borderId="0" applyNumberFormat="0" applyBorder="0" applyAlignment="0" applyProtection="0"/>
    <xf numFmtId="0" fontId="12" fillId="0" borderId="0"/>
    <xf numFmtId="0" fontId="12" fillId="19"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4"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0" borderId="0"/>
    <xf numFmtId="0" fontId="12" fillId="19" borderId="0" applyNumberFormat="0" applyBorder="0" applyAlignment="0" applyProtection="0"/>
    <xf numFmtId="0" fontId="12" fillId="8" borderId="10" applyNumberFormat="0" applyFont="0" applyAlignment="0" applyProtection="0"/>
    <xf numFmtId="0" fontId="12" fillId="23"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167" fontId="12" fillId="0" borderId="0" applyFont="0" applyFill="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0" borderId="0"/>
    <xf numFmtId="0" fontId="12" fillId="30" borderId="0" applyNumberFormat="0" applyBorder="0" applyAlignment="0" applyProtection="0"/>
    <xf numFmtId="0" fontId="12" fillId="10" borderId="0" applyNumberFormat="0" applyBorder="0" applyAlignment="0" applyProtection="0"/>
    <xf numFmtId="0" fontId="12" fillId="0" borderId="0"/>
    <xf numFmtId="0" fontId="12" fillId="31"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167" fontId="12" fillId="0" borderId="0" applyFont="0" applyFill="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0" borderId="0"/>
    <xf numFmtId="0" fontId="12" fillId="0" borderId="0"/>
    <xf numFmtId="0" fontId="12" fillId="11" borderId="0" applyNumberFormat="0" applyBorder="0" applyAlignment="0" applyProtection="0"/>
    <xf numFmtId="0" fontId="12" fillId="0" borderId="0"/>
    <xf numFmtId="0" fontId="12" fillId="11"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0" borderId="0"/>
    <xf numFmtId="0" fontId="12" fillId="8" borderId="10" applyNumberFormat="0" applyFont="0" applyAlignment="0" applyProtection="0"/>
    <xf numFmtId="0" fontId="12" fillId="14"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0" borderId="0"/>
    <xf numFmtId="0" fontId="12" fillId="18" borderId="0" applyNumberFormat="0" applyBorder="0" applyAlignment="0" applyProtection="0"/>
    <xf numFmtId="0" fontId="12" fillId="0" borderId="0"/>
    <xf numFmtId="0" fontId="12" fillId="23" borderId="0" applyNumberFormat="0" applyBorder="0" applyAlignment="0" applyProtection="0"/>
    <xf numFmtId="0" fontId="12" fillId="11" borderId="0" applyNumberFormat="0" applyBorder="0" applyAlignment="0" applyProtection="0"/>
    <xf numFmtId="0" fontId="12" fillId="22" borderId="0" applyNumberFormat="0" applyBorder="0" applyAlignment="0" applyProtection="0"/>
    <xf numFmtId="167" fontId="12" fillId="0" borderId="0" applyFont="0" applyFill="0" applyBorder="0" applyAlignment="0" applyProtection="0"/>
    <xf numFmtId="0" fontId="12" fillId="11" borderId="0" applyNumberFormat="0" applyBorder="0" applyAlignment="0" applyProtection="0"/>
    <xf numFmtId="43" fontId="12" fillId="0" borderId="0" applyFont="0" applyFill="0" applyBorder="0" applyAlignment="0" applyProtection="0"/>
    <xf numFmtId="0" fontId="12" fillId="0" borderId="0"/>
    <xf numFmtId="0" fontId="12" fillId="18"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0" borderId="0"/>
    <xf numFmtId="0" fontId="12" fillId="18"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0" borderId="0"/>
    <xf numFmtId="0" fontId="12" fillId="15"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26" borderId="0" applyNumberFormat="0" applyBorder="0" applyAlignment="0" applyProtection="0"/>
    <xf numFmtId="167" fontId="12" fillId="0" borderId="0" applyFont="0" applyFill="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0" borderId="0"/>
    <xf numFmtId="0" fontId="12" fillId="0" borderId="0"/>
    <xf numFmtId="0" fontId="12" fillId="22" borderId="0" applyNumberFormat="0" applyBorder="0" applyAlignment="0" applyProtection="0"/>
    <xf numFmtId="0" fontId="12" fillId="11" borderId="0" applyNumberFormat="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3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19"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0" borderId="0"/>
    <xf numFmtId="0" fontId="12" fillId="19"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0" borderId="0"/>
    <xf numFmtId="0" fontId="12" fillId="23"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0" borderId="0"/>
    <xf numFmtId="0" fontId="12" fillId="8" borderId="10" applyNumberFormat="0" applyFont="0" applyAlignment="0" applyProtection="0"/>
    <xf numFmtId="0" fontId="12" fillId="1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0" borderId="0"/>
    <xf numFmtId="0" fontId="12" fillId="8" borderId="10" applyNumberFormat="0" applyFont="0" applyAlignment="0" applyProtection="0"/>
    <xf numFmtId="0" fontId="12" fillId="0" borderId="0"/>
    <xf numFmtId="0" fontId="12" fillId="8" borderId="10" applyNumberFormat="0" applyFont="0" applyAlignment="0" applyProtection="0"/>
    <xf numFmtId="0" fontId="12" fillId="8" borderId="10" applyNumberFormat="0" applyFont="0" applyAlignment="0" applyProtection="0"/>
    <xf numFmtId="0" fontId="12" fillId="14" borderId="0" applyNumberFormat="0" applyBorder="0" applyAlignment="0" applyProtection="0"/>
    <xf numFmtId="167" fontId="12" fillId="0" borderId="0" applyFont="0" applyFill="0" applyBorder="0" applyAlignment="0" applyProtection="0"/>
    <xf numFmtId="0" fontId="12" fillId="22"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0" borderId="0"/>
    <xf numFmtId="0" fontId="12" fillId="0" borderId="0"/>
    <xf numFmtId="0" fontId="12" fillId="18" borderId="0" applyNumberFormat="0" applyBorder="0" applyAlignment="0" applyProtection="0"/>
    <xf numFmtId="9" fontId="12" fillId="0" borderId="0" applyFont="0" applyFill="0" applyBorder="0" applyAlignment="0" applyProtection="0"/>
    <xf numFmtId="0" fontId="12" fillId="0" borderId="0"/>
    <xf numFmtId="0" fontId="12" fillId="0" borderId="0"/>
    <xf numFmtId="0" fontId="12" fillId="11" borderId="0" applyNumberFormat="0" applyBorder="0" applyAlignment="0" applyProtection="0"/>
    <xf numFmtId="0" fontId="12" fillId="0" borderId="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0" borderId="0"/>
    <xf numFmtId="0" fontId="12" fillId="11"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9" fontId="12" fillId="0" borderId="0" applyFont="0" applyFill="0" applyBorder="0" applyAlignment="0" applyProtection="0"/>
    <xf numFmtId="0" fontId="12" fillId="0" borderId="0"/>
    <xf numFmtId="0" fontId="12" fillId="18"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0" borderId="0"/>
    <xf numFmtId="0" fontId="12" fillId="27" borderId="0" applyNumberFormat="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167" fontId="12" fillId="0" borderId="0" applyFont="0" applyFill="0" applyBorder="0" applyAlignment="0" applyProtection="0"/>
    <xf numFmtId="0" fontId="12" fillId="27" borderId="0" applyNumberFormat="0" applyBorder="0" applyAlignment="0" applyProtection="0"/>
    <xf numFmtId="9" fontId="12" fillId="0" borderId="0" applyFont="0" applyFill="0" applyBorder="0" applyAlignment="0" applyProtection="0"/>
    <xf numFmtId="0" fontId="12" fillId="8" borderId="10" applyNumberFormat="0" applyFont="0" applyAlignment="0" applyProtection="0"/>
    <xf numFmtId="0" fontId="12" fillId="19" borderId="0" applyNumberFormat="0" applyBorder="0" applyAlignment="0" applyProtection="0"/>
    <xf numFmtId="0" fontId="12" fillId="0" borderId="0"/>
    <xf numFmtId="0" fontId="12" fillId="10"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0" borderId="0"/>
    <xf numFmtId="0" fontId="12" fillId="14" borderId="0" applyNumberFormat="0" applyBorder="0" applyAlignment="0" applyProtection="0"/>
    <xf numFmtId="0" fontId="12" fillId="23" borderId="0" applyNumberFormat="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10" borderId="0" applyNumberFormat="0" applyBorder="0" applyAlignment="0" applyProtection="0"/>
    <xf numFmtId="0" fontId="12" fillId="0" borderId="0"/>
    <xf numFmtId="0" fontId="12" fillId="27" borderId="0" applyNumberFormat="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0" borderId="0"/>
    <xf numFmtId="0" fontId="12" fillId="27" borderId="0" applyNumberFormat="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11" borderId="0" applyNumberFormat="0" applyBorder="0" applyAlignment="0" applyProtection="0"/>
    <xf numFmtId="44" fontId="12" fillId="0" borderId="0" applyFont="0" applyFill="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0" borderId="0"/>
    <xf numFmtId="0" fontId="12" fillId="31"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0" fontId="12" fillId="0" borderId="0"/>
    <xf numFmtId="0" fontId="12" fillId="15"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0" borderId="0"/>
    <xf numFmtId="0" fontId="12" fillId="19" borderId="0" applyNumberFormat="0" applyBorder="0" applyAlignment="0" applyProtection="0"/>
    <xf numFmtId="0" fontId="12" fillId="0" borderId="0"/>
    <xf numFmtId="0" fontId="12" fillId="19" borderId="0" applyNumberFormat="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0" fontId="12" fillId="18"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0" borderId="0"/>
    <xf numFmtId="0" fontId="12" fillId="26" borderId="0" applyNumberFormat="0" applyBorder="0" applyAlignment="0" applyProtection="0"/>
    <xf numFmtId="0" fontId="12" fillId="0" borderId="0"/>
    <xf numFmtId="0" fontId="12" fillId="26"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167"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0" borderId="0"/>
    <xf numFmtId="0" fontId="12" fillId="30"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0" borderId="0"/>
    <xf numFmtId="0" fontId="12" fillId="26" borderId="0" applyNumberFormat="0" applyBorder="0" applyAlignment="0" applyProtection="0"/>
    <xf numFmtId="0" fontId="12" fillId="30" borderId="0" applyNumberFormat="0" applyBorder="0" applyAlignment="0" applyProtection="0"/>
    <xf numFmtId="0" fontId="12" fillId="0" borderId="0"/>
    <xf numFmtId="0" fontId="12" fillId="11" borderId="0" applyNumberFormat="0" applyBorder="0" applyAlignment="0" applyProtection="0"/>
    <xf numFmtId="0" fontId="12" fillId="0" borderId="0"/>
    <xf numFmtId="0" fontId="12" fillId="11" borderId="0" applyNumberFormat="0" applyBorder="0" applyAlignment="0" applyProtection="0"/>
    <xf numFmtId="0" fontId="12" fillId="10" borderId="0" applyNumberFormat="0" applyBorder="0" applyAlignment="0" applyProtection="0"/>
    <xf numFmtId="0" fontId="12" fillId="0" borderId="0"/>
    <xf numFmtId="0" fontId="12" fillId="19"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0" borderId="0"/>
    <xf numFmtId="0" fontId="12" fillId="27" borderId="0" applyNumberFormat="0" applyBorder="0" applyAlignment="0" applyProtection="0"/>
    <xf numFmtId="0" fontId="12" fillId="30" borderId="0" applyNumberFormat="0" applyBorder="0" applyAlignment="0" applyProtection="0"/>
    <xf numFmtId="0" fontId="12" fillId="8" borderId="10" applyNumberFormat="0" applyFont="0" applyAlignment="0" applyProtection="0"/>
    <xf numFmtId="167" fontId="12" fillId="0" borderId="0" applyFont="0" applyFill="0" applyBorder="0" applyAlignment="0" applyProtection="0"/>
    <xf numFmtId="0" fontId="12" fillId="27" borderId="0" applyNumberFormat="0" applyBorder="0" applyAlignment="0" applyProtection="0"/>
    <xf numFmtId="0" fontId="12" fillId="0" borderId="0"/>
    <xf numFmtId="0" fontId="12" fillId="0" borderId="0"/>
    <xf numFmtId="0" fontId="12" fillId="11"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0" borderId="0"/>
    <xf numFmtId="0" fontId="12" fillId="0" borderId="0"/>
    <xf numFmtId="0" fontId="12" fillId="27" borderId="0" applyNumberFormat="0" applyBorder="0" applyAlignment="0" applyProtection="0"/>
    <xf numFmtId="0" fontId="12" fillId="1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0" borderId="0"/>
    <xf numFmtId="0" fontId="12" fillId="23" borderId="0" applyNumberFormat="0" applyBorder="0" applyAlignment="0" applyProtection="0"/>
    <xf numFmtId="0" fontId="12" fillId="0" borderId="0"/>
    <xf numFmtId="0" fontId="12" fillId="0" borderId="0"/>
    <xf numFmtId="0" fontId="12" fillId="22" borderId="0" applyNumberFormat="0" applyBorder="0" applyAlignment="0" applyProtection="0"/>
    <xf numFmtId="0" fontId="12" fillId="23"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30" borderId="0" applyNumberFormat="0" applyBorder="0" applyAlignment="0" applyProtection="0"/>
    <xf numFmtId="0" fontId="12" fillId="0" borderId="0"/>
    <xf numFmtId="0" fontId="12" fillId="30"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0" fontId="12" fillId="0" borderId="0"/>
    <xf numFmtId="0" fontId="12" fillId="31"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0" borderId="0"/>
    <xf numFmtId="0" fontId="12" fillId="15" borderId="0" applyNumberFormat="0" applyBorder="0" applyAlignment="0" applyProtection="0"/>
    <xf numFmtId="0" fontId="12" fillId="0" borderId="0"/>
    <xf numFmtId="9" fontId="12" fillId="0" borderId="0" applyFont="0" applyFill="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0" borderId="0"/>
    <xf numFmtId="0" fontId="12" fillId="8" borderId="10" applyNumberFormat="0" applyFont="0" applyAlignment="0" applyProtection="0"/>
    <xf numFmtId="0" fontId="12" fillId="8" borderId="10" applyNumberFormat="0" applyFont="0" applyAlignment="0" applyProtection="0"/>
    <xf numFmtId="0" fontId="12" fillId="0" borderId="0"/>
    <xf numFmtId="0" fontId="12" fillId="14"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12" fillId="0" borderId="0"/>
    <xf numFmtId="0" fontId="12" fillId="14"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44" fontId="12" fillId="0" borderId="0" applyFont="0" applyFill="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0" borderId="0"/>
    <xf numFmtId="0" fontId="12" fillId="23" borderId="0" applyNumberFormat="0" applyBorder="0" applyAlignment="0" applyProtection="0"/>
    <xf numFmtId="0" fontId="12" fillId="15" borderId="0" applyNumberFormat="0" applyBorder="0" applyAlignment="0" applyProtection="0"/>
    <xf numFmtId="44" fontId="12" fillId="0" borderId="0" applyFont="0" applyFill="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0" borderId="0"/>
    <xf numFmtId="0" fontId="12" fillId="31" borderId="0" applyNumberFormat="0" applyBorder="0" applyAlignment="0" applyProtection="0"/>
    <xf numFmtId="0" fontId="12" fillId="23" borderId="0" applyNumberFormat="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11" borderId="0" applyNumberFormat="0" applyBorder="0" applyAlignment="0" applyProtection="0"/>
    <xf numFmtId="0" fontId="12" fillId="8" borderId="10" applyNumberFormat="0" applyFont="0" applyAlignment="0" applyProtection="0"/>
    <xf numFmtId="0" fontId="12" fillId="0" borderId="0"/>
    <xf numFmtId="0" fontId="12" fillId="8" borderId="10" applyNumberFormat="0" applyFont="0" applyAlignment="0" applyProtection="0"/>
    <xf numFmtId="0" fontId="12" fillId="19"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0" borderId="0"/>
    <xf numFmtId="0" fontId="12" fillId="27"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0" borderId="0"/>
    <xf numFmtId="0" fontId="12" fillId="11"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8" borderId="0" applyNumberFormat="0" applyBorder="0" applyAlignment="0" applyProtection="0"/>
    <xf numFmtId="0" fontId="12" fillId="0" borderId="0"/>
    <xf numFmtId="0" fontId="12" fillId="22"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0" borderId="0"/>
    <xf numFmtId="0" fontId="12" fillId="0" borderId="0"/>
    <xf numFmtId="0" fontId="12" fillId="10"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0" borderId="0"/>
    <xf numFmtId="0" fontId="12" fillId="30" borderId="0" applyNumberFormat="0" applyBorder="0" applyAlignment="0" applyProtection="0"/>
    <xf numFmtId="0" fontId="12" fillId="14" borderId="0" applyNumberFormat="0" applyBorder="0" applyAlignment="0" applyProtection="0"/>
    <xf numFmtId="0" fontId="12" fillId="0" borderId="0"/>
    <xf numFmtId="167" fontId="12" fillId="0" borderId="0" applyFont="0" applyFill="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0" borderId="0"/>
    <xf numFmtId="0" fontId="12" fillId="18"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0" borderId="0"/>
    <xf numFmtId="0" fontId="12" fillId="23"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0" borderId="0"/>
    <xf numFmtId="0" fontId="12" fillId="30" borderId="0" applyNumberFormat="0" applyBorder="0" applyAlignment="0" applyProtection="0"/>
    <xf numFmtId="167" fontId="12" fillId="0" borderId="0" applyFont="0" applyFill="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31" borderId="0" applyNumberFormat="0" applyBorder="0" applyAlignment="0" applyProtection="0"/>
    <xf numFmtId="0" fontId="12" fillId="0" borderId="0"/>
    <xf numFmtId="0" fontId="12" fillId="26" borderId="0" applyNumberFormat="0" applyBorder="0" applyAlignment="0" applyProtection="0"/>
    <xf numFmtId="0" fontId="12" fillId="0" borderId="0"/>
    <xf numFmtId="0" fontId="12" fillId="1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12" fillId="0" borderId="0"/>
    <xf numFmtId="0" fontId="12" fillId="31" borderId="0" applyNumberFormat="0" applyBorder="0" applyAlignment="0" applyProtection="0"/>
    <xf numFmtId="167" fontId="12" fillId="0" borderId="0" applyFont="0" applyFill="0" applyBorder="0" applyAlignment="0" applyProtection="0"/>
    <xf numFmtId="0" fontId="12" fillId="0" borderId="0"/>
    <xf numFmtId="0" fontId="12" fillId="11"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0" borderId="0"/>
    <xf numFmtId="9" fontId="12" fillId="0" borderId="0" applyFont="0" applyFill="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44" fontId="12" fillId="0" borderId="0" applyFont="0" applyFill="0" applyBorder="0" applyAlignment="0" applyProtection="0"/>
    <xf numFmtId="9" fontId="12" fillId="0" borderId="0" applyFont="0" applyFill="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22" borderId="0" applyNumberFormat="0" applyBorder="0" applyAlignment="0" applyProtection="0"/>
    <xf numFmtId="43" fontId="12" fillId="0" borderId="0" applyFont="0" applyFill="0" applyBorder="0" applyAlignment="0" applyProtection="0"/>
    <xf numFmtId="0" fontId="12" fillId="0" borderId="0"/>
    <xf numFmtId="0" fontId="12" fillId="26"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8" borderId="10" applyNumberFormat="0" applyFont="0" applyAlignment="0" applyProtection="0"/>
    <xf numFmtId="167" fontId="12" fillId="0" borderId="0" applyFont="0" applyFill="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167" fontId="12" fillId="0" borderId="0" applyFont="0" applyFill="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0" fontId="12" fillId="0" borderId="0"/>
    <xf numFmtId="0" fontId="12" fillId="18"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0" borderId="0"/>
    <xf numFmtId="9" fontId="12" fillId="0" borderId="0" applyFont="0" applyFill="0" applyBorder="0" applyAlignment="0" applyProtection="0"/>
    <xf numFmtId="44" fontId="12" fillId="0" borderId="0" applyFont="0" applyFill="0" applyBorder="0" applyAlignment="0" applyProtection="0"/>
    <xf numFmtId="0" fontId="12" fillId="10" borderId="0" applyNumberFormat="0" applyBorder="0" applyAlignment="0" applyProtection="0"/>
    <xf numFmtId="0" fontId="12" fillId="0" borderId="0"/>
    <xf numFmtId="9" fontId="12" fillId="0" borderId="0" applyFont="0" applyFill="0" applyBorder="0" applyAlignment="0" applyProtection="0"/>
    <xf numFmtId="0" fontId="12" fillId="18"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0" borderId="0"/>
    <xf numFmtId="0" fontId="12" fillId="19"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0" borderId="0"/>
    <xf numFmtId="0" fontId="12" fillId="11"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167" fontId="12" fillId="0" borderId="0" applyFont="0" applyFill="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0" borderId="0"/>
    <xf numFmtId="0" fontId="12" fillId="18" borderId="0" applyNumberFormat="0" applyBorder="0" applyAlignment="0" applyProtection="0"/>
    <xf numFmtId="0" fontId="12" fillId="23" borderId="0" applyNumberFormat="0" applyBorder="0" applyAlignment="0" applyProtection="0"/>
    <xf numFmtId="0" fontId="12" fillId="0" borderId="0"/>
    <xf numFmtId="0" fontId="12" fillId="15"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12" fillId="0" borderId="0"/>
    <xf numFmtId="0" fontId="12" fillId="26"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8" borderId="10" applyNumberFormat="0" applyFont="0" applyAlignment="0" applyProtection="0"/>
    <xf numFmtId="0" fontId="12" fillId="15"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0" borderId="0"/>
    <xf numFmtId="0" fontId="12" fillId="31" borderId="0" applyNumberFormat="0" applyBorder="0" applyAlignment="0" applyProtection="0"/>
    <xf numFmtId="0" fontId="12" fillId="8" borderId="10" applyNumberFormat="0" applyFont="0" applyAlignment="0" applyProtection="0"/>
    <xf numFmtId="44" fontId="12" fillId="0" borderId="0" applyFon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43" fontId="12" fillId="0" borderId="0" applyFont="0" applyFill="0" applyBorder="0" applyAlignment="0" applyProtection="0"/>
    <xf numFmtId="0" fontId="12" fillId="14" borderId="0" applyNumberFormat="0" applyBorder="0" applyAlignment="0" applyProtection="0"/>
    <xf numFmtId="0" fontId="12" fillId="0" borderId="0"/>
    <xf numFmtId="0" fontId="12" fillId="11"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0" borderId="0"/>
    <xf numFmtId="0" fontId="12" fillId="10" borderId="0" applyNumberFormat="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0" borderId="0"/>
    <xf numFmtId="0" fontId="12" fillId="14"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0" fontId="12" fillId="14"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26" borderId="0" applyNumberFormat="0" applyBorder="0" applyAlignment="0" applyProtection="0"/>
    <xf numFmtId="0" fontId="12" fillId="0" borderId="0"/>
    <xf numFmtId="0" fontId="12" fillId="18" borderId="0" applyNumberFormat="0" applyBorder="0" applyAlignment="0" applyProtection="0"/>
    <xf numFmtId="0" fontId="12" fillId="0" borderId="0"/>
    <xf numFmtId="0" fontId="12" fillId="3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0" borderId="0"/>
    <xf numFmtId="0" fontId="12" fillId="0" borderId="0"/>
    <xf numFmtId="0" fontId="12" fillId="15"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0" borderId="0"/>
    <xf numFmtId="0" fontId="12" fillId="30"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0" borderId="0"/>
    <xf numFmtId="0" fontId="12" fillId="8" borderId="10" applyNumberFormat="0" applyFont="0" applyAlignment="0" applyProtection="0"/>
    <xf numFmtId="0" fontId="12" fillId="14" borderId="0" applyNumberFormat="0" applyBorder="0" applyAlignment="0" applyProtection="0"/>
    <xf numFmtId="167" fontId="12" fillId="0" borderId="0" applyFon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167"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23"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0" borderId="0"/>
    <xf numFmtId="0" fontId="12" fillId="8" borderId="10" applyNumberFormat="0" applyFont="0" applyAlignment="0" applyProtection="0"/>
    <xf numFmtId="9" fontId="12" fillId="0" borderId="0" applyFont="0" applyFill="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0" borderId="0"/>
    <xf numFmtId="0" fontId="12" fillId="10"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8" borderId="0" applyNumberFormat="0" applyBorder="0" applyAlignment="0" applyProtection="0"/>
    <xf numFmtId="0" fontId="12" fillId="0" borderId="0"/>
    <xf numFmtId="0" fontId="12" fillId="22"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167" fontId="12" fillId="0" borderId="0" applyFont="0" applyFill="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167" fontId="12" fillId="0" borderId="0" applyFont="0" applyFill="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44" fontId="12" fillId="0" borderId="0" applyFon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0" borderId="0"/>
    <xf numFmtId="0" fontId="12" fillId="11"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14" borderId="0" applyNumberFormat="0" applyBorder="0" applyAlignment="0" applyProtection="0"/>
    <xf numFmtId="44" fontId="12" fillId="0" borderId="0" applyFont="0" applyFill="0" applyBorder="0" applyAlignment="0" applyProtection="0"/>
    <xf numFmtId="0" fontId="12" fillId="0" borderId="0"/>
    <xf numFmtId="0" fontId="12" fillId="22"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0" borderId="0"/>
    <xf numFmtId="0" fontId="12" fillId="8" borderId="10" applyNumberFormat="0" applyFont="0" applyAlignment="0" applyProtection="0"/>
    <xf numFmtId="0" fontId="12" fillId="10"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0" borderId="0"/>
    <xf numFmtId="0" fontId="12" fillId="30"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44" fontId="12" fillId="0" borderId="0" applyFont="0" applyFill="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0" borderId="0"/>
    <xf numFmtId="0" fontId="12" fillId="8" borderId="10" applyNumberFormat="0" applyFont="0" applyAlignment="0" applyProtection="0"/>
    <xf numFmtId="0" fontId="12" fillId="22" borderId="0" applyNumberFormat="0" applyBorder="0" applyAlignment="0" applyProtection="0"/>
    <xf numFmtId="0" fontId="12" fillId="0" borderId="0"/>
    <xf numFmtId="0" fontId="12" fillId="10"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30"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9" fontId="12" fillId="0" borderId="0" applyFont="0" applyFill="0" applyBorder="0" applyAlignment="0" applyProtection="0"/>
    <xf numFmtId="0" fontId="12" fillId="14"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0" borderId="0"/>
    <xf numFmtId="0" fontId="12" fillId="0" borderId="0"/>
    <xf numFmtId="0" fontId="12" fillId="19"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0" borderId="0"/>
    <xf numFmtId="167" fontId="12" fillId="0" borderId="0" applyFont="0" applyFill="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0" borderId="0"/>
    <xf numFmtId="0" fontId="12" fillId="14"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0" borderId="0"/>
    <xf numFmtId="0" fontId="12" fillId="10"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19"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0" borderId="0"/>
    <xf numFmtId="0" fontId="12" fillId="22"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31" borderId="0" applyNumberFormat="0" applyBorder="0" applyAlignment="0" applyProtection="0"/>
    <xf numFmtId="9"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0" borderId="0"/>
    <xf numFmtId="43"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26" borderId="0" applyNumberFormat="0" applyBorder="0" applyAlignment="0" applyProtection="0"/>
    <xf numFmtId="0" fontId="12" fillId="0" borderId="0"/>
    <xf numFmtId="0" fontId="12" fillId="27"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19" borderId="0" applyNumberFormat="0" applyBorder="0" applyAlignment="0" applyProtection="0"/>
    <xf numFmtId="0" fontId="12" fillId="18" borderId="0" applyNumberFormat="0" applyBorder="0" applyAlignment="0" applyProtection="0"/>
    <xf numFmtId="167" fontId="12" fillId="0" borderId="0" applyFont="0" applyFill="0" applyBorder="0" applyAlignment="0" applyProtection="0"/>
    <xf numFmtId="0" fontId="12" fillId="15" borderId="0" applyNumberFormat="0" applyBorder="0" applyAlignment="0" applyProtection="0"/>
    <xf numFmtId="0" fontId="12" fillId="31" borderId="0" applyNumberFormat="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0" borderId="0"/>
    <xf numFmtId="0" fontId="12" fillId="22" borderId="0" applyNumberFormat="0" applyBorder="0" applyAlignment="0" applyProtection="0"/>
    <xf numFmtId="44" fontId="12" fillId="0" borderId="0" applyFont="0" applyFill="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0" fontId="12" fillId="27" borderId="0" applyNumberFormat="0" applyBorder="0" applyAlignment="0" applyProtection="0"/>
    <xf numFmtId="0" fontId="12" fillId="0" borderId="0"/>
    <xf numFmtId="0" fontId="12" fillId="19"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44" fontId="12" fillId="0" borderId="0" applyFont="0" applyFill="0" applyBorder="0" applyAlignment="0" applyProtection="0"/>
    <xf numFmtId="0" fontId="12" fillId="8" borderId="10" applyNumberFormat="0" applyFont="0" applyAlignment="0" applyProtection="0"/>
    <xf numFmtId="0" fontId="12" fillId="19"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0" borderId="0"/>
    <xf numFmtId="0" fontId="12" fillId="27"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0" borderId="0"/>
    <xf numFmtId="0" fontId="12" fillId="27" borderId="0" applyNumberFormat="0" applyBorder="0" applyAlignment="0" applyProtection="0"/>
    <xf numFmtId="167" fontId="12" fillId="0" borderId="0" applyFont="0" applyFill="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0" borderId="0"/>
    <xf numFmtId="0" fontId="12" fillId="0" borderId="0"/>
    <xf numFmtId="0" fontId="12" fillId="22"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44" fontId="12" fillId="0" borderId="0" applyFont="0" applyFill="0" applyBorder="0" applyAlignment="0" applyProtection="0"/>
    <xf numFmtId="0" fontId="12" fillId="30" borderId="0" applyNumberFormat="0" applyBorder="0" applyAlignment="0" applyProtection="0"/>
    <xf numFmtId="0" fontId="12" fillId="0" borderId="0"/>
    <xf numFmtId="9" fontId="12" fillId="0" borderId="0" applyFont="0" applyFill="0" applyBorder="0" applyAlignment="0" applyProtection="0"/>
    <xf numFmtId="0" fontId="12" fillId="31" borderId="0" applyNumberFormat="0" applyBorder="0" applyAlignment="0" applyProtection="0"/>
    <xf numFmtId="9" fontId="12" fillId="0" borderId="0" applyFont="0" applyFill="0" applyBorder="0" applyAlignment="0" applyProtection="0"/>
    <xf numFmtId="0" fontId="12" fillId="0" borderId="0"/>
    <xf numFmtId="0" fontId="12" fillId="23" borderId="0" applyNumberFormat="0" applyBorder="0" applyAlignment="0" applyProtection="0"/>
    <xf numFmtId="0" fontId="12" fillId="0" borderId="0"/>
    <xf numFmtId="0" fontId="12" fillId="11"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0" borderId="0"/>
    <xf numFmtId="0" fontId="12" fillId="30"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0" borderId="0"/>
    <xf numFmtId="0" fontId="12" fillId="18"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0" borderId="0"/>
    <xf numFmtId="0" fontId="12" fillId="14"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0" borderId="0"/>
    <xf numFmtId="0" fontId="12" fillId="11"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0" borderId="0"/>
    <xf numFmtId="0" fontId="12" fillId="15"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0" borderId="0"/>
    <xf numFmtId="0" fontId="12" fillId="15" borderId="0" applyNumberFormat="0" applyBorder="0" applyAlignment="0" applyProtection="0"/>
    <xf numFmtId="0" fontId="12" fillId="8" borderId="10" applyNumberFormat="0" applyFont="0" applyAlignment="0" applyProtection="0"/>
    <xf numFmtId="0" fontId="12" fillId="0" borderId="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9" fontId="12" fillId="0" borderId="0" applyFont="0" applyFill="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12" fillId="0" borderId="0"/>
    <xf numFmtId="0" fontId="12" fillId="8" borderId="10" applyNumberFormat="0" applyFont="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30" borderId="0" applyNumberFormat="0" applyBorder="0" applyAlignment="0" applyProtection="0"/>
    <xf numFmtId="167" fontId="12" fillId="0" borderId="0" applyFont="0" applyFill="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167" fontId="12" fillId="0" borderId="0" applyFont="0" applyFill="0" applyBorder="0" applyAlignment="0" applyProtection="0"/>
    <xf numFmtId="0" fontId="12" fillId="22" borderId="0" applyNumberFormat="0" applyBorder="0" applyAlignment="0" applyProtection="0"/>
    <xf numFmtId="0" fontId="12" fillId="0" borderId="0"/>
    <xf numFmtId="0" fontId="12" fillId="23"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44" fontId="12" fillId="0" borderId="0" applyFont="0" applyFill="0" applyBorder="0" applyAlignment="0" applyProtection="0"/>
    <xf numFmtId="0" fontId="12" fillId="0" borderId="0"/>
    <xf numFmtId="0" fontId="12" fillId="0" borderId="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0" fontId="12" fillId="0" borderId="0"/>
    <xf numFmtId="0" fontId="12" fillId="14"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43" fontId="12" fillId="0" borderId="0" applyFont="0" applyFill="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5"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0" borderId="0"/>
    <xf numFmtId="0" fontId="12" fillId="22"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0" borderId="0"/>
    <xf numFmtId="167" fontId="12" fillId="0" borderId="0" applyFont="0" applyFill="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0" borderId="0"/>
    <xf numFmtId="0" fontId="12" fillId="27" borderId="0" applyNumberFormat="0" applyBorder="0" applyAlignment="0" applyProtection="0"/>
    <xf numFmtId="0" fontId="12" fillId="0" borderId="0"/>
    <xf numFmtId="9" fontId="12" fillId="0" borderId="0" applyFont="0" applyFill="0" applyBorder="0" applyAlignment="0" applyProtection="0"/>
    <xf numFmtId="0" fontId="12" fillId="19"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0" borderId="0"/>
    <xf numFmtId="0" fontId="12" fillId="11"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30" borderId="0" applyNumberFormat="0" applyBorder="0" applyAlignment="0" applyProtection="0"/>
    <xf numFmtId="44"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0" borderId="0"/>
    <xf numFmtId="0" fontId="12" fillId="0" borderId="0"/>
    <xf numFmtId="0" fontId="12" fillId="27" borderId="0" applyNumberFormat="0" applyBorder="0" applyAlignment="0" applyProtection="0"/>
    <xf numFmtId="0" fontId="12" fillId="0" borderId="0"/>
    <xf numFmtId="0" fontId="12" fillId="27"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0" borderId="0"/>
    <xf numFmtId="0" fontId="12" fillId="19"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0" borderId="0"/>
    <xf numFmtId="0" fontId="12" fillId="23" borderId="0" applyNumberFormat="0" applyBorder="0" applyAlignment="0" applyProtection="0"/>
    <xf numFmtId="0" fontId="12" fillId="18"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30" borderId="0" applyNumberFormat="0" applyBorder="0" applyAlignment="0" applyProtection="0"/>
    <xf numFmtId="9" fontId="12" fillId="0" borderId="0" applyFont="0" applyFill="0" applyBorder="0" applyAlignment="0" applyProtection="0"/>
    <xf numFmtId="0" fontId="12" fillId="19" borderId="0" applyNumberFormat="0" applyBorder="0" applyAlignment="0" applyProtection="0"/>
    <xf numFmtId="44" fontId="12" fillId="0" borderId="0" applyFont="0" applyFill="0" applyBorder="0" applyAlignment="0" applyProtection="0"/>
    <xf numFmtId="0" fontId="12" fillId="31" borderId="0" applyNumberFormat="0" applyBorder="0" applyAlignment="0" applyProtection="0"/>
    <xf numFmtId="44" fontId="12" fillId="0" borderId="0" applyFont="0" applyFill="0" applyBorder="0" applyAlignment="0" applyProtection="0"/>
    <xf numFmtId="0" fontId="12" fillId="23" borderId="0" applyNumberFormat="0" applyBorder="0" applyAlignment="0" applyProtection="0"/>
    <xf numFmtId="0" fontId="12" fillId="26"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167" fontId="12" fillId="0" borderId="0" applyFont="0" applyFill="0" applyBorder="0" applyAlignment="0" applyProtection="0"/>
    <xf numFmtId="0" fontId="12" fillId="11"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43" fontId="12" fillId="0" borderId="0" applyFont="0" applyFill="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19" borderId="0" applyNumberFormat="0" applyBorder="0" applyAlignment="0" applyProtection="0"/>
    <xf numFmtId="0" fontId="12" fillId="30" borderId="0" applyNumberFormat="0" applyBorder="0" applyAlignment="0" applyProtection="0"/>
    <xf numFmtId="0" fontId="12" fillId="0" borderId="0"/>
    <xf numFmtId="0" fontId="12" fillId="0" borderId="0"/>
    <xf numFmtId="0" fontId="12" fillId="30" borderId="0" applyNumberFormat="0" applyBorder="0" applyAlignment="0" applyProtection="0"/>
    <xf numFmtId="0" fontId="12" fillId="23" borderId="0" applyNumberFormat="0" applyBorder="0" applyAlignment="0" applyProtection="0"/>
    <xf numFmtId="9" fontId="12" fillId="0" borderId="0" applyFon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26" borderId="0" applyNumberFormat="0" applyBorder="0" applyAlignment="0" applyProtection="0"/>
    <xf numFmtId="0" fontId="12" fillId="0" borderId="0"/>
    <xf numFmtId="0" fontId="12" fillId="19"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0" borderId="0"/>
    <xf numFmtId="0" fontId="12" fillId="18"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0" borderId="0"/>
    <xf numFmtId="0" fontId="12" fillId="0" borderId="0"/>
    <xf numFmtId="0" fontId="12" fillId="0" borderId="0"/>
    <xf numFmtId="167" fontId="12" fillId="0" borderId="0" applyFont="0" applyFill="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0" borderId="0"/>
    <xf numFmtId="0" fontId="12" fillId="14"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0" fontId="12" fillId="30" borderId="0" applyNumberFormat="0" applyBorder="0" applyAlignment="0" applyProtection="0"/>
    <xf numFmtId="0" fontId="12" fillId="0" borderId="0"/>
    <xf numFmtId="0" fontId="12" fillId="15" borderId="0" applyNumberFormat="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0" borderId="0"/>
    <xf numFmtId="0" fontId="12" fillId="30" borderId="0" applyNumberFormat="0" applyBorder="0" applyAlignment="0" applyProtection="0"/>
    <xf numFmtId="0" fontId="12" fillId="0" borderId="0"/>
    <xf numFmtId="0" fontId="12" fillId="14" borderId="0" applyNumberFormat="0" applyBorder="0" applyAlignment="0" applyProtection="0"/>
    <xf numFmtId="0" fontId="12" fillId="0" borderId="0"/>
    <xf numFmtId="0" fontId="12" fillId="26"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31" borderId="0" applyNumberFormat="0" applyBorder="0" applyAlignment="0" applyProtection="0"/>
    <xf numFmtId="0" fontId="12" fillId="0" borderId="0"/>
    <xf numFmtId="0" fontId="12" fillId="23"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0" borderId="0"/>
    <xf numFmtId="0" fontId="12" fillId="23" borderId="0" applyNumberFormat="0" applyBorder="0" applyAlignment="0" applyProtection="0"/>
    <xf numFmtId="0" fontId="12" fillId="10" borderId="0" applyNumberFormat="0" applyBorder="0" applyAlignment="0" applyProtection="0"/>
    <xf numFmtId="44" fontId="12" fillId="0" borderId="0" applyFont="0" applyFill="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8" borderId="10" applyNumberFormat="0" applyFont="0" applyAlignment="0" applyProtection="0"/>
    <xf numFmtId="0" fontId="12" fillId="23"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9" fontId="12" fillId="0" borderId="0" applyFont="0" applyFill="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8" borderId="10" applyNumberFormat="0" applyFont="0" applyAlignment="0" applyProtection="0"/>
    <xf numFmtId="43" fontId="12" fillId="0" borderId="0" applyFont="0" applyFill="0" applyBorder="0" applyAlignment="0" applyProtection="0"/>
    <xf numFmtId="0" fontId="12" fillId="19"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14" borderId="0" applyNumberFormat="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0" borderId="0"/>
    <xf numFmtId="0" fontId="12" fillId="30"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0" borderId="0"/>
    <xf numFmtId="0" fontId="12" fillId="8" borderId="10" applyNumberFormat="0" applyFont="0" applyAlignment="0" applyProtection="0"/>
    <xf numFmtId="0" fontId="12" fillId="11"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0" borderId="0"/>
    <xf numFmtId="9" fontId="12" fillId="0" borderId="0" applyFont="0" applyFill="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0" borderId="0"/>
    <xf numFmtId="9" fontId="12" fillId="0" borderId="0" applyFon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0" borderId="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0" borderId="0"/>
    <xf numFmtId="0" fontId="12" fillId="15" borderId="0" applyNumberFormat="0" applyBorder="0" applyAlignment="0" applyProtection="0"/>
    <xf numFmtId="0" fontId="12" fillId="0" borderId="0"/>
    <xf numFmtId="0" fontId="12" fillId="26"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30" borderId="0" applyNumberFormat="0" applyBorder="0" applyAlignment="0" applyProtection="0"/>
    <xf numFmtId="167" fontId="12" fillId="0" borderId="0" applyFont="0" applyFill="0" applyBorder="0" applyAlignment="0" applyProtection="0"/>
    <xf numFmtId="0" fontId="12" fillId="15" borderId="0" applyNumberFormat="0" applyBorder="0" applyAlignment="0" applyProtection="0"/>
    <xf numFmtId="0" fontId="12" fillId="0" borderId="0"/>
    <xf numFmtId="0" fontId="12" fillId="10" borderId="0" applyNumberFormat="0" applyBorder="0" applyAlignment="0" applyProtection="0"/>
    <xf numFmtId="0" fontId="12" fillId="0" borderId="0"/>
    <xf numFmtId="0" fontId="12" fillId="30"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31"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0" borderId="0"/>
    <xf numFmtId="0" fontId="12" fillId="26"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0" borderId="0"/>
    <xf numFmtId="167" fontId="12" fillId="0" borderId="0" applyFont="0" applyFill="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0" borderId="0"/>
    <xf numFmtId="0" fontId="12" fillId="27"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31" borderId="0" applyNumberFormat="0" applyBorder="0" applyAlignment="0" applyProtection="0"/>
    <xf numFmtId="167" fontId="12" fillId="0" borderId="0" applyFont="0" applyFill="0" applyBorder="0" applyAlignment="0" applyProtection="0"/>
    <xf numFmtId="0" fontId="12" fillId="30" borderId="0" applyNumberFormat="0" applyBorder="0" applyAlignment="0" applyProtection="0"/>
    <xf numFmtId="0" fontId="12" fillId="0" borderId="0"/>
    <xf numFmtId="0" fontId="12" fillId="23" borderId="0" applyNumberFormat="0" applyBorder="0" applyAlignment="0" applyProtection="0"/>
    <xf numFmtId="167"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0" borderId="0"/>
    <xf numFmtId="0" fontId="12" fillId="19"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44" fontId="12" fillId="0" borderId="0" applyFont="0" applyFill="0" applyBorder="0" applyAlignment="0" applyProtection="0"/>
    <xf numFmtId="0" fontId="12" fillId="0" borderId="0"/>
    <xf numFmtId="0" fontId="12" fillId="0" borderId="0"/>
    <xf numFmtId="0" fontId="12" fillId="26" borderId="0" applyNumberFormat="0" applyBorder="0" applyAlignment="0" applyProtection="0"/>
    <xf numFmtId="0" fontId="12" fillId="0" borderId="0"/>
    <xf numFmtId="0" fontId="12" fillId="22" borderId="0" applyNumberFormat="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0" borderId="0"/>
    <xf numFmtId="0" fontId="12" fillId="18"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44" fontId="12" fillId="0" borderId="0" applyFont="0" applyFill="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44" fontId="12" fillId="0" borderId="0" applyFont="0" applyFill="0" applyBorder="0" applyAlignment="0" applyProtection="0"/>
    <xf numFmtId="0" fontId="12" fillId="0" borderId="0"/>
    <xf numFmtId="0" fontId="12" fillId="23"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0" borderId="0"/>
    <xf numFmtId="0" fontId="12" fillId="18"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27" borderId="0" applyNumberFormat="0" applyBorder="0" applyAlignment="0" applyProtection="0"/>
    <xf numFmtId="0" fontId="12" fillId="0" borderId="0"/>
    <xf numFmtId="0" fontId="12" fillId="26" borderId="0" applyNumberFormat="0" applyBorder="0" applyAlignment="0" applyProtection="0"/>
    <xf numFmtId="0" fontId="12" fillId="11"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0" borderId="0"/>
    <xf numFmtId="0" fontId="12" fillId="30" borderId="0" applyNumberFormat="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18"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167" fontId="12" fillId="0" borderId="0" applyFont="0" applyFill="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31"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26"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9" fontId="12" fillId="0" borderId="0" applyFont="0" applyFill="0" applyBorder="0" applyAlignment="0" applyProtection="0"/>
    <xf numFmtId="0" fontId="12" fillId="15"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0" borderId="0" applyNumberFormat="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0" borderId="0"/>
    <xf numFmtId="0" fontId="12" fillId="0" borderId="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0" borderId="0"/>
    <xf numFmtId="0" fontId="12" fillId="26"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22"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44" fontId="12" fillId="0" borderId="0" applyFont="0" applyFill="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0" borderId="0"/>
    <xf numFmtId="0" fontId="12" fillId="22"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44" fontId="12" fillId="0" borderId="0" applyFont="0" applyFill="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0" fontId="12" fillId="0" borderId="0"/>
    <xf numFmtId="0" fontId="12" fillId="0" borderId="0"/>
    <xf numFmtId="0" fontId="12" fillId="15" borderId="0" applyNumberFormat="0" applyBorder="0" applyAlignment="0" applyProtection="0"/>
    <xf numFmtId="0" fontId="12" fillId="30" borderId="0" applyNumberFormat="0" applyBorder="0" applyAlignment="0" applyProtection="0"/>
    <xf numFmtId="0" fontId="12" fillId="0" borderId="0"/>
    <xf numFmtId="0" fontId="12" fillId="15"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0" fontId="12" fillId="18" borderId="0" applyNumberFormat="0" applyBorder="0" applyAlignment="0" applyProtection="0"/>
    <xf numFmtId="167" fontId="12" fillId="0" borderId="0" applyFont="0" applyFill="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11"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44" fontId="12" fillId="0" borderId="0" applyFont="0" applyFill="0" applyBorder="0" applyAlignment="0" applyProtection="0"/>
    <xf numFmtId="0" fontId="12" fillId="19" borderId="0" applyNumberFormat="0" applyBorder="0" applyAlignment="0" applyProtection="0"/>
    <xf numFmtId="0" fontId="12" fillId="10" borderId="0" applyNumberFormat="0" applyBorder="0" applyAlignment="0" applyProtection="0"/>
    <xf numFmtId="0" fontId="12" fillId="0" borderId="0"/>
    <xf numFmtId="0" fontId="12" fillId="22" borderId="0" applyNumberFormat="0" applyBorder="0" applyAlignment="0" applyProtection="0"/>
    <xf numFmtId="0" fontId="12" fillId="10"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43" fontId="12" fillId="0" borderId="0" applyFont="0" applyFill="0" applyBorder="0" applyAlignment="0" applyProtection="0"/>
    <xf numFmtId="0" fontId="12" fillId="0" borderId="0"/>
    <xf numFmtId="44" fontId="12" fillId="0" borderId="0" applyFont="0" applyFill="0" applyBorder="0" applyAlignment="0" applyProtection="0"/>
    <xf numFmtId="0" fontId="12" fillId="0" borderId="0"/>
    <xf numFmtId="0" fontId="12" fillId="19" borderId="0" applyNumberFormat="0" applyBorder="0" applyAlignment="0" applyProtection="0"/>
    <xf numFmtId="0" fontId="12" fillId="14"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0" borderId="0"/>
    <xf numFmtId="0" fontId="12" fillId="31"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0" borderId="0"/>
    <xf numFmtId="0" fontId="12" fillId="11" borderId="0" applyNumberFormat="0" applyBorder="0" applyAlignment="0" applyProtection="0"/>
    <xf numFmtId="0" fontId="12" fillId="0" borderId="0"/>
    <xf numFmtId="0" fontId="12" fillId="10" borderId="0" applyNumberFormat="0" applyBorder="0" applyAlignment="0" applyProtection="0"/>
    <xf numFmtId="0" fontId="12" fillId="22" borderId="0" applyNumberFormat="0" applyBorder="0" applyAlignment="0" applyProtection="0"/>
    <xf numFmtId="44" fontId="12" fillId="0" borderId="0" applyFont="0" applyFill="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0" borderId="0"/>
    <xf numFmtId="0" fontId="12" fillId="10" borderId="0" applyNumberFormat="0" applyBorder="0" applyAlignment="0" applyProtection="0"/>
    <xf numFmtId="167" fontId="12" fillId="0" borderId="0" applyFont="0" applyFill="0" applyBorder="0" applyAlignment="0" applyProtection="0"/>
    <xf numFmtId="0" fontId="12" fillId="11"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11" borderId="0" applyNumberFormat="0" applyBorder="0" applyAlignment="0" applyProtection="0"/>
    <xf numFmtId="0" fontId="12" fillId="0" borderId="0"/>
    <xf numFmtId="0" fontId="12" fillId="30" borderId="0" applyNumberFormat="0" applyBorder="0" applyAlignment="0" applyProtection="0"/>
    <xf numFmtId="0" fontId="12" fillId="30" borderId="0" applyNumberFormat="0" applyBorder="0" applyAlignment="0" applyProtection="0"/>
    <xf numFmtId="9" fontId="12" fillId="0" borderId="0" applyFont="0" applyFill="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0" borderId="0"/>
    <xf numFmtId="0" fontId="12" fillId="0" borderId="0"/>
    <xf numFmtId="0" fontId="12" fillId="8" borderId="10" applyNumberFormat="0" applyFont="0" applyAlignment="0" applyProtection="0"/>
    <xf numFmtId="0" fontId="12" fillId="0" borderId="0"/>
    <xf numFmtId="43" fontId="12" fillId="0" borderId="0" applyFont="0" applyFill="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0" borderId="0"/>
    <xf numFmtId="9" fontId="12" fillId="0" borderId="0" applyFont="0" applyFill="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0" borderId="0"/>
    <xf numFmtId="0" fontId="12" fillId="19"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0" borderId="0"/>
    <xf numFmtId="0" fontId="12" fillId="10"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0" borderId="0"/>
    <xf numFmtId="0" fontId="12" fillId="10" borderId="0" applyNumberFormat="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0" borderId="0"/>
    <xf numFmtId="0" fontId="12" fillId="22"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9" fontId="12" fillId="0" borderId="0" applyFont="0" applyFill="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0" borderId="0"/>
    <xf numFmtId="0" fontId="12" fillId="14" borderId="0" applyNumberFormat="0" applyBorder="0" applyAlignment="0" applyProtection="0"/>
    <xf numFmtId="0" fontId="12" fillId="14" borderId="0" applyNumberFormat="0" applyBorder="0" applyAlignment="0" applyProtection="0"/>
    <xf numFmtId="0" fontId="12" fillId="0" borderId="0"/>
    <xf numFmtId="0" fontId="12" fillId="11"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0" borderId="0"/>
    <xf numFmtId="0" fontId="12" fillId="0" borderId="0"/>
    <xf numFmtId="43" fontId="12" fillId="0" borderId="0" applyFont="0" applyFill="0" applyBorder="0" applyAlignment="0" applyProtection="0"/>
    <xf numFmtId="0" fontId="12" fillId="15" borderId="0" applyNumberFormat="0" applyBorder="0" applyAlignment="0" applyProtection="0"/>
    <xf numFmtId="9" fontId="12" fillId="0" borderId="0" applyFont="0" applyFill="0" applyBorder="0" applyAlignment="0" applyProtection="0"/>
    <xf numFmtId="0" fontId="12" fillId="0" borderId="0"/>
    <xf numFmtId="167" fontId="12" fillId="0" borderId="0" applyFont="0" applyFill="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27"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11" borderId="0" applyNumberFormat="0" applyBorder="0" applyAlignment="0" applyProtection="0"/>
    <xf numFmtId="0" fontId="12" fillId="31" borderId="0" applyNumberFormat="0" applyBorder="0" applyAlignment="0" applyProtection="0"/>
    <xf numFmtId="0" fontId="12" fillId="0" borderId="0"/>
    <xf numFmtId="0" fontId="12" fillId="30"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0" fontId="12" fillId="27" borderId="0" applyNumberFormat="0" applyBorder="0" applyAlignment="0" applyProtection="0"/>
    <xf numFmtId="167" fontId="12" fillId="0" borderId="0" applyFont="0" applyFill="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22" borderId="0" applyNumberFormat="0" applyBorder="0" applyAlignment="0" applyProtection="0"/>
    <xf numFmtId="0" fontId="12" fillId="0" borderId="0"/>
    <xf numFmtId="0" fontId="12" fillId="14" borderId="0" applyNumberFormat="0" applyBorder="0" applyAlignment="0" applyProtection="0"/>
    <xf numFmtId="0" fontId="12" fillId="0" borderId="0"/>
    <xf numFmtId="167" fontId="12" fillId="0" borderId="0" applyFont="0" applyFill="0" applyBorder="0" applyAlignment="0" applyProtection="0"/>
    <xf numFmtId="0" fontId="12" fillId="0" borderId="0"/>
    <xf numFmtId="0" fontId="12" fillId="15"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23"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0" borderId="0"/>
    <xf numFmtId="0" fontId="12" fillId="14" borderId="0" applyNumberFormat="0" applyBorder="0" applyAlignment="0" applyProtection="0"/>
    <xf numFmtId="0" fontId="12" fillId="22" borderId="0" applyNumberFormat="0" applyBorder="0" applyAlignment="0" applyProtection="0"/>
    <xf numFmtId="0" fontId="12" fillId="0" borderId="0"/>
    <xf numFmtId="0" fontId="12" fillId="15" borderId="0" applyNumberFormat="0" applyBorder="0" applyAlignment="0" applyProtection="0"/>
    <xf numFmtId="9" fontId="12" fillId="0" borderId="0" applyFont="0" applyFill="0" applyBorder="0" applyAlignment="0" applyProtection="0"/>
    <xf numFmtId="0" fontId="12" fillId="0" borderId="0"/>
    <xf numFmtId="0" fontId="12" fillId="26" borderId="0" applyNumberFormat="0" applyBorder="0" applyAlignment="0" applyProtection="0"/>
    <xf numFmtId="0" fontId="12" fillId="27" borderId="0" applyNumberFormat="0" applyBorder="0" applyAlignment="0" applyProtection="0"/>
    <xf numFmtId="0" fontId="12" fillId="0" borderId="0"/>
    <xf numFmtId="0" fontId="12" fillId="0" borderId="0"/>
    <xf numFmtId="0" fontId="12" fillId="18" borderId="0" applyNumberFormat="0" applyBorder="0" applyAlignment="0" applyProtection="0"/>
    <xf numFmtId="44" fontId="12" fillId="0" borderId="0" applyFont="0" applyFill="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0" borderId="0"/>
    <xf numFmtId="0" fontId="12" fillId="30"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0" borderId="0"/>
    <xf numFmtId="0" fontId="12" fillId="14" borderId="0" applyNumberFormat="0" applyBorder="0" applyAlignment="0" applyProtection="0"/>
    <xf numFmtId="0" fontId="12" fillId="26" borderId="0" applyNumberFormat="0" applyBorder="0" applyAlignment="0" applyProtection="0"/>
    <xf numFmtId="9" fontId="12" fillId="0" borderId="0" applyFont="0" applyFill="0" applyBorder="0" applyAlignment="0" applyProtection="0"/>
    <xf numFmtId="0" fontId="12" fillId="0" borderId="0"/>
    <xf numFmtId="0" fontId="12" fillId="27"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22" borderId="0" applyNumberFormat="0" applyBorder="0" applyAlignment="0" applyProtection="0"/>
    <xf numFmtId="0" fontId="12" fillId="0" borderId="0"/>
    <xf numFmtId="0" fontId="12" fillId="26" borderId="0" applyNumberFormat="0" applyBorder="0" applyAlignment="0" applyProtection="0"/>
    <xf numFmtId="0" fontId="12" fillId="18" borderId="0" applyNumberFormat="0" applyBorder="0" applyAlignment="0" applyProtection="0"/>
    <xf numFmtId="0" fontId="12" fillId="27" borderId="0" applyNumberFormat="0" applyBorder="0" applyAlignment="0" applyProtection="0"/>
    <xf numFmtId="0" fontId="12" fillId="11" borderId="0" applyNumberFormat="0" applyBorder="0" applyAlignment="0" applyProtection="0"/>
    <xf numFmtId="0" fontId="12" fillId="27"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9" fontId="12" fillId="0" borderId="0" applyFont="0" applyFill="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0" borderId="0"/>
    <xf numFmtId="0" fontId="12" fillId="31" borderId="0" applyNumberFormat="0" applyBorder="0" applyAlignment="0" applyProtection="0"/>
    <xf numFmtId="9" fontId="12" fillId="0" borderId="0" applyFont="0" applyFill="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0" borderId="0"/>
    <xf numFmtId="0" fontId="12" fillId="15"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18" borderId="0" applyNumberFormat="0" applyBorder="0" applyAlignment="0" applyProtection="0"/>
    <xf numFmtId="0" fontId="12" fillId="0" borderId="0"/>
    <xf numFmtId="0" fontId="12" fillId="22"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0" borderId="0"/>
    <xf numFmtId="0" fontId="12" fillId="0" borderId="0"/>
    <xf numFmtId="0" fontId="12" fillId="15"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167" fontId="12" fillId="0" borderId="0" applyFont="0" applyFill="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0" borderId="0"/>
    <xf numFmtId="0" fontId="12" fillId="30" borderId="0" applyNumberFormat="0" applyBorder="0" applyAlignment="0" applyProtection="0"/>
    <xf numFmtId="0" fontId="12" fillId="22"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31" borderId="0" applyNumberFormat="0" applyBorder="0" applyAlignment="0" applyProtection="0"/>
    <xf numFmtId="9" fontId="12" fillId="0" borderId="0" applyFont="0" applyFill="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22"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27"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9" fontId="12" fillId="0" borderId="0" applyFont="0" applyFill="0" applyBorder="0" applyAlignment="0" applyProtection="0"/>
    <xf numFmtId="0" fontId="12" fillId="0" borderId="0"/>
    <xf numFmtId="0" fontId="12" fillId="18" borderId="0" applyNumberFormat="0" applyBorder="0" applyAlignment="0" applyProtection="0"/>
    <xf numFmtId="0" fontId="12" fillId="15" borderId="0" applyNumberFormat="0" applyBorder="0" applyAlignment="0" applyProtection="0"/>
    <xf numFmtId="44" fontId="12" fillId="0" borderId="0" applyFont="0" applyFill="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19" borderId="0" applyNumberFormat="0" applyBorder="0" applyAlignment="0" applyProtection="0"/>
    <xf numFmtId="0" fontId="12" fillId="0" borderId="0"/>
    <xf numFmtId="0" fontId="12" fillId="22" borderId="0" applyNumberFormat="0" applyBorder="0" applyAlignment="0" applyProtection="0"/>
    <xf numFmtId="0" fontId="12" fillId="19"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14" borderId="0" applyNumberFormat="0" applyBorder="0" applyAlignment="0" applyProtection="0"/>
    <xf numFmtId="44" fontId="12" fillId="0" borderId="0" applyFont="0" applyFill="0" applyBorder="0" applyAlignment="0" applyProtection="0"/>
    <xf numFmtId="0" fontId="12" fillId="18" borderId="0" applyNumberFormat="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27" borderId="0" applyNumberFormat="0" applyBorder="0" applyAlignment="0" applyProtection="0"/>
    <xf numFmtId="9" fontId="12" fillId="0" borderId="0" applyFont="0" applyFill="0" applyBorder="0" applyAlignment="0" applyProtection="0"/>
    <xf numFmtId="0" fontId="12" fillId="27" borderId="0" applyNumberFormat="0" applyBorder="0" applyAlignment="0" applyProtection="0"/>
    <xf numFmtId="0" fontId="12" fillId="0" borderId="0"/>
    <xf numFmtId="0" fontId="12" fillId="14" borderId="0" applyNumberFormat="0" applyBorder="0" applyAlignment="0" applyProtection="0"/>
    <xf numFmtId="0" fontId="12" fillId="8" borderId="10" applyNumberFormat="0" applyFont="0" applyAlignment="0" applyProtection="0"/>
    <xf numFmtId="0" fontId="12" fillId="15" borderId="0" applyNumberFormat="0" applyBorder="0" applyAlignment="0" applyProtection="0"/>
    <xf numFmtId="9" fontId="12" fillId="0" borderId="0" applyFont="0" applyFill="0" applyBorder="0" applyAlignment="0" applyProtection="0"/>
    <xf numFmtId="0" fontId="12" fillId="0" borderId="0"/>
    <xf numFmtId="0" fontId="12" fillId="30"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27" borderId="0" applyNumberFormat="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0" borderId="0"/>
    <xf numFmtId="0" fontId="12" fillId="11" borderId="0" applyNumberFormat="0" applyBorder="0" applyAlignment="0" applyProtection="0"/>
    <xf numFmtId="0" fontId="12" fillId="0" borderId="0"/>
    <xf numFmtId="9" fontId="12" fillId="0" borderId="0" applyFont="0" applyFill="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14" borderId="0" applyNumberFormat="0" applyBorder="0" applyAlignment="0" applyProtection="0"/>
    <xf numFmtId="0" fontId="12" fillId="0" borderId="0"/>
    <xf numFmtId="0" fontId="12" fillId="0" borderId="0"/>
    <xf numFmtId="0" fontId="12" fillId="10" borderId="0" applyNumberFormat="0" applyBorder="0" applyAlignment="0" applyProtection="0"/>
    <xf numFmtId="0" fontId="12" fillId="31" borderId="0" applyNumberFormat="0" applyBorder="0" applyAlignment="0" applyProtection="0"/>
    <xf numFmtId="0" fontId="12" fillId="22" borderId="0" applyNumberFormat="0" applyBorder="0" applyAlignment="0" applyProtection="0"/>
    <xf numFmtId="0" fontId="12" fillId="0" borderId="0"/>
    <xf numFmtId="167" fontId="12" fillId="0" borderId="0" applyFont="0" applyFill="0" applyBorder="0" applyAlignment="0" applyProtection="0"/>
    <xf numFmtId="0" fontId="12" fillId="0" borderId="0"/>
    <xf numFmtId="0" fontId="12" fillId="19" borderId="0" applyNumberFormat="0" applyBorder="0" applyAlignment="0" applyProtection="0"/>
    <xf numFmtId="0" fontId="12" fillId="10"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4" fontId="12" fillId="0" borderId="0" applyFont="0" applyFill="0" applyBorder="0" applyAlignment="0" applyProtection="0"/>
    <xf numFmtId="43" fontId="12" fillId="0" borderId="0" applyFont="0" applyFill="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0" borderId="0"/>
    <xf numFmtId="0" fontId="12" fillId="0" borderId="0"/>
    <xf numFmtId="0" fontId="12" fillId="8" borderId="10" applyNumberFormat="0" applyFont="0" applyAlignment="0" applyProtection="0"/>
    <xf numFmtId="0" fontId="12" fillId="22"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0" borderId="0"/>
    <xf numFmtId="0" fontId="12" fillId="8" borderId="10" applyNumberFormat="0" applyFont="0" applyAlignment="0" applyProtection="0"/>
    <xf numFmtId="0" fontId="12" fillId="18" borderId="0" applyNumberFormat="0" applyBorder="0" applyAlignment="0" applyProtection="0"/>
    <xf numFmtId="167" fontId="12" fillId="0" borderId="0" applyFont="0" applyFill="0" applyBorder="0" applyAlignment="0" applyProtection="0"/>
    <xf numFmtId="0" fontId="12" fillId="0" borderId="0"/>
    <xf numFmtId="0" fontId="12" fillId="30" borderId="0" applyNumberFormat="0" applyBorder="0" applyAlignment="0" applyProtection="0"/>
    <xf numFmtId="0" fontId="12" fillId="14"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0" borderId="0"/>
    <xf numFmtId="0" fontId="12" fillId="26" borderId="0" applyNumberFormat="0" applyBorder="0" applyAlignment="0" applyProtection="0"/>
    <xf numFmtId="0" fontId="12" fillId="18" borderId="0" applyNumberFormat="0" applyBorder="0" applyAlignment="0" applyProtection="0"/>
    <xf numFmtId="0" fontId="12" fillId="0" borderId="0"/>
    <xf numFmtId="0" fontId="12" fillId="26"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4" fontId="12" fillId="0" borderId="0" applyFont="0" applyFill="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0" borderId="0"/>
    <xf numFmtId="9" fontId="12" fillId="0" borderId="0" applyFont="0" applyFill="0" applyBorder="0" applyAlignment="0" applyProtection="0"/>
    <xf numFmtId="0" fontId="12" fillId="0" borderId="0"/>
    <xf numFmtId="0" fontId="12" fillId="15" borderId="0" applyNumberFormat="0" applyBorder="0" applyAlignment="0" applyProtection="0"/>
    <xf numFmtId="43" fontId="12" fillId="0" borderId="0" applyFont="0" applyFill="0" applyBorder="0" applyAlignment="0" applyProtection="0"/>
    <xf numFmtId="0" fontId="12" fillId="18"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8"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0" borderId="0"/>
    <xf numFmtId="0" fontId="12" fillId="23"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10"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8" borderId="10" applyNumberFormat="0" applyFont="0" applyAlignment="0" applyProtection="0"/>
    <xf numFmtId="0" fontId="12" fillId="0" borderId="0"/>
    <xf numFmtId="0" fontId="12" fillId="14"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0" borderId="0"/>
    <xf numFmtId="0" fontId="12" fillId="22" borderId="0" applyNumberFormat="0" applyBorder="0" applyAlignment="0" applyProtection="0"/>
    <xf numFmtId="0" fontId="12" fillId="8" borderId="10" applyNumberFormat="0" applyFont="0" applyAlignment="0" applyProtection="0"/>
    <xf numFmtId="0" fontId="12" fillId="23" borderId="0" applyNumberFormat="0" applyBorder="0" applyAlignment="0" applyProtection="0"/>
    <xf numFmtId="0" fontId="12" fillId="15" borderId="0" applyNumberFormat="0" applyBorder="0" applyAlignment="0" applyProtection="0"/>
    <xf numFmtId="0" fontId="12" fillId="0" borderId="0"/>
    <xf numFmtId="0" fontId="12" fillId="31" borderId="0" applyNumberFormat="0" applyBorder="0" applyAlignment="0" applyProtection="0"/>
    <xf numFmtId="0" fontId="12" fillId="22" borderId="0" applyNumberFormat="0" applyBorder="0" applyAlignment="0" applyProtection="0"/>
    <xf numFmtId="0" fontId="12" fillId="31" borderId="0" applyNumberFormat="0" applyBorder="0" applyAlignment="0" applyProtection="0"/>
    <xf numFmtId="0" fontId="12" fillId="0" borderId="0"/>
    <xf numFmtId="0" fontId="12" fillId="27" borderId="0" applyNumberFormat="0" applyBorder="0" applyAlignment="0" applyProtection="0"/>
    <xf numFmtId="44" fontId="12" fillId="0" borderId="0" applyFont="0" applyFill="0" applyBorder="0" applyAlignment="0" applyProtection="0"/>
    <xf numFmtId="0" fontId="12" fillId="22"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9" borderId="0" applyNumberFormat="0" applyBorder="0" applyAlignment="0" applyProtection="0"/>
    <xf numFmtId="0" fontId="12" fillId="14" borderId="0" applyNumberFormat="0" applyBorder="0" applyAlignment="0" applyProtection="0"/>
    <xf numFmtId="44" fontId="12" fillId="0" borderId="0" applyFont="0" applyFill="0" applyBorder="0" applyAlignment="0" applyProtection="0"/>
    <xf numFmtId="0" fontId="12" fillId="26" borderId="0" applyNumberFormat="0" applyBorder="0" applyAlignment="0" applyProtection="0"/>
    <xf numFmtId="0" fontId="12" fillId="11"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22"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10" borderId="0" applyNumberFormat="0" applyBorder="0" applyAlignment="0" applyProtection="0"/>
    <xf numFmtId="0" fontId="12" fillId="18"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9" fontId="12" fillId="0" borderId="0" applyFont="0" applyFill="0" applyBorder="0" applyAlignment="0" applyProtection="0"/>
    <xf numFmtId="0" fontId="12" fillId="31" borderId="0" applyNumberFormat="0" applyBorder="0" applyAlignment="0" applyProtection="0"/>
    <xf numFmtId="0" fontId="12" fillId="18"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9" fontId="12" fillId="0" borderId="0" applyFont="0" applyFill="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3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8" borderId="10" applyNumberFormat="0" applyFont="0" applyAlignment="0" applyProtection="0"/>
    <xf numFmtId="0" fontId="12" fillId="0" borderId="0"/>
    <xf numFmtId="0" fontId="12" fillId="10" borderId="0" applyNumberFormat="0" applyBorder="0" applyAlignment="0" applyProtection="0"/>
    <xf numFmtId="43" fontId="12" fillId="0" borderId="0" applyFont="0" applyFill="0" applyBorder="0" applyAlignment="0" applyProtection="0"/>
    <xf numFmtId="0" fontId="12" fillId="11" borderId="0" applyNumberFormat="0" applyBorder="0" applyAlignment="0" applyProtection="0"/>
    <xf numFmtId="0" fontId="12" fillId="0" borderId="0"/>
    <xf numFmtId="0" fontId="12" fillId="26" borderId="0" applyNumberFormat="0" applyBorder="0" applyAlignment="0" applyProtection="0"/>
    <xf numFmtId="0" fontId="12" fillId="10" borderId="0" applyNumberFormat="0" applyBorder="0" applyAlignment="0" applyProtection="0"/>
    <xf numFmtId="0" fontId="12" fillId="0" borderId="0"/>
    <xf numFmtId="44" fontId="12" fillId="0" borderId="0" applyFont="0" applyFill="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167" fontId="12" fillId="0" borderId="0" applyFont="0" applyFill="0" applyBorder="0" applyAlignment="0" applyProtection="0"/>
    <xf numFmtId="0" fontId="12" fillId="8" borderId="10" applyNumberFormat="0" applyFont="0" applyAlignment="0" applyProtection="0"/>
    <xf numFmtId="0" fontId="12" fillId="26" borderId="0" applyNumberFormat="0" applyBorder="0" applyAlignment="0" applyProtection="0"/>
    <xf numFmtId="0" fontId="12" fillId="30" borderId="0" applyNumberFormat="0" applyBorder="0" applyAlignment="0" applyProtection="0"/>
    <xf numFmtId="0" fontId="12" fillId="10" borderId="0" applyNumberFormat="0" applyBorder="0" applyAlignment="0" applyProtection="0"/>
    <xf numFmtId="167" fontId="12" fillId="0" borderId="0" applyFont="0" applyFill="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0" borderId="0"/>
    <xf numFmtId="0" fontId="12" fillId="1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4"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8" borderId="10" applyNumberFormat="0" applyFont="0" applyAlignment="0" applyProtection="0"/>
    <xf numFmtId="0" fontId="12" fillId="30" borderId="0" applyNumberFormat="0" applyBorder="0" applyAlignment="0" applyProtection="0"/>
    <xf numFmtId="0" fontId="12" fillId="0" borderId="0"/>
    <xf numFmtId="0" fontId="12" fillId="0" borderId="0"/>
    <xf numFmtId="0" fontId="12" fillId="0" borderId="0"/>
    <xf numFmtId="0" fontId="12" fillId="0" borderId="0"/>
    <xf numFmtId="0" fontId="12" fillId="23" borderId="0" applyNumberFormat="0" applyBorder="0" applyAlignment="0" applyProtection="0"/>
    <xf numFmtId="0" fontId="12" fillId="18" borderId="0" applyNumberFormat="0" applyBorder="0" applyAlignment="0" applyProtection="0"/>
    <xf numFmtId="0" fontId="12" fillId="23" borderId="0" applyNumberFormat="0" applyBorder="0" applyAlignment="0" applyProtection="0"/>
    <xf numFmtId="0" fontId="12" fillId="30" borderId="0" applyNumberFormat="0" applyBorder="0" applyAlignment="0" applyProtection="0"/>
    <xf numFmtId="0" fontId="12" fillId="23" borderId="0" applyNumberFormat="0" applyBorder="0" applyAlignment="0" applyProtection="0"/>
    <xf numFmtId="0" fontId="12" fillId="11" borderId="0" applyNumberFormat="0" applyBorder="0" applyAlignment="0" applyProtection="0"/>
    <xf numFmtId="167" fontId="12" fillId="0" borderId="0" applyFont="0" applyFill="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30" borderId="0" applyNumberFormat="0" applyBorder="0" applyAlignment="0" applyProtection="0"/>
    <xf numFmtId="0" fontId="12" fillId="19"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9" fontId="12" fillId="0" borderId="0" applyFont="0" applyFill="0" applyBorder="0" applyAlignment="0" applyProtection="0"/>
    <xf numFmtId="0" fontId="12" fillId="19" borderId="0" applyNumberFormat="0" applyBorder="0" applyAlignment="0" applyProtection="0"/>
    <xf numFmtId="43" fontId="12" fillId="0" borderId="0" applyFont="0" applyFill="0" applyBorder="0" applyAlignment="0" applyProtection="0"/>
    <xf numFmtId="0" fontId="12" fillId="22" borderId="0" applyNumberFormat="0" applyBorder="0" applyAlignment="0" applyProtection="0"/>
    <xf numFmtId="44" fontId="12" fillId="0" borderId="0" applyFont="0" applyFill="0" applyBorder="0" applyAlignment="0" applyProtection="0"/>
    <xf numFmtId="0" fontId="12" fillId="0" borderId="0"/>
    <xf numFmtId="0" fontId="12" fillId="18" borderId="0" applyNumberFormat="0" applyBorder="0" applyAlignment="0" applyProtection="0"/>
    <xf numFmtId="0" fontId="12" fillId="26" borderId="0" applyNumberFormat="0" applyBorder="0" applyAlignment="0" applyProtection="0"/>
    <xf numFmtId="0" fontId="12" fillId="14" borderId="0" applyNumberFormat="0" applyBorder="0" applyAlignment="0" applyProtection="0"/>
    <xf numFmtId="0" fontId="12" fillId="0" borderId="0"/>
    <xf numFmtId="0" fontId="12" fillId="14" borderId="0" applyNumberFormat="0" applyBorder="0" applyAlignment="0" applyProtection="0"/>
    <xf numFmtId="0" fontId="12" fillId="22"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18"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5" borderId="0" applyNumberFormat="0" applyBorder="0" applyAlignment="0" applyProtection="0"/>
    <xf numFmtId="0" fontId="12" fillId="26" borderId="0" applyNumberFormat="0" applyBorder="0" applyAlignment="0" applyProtection="0"/>
    <xf numFmtId="0" fontId="12" fillId="10" borderId="0" applyNumberFormat="0" applyBorder="0" applyAlignment="0" applyProtection="0"/>
    <xf numFmtId="0" fontId="12" fillId="0" borderId="0"/>
    <xf numFmtId="0" fontId="12" fillId="26" borderId="0" applyNumberFormat="0" applyBorder="0" applyAlignment="0" applyProtection="0"/>
    <xf numFmtId="0" fontId="12" fillId="14"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0" borderId="0"/>
    <xf numFmtId="0" fontId="12" fillId="10"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0" borderId="0"/>
    <xf numFmtId="0" fontId="12" fillId="27" borderId="0" applyNumberFormat="0" applyBorder="0" applyAlignment="0" applyProtection="0"/>
    <xf numFmtId="0" fontId="12" fillId="30" borderId="0" applyNumberFormat="0" applyBorder="0" applyAlignment="0" applyProtection="0"/>
    <xf numFmtId="0" fontId="12" fillId="0" borderId="0"/>
    <xf numFmtId="0" fontId="12" fillId="14" borderId="0" applyNumberFormat="0" applyBorder="0" applyAlignment="0" applyProtection="0"/>
    <xf numFmtId="0" fontId="12" fillId="22" borderId="0" applyNumberFormat="0" applyBorder="0" applyAlignment="0" applyProtection="0"/>
    <xf numFmtId="0" fontId="12" fillId="10"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18" borderId="0" applyNumberFormat="0" applyBorder="0" applyAlignment="0" applyProtection="0"/>
    <xf numFmtId="0" fontId="12" fillId="8" borderId="10" applyNumberFormat="0" applyFont="0" applyAlignment="0" applyProtection="0"/>
    <xf numFmtId="0" fontId="12" fillId="22" borderId="0" applyNumberFormat="0" applyBorder="0" applyAlignment="0" applyProtection="0"/>
    <xf numFmtId="0" fontId="12" fillId="8" borderId="10" applyNumberFormat="0" applyFont="0" applyAlignment="0" applyProtection="0"/>
    <xf numFmtId="0" fontId="12" fillId="0" borderId="0"/>
    <xf numFmtId="0" fontId="12" fillId="14" borderId="0" applyNumberFormat="0" applyBorder="0" applyAlignment="0" applyProtection="0"/>
    <xf numFmtId="0" fontId="12" fillId="8" borderId="10" applyNumberFormat="0" applyFont="0" applyAlignment="0" applyProtection="0"/>
    <xf numFmtId="0" fontId="12" fillId="23" borderId="0" applyNumberFormat="0" applyBorder="0" applyAlignment="0" applyProtection="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0" borderId="0"/>
    <xf numFmtId="0" fontId="12" fillId="30" borderId="0" applyNumberFormat="0" applyBorder="0" applyAlignment="0" applyProtection="0"/>
    <xf numFmtId="0" fontId="12" fillId="31" borderId="0" applyNumberFormat="0" applyBorder="0" applyAlignment="0" applyProtection="0"/>
    <xf numFmtId="9" fontId="12" fillId="0" borderId="0" applyFont="0" applyFill="0" applyBorder="0" applyAlignment="0" applyProtection="0"/>
    <xf numFmtId="0" fontId="12" fillId="0" borderId="0"/>
    <xf numFmtId="9" fontId="12" fillId="0" borderId="0" applyFont="0" applyFill="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11"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0" borderId="0"/>
    <xf numFmtId="0" fontId="12" fillId="14"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167" fontId="12" fillId="0" borderId="0" applyFont="0" applyFill="0" applyBorder="0" applyAlignment="0" applyProtection="0"/>
    <xf numFmtId="0" fontId="12" fillId="10" borderId="0" applyNumberFormat="0" applyBorder="0" applyAlignment="0" applyProtection="0"/>
    <xf numFmtId="0" fontId="12" fillId="0" borderId="0"/>
    <xf numFmtId="0" fontId="12" fillId="0" borderId="0"/>
    <xf numFmtId="0" fontId="12" fillId="8" borderId="10" applyNumberFormat="0" applyFont="0" applyAlignment="0" applyProtection="0"/>
    <xf numFmtId="0" fontId="12" fillId="30" borderId="0" applyNumberFormat="0" applyBorder="0" applyAlignment="0" applyProtection="0"/>
    <xf numFmtId="0" fontId="12" fillId="0" borderId="0"/>
    <xf numFmtId="0" fontId="12" fillId="27" borderId="0" applyNumberFormat="0" applyBorder="0" applyAlignment="0" applyProtection="0"/>
    <xf numFmtId="0" fontId="12" fillId="30" borderId="0" applyNumberFormat="0" applyBorder="0" applyAlignment="0" applyProtection="0"/>
    <xf numFmtId="0" fontId="12" fillId="15" borderId="0" applyNumberFormat="0" applyBorder="0" applyAlignment="0" applyProtection="0"/>
    <xf numFmtId="0" fontId="12" fillId="11" borderId="0" applyNumberFormat="0" applyBorder="0" applyAlignment="0" applyProtection="0"/>
    <xf numFmtId="0" fontId="12" fillId="22" borderId="0" applyNumberFormat="0" applyBorder="0" applyAlignment="0" applyProtection="0"/>
    <xf numFmtId="0" fontId="12" fillId="14" borderId="0" applyNumberFormat="0" applyBorder="0" applyAlignment="0" applyProtection="0"/>
    <xf numFmtId="0" fontId="12" fillId="31" borderId="0" applyNumberFormat="0" applyBorder="0" applyAlignment="0" applyProtection="0"/>
    <xf numFmtId="0" fontId="12" fillId="0" borderId="0"/>
    <xf numFmtId="167" fontId="12" fillId="0" borderId="0" applyFont="0" applyFill="0" applyBorder="0" applyAlignment="0" applyProtection="0"/>
    <xf numFmtId="0" fontId="12" fillId="0" borderId="0"/>
    <xf numFmtId="0" fontId="12" fillId="19" borderId="0" applyNumberFormat="0" applyBorder="0" applyAlignment="0" applyProtection="0"/>
    <xf numFmtId="0" fontId="12" fillId="14" borderId="0" applyNumberFormat="0" applyBorder="0" applyAlignment="0" applyProtection="0"/>
    <xf numFmtId="0" fontId="12" fillId="26" borderId="0" applyNumberFormat="0" applyBorder="0" applyAlignment="0" applyProtection="0"/>
    <xf numFmtId="0" fontId="12" fillId="8" borderId="10" applyNumberFormat="0" applyFont="0" applyAlignment="0" applyProtection="0"/>
    <xf numFmtId="0" fontId="12" fillId="0" borderId="0"/>
    <xf numFmtId="0" fontId="12" fillId="0" borderId="0"/>
    <xf numFmtId="0" fontId="12" fillId="26" borderId="0" applyNumberFormat="0" applyBorder="0" applyAlignment="0" applyProtection="0"/>
    <xf numFmtId="0" fontId="12" fillId="10" borderId="0" applyNumberFormat="0" applyBorder="0" applyAlignment="0" applyProtection="0"/>
    <xf numFmtId="0" fontId="12" fillId="0" borderId="0"/>
    <xf numFmtId="0" fontId="12" fillId="15" borderId="0" applyNumberFormat="0" applyBorder="0" applyAlignment="0" applyProtection="0"/>
    <xf numFmtId="0" fontId="12" fillId="11" borderId="0" applyNumberFormat="0" applyBorder="0" applyAlignment="0" applyProtection="0"/>
    <xf numFmtId="0" fontId="12" fillId="23"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10" borderId="0" applyNumberFormat="0" applyBorder="0" applyAlignment="0" applyProtection="0"/>
    <xf numFmtId="0" fontId="12" fillId="15" borderId="0" applyNumberFormat="0" applyBorder="0" applyAlignment="0" applyProtection="0"/>
    <xf numFmtId="0" fontId="12" fillId="30" borderId="0" applyNumberFormat="0" applyBorder="0" applyAlignment="0" applyProtection="0"/>
    <xf numFmtId="0" fontId="12" fillId="27" borderId="0" applyNumberFormat="0" applyBorder="0" applyAlignment="0" applyProtection="0"/>
    <xf numFmtId="0" fontId="12" fillId="26" borderId="0" applyNumberFormat="0" applyBorder="0" applyAlignment="0" applyProtection="0"/>
    <xf numFmtId="0" fontId="12" fillId="0" borderId="0"/>
    <xf numFmtId="9" fontId="12" fillId="0" borderId="0" applyFont="0" applyFill="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0" borderId="0"/>
    <xf numFmtId="0" fontId="12" fillId="26" borderId="0" applyNumberFormat="0" applyBorder="0" applyAlignment="0" applyProtection="0"/>
    <xf numFmtId="0" fontId="12" fillId="11" borderId="0" applyNumberFormat="0" applyBorder="0" applyAlignment="0" applyProtection="0"/>
    <xf numFmtId="9" fontId="12" fillId="0" borderId="0" applyFont="0" applyFill="0" applyBorder="0" applyAlignment="0" applyProtection="0"/>
    <xf numFmtId="0" fontId="12" fillId="26" borderId="0" applyNumberFormat="0" applyBorder="0" applyAlignment="0" applyProtection="0"/>
    <xf numFmtId="9" fontId="12" fillId="0" borderId="0" applyFont="0" applyFill="0" applyBorder="0" applyAlignment="0" applyProtection="0"/>
    <xf numFmtId="0" fontId="12" fillId="0" borderId="0"/>
    <xf numFmtId="0" fontId="12" fillId="27" borderId="0" applyNumberFormat="0" applyBorder="0" applyAlignment="0" applyProtection="0"/>
    <xf numFmtId="0" fontId="12" fillId="23"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23" borderId="0" applyNumberFormat="0" applyBorder="0" applyAlignment="0" applyProtection="0"/>
    <xf numFmtId="0" fontId="12" fillId="0" borderId="0"/>
    <xf numFmtId="0" fontId="12" fillId="0" borderId="0"/>
    <xf numFmtId="0" fontId="12" fillId="0" borderId="0"/>
    <xf numFmtId="0" fontId="12" fillId="19" borderId="0" applyNumberFormat="0" applyBorder="0" applyAlignment="0" applyProtection="0"/>
    <xf numFmtId="0" fontId="12" fillId="11"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0"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1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31" borderId="0" applyNumberFormat="0" applyBorder="0" applyAlignment="0" applyProtection="0"/>
    <xf numFmtId="0" fontId="12" fillId="22" borderId="0" applyNumberFormat="0" applyBorder="0" applyAlignment="0" applyProtection="0"/>
    <xf numFmtId="0" fontId="12" fillId="0" borderId="0"/>
    <xf numFmtId="9" fontId="12" fillId="0" borderId="0" applyFont="0" applyFill="0" applyBorder="0" applyAlignment="0" applyProtection="0"/>
    <xf numFmtId="0" fontId="12" fillId="23" borderId="0" applyNumberFormat="0" applyBorder="0" applyAlignment="0" applyProtection="0"/>
    <xf numFmtId="0" fontId="12" fillId="18" borderId="0" applyNumberFormat="0" applyBorder="0" applyAlignment="0" applyProtection="0"/>
    <xf numFmtId="0" fontId="12" fillId="0" borderId="0"/>
    <xf numFmtId="0" fontId="12" fillId="26" borderId="0" applyNumberFormat="0" applyBorder="0" applyAlignment="0" applyProtection="0"/>
    <xf numFmtId="0" fontId="12" fillId="30" borderId="0" applyNumberFormat="0" applyBorder="0" applyAlignment="0" applyProtection="0"/>
    <xf numFmtId="0" fontId="12" fillId="22"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22" borderId="0" applyNumberFormat="0" applyBorder="0" applyAlignment="0" applyProtection="0"/>
    <xf numFmtId="0" fontId="12" fillId="0" borderId="0"/>
    <xf numFmtId="0" fontId="12" fillId="27" borderId="0" applyNumberFormat="0" applyBorder="0" applyAlignment="0" applyProtection="0"/>
    <xf numFmtId="0" fontId="12" fillId="31" borderId="0" applyNumberFormat="0" applyBorder="0" applyAlignment="0" applyProtection="0"/>
    <xf numFmtId="0" fontId="12" fillId="11" borderId="0" applyNumberFormat="0" applyBorder="0" applyAlignment="0" applyProtection="0"/>
    <xf numFmtId="0" fontId="12" fillId="26" borderId="0" applyNumberFormat="0" applyBorder="0" applyAlignment="0" applyProtection="0"/>
    <xf numFmtId="0" fontId="12" fillId="23" borderId="0" applyNumberFormat="0" applyBorder="0" applyAlignment="0" applyProtection="0"/>
    <xf numFmtId="0" fontId="12" fillId="0" borderId="0"/>
    <xf numFmtId="0" fontId="12" fillId="22" borderId="0" applyNumberFormat="0" applyBorder="0" applyAlignment="0" applyProtection="0"/>
    <xf numFmtId="0" fontId="12" fillId="27" borderId="0" applyNumberFormat="0" applyBorder="0" applyAlignment="0" applyProtection="0"/>
    <xf numFmtId="0" fontId="12" fillId="0" borderId="0"/>
    <xf numFmtId="0" fontId="12" fillId="11" borderId="0" applyNumberFormat="0" applyBorder="0" applyAlignment="0" applyProtection="0"/>
    <xf numFmtId="0" fontId="12" fillId="8" borderId="10" applyNumberFormat="0" applyFont="0" applyAlignment="0" applyProtection="0"/>
    <xf numFmtId="0" fontId="12" fillId="18" borderId="0" applyNumberFormat="0" applyBorder="0" applyAlignment="0" applyProtection="0"/>
    <xf numFmtId="0" fontId="12" fillId="11" borderId="0" applyNumberFormat="0" applyBorder="0" applyAlignment="0" applyProtection="0"/>
    <xf numFmtId="0" fontId="12" fillId="18" borderId="0" applyNumberFormat="0" applyBorder="0" applyAlignment="0" applyProtection="0"/>
    <xf numFmtId="0" fontId="12" fillId="8" borderId="10" applyNumberFormat="0" applyFont="0" applyAlignment="0" applyProtection="0"/>
    <xf numFmtId="9" fontId="12" fillId="0" borderId="0" applyFont="0" applyFill="0" applyBorder="0" applyAlignment="0" applyProtection="0"/>
    <xf numFmtId="0" fontId="12" fillId="22" borderId="0" applyNumberFormat="0" applyBorder="0" applyAlignment="0" applyProtection="0"/>
    <xf numFmtId="44" fontId="12" fillId="0" borderId="0" applyFont="0" applyFill="0" applyBorder="0" applyAlignment="0" applyProtection="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31" borderId="0" applyNumberFormat="0" applyBorder="0" applyAlignment="0" applyProtection="0"/>
    <xf numFmtId="0" fontId="12" fillId="30" borderId="0" applyNumberFormat="0" applyBorder="0" applyAlignment="0" applyProtection="0"/>
    <xf numFmtId="0" fontId="12" fillId="0" borderId="0"/>
    <xf numFmtId="44" fontId="12" fillId="0" borderId="0" applyFont="0" applyFill="0" applyBorder="0" applyAlignment="0" applyProtection="0"/>
    <xf numFmtId="0" fontId="12" fillId="30" borderId="0" applyNumberFormat="0" applyBorder="0" applyAlignment="0" applyProtection="0"/>
    <xf numFmtId="0" fontId="12" fillId="14"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43" fontId="12" fillId="0" borderId="0" applyFont="0" applyFill="0" applyBorder="0" applyAlignment="0" applyProtection="0"/>
    <xf numFmtId="0" fontId="12" fillId="0" borderId="0"/>
    <xf numFmtId="0" fontId="12" fillId="30" borderId="0" applyNumberFormat="0" applyBorder="0" applyAlignment="0" applyProtection="0"/>
    <xf numFmtId="0" fontId="12" fillId="18" borderId="0" applyNumberFormat="0" applyBorder="0" applyAlignment="0" applyProtection="0"/>
    <xf numFmtId="0" fontId="12" fillId="30" borderId="0" applyNumberFormat="0" applyBorder="0" applyAlignment="0" applyProtection="0"/>
    <xf numFmtId="0" fontId="12" fillId="0" borderId="0"/>
    <xf numFmtId="0" fontId="12" fillId="27" borderId="0" applyNumberFormat="0" applyBorder="0" applyAlignment="0" applyProtection="0"/>
    <xf numFmtId="0" fontId="12" fillId="10"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8" borderId="10" applyNumberFormat="0" applyFont="0" applyAlignment="0" applyProtection="0"/>
    <xf numFmtId="0" fontId="12" fillId="10" borderId="0" applyNumberFormat="0" applyBorder="0" applyAlignment="0" applyProtection="0"/>
    <xf numFmtId="0" fontId="12" fillId="11"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22" borderId="0" applyNumberFormat="0" applyBorder="0" applyAlignment="0" applyProtection="0"/>
    <xf numFmtId="0" fontId="12" fillId="23"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0" fontId="11" fillId="0" borderId="0"/>
    <xf numFmtId="0" fontId="102" fillId="8" borderId="10" applyNumberFormat="0" applyFont="0" applyAlignment="0" applyProtection="0"/>
  </cellStyleXfs>
  <cellXfs count="751">
    <xf numFmtId="0" fontId="0" fillId="0" borderId="0" xfId="0"/>
    <xf numFmtId="0" fontId="39" fillId="0" borderId="0" xfId="0" applyFont="1"/>
    <xf numFmtId="43" fontId="0" fillId="0" borderId="0" xfId="0" applyNumberFormat="1"/>
    <xf numFmtId="0" fontId="59" fillId="0" borderId="0" xfId="29" applyFont="1"/>
    <xf numFmtId="0" fontId="39" fillId="0" borderId="0" xfId="29"/>
    <xf numFmtId="0" fontId="60" fillId="0" borderId="12" xfId="29" applyFont="1" applyBorder="1" applyAlignment="1">
      <alignment horizontal="center" wrapText="1"/>
    </xf>
    <xf numFmtId="0" fontId="60" fillId="0" borderId="13" xfId="29" applyFont="1" applyBorder="1" applyAlignment="1">
      <alignment horizontal="center" wrapText="1"/>
    </xf>
    <xf numFmtId="0" fontId="60" fillId="0" borderId="14" xfId="29" applyFont="1" applyBorder="1" applyAlignment="1">
      <alignment horizontal="center" wrapText="1"/>
    </xf>
    <xf numFmtId="0" fontId="60" fillId="0" borderId="15" xfId="29" applyFont="1" applyBorder="1" applyAlignment="1">
      <alignment horizontal="center" wrapText="1"/>
    </xf>
    <xf numFmtId="0" fontId="59" fillId="0" borderId="0" xfId="29" applyFont="1" applyBorder="1"/>
    <xf numFmtId="0" fontId="61" fillId="0" borderId="0" xfId="0" applyFont="1"/>
    <xf numFmtId="0" fontId="62" fillId="0" borderId="0" xfId="0" applyFont="1"/>
    <xf numFmtId="0" fontId="39" fillId="0" borderId="0" xfId="0" quotePrefix="1" applyFont="1"/>
    <xf numFmtId="0" fontId="39" fillId="0" borderId="0" xfId="0" applyFont="1" applyFill="1" applyBorder="1"/>
    <xf numFmtId="0" fontId="65" fillId="0" borderId="0" xfId="0" applyFont="1" applyAlignment="1"/>
    <xf numFmtId="0" fontId="0" fillId="0" borderId="0" xfId="0" applyBorder="1"/>
    <xf numFmtId="0" fontId="0" fillId="0" borderId="0" xfId="0" applyFill="1"/>
    <xf numFmtId="0" fontId="37" fillId="0" borderId="16" xfId="0" applyFont="1" applyBorder="1"/>
    <xf numFmtId="0" fontId="66" fillId="0" borderId="16" xfId="0" applyFont="1" applyBorder="1"/>
    <xf numFmtId="0" fontId="39" fillId="0" borderId="0" xfId="0" applyFont="1" applyFill="1"/>
    <xf numFmtId="0" fontId="66" fillId="0" borderId="16" xfId="0" applyFont="1" applyFill="1" applyBorder="1"/>
    <xf numFmtId="0" fontId="37" fillId="0" borderId="0" xfId="0" applyFont="1"/>
    <xf numFmtId="0" fontId="39" fillId="0" borderId="0" xfId="0" applyFont="1" applyBorder="1"/>
    <xf numFmtId="0" fontId="37" fillId="0" borderId="0" xfId="0" applyFont="1" applyAlignment="1">
      <alignment horizontal="center"/>
    </xf>
    <xf numFmtId="0" fontId="37" fillId="0" borderId="0" xfId="29" applyFont="1"/>
    <xf numFmtId="0" fontId="37" fillId="0" borderId="0" xfId="29" applyFont="1" applyFill="1"/>
    <xf numFmtId="0" fontId="39" fillId="0" borderId="0" xfId="29" applyFont="1" applyFill="1"/>
    <xf numFmtId="0" fontId="39" fillId="0" borderId="0" xfId="29" applyFont="1" applyFill="1" applyAlignment="1">
      <alignment horizontal="left" indent="1"/>
    </xf>
    <xf numFmtId="0" fontId="39" fillId="0" borderId="0" xfId="0" applyFont="1" applyFill="1" applyBorder="1" applyAlignment="1">
      <alignment horizontal="center"/>
    </xf>
    <xf numFmtId="0" fontId="39" fillId="0" borderId="0" xfId="0" applyNumberFormat="1" applyFont="1" applyFill="1" applyBorder="1" applyAlignment="1">
      <alignment horizontal="center"/>
    </xf>
    <xf numFmtId="0" fontId="67" fillId="0" borderId="0" xfId="0" applyFont="1" applyFill="1" applyBorder="1" applyAlignment="1"/>
    <xf numFmtId="0" fontId="39" fillId="0" borderId="0" xfId="0" applyFont="1" applyFill="1" applyBorder="1" applyAlignment="1"/>
    <xf numFmtId="0" fontId="39" fillId="0" borderId="0" xfId="32" applyFont="1" applyFill="1" applyBorder="1" applyAlignment="1"/>
    <xf numFmtId="0" fontId="67" fillId="0" borderId="0" xfId="0" applyNumberFormat="1" applyFont="1" applyFill="1" applyBorder="1" applyAlignment="1"/>
    <xf numFmtId="0" fontId="39" fillId="0" borderId="0" xfId="31" applyFont="1" applyFill="1" applyBorder="1" applyAlignment="1"/>
    <xf numFmtId="0" fontId="0" fillId="0" borderId="28" xfId="0" applyBorder="1"/>
    <xf numFmtId="0" fontId="0" fillId="0" borderId="29" xfId="0" applyBorder="1"/>
    <xf numFmtId="0" fontId="64" fillId="0" borderId="22" xfId="0" applyFont="1" applyBorder="1" applyAlignment="1">
      <alignment horizontal="center" wrapText="1"/>
    </xf>
    <xf numFmtId="0" fontId="0" fillId="0" borderId="0" xfId="0" applyFont="1" applyFill="1" applyBorder="1"/>
    <xf numFmtId="43" fontId="39" fillId="0" borderId="0" xfId="29" applyNumberFormat="1"/>
    <xf numFmtId="43" fontId="39" fillId="0" borderId="0" xfId="29" applyNumberFormat="1" applyFill="1"/>
    <xf numFmtId="0" fontId="39" fillId="0" borderId="16" xfId="0" applyFont="1" applyBorder="1"/>
    <xf numFmtId="0" fontId="64" fillId="0" borderId="21" xfId="0" applyFont="1" applyBorder="1" applyAlignment="1">
      <alignment horizontal="center" vertical="center"/>
    </xf>
    <xf numFmtId="0" fontId="64" fillId="0" borderId="22" xfId="0" applyFont="1" applyBorder="1" applyAlignment="1">
      <alignment horizontal="center" vertical="center" wrapText="1"/>
    </xf>
    <xf numFmtId="0" fontId="64" fillId="0" borderId="22" xfId="0" applyFont="1" applyBorder="1" applyAlignment="1">
      <alignment horizontal="center" vertical="center"/>
    </xf>
    <xf numFmtId="0" fontId="69" fillId="0" borderId="0" xfId="0" applyFont="1"/>
    <xf numFmtId="43" fontId="61" fillId="0" borderId="0" xfId="0" applyNumberFormat="1" applyFont="1"/>
    <xf numFmtId="0" fontId="0" fillId="0" borderId="32" xfId="0" applyBorder="1"/>
    <xf numFmtId="43" fontId="0" fillId="0" borderId="0" xfId="0" applyNumberFormat="1" applyBorder="1"/>
    <xf numFmtId="0" fontId="64" fillId="0" borderId="33" xfId="0" applyFont="1" applyBorder="1" applyAlignment="1">
      <alignment horizontal="center" wrapText="1"/>
    </xf>
    <xf numFmtId="0" fontId="0" fillId="0" borderId="34" xfId="0" applyBorder="1"/>
    <xf numFmtId="0" fontId="0" fillId="0" borderId="35" xfId="0" applyBorder="1"/>
    <xf numFmtId="43" fontId="0" fillId="0" borderId="35" xfId="0" applyNumberFormat="1" applyBorder="1"/>
    <xf numFmtId="0" fontId="61" fillId="0" borderId="38" xfId="0" applyFont="1" applyBorder="1"/>
    <xf numFmtId="0" fontId="0" fillId="0" borderId="38" xfId="0" applyBorder="1"/>
    <xf numFmtId="44" fontId="65" fillId="0" borderId="39" xfId="0" applyNumberFormat="1" applyFont="1" applyBorder="1"/>
    <xf numFmtId="43" fontId="42" fillId="0" borderId="41" xfId="0" applyNumberFormat="1" applyFont="1" applyBorder="1"/>
    <xf numFmtId="43" fontId="61" fillId="0" borderId="41" xfId="0" applyNumberFormat="1" applyFont="1" applyBorder="1"/>
    <xf numFmtId="0" fontId="68" fillId="0" borderId="42" xfId="0" applyFont="1" applyBorder="1"/>
    <xf numFmtId="0" fontId="0" fillId="0" borderId="43" xfId="0" applyBorder="1"/>
    <xf numFmtId="43" fontId="61" fillId="0" borderId="44" xfId="0" applyNumberFormat="1" applyFont="1" applyBorder="1"/>
    <xf numFmtId="0" fontId="65" fillId="0" borderId="37" xfId="0" applyFont="1" applyBorder="1"/>
    <xf numFmtId="0" fontId="65" fillId="0" borderId="0" xfId="0" applyFont="1"/>
    <xf numFmtId="0" fontId="0" fillId="0" borderId="45" xfId="0" applyBorder="1"/>
    <xf numFmtId="0" fontId="0" fillId="0" borderId="16" xfId="0" applyBorder="1"/>
    <xf numFmtId="43" fontId="0" fillId="0" borderId="16" xfId="0" applyNumberFormat="1" applyBorder="1"/>
    <xf numFmtId="0" fontId="0" fillId="0" borderId="47" xfId="0" applyBorder="1"/>
    <xf numFmtId="0" fontId="0" fillId="0" borderId="48" xfId="0" applyBorder="1"/>
    <xf numFmtId="41" fontId="0" fillId="0" borderId="48" xfId="0" applyNumberFormat="1" applyBorder="1"/>
    <xf numFmtId="43" fontId="0" fillId="0" borderId="48" xfId="0" applyNumberFormat="1" applyBorder="1"/>
    <xf numFmtId="43" fontId="0" fillId="0" borderId="49" xfId="0" applyNumberFormat="1" applyBorder="1"/>
    <xf numFmtId="43" fontId="0" fillId="0" borderId="50" xfId="0" applyNumberFormat="1" applyBorder="1"/>
    <xf numFmtId="43" fontId="0" fillId="0" borderId="51" xfId="0" applyNumberFormat="1" applyBorder="1"/>
    <xf numFmtId="0" fontId="39" fillId="0" borderId="35" xfId="0" applyFont="1" applyBorder="1"/>
    <xf numFmtId="0" fontId="39" fillId="0" borderId="47" xfId="29" applyFill="1" applyBorder="1"/>
    <xf numFmtId="0" fontId="59" fillId="0" borderId="48" xfId="29" applyFont="1" applyFill="1" applyBorder="1"/>
    <xf numFmtId="41" fontId="39" fillId="0" borderId="48" xfId="29" applyNumberFormat="1" applyFill="1" applyBorder="1"/>
    <xf numFmtId="0" fontId="39" fillId="0" borderId="48" xfId="29" applyFill="1" applyBorder="1"/>
    <xf numFmtId="166" fontId="39" fillId="0" borderId="48" xfId="29" applyNumberFormat="1" applyFill="1" applyBorder="1"/>
    <xf numFmtId="43" fontId="39" fillId="0" borderId="52" xfId="29" applyNumberFormat="1" applyFill="1" applyBorder="1"/>
    <xf numFmtId="43" fontId="39" fillId="0" borderId="48" xfId="29" applyNumberFormat="1" applyFill="1" applyBorder="1"/>
    <xf numFmtId="43" fontId="59" fillId="0" borderId="48" xfId="1" applyNumberFormat="1" applyFont="1" applyFill="1" applyBorder="1"/>
    <xf numFmtId="43" fontId="39" fillId="0" borderId="51" xfId="29" applyNumberFormat="1" applyFill="1" applyBorder="1"/>
    <xf numFmtId="0" fontId="39" fillId="0" borderId="53" xfId="29" applyBorder="1"/>
    <xf numFmtId="0" fontId="39" fillId="0" borderId="54" xfId="0" applyFont="1" applyBorder="1"/>
    <xf numFmtId="0" fontId="59" fillId="0" borderId="54" xfId="29" applyFont="1" applyBorder="1"/>
    <xf numFmtId="0" fontId="39" fillId="0" borderId="54" xfId="29" applyBorder="1"/>
    <xf numFmtId="0" fontId="39" fillId="0" borderId="34" xfId="29" applyBorder="1"/>
    <xf numFmtId="0" fontId="59" fillId="0" borderId="35" xfId="29" applyFont="1" applyBorder="1"/>
    <xf numFmtId="0" fontId="39" fillId="0" borderId="35" xfId="29" applyBorder="1"/>
    <xf numFmtId="43" fontId="39" fillId="0" borderId="0" xfId="29" applyNumberFormat="1" applyFill="1" applyBorder="1"/>
    <xf numFmtId="0" fontId="39" fillId="0" borderId="0" xfId="29" applyBorder="1"/>
    <xf numFmtId="0" fontId="70" fillId="0" borderId="0" xfId="0" applyFont="1"/>
    <xf numFmtId="0" fontId="71" fillId="0" borderId="0" xfId="0" applyFont="1"/>
    <xf numFmtId="0" fontId="39" fillId="0" borderId="0" xfId="29" applyFont="1" applyAlignment="1">
      <alignment horizontal="left" indent="1"/>
    </xf>
    <xf numFmtId="0" fontId="38" fillId="33" borderId="0" xfId="0" applyFont="1" applyFill="1" applyBorder="1" applyAlignment="1">
      <alignment horizontal="center" wrapText="1"/>
    </xf>
    <xf numFmtId="41" fontId="39" fillId="0" borderId="0" xfId="0" applyNumberFormat="1" applyFont="1"/>
    <xf numFmtId="41" fontId="39" fillId="0" borderId="31" xfId="0" applyNumberFormat="1" applyFont="1" applyBorder="1"/>
    <xf numFmtId="0" fontId="37" fillId="0" borderId="31" xfId="0" applyFont="1" applyBorder="1" applyAlignment="1">
      <alignment horizontal="left" indent="2"/>
    </xf>
    <xf numFmtId="0" fontId="37" fillId="0" borderId="0" xfId="29" applyFont="1" applyFill="1" applyAlignment="1">
      <alignment horizontal="left" indent="2"/>
    </xf>
    <xf numFmtId="0" fontId="37" fillId="0" borderId="0" xfId="0" applyFont="1" applyAlignment="1">
      <alignment horizontal="left"/>
    </xf>
    <xf numFmtId="41" fontId="39" fillId="0" borderId="16" xfId="0" applyNumberFormat="1" applyFont="1" applyBorder="1"/>
    <xf numFmtId="41" fontId="39" fillId="0" borderId="56" xfId="0" applyNumberFormat="1" applyFont="1" applyBorder="1"/>
    <xf numFmtId="0" fontId="0" fillId="0" borderId="0" xfId="0" applyFill="1" applyBorder="1"/>
    <xf numFmtId="0" fontId="34" fillId="0" borderId="0" xfId="155"/>
    <xf numFmtId="0" fontId="34" fillId="0" borderId="0" xfId="155" applyAlignment="1">
      <alignment wrapText="1"/>
    </xf>
    <xf numFmtId="0" fontId="34" fillId="0" borderId="0" xfId="155"/>
    <xf numFmtId="0" fontId="34" fillId="0" borderId="0" xfId="155" applyAlignment="1">
      <alignment wrapText="1"/>
    </xf>
    <xf numFmtId="168" fontId="34" fillId="0" borderId="0" xfId="155" applyNumberFormat="1"/>
    <xf numFmtId="168" fontId="34" fillId="34" borderId="0" xfId="158" applyNumberFormat="1" applyFont="1" applyFill="1"/>
    <xf numFmtId="168" fontId="34" fillId="0" borderId="0" xfId="158" applyNumberFormat="1" applyFont="1" applyBorder="1"/>
    <xf numFmtId="0" fontId="34" fillId="0" borderId="0" xfId="155" applyAlignment="1">
      <alignment horizontal="right"/>
    </xf>
    <xf numFmtId="0" fontId="75" fillId="34" borderId="0" xfId="155" applyFont="1" applyFill="1" applyBorder="1" applyAlignment="1">
      <alignment horizontal="center"/>
    </xf>
    <xf numFmtId="0" fontId="57" fillId="34" borderId="0" xfId="155" applyFont="1" applyFill="1" applyAlignment="1">
      <alignment horizontal="center"/>
    </xf>
    <xf numFmtId="0" fontId="75" fillId="34" borderId="0" xfId="155" applyFont="1" applyFill="1" applyAlignment="1">
      <alignment horizontal="center"/>
    </xf>
    <xf numFmtId="0" fontId="34" fillId="34" borderId="0" xfId="155" applyFill="1" applyProtection="1">
      <protection locked="0"/>
    </xf>
    <xf numFmtId="168" fontId="57" fillId="34" borderId="59" xfId="155" applyNumberFormat="1" applyFont="1" applyFill="1" applyBorder="1"/>
    <xf numFmtId="0" fontId="75" fillId="35" borderId="0" xfId="155" applyFont="1" applyFill="1" applyBorder="1" applyAlignment="1">
      <alignment horizontal="center"/>
    </xf>
    <xf numFmtId="0" fontId="57" fillId="35" borderId="0" xfId="155" applyFont="1" applyFill="1" applyBorder="1" applyAlignment="1">
      <alignment horizontal="center"/>
    </xf>
    <xf numFmtId="0" fontId="57" fillId="35" borderId="0" xfId="155" applyFont="1" applyFill="1"/>
    <xf numFmtId="168" fontId="57" fillId="35" borderId="0" xfId="155" applyNumberFormat="1" applyFont="1" applyFill="1"/>
    <xf numFmtId="0" fontId="57" fillId="35" borderId="0" xfId="155" applyFont="1" applyFill="1" applyAlignment="1">
      <alignment horizontal="center"/>
    </xf>
    <xf numFmtId="0" fontId="75" fillId="35" borderId="0" xfId="155" applyFont="1" applyFill="1" applyAlignment="1">
      <alignment horizontal="center"/>
    </xf>
    <xf numFmtId="0" fontId="34" fillId="35" borderId="0" xfId="155" applyFill="1"/>
    <xf numFmtId="168" fontId="34" fillId="35" borderId="0" xfId="158" applyNumberFormat="1" applyFont="1" applyFill="1"/>
    <xf numFmtId="168" fontId="57" fillId="35" borderId="59" xfId="155" applyNumberFormat="1" applyFont="1" applyFill="1" applyBorder="1"/>
    <xf numFmtId="168" fontId="62" fillId="34" borderId="0" xfId="158" applyNumberFormat="1" applyFont="1" applyFill="1"/>
    <xf numFmtId="0" fontId="74" fillId="34" borderId="0" xfId="155" applyFont="1" applyFill="1" applyBorder="1" applyAlignment="1">
      <alignment horizontal="center"/>
    </xf>
    <xf numFmtId="0" fontId="76" fillId="34" borderId="0" xfId="155" applyFont="1" applyFill="1" applyBorder="1" applyAlignment="1">
      <alignment horizontal="center"/>
    </xf>
    <xf numFmtId="168" fontId="55" fillId="34" borderId="0" xfId="155" applyNumberFormat="1" applyFont="1" applyFill="1"/>
    <xf numFmtId="168" fontId="74" fillId="34" borderId="59" xfId="155" applyNumberFormat="1" applyFont="1" applyFill="1" applyBorder="1"/>
    <xf numFmtId="10" fontId="0" fillId="36" borderId="29" xfId="0" applyNumberFormat="1" applyFill="1" applyBorder="1"/>
    <xf numFmtId="0" fontId="0" fillId="0" borderId="0" xfId="0" applyAlignment="1">
      <alignment horizontal="left"/>
    </xf>
    <xf numFmtId="0" fontId="59" fillId="0" borderId="0" xfId="29" applyFont="1" applyAlignment="1">
      <alignment horizontal="center"/>
    </xf>
    <xf numFmtId="0" fontId="32" fillId="34" borderId="0" xfId="155" applyFont="1" applyFill="1" applyProtection="1">
      <protection locked="0"/>
    </xf>
    <xf numFmtId="0" fontId="31" fillId="35" borderId="0" xfId="155" applyFont="1" applyFill="1"/>
    <xf numFmtId="43" fontId="61" fillId="0" borderId="0" xfId="0" applyNumberFormat="1" applyFont="1" applyBorder="1"/>
    <xf numFmtId="43" fontId="61" fillId="0" borderId="43" xfId="0" applyNumberFormat="1" applyFont="1" applyBorder="1"/>
    <xf numFmtId="0" fontId="39" fillId="0" borderId="0" xfId="32" applyFont="1" applyFill="1" applyBorder="1"/>
    <xf numFmtId="0" fontId="39" fillId="0" borderId="0" xfId="32" applyFont="1" applyFill="1" applyBorder="1" applyAlignment="1">
      <alignment horizontal="center"/>
    </xf>
    <xf numFmtId="0" fontId="39" fillId="0" borderId="0" xfId="0" applyFont="1" applyFill="1" applyBorder="1" applyAlignment="1">
      <alignment horizontal="left"/>
    </xf>
    <xf numFmtId="0" fontId="39" fillId="0" borderId="0" xfId="31" applyFont="1" applyFill="1" applyBorder="1"/>
    <xf numFmtId="0" fontId="39" fillId="0" borderId="0" xfId="31" applyFont="1" applyFill="1" applyBorder="1" applyAlignment="1">
      <alignment horizontal="center"/>
    </xf>
    <xf numFmtId="0" fontId="39" fillId="0" borderId="0" xfId="41" applyFont="1" applyFill="1" applyBorder="1"/>
    <xf numFmtId="0" fontId="31" fillId="34" borderId="0" xfId="155" applyFont="1" applyFill="1" applyProtection="1">
      <protection locked="0"/>
    </xf>
    <xf numFmtId="0" fontId="39" fillId="0" borderId="61" xfId="0" applyFont="1" applyBorder="1"/>
    <xf numFmtId="0" fontId="59" fillId="0" borderId="61" xfId="29" applyFont="1" applyBorder="1"/>
    <xf numFmtId="0" fontId="39" fillId="0" borderId="61" xfId="29" applyBorder="1"/>
    <xf numFmtId="0" fontId="39" fillId="0" borderId="62" xfId="29" applyBorder="1"/>
    <xf numFmtId="0" fontId="59" fillId="0" borderId="62" xfId="29" applyFont="1" applyBorder="1"/>
    <xf numFmtId="43" fontId="77" fillId="0" borderId="62" xfId="0" applyNumberFormat="1" applyFont="1" applyBorder="1"/>
    <xf numFmtId="0" fontId="39" fillId="0" borderId="53" xfId="29" applyBorder="1" applyAlignment="1">
      <alignment horizontal="center"/>
    </xf>
    <xf numFmtId="0" fontId="39" fillId="0" borderId="34" xfId="29" applyBorder="1" applyAlignment="1">
      <alignment horizontal="center"/>
    </xf>
    <xf numFmtId="0" fontId="39" fillId="0" borderId="53" xfId="29" quotePrefix="1" applyBorder="1" applyAlignment="1">
      <alignment horizontal="center"/>
    </xf>
    <xf numFmtId="43" fontId="39" fillId="0" borderId="35" xfId="29" applyNumberFormat="1" applyBorder="1"/>
    <xf numFmtId="43" fontId="39" fillId="0" borderId="36" xfId="29" applyNumberFormat="1" applyBorder="1"/>
    <xf numFmtId="43" fontId="39" fillId="0" borderId="54" xfId="29" applyNumberFormat="1" applyBorder="1"/>
    <xf numFmtId="43" fontId="39" fillId="0" borderId="55" xfId="29" applyNumberFormat="1" applyBorder="1"/>
    <xf numFmtId="44" fontId="65" fillId="0" borderId="38" xfId="0" applyNumberFormat="1" applyFont="1" applyBorder="1"/>
    <xf numFmtId="43" fontId="42" fillId="0" borderId="0" xfId="0" applyNumberFormat="1" applyFont="1" applyBorder="1"/>
    <xf numFmtId="43" fontId="39" fillId="0" borderId="62" xfId="29" applyNumberFormat="1" applyBorder="1"/>
    <xf numFmtId="0" fontId="34" fillId="0" borderId="0" xfId="155" applyBorder="1"/>
    <xf numFmtId="0" fontId="57" fillId="0" borderId="0" xfId="155" applyFont="1" applyBorder="1"/>
    <xf numFmtId="0" fontId="72" fillId="0" borderId="0" xfId="155" applyFont="1" applyBorder="1" applyAlignment="1">
      <alignment wrapText="1"/>
    </xf>
    <xf numFmtId="0" fontId="73" fillId="0" borderId="0" xfId="155" applyFont="1" applyBorder="1" applyAlignment="1">
      <alignment horizontal="center"/>
    </xf>
    <xf numFmtId="0" fontId="34" fillId="0" borderId="0" xfId="155" applyFill="1" applyBorder="1" applyAlignment="1"/>
    <xf numFmtId="168" fontId="34" fillId="0" borderId="0" xfId="155" applyNumberFormat="1" applyBorder="1"/>
    <xf numFmtId="168" fontId="57" fillId="0" borderId="0" xfId="155" applyNumberFormat="1" applyFont="1" applyBorder="1"/>
    <xf numFmtId="0" fontId="59" fillId="0" borderId="0" xfId="29" applyFont="1" applyAlignment="1">
      <alignment horizontal="left"/>
    </xf>
    <xf numFmtId="0" fontId="59" fillId="0" borderId="0" xfId="29" applyFont="1" applyBorder="1" applyAlignment="1">
      <alignment horizontal="left"/>
    </xf>
    <xf numFmtId="0" fontId="38" fillId="33" borderId="58" xfId="0" applyFont="1" applyFill="1" applyBorder="1" applyAlignment="1">
      <alignment horizontal="center" wrapText="1"/>
    </xf>
    <xf numFmtId="0" fontId="38" fillId="33" borderId="60" xfId="0" applyFont="1" applyFill="1" applyBorder="1" applyAlignment="1">
      <alignment horizontal="center" wrapText="1"/>
    </xf>
    <xf numFmtId="41" fontId="39" fillId="0" borderId="24" xfId="0" applyNumberFormat="1" applyFont="1" applyFill="1" applyBorder="1"/>
    <xf numFmtId="41" fontId="39" fillId="0" borderId="57" xfId="0" applyNumberFormat="1" applyFont="1" applyFill="1" applyBorder="1"/>
    <xf numFmtId="41" fontId="39" fillId="0" borderId="25" xfId="0" applyNumberFormat="1" applyFont="1" applyBorder="1"/>
    <xf numFmtId="41" fontId="39" fillId="0" borderId="63" xfId="0" applyNumberFormat="1" applyFont="1" applyBorder="1"/>
    <xf numFmtId="41" fontId="39" fillId="0" borderId="24" xfId="0" applyNumberFormat="1" applyFont="1" applyBorder="1"/>
    <xf numFmtId="41" fontId="39" fillId="0" borderId="57" xfId="0" applyNumberFormat="1" applyFont="1" applyBorder="1"/>
    <xf numFmtId="41" fontId="39" fillId="0" borderId="45" xfId="0" applyNumberFormat="1" applyFont="1" applyBorder="1"/>
    <xf numFmtId="41" fontId="39" fillId="0" borderId="46" xfId="0" applyNumberFormat="1" applyFont="1" applyBorder="1"/>
    <xf numFmtId="41" fontId="39" fillId="0" borderId="64" xfId="0" applyNumberFormat="1" applyFont="1" applyBorder="1"/>
    <xf numFmtId="41" fontId="39" fillId="0" borderId="65" xfId="0" applyNumberFormat="1" applyFont="1" applyBorder="1"/>
    <xf numFmtId="0" fontId="37" fillId="0" borderId="47" xfId="0" applyFont="1" applyBorder="1"/>
    <xf numFmtId="41" fontId="39" fillId="0" borderId="24" xfId="29" applyNumberFormat="1" applyFont="1" applyFill="1" applyBorder="1"/>
    <xf numFmtId="0" fontId="38" fillId="33" borderId="61" xfId="0" applyFont="1" applyFill="1" applyBorder="1" applyAlignment="1">
      <alignment horizontal="center" wrapText="1"/>
    </xf>
    <xf numFmtId="41" fontId="39" fillId="0" borderId="0" xfId="0" applyNumberFormat="1" applyFont="1" applyFill="1" applyBorder="1"/>
    <xf numFmtId="41" fontId="39" fillId="0" borderId="0" xfId="0" applyNumberFormat="1" applyFont="1" applyBorder="1"/>
    <xf numFmtId="0" fontId="38" fillId="33" borderId="18" xfId="0" applyFont="1" applyFill="1" applyBorder="1" applyAlignment="1">
      <alignment horizontal="center" wrapText="1"/>
    </xf>
    <xf numFmtId="41" fontId="39" fillId="0" borderId="66" xfId="0" applyNumberFormat="1" applyFont="1" applyBorder="1"/>
    <xf numFmtId="41" fontId="39" fillId="0" borderId="20" xfId="0" applyNumberFormat="1" applyFont="1" applyBorder="1"/>
    <xf numFmtId="41" fontId="39" fillId="0" borderId="1" xfId="0" applyNumberFormat="1" applyFont="1" applyBorder="1"/>
    <xf numFmtId="41" fontId="39" fillId="0" borderId="67" xfId="0" applyNumberFormat="1" applyFont="1" applyBorder="1"/>
    <xf numFmtId="41" fontId="39" fillId="0" borderId="68" xfId="0" applyNumberFormat="1" applyFont="1" applyBorder="1"/>
    <xf numFmtId="41" fontId="39" fillId="0" borderId="57" xfId="29" applyNumberFormat="1" applyFont="1" applyFill="1" applyBorder="1"/>
    <xf numFmtId="1" fontId="39" fillId="0" borderId="0" xfId="0" quotePrefix="1" applyNumberFormat="1" applyFont="1"/>
    <xf numFmtId="43" fontId="0" fillId="0" borderId="36" xfId="0" applyNumberFormat="1" applyBorder="1"/>
    <xf numFmtId="43" fontId="39" fillId="0" borderId="54" xfId="1" applyBorder="1"/>
    <xf numFmtId="43" fontId="39" fillId="0" borderId="35" xfId="1" applyBorder="1"/>
    <xf numFmtId="0" fontId="78" fillId="0" borderId="54" xfId="0" applyFont="1" applyBorder="1"/>
    <xf numFmtId="0" fontId="78" fillId="0" borderId="54" xfId="29" applyFont="1" applyBorder="1"/>
    <xf numFmtId="0" fontId="78" fillId="0" borderId="35" xfId="0" applyFont="1" applyBorder="1"/>
    <xf numFmtId="0" fontId="78" fillId="0" borderId="35" xfId="29" applyFont="1" applyBorder="1"/>
    <xf numFmtId="0" fontId="59" fillId="0" borderId="31" xfId="29" applyFont="1" applyBorder="1"/>
    <xf numFmtId="0" fontId="39" fillId="0" borderId="31" xfId="29" applyBorder="1"/>
    <xf numFmtId="0" fontId="39" fillId="0" borderId="58" xfId="29" applyBorder="1" applyAlignment="1">
      <alignment horizontal="center"/>
    </xf>
    <xf numFmtId="0" fontId="39" fillId="0" borderId="25" xfId="29" applyBorder="1" applyAlignment="1">
      <alignment horizontal="center"/>
    </xf>
    <xf numFmtId="43" fontId="39" fillId="0" borderId="61" xfId="29" applyNumberFormat="1" applyBorder="1"/>
    <xf numFmtId="43" fontId="39" fillId="0" borderId="31" xfId="29" applyNumberFormat="1" applyBorder="1"/>
    <xf numFmtId="41" fontId="39" fillId="0" borderId="1" xfId="0" applyNumberFormat="1" applyFont="1" applyFill="1" applyBorder="1"/>
    <xf numFmtId="0" fontId="59" fillId="37" borderId="0" xfId="29" applyFont="1" applyFill="1"/>
    <xf numFmtId="41" fontId="39" fillId="0" borderId="54" xfId="29" applyNumberFormat="1" applyBorder="1"/>
    <xf numFmtId="0" fontId="59" fillId="0" borderId="0" xfId="29" applyFont="1" applyFill="1" applyBorder="1" applyAlignment="1">
      <alignment horizontal="center"/>
    </xf>
    <xf numFmtId="43" fontId="39" fillId="0" borderId="35" xfId="29" applyNumberFormat="1" applyBorder="1"/>
    <xf numFmtId="43" fontId="39" fillId="0" borderId="54" xfId="29" applyNumberFormat="1" applyBorder="1"/>
    <xf numFmtId="43" fontId="59" fillId="0" borderId="0" xfId="1" applyNumberFormat="1" applyFont="1" applyFill="1"/>
    <xf numFmtId="0" fontId="59" fillId="0" borderId="0" xfId="29" applyFont="1" applyBorder="1" applyAlignment="1">
      <alignment horizontal="left"/>
    </xf>
    <xf numFmtId="0" fontId="59" fillId="0" borderId="0" xfId="29" applyFont="1" applyAlignment="1">
      <alignment horizontal="left"/>
    </xf>
    <xf numFmtId="43" fontId="77" fillId="0" borderId="62" xfId="29" applyNumberFormat="1" applyFont="1" applyBorder="1"/>
    <xf numFmtId="0" fontId="77" fillId="0" borderId="62" xfId="29" applyFont="1" applyBorder="1"/>
    <xf numFmtId="0" fontId="79" fillId="0" borderId="62" xfId="29" applyFont="1" applyBorder="1"/>
    <xf numFmtId="41" fontId="39" fillId="0" borderId="35" xfId="29" applyNumberFormat="1" applyBorder="1"/>
    <xf numFmtId="41" fontId="77" fillId="0" borderId="62" xfId="29" applyNumberFormat="1" applyFont="1" applyBorder="1"/>
    <xf numFmtId="0" fontId="59" fillId="0" borderId="0" xfId="29" applyFont="1" applyAlignment="1">
      <alignment horizontal="left"/>
    </xf>
    <xf numFmtId="0" fontId="0" fillId="0" borderId="0" xfId="0"/>
    <xf numFmtId="0" fontId="39" fillId="0" borderId="0" xfId="0" applyFont="1"/>
    <xf numFmtId="0" fontId="37" fillId="0" borderId="0" xfId="0" applyFont="1"/>
    <xf numFmtId="44" fontId="34" fillId="0" borderId="0" xfId="155" applyNumberFormat="1"/>
    <xf numFmtId="0" fontId="55" fillId="0" borderId="62" xfId="155" applyFont="1" applyBorder="1" applyAlignment="1">
      <alignment horizontal="right"/>
    </xf>
    <xf numFmtId="168" fontId="55" fillId="0" borderId="62" xfId="155" applyNumberFormat="1" applyFont="1" applyBorder="1"/>
    <xf numFmtId="43" fontId="77" fillId="0" borderId="0" xfId="0" applyNumberFormat="1" applyFont="1"/>
    <xf numFmtId="43" fontId="42" fillId="0" borderId="43" xfId="0" applyNumberFormat="1" applyFont="1" applyBorder="1"/>
    <xf numFmtId="43" fontId="42" fillId="0" borderId="44" xfId="0" applyNumberFormat="1" applyFont="1" applyBorder="1"/>
    <xf numFmtId="0" fontId="0" fillId="0" borderId="0" xfId="0" applyFill="1" applyAlignment="1">
      <alignment horizontal="center"/>
    </xf>
    <xf numFmtId="0" fontId="59" fillId="0" borderId="0" xfId="29" applyFont="1" applyAlignment="1">
      <alignment horizontal="left"/>
    </xf>
    <xf numFmtId="0" fontId="39" fillId="0" borderId="0" xfId="29"/>
    <xf numFmtId="0" fontId="39" fillId="0" borderId="0" xfId="29"/>
    <xf numFmtId="0" fontId="0" fillId="0" borderId="0" xfId="0"/>
    <xf numFmtId="0" fontId="39" fillId="0" borderId="0" xfId="0" applyFont="1" applyFill="1" applyBorder="1"/>
    <xf numFmtId="0" fontId="39" fillId="0" borderId="0" xfId="0" applyFont="1" applyBorder="1"/>
    <xf numFmtId="0" fontId="39" fillId="0" borderId="1" xfId="0" applyFont="1" applyBorder="1"/>
    <xf numFmtId="0" fontId="59" fillId="0" borderId="0" xfId="29" applyFont="1" applyAlignment="1">
      <alignment horizontal="left"/>
    </xf>
    <xf numFmtId="41" fontId="0" fillId="0" borderId="35" xfId="0" applyNumberFormat="1" applyBorder="1"/>
    <xf numFmtId="0" fontId="0" fillId="0" borderId="61" xfId="0" applyBorder="1"/>
    <xf numFmtId="41" fontId="39" fillId="0" borderId="61" xfId="29" applyNumberFormat="1" applyBorder="1"/>
    <xf numFmtId="0" fontId="77" fillId="0" borderId="70" xfId="29" applyFont="1" applyBorder="1" applyAlignment="1">
      <alignment horizontal="center"/>
    </xf>
    <xf numFmtId="0" fontId="77" fillId="0" borderId="62" xfId="0" applyFont="1" applyBorder="1"/>
    <xf numFmtId="0" fontId="77" fillId="0" borderId="0" xfId="29" applyFont="1"/>
    <xf numFmtId="0" fontId="81" fillId="0" borderId="70" xfId="29" applyFont="1" applyBorder="1" applyAlignment="1">
      <alignment horizontal="center"/>
    </xf>
    <xf numFmtId="0" fontId="81" fillId="0" borderId="62" xfId="0" applyFont="1" applyBorder="1"/>
    <xf numFmtId="0" fontId="81" fillId="0" borderId="62" xfId="29" applyFont="1" applyBorder="1"/>
    <xf numFmtId="43" fontId="81" fillId="0" borderId="62" xfId="29" applyNumberFormat="1" applyFont="1" applyBorder="1"/>
    <xf numFmtId="0" fontId="21" fillId="35" borderId="0" xfId="155" applyFont="1" applyFill="1"/>
    <xf numFmtId="44" fontId="82" fillId="0" borderId="39" xfId="0" applyNumberFormat="1" applyFont="1" applyBorder="1"/>
    <xf numFmtId="43" fontId="41" fillId="0" borderId="41" xfId="0" applyNumberFormat="1" applyFont="1" applyBorder="1"/>
    <xf numFmtId="0" fontId="59" fillId="0" borderId="0" xfId="0" applyFont="1" applyFill="1" applyBorder="1" applyAlignment="1"/>
    <xf numFmtId="0" fontId="59" fillId="0" borderId="0" xfId="0" applyFont="1" applyFill="1" applyAlignment="1"/>
    <xf numFmtId="166" fontId="59" fillId="0" borderId="0" xfId="0" applyNumberFormat="1" applyFont="1" applyFill="1" applyBorder="1" applyAlignment="1">
      <alignment horizontal="center"/>
    </xf>
    <xf numFmtId="44" fontId="59" fillId="0" borderId="0" xfId="12" applyFont="1" applyFill="1" applyAlignment="1">
      <alignment horizontal="right"/>
    </xf>
    <xf numFmtId="166" fontId="59" fillId="0" borderId="0" xfId="29" applyNumberFormat="1" applyFont="1" applyFill="1" applyBorder="1"/>
    <xf numFmtId="166" fontId="59" fillId="0" borderId="0" xfId="29" applyNumberFormat="1" applyFont="1" applyFill="1" applyBorder="1" applyAlignment="1">
      <alignment horizontal="center"/>
    </xf>
    <xf numFmtId="0" fontId="59" fillId="0" borderId="0" xfId="29" applyFont="1" applyFill="1" applyBorder="1"/>
    <xf numFmtId="0" fontId="59" fillId="0" borderId="0" xfId="0" applyFont="1" applyFill="1" applyBorder="1"/>
    <xf numFmtId="43" fontId="59" fillId="0" borderId="0" xfId="12" applyNumberFormat="1" applyFont="1" applyFill="1" applyAlignment="1">
      <alignment horizontal="center"/>
    </xf>
    <xf numFmtId="43" fontId="63" fillId="0" borderId="0" xfId="29" applyNumberFormat="1" applyFont="1" applyFill="1"/>
    <xf numFmtId="43" fontId="0" fillId="0" borderId="27" xfId="0" applyNumberFormat="1" applyFill="1" applyBorder="1"/>
    <xf numFmtId="10" fontId="39" fillId="0" borderId="0" xfId="0" applyNumberFormat="1" applyFont="1"/>
    <xf numFmtId="10" fontId="0" fillId="0" borderId="0" xfId="0" applyNumberFormat="1"/>
    <xf numFmtId="14" fontId="39" fillId="0" borderId="1" xfId="0" applyNumberFormat="1" applyFont="1" applyBorder="1"/>
    <xf numFmtId="0" fontId="37" fillId="0" borderId="0" xfId="0" applyFont="1" applyBorder="1" applyAlignment="1">
      <alignment horizontal="center"/>
    </xf>
    <xf numFmtId="0" fontId="73" fillId="0" borderId="0" xfId="155" applyFont="1" applyAlignment="1">
      <alignment horizontal="center"/>
    </xf>
    <xf numFmtId="38" fontId="0" fillId="0" borderId="0" xfId="0" applyNumberFormat="1"/>
    <xf numFmtId="168" fontId="0" fillId="0" borderId="0" xfId="0" applyNumberFormat="1"/>
    <xf numFmtId="41" fontId="55" fillId="0" borderId="62" xfId="155" applyNumberFormat="1" applyFont="1" applyBorder="1"/>
    <xf numFmtId="0" fontId="59" fillId="0" borderId="0" xfId="29" applyFont="1" applyAlignment="1">
      <alignment horizontal="left"/>
    </xf>
    <xf numFmtId="0" fontId="59" fillId="0" borderId="0" xfId="29" applyFont="1" applyBorder="1" applyAlignment="1">
      <alignment horizontal="left"/>
    </xf>
    <xf numFmtId="0" fontId="59" fillId="0" borderId="0" xfId="0" applyNumberFormat="1" applyFont="1" applyFill="1" applyAlignment="1"/>
    <xf numFmtId="0" fontId="59" fillId="0" borderId="0" xfId="0" applyFont="1" applyFill="1" applyAlignment="1">
      <alignment horizontal="center"/>
    </xf>
    <xf numFmtId="166" fontId="59" fillId="0" borderId="0" xfId="0" applyNumberFormat="1" applyFont="1" applyFill="1" applyAlignment="1">
      <alignment horizontal="center"/>
    </xf>
    <xf numFmtId="43" fontId="59" fillId="0" borderId="0" xfId="0" applyNumberFormat="1" applyFont="1" applyFill="1" applyAlignment="1">
      <alignment horizontal="right"/>
    </xf>
    <xf numFmtId="10" fontId="57" fillId="35" borderId="0" xfId="155" applyNumberFormat="1" applyFont="1" applyFill="1" applyAlignment="1">
      <alignment horizontal="center"/>
    </xf>
    <xf numFmtId="41" fontId="0" fillId="0" borderId="0" xfId="0" applyNumberFormat="1"/>
    <xf numFmtId="10" fontId="0" fillId="0" borderId="59" xfId="0" applyNumberFormat="1" applyBorder="1"/>
    <xf numFmtId="41" fontId="34" fillId="35" borderId="0" xfId="158" applyNumberFormat="1" applyFont="1" applyFill="1"/>
    <xf numFmtId="0" fontId="59" fillId="0" borderId="0" xfId="29" applyFont="1" applyAlignment="1">
      <alignment horizontal="left"/>
    </xf>
    <xf numFmtId="0" fontId="39" fillId="0" borderId="0" xfId="29"/>
    <xf numFmtId="0" fontId="59" fillId="0" borderId="0" xfId="29" applyFont="1" applyFill="1" applyAlignment="1">
      <alignment horizontal="center"/>
    </xf>
    <xf numFmtId="43" fontId="59" fillId="0" borderId="0" xfId="29" applyNumberFormat="1" applyFont="1" applyFill="1"/>
    <xf numFmtId="0" fontId="59" fillId="0" borderId="0" xfId="29" applyFont="1" applyBorder="1" applyAlignment="1">
      <alignment horizontal="left"/>
    </xf>
    <xf numFmtId="0" fontId="59" fillId="0" borderId="0" xfId="29" applyFont="1" applyFill="1"/>
    <xf numFmtId="43" fontId="59" fillId="0" borderId="0" xfId="1" applyNumberFormat="1" applyFont="1" applyFill="1"/>
    <xf numFmtId="0" fontId="39" fillId="0" borderId="24" xfId="0" applyFont="1" applyBorder="1"/>
    <xf numFmtId="0" fontId="39" fillId="0" borderId="57" xfId="0" applyFont="1" applyBorder="1"/>
    <xf numFmtId="10" fontId="39" fillId="0" borderId="0" xfId="0" applyNumberFormat="1" applyFont="1" applyBorder="1"/>
    <xf numFmtId="169" fontId="39" fillId="0" borderId="52" xfId="0" applyNumberFormat="1" applyFont="1" applyFill="1" applyBorder="1"/>
    <xf numFmtId="169" fontId="39" fillId="0" borderId="69" xfId="0" applyNumberFormat="1" applyFont="1" applyFill="1" applyBorder="1"/>
    <xf numFmtId="169" fontId="39" fillId="0" borderId="51" xfId="0" applyNumberFormat="1" applyFont="1" applyFill="1" applyBorder="1"/>
    <xf numFmtId="169" fontId="39" fillId="0" borderId="48" xfId="0" applyNumberFormat="1" applyFont="1" applyFill="1" applyBorder="1"/>
    <xf numFmtId="10" fontId="0" fillId="0" borderId="0" xfId="0" applyNumberFormat="1" applyBorder="1"/>
    <xf numFmtId="10" fontId="0" fillId="0" borderId="0" xfId="2534" applyNumberFormat="1" applyFont="1" applyBorder="1"/>
    <xf numFmtId="0" fontId="37" fillId="0" borderId="0" xfId="0" applyFont="1" applyAlignment="1">
      <alignment horizontal="left" indent="2"/>
    </xf>
    <xf numFmtId="41" fontId="57" fillId="35" borderId="59" xfId="155" applyNumberFormat="1" applyFont="1" applyFill="1" applyBorder="1"/>
    <xf numFmtId="41" fontId="65" fillId="0" borderId="71" xfId="0" applyNumberFormat="1" applyFont="1" applyBorder="1"/>
    <xf numFmtId="41" fontId="42" fillId="0" borderId="72" xfId="0" applyNumberFormat="1" applyFont="1" applyBorder="1"/>
    <xf numFmtId="41" fontId="61" fillId="0" borderId="72" xfId="0" applyNumberFormat="1" applyFont="1" applyBorder="1"/>
    <xf numFmtId="41" fontId="61" fillId="0" borderId="73" xfId="0" applyNumberFormat="1" applyFont="1" applyBorder="1"/>
    <xf numFmtId="10" fontId="0" fillId="0" borderId="29" xfId="0" applyNumberFormat="1" applyFill="1" applyBorder="1"/>
    <xf numFmtId="0" fontId="85" fillId="36" borderId="0" xfId="155" applyFont="1" applyFill="1" applyBorder="1" applyAlignment="1">
      <alignment horizontal="center"/>
    </xf>
    <xf numFmtId="168" fontId="62" fillId="36" borderId="0" xfId="155" applyNumberFormat="1" applyFont="1" applyFill="1"/>
    <xf numFmtId="168" fontId="66" fillId="36" borderId="59" xfId="155" applyNumberFormat="1" applyFont="1" applyFill="1" applyBorder="1"/>
    <xf numFmtId="168" fontId="57" fillId="34" borderId="0" xfId="155" applyNumberFormat="1" applyFont="1" applyFill="1" applyAlignment="1">
      <alignment horizontal="center"/>
    </xf>
    <xf numFmtId="0" fontId="66" fillId="36" borderId="0" xfId="155" applyFont="1" applyFill="1" applyBorder="1" applyAlignment="1">
      <alignment horizontal="center"/>
    </xf>
    <xf numFmtId="0" fontId="57" fillId="36" borderId="74" xfId="155" applyFont="1" applyFill="1" applyBorder="1" applyAlignment="1">
      <alignment horizontal="center"/>
    </xf>
    <xf numFmtId="0" fontId="57" fillId="36" borderId="75" xfId="155" applyFont="1" applyFill="1" applyBorder="1" applyAlignment="1">
      <alignment horizontal="center"/>
    </xf>
    <xf numFmtId="0" fontId="75" fillId="36" borderId="75" xfId="155" applyFont="1" applyFill="1" applyBorder="1" applyAlignment="1">
      <alignment horizontal="center"/>
    </xf>
    <xf numFmtId="38" fontId="34" fillId="36" borderId="75" xfId="155" applyNumberFormat="1" applyFill="1" applyBorder="1"/>
    <xf numFmtId="0" fontId="59" fillId="0" borderId="0" xfId="29" applyFont="1" applyFill="1" applyAlignment="1">
      <alignment horizontal="left"/>
    </xf>
    <xf numFmtId="0" fontId="41" fillId="0" borderId="0" xfId="29" applyFont="1"/>
    <xf numFmtId="0" fontId="37" fillId="0" borderId="74" xfId="29" applyFont="1" applyBorder="1" applyAlignment="1">
      <alignment horizontal="center"/>
    </xf>
    <xf numFmtId="0" fontId="37" fillId="0" borderId="18" xfId="29" applyFont="1" applyBorder="1" applyAlignment="1">
      <alignment horizontal="center"/>
    </xf>
    <xf numFmtId="0" fontId="37" fillId="0" borderId="74" xfId="29" applyFont="1" applyFill="1" applyBorder="1" applyAlignment="1">
      <alignment horizontal="center"/>
    </xf>
    <xf numFmtId="0" fontId="37" fillId="0" borderId="77" xfId="29" applyFont="1" applyBorder="1" applyAlignment="1">
      <alignment horizontal="center"/>
    </xf>
    <xf numFmtId="0" fontId="37" fillId="0" borderId="19" xfId="29" applyFont="1" applyFill="1" applyBorder="1" applyAlignment="1">
      <alignment horizontal="center"/>
    </xf>
    <xf numFmtId="0" fontId="37" fillId="0" borderId="77" xfId="29" applyFont="1" applyFill="1" applyBorder="1" applyAlignment="1">
      <alignment horizontal="center"/>
    </xf>
    <xf numFmtId="0" fontId="37" fillId="0" borderId="0" xfId="29" applyFont="1" applyFill="1" applyBorder="1" applyAlignment="1">
      <alignment horizontal="center"/>
    </xf>
    <xf numFmtId="43" fontId="39" fillId="0" borderId="0" xfId="28921" applyFont="1" applyFill="1"/>
    <xf numFmtId="43" fontId="0" fillId="0" borderId="0" xfId="28921" applyFont="1"/>
    <xf numFmtId="43" fontId="39" fillId="0" borderId="75" xfId="28921" applyFont="1" applyFill="1" applyBorder="1"/>
    <xf numFmtId="43" fontId="86" fillId="0" borderId="0" xfId="28921" applyFont="1" applyFill="1"/>
    <xf numFmtId="43" fontId="87" fillId="0" borderId="0" xfId="28921" applyFont="1" applyFill="1"/>
    <xf numFmtId="43" fontId="87" fillId="0" borderId="0" xfId="28921" applyFont="1"/>
    <xf numFmtId="43" fontId="88" fillId="0" borderId="0" xfId="28921" applyFont="1" applyFill="1"/>
    <xf numFmtId="43" fontId="39" fillId="0" borderId="0" xfId="28921" applyFont="1" applyBorder="1" applyAlignment="1">
      <alignment horizontal="center"/>
    </xf>
    <xf numFmtId="43" fontId="37" fillId="0" borderId="31" xfId="28921" applyFont="1" applyBorder="1"/>
    <xf numFmtId="43" fontId="37" fillId="0" borderId="33" xfId="28921" applyFont="1" applyBorder="1"/>
    <xf numFmtId="43" fontId="0" fillId="0" borderId="0" xfId="28921" applyFont="1" applyFill="1"/>
    <xf numFmtId="0" fontId="37" fillId="0" borderId="0" xfId="29" applyFont="1" applyAlignment="1">
      <alignment horizontal="center"/>
    </xf>
    <xf numFmtId="0" fontId="39" fillId="0" borderId="59" xfId="29" applyFont="1" applyBorder="1"/>
    <xf numFmtId="0" fontId="39" fillId="0" borderId="59" xfId="29" applyBorder="1"/>
    <xf numFmtId="43" fontId="39" fillId="0" borderId="59" xfId="29" applyNumberFormat="1" applyBorder="1"/>
    <xf numFmtId="43" fontId="0" fillId="0" borderId="0" xfId="0" applyNumberFormat="1" applyFill="1"/>
    <xf numFmtId="43" fontId="0" fillId="0" borderId="0" xfId="0" applyNumberFormat="1" applyFill="1" applyBorder="1"/>
    <xf numFmtId="0" fontId="0" fillId="0" borderId="0" xfId="0" quotePrefix="1" applyFill="1"/>
    <xf numFmtId="0" fontId="39" fillId="0" borderId="0" xfId="0" quotePrefix="1" applyFont="1" applyFill="1"/>
    <xf numFmtId="0" fontId="39" fillId="0" borderId="0" xfId="0" applyFont="1" applyFill="1" applyAlignment="1">
      <alignment horizontal="center"/>
    </xf>
    <xf numFmtId="43" fontId="59" fillId="0" borderId="24" xfId="29" applyNumberFormat="1" applyFont="1" applyFill="1" applyBorder="1"/>
    <xf numFmtId="43" fontId="59" fillId="0" borderId="0" xfId="1" applyNumberFormat="1" applyFont="1" applyFill="1" applyBorder="1"/>
    <xf numFmtId="166" fontId="59" fillId="0" borderId="0" xfId="29" applyNumberFormat="1" applyFont="1" applyFill="1"/>
    <xf numFmtId="0" fontId="59" fillId="0" borderId="0" xfId="29" applyFont="1" applyFill="1" applyBorder="1" applyAlignment="1">
      <alignment wrapText="1"/>
    </xf>
    <xf numFmtId="43" fontId="59" fillId="0" borderId="0" xfId="29" applyNumberFormat="1" applyFont="1" applyFill="1" applyBorder="1"/>
    <xf numFmtId="0" fontId="39" fillId="0" borderId="0" xfId="29" applyFill="1"/>
    <xf numFmtId="166" fontId="39" fillId="0" borderId="0" xfId="29" applyNumberFormat="1" applyFill="1"/>
    <xf numFmtId="0" fontId="39" fillId="0" borderId="0" xfId="29" applyFill="1" applyAlignment="1">
      <alignment horizontal="center"/>
    </xf>
    <xf numFmtId="43" fontId="39" fillId="0" borderId="24" xfId="29" applyNumberFormat="1" applyFill="1" applyBorder="1"/>
    <xf numFmtId="43" fontId="42" fillId="0" borderId="40" xfId="29" applyNumberFormat="1" applyFont="1" applyBorder="1"/>
    <xf numFmtId="43" fontId="42" fillId="0" borderId="42" xfId="29" applyNumberFormat="1" applyFont="1" applyBorder="1"/>
    <xf numFmtId="166" fontId="59" fillId="0" borderId="0" xfId="29" applyNumberFormat="1" applyFont="1" applyFill="1" applyAlignment="1">
      <alignment horizontal="center"/>
    </xf>
    <xf numFmtId="166" fontId="39" fillId="0" borderId="0" xfId="29" applyNumberFormat="1" applyFill="1" applyAlignment="1">
      <alignment horizontal="center"/>
    </xf>
    <xf numFmtId="0" fontId="78" fillId="0" borderId="0" xfId="29" applyFont="1" applyFill="1"/>
    <xf numFmtId="166" fontId="78" fillId="0" borderId="0" xfId="29" applyNumberFormat="1" applyFont="1" applyFill="1" applyAlignment="1">
      <alignment horizontal="center"/>
    </xf>
    <xf numFmtId="43" fontId="78" fillId="0" borderId="0" xfId="29" applyNumberFormat="1" applyFont="1" applyFill="1"/>
    <xf numFmtId="0" fontId="59" fillId="0" borderId="0" xfId="0" applyFont="1" applyFill="1"/>
    <xf numFmtId="0" fontId="59" fillId="0" borderId="0" xfId="0" applyFont="1" applyFill="1" applyAlignment="1">
      <alignment horizontal="right"/>
    </xf>
    <xf numFmtId="43" fontId="59" fillId="0" borderId="0" xfId="0" applyNumberFormat="1" applyFont="1" applyFill="1"/>
    <xf numFmtId="0" fontId="63" fillId="0" borderId="0" xfId="29" applyFont="1" applyFill="1" applyBorder="1"/>
    <xf numFmtId="166" fontId="63" fillId="0" borderId="0" xfId="29" applyNumberFormat="1" applyFont="1" applyFill="1" applyBorder="1" applyAlignment="1">
      <alignment horizontal="center"/>
    </xf>
    <xf numFmtId="0" fontId="63" fillId="0" borderId="0" xfId="29" applyFont="1" applyFill="1" applyBorder="1" applyAlignment="1">
      <alignment wrapText="1"/>
    </xf>
    <xf numFmtId="43" fontId="63" fillId="0" borderId="0" xfId="29" applyNumberFormat="1" applyFont="1" applyFill="1" applyBorder="1"/>
    <xf numFmtId="0" fontId="39" fillId="0" borderId="0" xfId="29" applyFont="1" applyFill="1" applyBorder="1"/>
    <xf numFmtId="0" fontId="39" fillId="0" borderId="0" xfId="29" applyFont="1" applyFill="1" applyBorder="1" applyAlignment="1">
      <alignment wrapText="1"/>
    </xf>
    <xf numFmtId="166" fontId="39" fillId="0" borderId="0" xfId="29" applyNumberFormat="1" applyFont="1" applyFill="1" applyBorder="1" applyAlignment="1">
      <alignment horizontal="center"/>
    </xf>
    <xf numFmtId="43" fontId="39" fillId="0" borderId="0" xfId="29" applyNumberFormat="1" applyFont="1" applyFill="1" applyBorder="1"/>
    <xf numFmtId="43" fontId="39" fillId="0" borderId="0" xfId="29" applyNumberFormat="1" applyFont="1" applyFill="1"/>
    <xf numFmtId="14" fontId="39" fillId="0" borderId="0" xfId="29" applyNumberFormat="1" applyFont="1" applyFill="1" applyBorder="1"/>
    <xf numFmtId="166" fontId="39" fillId="0" borderId="0" xfId="29" applyNumberFormat="1" applyFont="1" applyFill="1" applyAlignment="1">
      <alignment horizontal="center"/>
    </xf>
    <xf numFmtId="44" fontId="65" fillId="0" borderId="37" xfId="0" applyNumberFormat="1" applyFont="1" applyBorder="1"/>
    <xf numFmtId="0" fontId="39" fillId="0" borderId="38" xfId="29" applyBorder="1"/>
    <xf numFmtId="0" fontId="39" fillId="0" borderId="43" xfId="29" applyBorder="1"/>
    <xf numFmtId="44" fontId="82" fillId="0" borderId="37" xfId="0" applyNumberFormat="1" applyFont="1" applyBorder="1"/>
    <xf numFmtId="44" fontId="82" fillId="0" borderId="38" xfId="0" applyNumberFormat="1" applyFont="1" applyBorder="1"/>
    <xf numFmtId="14" fontId="59" fillId="0" borderId="0" xfId="29" applyNumberFormat="1" applyFont="1" applyFill="1" applyBorder="1"/>
    <xf numFmtId="0" fontId="59" fillId="0" borderId="0" xfId="29" applyFont="1" applyFill="1" applyProtection="1">
      <protection locked="0"/>
    </xf>
    <xf numFmtId="0" fontId="42" fillId="0" borderId="0" xfId="0" applyFont="1" applyBorder="1"/>
    <xf numFmtId="0" fontId="42" fillId="0" borderId="43" xfId="0" applyFont="1" applyBorder="1"/>
    <xf numFmtId="0" fontId="92" fillId="0" borderId="37" xfId="29" applyFont="1" applyBorder="1" applyAlignment="1">
      <alignment horizontal="center"/>
    </xf>
    <xf numFmtId="0" fontId="92" fillId="0" borderId="38" xfId="29" applyFont="1" applyBorder="1"/>
    <xf numFmtId="0" fontId="92" fillId="0" borderId="39" xfId="29" applyFont="1" applyBorder="1"/>
    <xf numFmtId="0" fontId="65" fillId="0" borderId="0" xfId="29" applyFont="1"/>
    <xf numFmtId="0" fontId="69" fillId="0" borderId="40" xfId="0" applyFont="1" applyFill="1" applyBorder="1"/>
    <xf numFmtId="0" fontId="69" fillId="0" borderId="40" xfId="0" applyFont="1" applyBorder="1"/>
    <xf numFmtId="0" fontId="69" fillId="0" borderId="0" xfId="0" applyFont="1" applyBorder="1"/>
    <xf numFmtId="0" fontId="69" fillId="0" borderId="42" xfId="0" applyFont="1" applyBorder="1"/>
    <xf numFmtId="0" fontId="69" fillId="0" borderId="43" xfId="0" applyFont="1" applyBorder="1"/>
    <xf numFmtId="0" fontId="69" fillId="0" borderId="0" xfId="0" applyFont="1" applyBorder="1" applyAlignment="1">
      <alignment horizontal="left" indent="1"/>
    </xf>
    <xf numFmtId="43" fontId="39" fillId="0" borderId="48" xfId="29" applyNumberFormat="1" applyFont="1" applyFill="1" applyBorder="1"/>
    <xf numFmtId="43" fontId="39" fillId="0" borderId="48" xfId="1" applyNumberFormat="1" applyFont="1" applyFill="1" applyBorder="1"/>
    <xf numFmtId="0" fontId="59" fillId="0" borderId="0" xfId="1" applyNumberFormat="1" applyFont="1" applyFill="1" applyBorder="1"/>
    <xf numFmtId="0" fontId="0" fillId="0" borderId="0" xfId="0" applyFont="1" applyFill="1"/>
    <xf numFmtId="43" fontId="93" fillId="0" borderId="0" xfId="0" applyNumberFormat="1" applyFont="1" applyBorder="1"/>
    <xf numFmtId="0" fontId="62" fillId="0" borderId="0" xfId="29" applyFont="1"/>
    <xf numFmtId="0" fontId="39" fillId="0" borderId="0" xfId="0" quotePrefix="1" applyFont="1" applyBorder="1"/>
    <xf numFmtId="0" fontId="39" fillId="0" borderId="0" xfId="0" quotePrefix="1" applyFont="1" applyFill="1" applyBorder="1"/>
    <xf numFmtId="6" fontId="59" fillId="0" borderId="0" xfId="1" applyNumberFormat="1" applyFont="1" applyFill="1"/>
    <xf numFmtId="0" fontId="0" fillId="0" borderId="0" xfId="0" quotePrefix="1"/>
    <xf numFmtId="44" fontId="0" fillId="0" borderId="0" xfId="0" applyNumberFormat="1"/>
    <xf numFmtId="0" fontId="0" fillId="0" borderId="35" xfId="0" applyFill="1" applyBorder="1"/>
    <xf numFmtId="0" fontId="39" fillId="0" borderId="35" xfId="0" applyFont="1" applyFill="1" applyBorder="1"/>
    <xf numFmtId="0" fontId="13" fillId="35" borderId="0" xfId="155" applyFont="1" applyFill="1"/>
    <xf numFmtId="0" fontId="39" fillId="0" borderId="0" xfId="29"/>
    <xf numFmtId="43" fontId="59" fillId="0" borderId="0" xfId="1" applyNumberFormat="1" applyFont="1" applyFill="1"/>
    <xf numFmtId="0" fontId="59" fillId="0" borderId="0" xfId="29" applyFont="1" applyAlignment="1">
      <alignment horizontal="left"/>
    </xf>
    <xf numFmtId="0" fontId="59" fillId="0" borderId="0" xfId="29" applyFont="1" applyBorder="1" applyAlignment="1">
      <alignment horizontal="left"/>
    </xf>
    <xf numFmtId="0" fontId="59" fillId="0" borderId="0" xfId="29" applyFont="1" applyBorder="1" applyAlignment="1">
      <alignment horizontal="center"/>
    </xf>
    <xf numFmtId="0" fontId="59" fillId="0" borderId="0" xfId="12" applyNumberFormat="1" applyFont="1" applyFill="1" applyAlignment="1"/>
    <xf numFmtId="44" fontId="59" fillId="0" borderId="0" xfId="12" applyFont="1" applyFill="1" applyAlignment="1">
      <alignment horizontal="center"/>
    </xf>
    <xf numFmtId="44" fontId="59" fillId="0" borderId="0" xfId="12" applyFont="1" applyFill="1" applyAlignment="1">
      <alignment horizontal="left"/>
    </xf>
    <xf numFmtId="43" fontId="59" fillId="0" borderId="0" xfId="12" applyNumberFormat="1" applyFont="1" applyFill="1" applyAlignment="1">
      <alignment horizontal="right"/>
    </xf>
    <xf numFmtId="166" fontId="59" fillId="0" borderId="0" xfId="29" applyNumberFormat="1" applyFont="1" applyFill="1" applyBorder="1"/>
    <xf numFmtId="0" fontId="59" fillId="0" borderId="0" xfId="29" applyFont="1" applyFill="1" applyBorder="1"/>
    <xf numFmtId="43" fontId="59" fillId="0" borderId="0" xfId="29" applyNumberFormat="1" applyFont="1" applyFill="1"/>
    <xf numFmtId="0" fontId="59" fillId="0" borderId="0" xfId="29" applyFont="1" applyFill="1"/>
    <xf numFmtId="43" fontId="59" fillId="0" borderId="0" xfId="1" applyNumberFormat="1" applyFont="1" applyFill="1" applyBorder="1"/>
    <xf numFmtId="0" fontId="59" fillId="0" borderId="0" xfId="29" applyFont="1" applyFill="1" applyBorder="1" applyAlignment="1">
      <alignment wrapText="1"/>
    </xf>
    <xf numFmtId="0" fontId="91" fillId="0" borderId="79" xfId="29" applyFont="1" applyBorder="1" applyAlignment="1">
      <alignment horizontal="center"/>
    </xf>
    <xf numFmtId="0" fontId="90" fillId="0" borderId="79" xfId="29" applyFont="1" applyBorder="1" applyAlignment="1">
      <alignment horizontal="center"/>
    </xf>
    <xf numFmtId="0" fontId="90" fillId="0" borderId="81" xfId="29" applyFont="1" applyBorder="1" applyAlignment="1">
      <alignment horizontal="center" wrapText="1"/>
    </xf>
    <xf numFmtId="0" fontId="90" fillId="0" borderId="79" xfId="29" applyFont="1" applyBorder="1" applyAlignment="1">
      <alignment horizontal="center" wrapText="1"/>
    </xf>
    <xf numFmtId="0" fontId="90" fillId="0" borderId="80" xfId="29" applyFont="1" applyBorder="1" applyAlignment="1">
      <alignment horizontal="center" wrapText="1"/>
    </xf>
    <xf numFmtId="0" fontId="94" fillId="0" borderId="78" xfId="29" applyFont="1" applyBorder="1" applyAlignment="1">
      <alignment horizontal="center"/>
    </xf>
    <xf numFmtId="0" fontId="94" fillId="0" borderId="82" xfId="29" applyFont="1" applyBorder="1" applyAlignment="1">
      <alignment horizontal="center" wrapText="1"/>
    </xf>
    <xf numFmtId="43" fontId="95" fillId="0" borderId="40" xfId="29" applyNumberFormat="1" applyFont="1" applyBorder="1"/>
    <xf numFmtId="43" fontId="95" fillId="0" borderId="0" xfId="0" applyNumberFormat="1" applyFont="1" applyBorder="1"/>
    <xf numFmtId="43" fontId="95" fillId="0" borderId="24" xfId="0" applyNumberFormat="1" applyFont="1" applyBorder="1"/>
    <xf numFmtId="43" fontId="95" fillId="0" borderId="41" xfId="0" applyNumberFormat="1" applyFont="1" applyBorder="1"/>
    <xf numFmtId="43" fontId="95" fillId="0" borderId="57" xfId="0" applyNumberFormat="1" applyFont="1" applyBorder="1"/>
    <xf numFmtId="43" fontId="93" fillId="0" borderId="24" xfId="0" applyNumberFormat="1" applyFont="1" applyBorder="1"/>
    <xf numFmtId="43" fontId="93" fillId="0" borderId="41" xfId="0" applyNumberFormat="1" applyFont="1" applyBorder="1"/>
    <xf numFmtId="43" fontId="93" fillId="0" borderId="43" xfId="0" applyNumberFormat="1" applyFont="1" applyBorder="1"/>
    <xf numFmtId="43" fontId="93" fillId="0" borderId="44" xfId="0" applyNumberFormat="1" applyFont="1" applyBorder="1"/>
    <xf numFmtId="0" fontId="0" fillId="38" borderId="0" xfId="0" applyFill="1"/>
    <xf numFmtId="41" fontId="63" fillId="0" borderId="0" xfId="0" applyNumberFormat="1" applyFont="1"/>
    <xf numFmtId="44" fontId="39" fillId="0" borderId="48" xfId="29" applyNumberFormat="1" applyFill="1" applyBorder="1"/>
    <xf numFmtId="0" fontId="92" fillId="0" borderId="79" xfId="29" applyFont="1" applyBorder="1" applyAlignment="1">
      <alignment horizontal="center" wrapText="1"/>
    </xf>
    <xf numFmtId="0" fontId="92" fillId="0" borderId="83" xfId="29" applyFont="1" applyBorder="1" applyAlignment="1">
      <alignment horizontal="center"/>
    </xf>
    <xf numFmtId="0" fontId="39" fillId="0" borderId="0" xfId="0" applyFont="1" applyAlignment="1">
      <alignment horizontal="left"/>
    </xf>
    <xf numFmtId="43" fontId="87" fillId="38" borderId="0" xfId="28921" applyFont="1" applyFill="1"/>
    <xf numFmtId="43" fontId="41" fillId="0" borderId="40" xfId="29" applyNumberFormat="1" applyFont="1" applyBorder="1"/>
    <xf numFmtId="0" fontId="59" fillId="0" borderId="0" xfId="29" applyFont="1" applyFill="1" applyBorder="1" applyAlignment="1"/>
    <xf numFmtId="0" fontId="92" fillId="0" borderId="84" xfId="29" applyFont="1" applyBorder="1" applyAlignment="1">
      <alignment horizontal="center" wrapText="1"/>
    </xf>
    <xf numFmtId="43" fontId="65" fillId="0" borderId="38" xfId="0" applyNumberFormat="1" applyFont="1" applyBorder="1"/>
    <xf numFmtId="43" fontId="65" fillId="0" borderId="85" xfId="0" applyNumberFormat="1" applyFont="1" applyBorder="1"/>
    <xf numFmtId="43" fontId="65" fillId="0" borderId="71" xfId="0" applyNumberFormat="1" applyFont="1" applyBorder="1"/>
    <xf numFmtId="0" fontId="39" fillId="0" borderId="0" xfId="29" applyFill="1" applyBorder="1"/>
    <xf numFmtId="43" fontId="93" fillId="0" borderId="41" xfId="0" applyNumberFormat="1" applyFont="1" applyFill="1" applyBorder="1"/>
    <xf numFmtId="43" fontId="93" fillId="0" borderId="0" xfId="0" applyNumberFormat="1" applyFont="1" applyFill="1" applyBorder="1"/>
    <xf numFmtId="43" fontId="95" fillId="0" borderId="57" xfId="0" applyNumberFormat="1" applyFont="1" applyFill="1" applyBorder="1"/>
    <xf numFmtId="43" fontId="95" fillId="0" borderId="88" xfId="29" applyNumberFormat="1" applyFont="1" applyBorder="1"/>
    <xf numFmtId="43" fontId="95" fillId="0" borderId="88" xfId="0" applyNumberFormat="1" applyFont="1" applyBorder="1"/>
    <xf numFmtId="0" fontId="69" fillId="0" borderId="40" xfId="0" applyFont="1" applyBorder="1" applyAlignment="1">
      <alignment horizontal="left"/>
    </xf>
    <xf numFmtId="0" fontId="69" fillId="0" borderId="42" xfId="0" applyFont="1" applyBorder="1" applyAlignment="1">
      <alignment horizontal="left"/>
    </xf>
    <xf numFmtId="0" fontId="59" fillId="0" borderId="0" xfId="29" quotePrefix="1" applyFont="1" applyFill="1"/>
    <xf numFmtId="0" fontId="64" fillId="0" borderId="22" xfId="0" applyFont="1" applyFill="1" applyBorder="1" applyAlignment="1">
      <alignment horizontal="center" wrapText="1"/>
    </xf>
    <xf numFmtId="0" fontId="0" fillId="0" borderId="29" xfId="0" applyFill="1" applyBorder="1"/>
    <xf numFmtId="10" fontId="0" fillId="0" borderId="30" xfId="0" applyNumberFormat="1" applyFill="1" applyBorder="1"/>
    <xf numFmtId="43" fontId="64" fillId="0" borderId="17" xfId="0" applyNumberFormat="1" applyFont="1" applyFill="1" applyBorder="1" applyAlignment="1">
      <alignment horizontal="center" wrapText="1"/>
    </xf>
    <xf numFmtId="43" fontId="91" fillId="0" borderId="0" xfId="0" applyNumberFormat="1" applyFont="1" applyFill="1" applyAlignment="1">
      <alignment horizontal="right" vertical="top"/>
    </xf>
    <xf numFmtId="43" fontId="91" fillId="0" borderId="0" xfId="0" applyNumberFormat="1" applyFont="1" applyAlignment="1">
      <alignment horizontal="right" vertical="top"/>
    </xf>
    <xf numFmtId="43" fontId="91" fillId="0" borderId="0" xfId="12" applyNumberFormat="1" applyFont="1" applyFill="1" applyBorder="1" applyAlignment="1">
      <alignment horizontal="right" vertical="top"/>
    </xf>
    <xf numFmtId="0" fontId="0" fillId="34" borderId="0" xfId="0" applyFill="1"/>
    <xf numFmtId="0" fontId="0" fillId="34" borderId="0" xfId="0" applyFill="1" applyAlignment="1">
      <alignment horizontal="center"/>
    </xf>
    <xf numFmtId="0" fontId="39" fillId="34" borderId="0" xfId="0" applyFont="1" applyFill="1"/>
    <xf numFmtId="0" fontId="0" fillId="34" borderId="0" xfId="0" applyFont="1" applyFill="1"/>
    <xf numFmtId="43" fontId="91" fillId="34" borderId="0" xfId="0" applyNumberFormat="1" applyFont="1" applyFill="1" applyAlignment="1">
      <alignment horizontal="right" vertical="top"/>
    </xf>
    <xf numFmtId="43" fontId="0" fillId="34" borderId="0" xfId="0" applyNumberFormat="1" applyFill="1"/>
    <xf numFmtId="43" fontId="0" fillId="34" borderId="27" xfId="0" applyNumberFormat="1" applyFill="1" applyBorder="1"/>
    <xf numFmtId="43" fontId="0" fillId="34" borderId="0" xfId="0" applyNumberFormat="1" applyFill="1" applyBorder="1"/>
    <xf numFmtId="43" fontId="91" fillId="34" borderId="0" xfId="12" applyNumberFormat="1" applyFont="1" applyFill="1" applyBorder="1" applyAlignment="1">
      <alignment horizontal="right" vertical="top"/>
    </xf>
    <xf numFmtId="0" fontId="91" fillId="0" borderId="0" xfId="0" applyFont="1" applyAlignment="1">
      <alignment vertical="top"/>
    </xf>
    <xf numFmtId="0" fontId="91" fillId="0" borderId="0" xfId="0" applyFont="1" applyBorder="1" applyAlignment="1">
      <alignment vertical="top"/>
    </xf>
    <xf numFmtId="43" fontId="91" fillId="0" borderId="0" xfId="0" applyNumberFormat="1" applyFont="1" applyBorder="1" applyAlignment="1">
      <alignment horizontal="right" vertical="top"/>
    </xf>
    <xf numFmtId="0" fontId="91" fillId="34" borderId="0" xfId="0" applyFont="1" applyFill="1" applyAlignment="1">
      <alignment vertical="top"/>
    </xf>
    <xf numFmtId="41" fontId="39" fillId="0" borderId="45" xfId="0" applyNumberFormat="1" applyFont="1" applyFill="1" applyBorder="1"/>
    <xf numFmtId="41" fontId="39" fillId="0" borderId="46" xfId="0" applyNumberFormat="1" applyFont="1" applyFill="1" applyBorder="1"/>
    <xf numFmtId="0" fontId="78" fillId="0" borderId="0" xfId="0" applyFont="1" applyFill="1"/>
    <xf numFmtId="0" fontId="78" fillId="0" borderId="0" xfId="29" applyFont="1" applyAlignment="1">
      <alignment horizontal="left"/>
    </xf>
    <xf numFmtId="0" fontId="77" fillId="0" borderId="0" xfId="29" applyFont="1" applyFill="1"/>
    <xf numFmtId="43" fontId="39" fillId="0" borderId="35" xfId="29" applyNumberFormat="1" applyFill="1" applyBorder="1"/>
    <xf numFmtId="41" fontId="39" fillId="0" borderId="62" xfId="29" applyNumberFormat="1" applyBorder="1"/>
    <xf numFmtId="0" fontId="92" fillId="0" borderId="89" xfId="29" applyFont="1" applyBorder="1" applyAlignment="1">
      <alignment horizontal="center" wrapText="1"/>
    </xf>
    <xf numFmtId="0" fontId="92" fillId="0" borderId="90" xfId="29" applyFont="1" applyBorder="1" applyAlignment="1">
      <alignment horizontal="center"/>
    </xf>
    <xf numFmtId="43" fontId="65" fillId="0" borderId="92" xfId="0" applyNumberFormat="1" applyFont="1" applyBorder="1"/>
    <xf numFmtId="0" fontId="39" fillId="0" borderId="31" xfId="0" applyFont="1" applyBorder="1"/>
    <xf numFmtId="0" fontId="75" fillId="35" borderId="0" xfId="155" applyFont="1" applyFill="1" applyAlignment="1">
      <alignment horizontal="center" wrapText="1"/>
    </xf>
    <xf numFmtId="0" fontId="11" fillId="0" borderId="0" xfId="57783"/>
    <xf numFmtId="0" fontId="96" fillId="40" borderId="0" xfId="57783" applyFont="1" applyFill="1"/>
    <xf numFmtId="170" fontId="97" fillId="36" borderId="23" xfId="57783" applyNumberFormat="1" applyFont="1" applyFill="1" applyBorder="1" applyAlignment="1">
      <alignment horizontal="center" vertical="center" wrapText="1"/>
    </xf>
    <xf numFmtId="170" fontId="97" fillId="40" borderId="23" xfId="57783" applyNumberFormat="1" applyFont="1" applyFill="1" applyBorder="1" applyAlignment="1">
      <alignment horizontal="center" vertical="center" wrapText="1"/>
    </xf>
    <xf numFmtId="42" fontId="97" fillId="40" borderId="23" xfId="57783" applyNumberFormat="1" applyFont="1" applyFill="1" applyBorder="1" applyAlignment="1">
      <alignment horizontal="center" vertical="center" wrapText="1"/>
    </xf>
    <xf numFmtId="0" fontId="97" fillId="40" borderId="22" xfId="57783" applyFont="1" applyFill="1" applyBorder="1" applyAlignment="1">
      <alignment vertical="center" wrapText="1"/>
    </xf>
    <xf numFmtId="0" fontId="98" fillId="40" borderId="21" xfId="57783" applyFont="1" applyFill="1" applyBorder="1" applyAlignment="1">
      <alignment horizontal="center" vertical="center" wrapText="1"/>
    </xf>
    <xf numFmtId="170" fontId="97" fillId="36" borderId="98" xfId="57783" applyNumberFormat="1" applyFont="1" applyFill="1" applyBorder="1" applyAlignment="1">
      <alignment horizontal="center" vertical="center" wrapText="1"/>
    </xf>
    <xf numFmtId="170" fontId="97" fillId="40" borderId="98" xfId="57783" applyNumberFormat="1" applyFont="1" applyFill="1" applyBorder="1" applyAlignment="1">
      <alignment horizontal="center" vertical="center" wrapText="1"/>
    </xf>
    <xf numFmtId="42" fontId="97" fillId="40" borderId="98" xfId="57783" applyNumberFormat="1" applyFont="1" applyFill="1" applyBorder="1" applyAlignment="1">
      <alignment horizontal="center" vertical="center" wrapText="1"/>
    </xf>
    <xf numFmtId="0" fontId="97" fillId="40" borderId="34" xfId="57783" applyFont="1" applyFill="1" applyBorder="1" applyAlignment="1">
      <alignment vertical="center" wrapText="1"/>
    </xf>
    <xf numFmtId="0" fontId="98" fillId="40" borderId="99" xfId="57783" applyFont="1" applyFill="1" applyBorder="1" applyAlignment="1">
      <alignment horizontal="center" vertical="center" wrapText="1"/>
    </xf>
    <xf numFmtId="170" fontId="97" fillId="41" borderId="98" xfId="57783" applyNumberFormat="1" applyFont="1" applyFill="1" applyBorder="1" applyAlignment="1">
      <alignment horizontal="center" vertical="center" wrapText="1"/>
    </xf>
    <xf numFmtId="170" fontId="97" fillId="42" borderId="98" xfId="57783" applyNumberFormat="1" applyFont="1" applyFill="1" applyBorder="1" applyAlignment="1">
      <alignment horizontal="center" vertical="center" wrapText="1"/>
    </xf>
    <xf numFmtId="170" fontId="97" fillId="0" borderId="98" xfId="57783" applyNumberFormat="1" applyFont="1" applyBorder="1" applyAlignment="1">
      <alignment horizontal="center" vertical="center" wrapText="1"/>
    </xf>
    <xf numFmtId="42" fontId="97" fillId="0" borderId="98" xfId="57783" applyNumberFormat="1" applyFont="1" applyBorder="1" applyAlignment="1">
      <alignment horizontal="center" vertical="center" wrapText="1"/>
    </xf>
    <xf numFmtId="0" fontId="97" fillId="0" borderId="34" xfId="57783" applyFont="1" applyBorder="1" applyAlignment="1">
      <alignment vertical="center" wrapText="1"/>
    </xf>
    <xf numFmtId="0" fontId="98" fillId="0" borderId="99" xfId="57783" applyFont="1" applyBorder="1" applyAlignment="1">
      <alignment horizontal="center" vertical="center" wrapText="1"/>
    </xf>
    <xf numFmtId="170" fontId="97" fillId="43" borderId="98" xfId="57783" applyNumberFormat="1" applyFont="1" applyFill="1" applyBorder="1" applyAlignment="1">
      <alignment horizontal="center" vertical="center" wrapText="1"/>
    </xf>
    <xf numFmtId="170" fontId="97" fillId="44" borderId="98" xfId="57783" applyNumberFormat="1" applyFont="1" applyFill="1" applyBorder="1" applyAlignment="1">
      <alignment horizontal="center" vertical="center" wrapText="1"/>
    </xf>
    <xf numFmtId="170" fontId="97" fillId="45" borderId="98" xfId="57783" applyNumberFormat="1" applyFont="1" applyFill="1" applyBorder="1" applyAlignment="1">
      <alignment horizontal="center" vertical="center" wrapText="1"/>
    </xf>
    <xf numFmtId="170" fontId="97" fillId="38" borderId="98" xfId="57783" applyNumberFormat="1" applyFont="1" applyFill="1" applyBorder="1" applyAlignment="1">
      <alignment horizontal="center" vertical="center" wrapText="1"/>
    </xf>
    <xf numFmtId="170" fontId="97" fillId="46" borderId="98" xfId="57783" applyNumberFormat="1" applyFont="1" applyFill="1" applyBorder="1" applyAlignment="1">
      <alignment horizontal="center" vertical="center" wrapText="1"/>
    </xf>
    <xf numFmtId="170" fontId="97" fillId="47" borderId="98" xfId="57783" applyNumberFormat="1" applyFont="1" applyFill="1" applyBorder="1" applyAlignment="1">
      <alignment horizontal="center" vertical="center" wrapText="1"/>
    </xf>
    <xf numFmtId="0" fontId="97" fillId="40" borderId="0" xfId="57783" applyFont="1" applyFill="1" applyAlignment="1">
      <alignment vertical="center" wrapText="1"/>
    </xf>
    <xf numFmtId="170" fontId="97" fillId="40" borderId="100" xfId="57783" applyNumberFormat="1" applyFont="1" applyFill="1" applyBorder="1" applyAlignment="1">
      <alignment horizontal="center" vertical="center" wrapText="1"/>
    </xf>
    <xf numFmtId="42" fontId="97" fillId="40" borderId="100" xfId="57783" applyNumberFormat="1" applyFont="1" applyFill="1" applyBorder="1" applyAlignment="1">
      <alignment horizontal="center" vertical="center" wrapText="1"/>
    </xf>
    <xf numFmtId="0" fontId="97" fillId="40" borderId="45" xfId="57783" applyFont="1" applyFill="1" applyBorder="1" applyAlignment="1">
      <alignment vertical="center" wrapText="1"/>
    </xf>
    <xf numFmtId="0" fontId="98" fillId="40" borderId="101" xfId="57783" applyFont="1" applyFill="1" applyBorder="1" applyAlignment="1">
      <alignment horizontal="center" vertical="center" wrapText="1"/>
    </xf>
    <xf numFmtId="0" fontId="100" fillId="38" borderId="97" xfId="57783" applyFont="1" applyFill="1" applyBorder="1" applyAlignment="1">
      <alignment horizontal="center" vertical="center" wrapText="1"/>
    </xf>
    <xf numFmtId="0" fontId="100" fillId="48" borderId="102" xfId="57783" applyFont="1" applyFill="1" applyBorder="1" applyAlignment="1">
      <alignment horizontal="center" vertical="center" wrapText="1"/>
    </xf>
    <xf numFmtId="0" fontId="100" fillId="37" borderId="103" xfId="57783" applyFont="1" applyFill="1" applyBorder="1" applyAlignment="1">
      <alignment horizontal="center" vertical="center"/>
    </xf>
    <xf numFmtId="0" fontId="100" fillId="37" borderId="104" xfId="57783" applyFont="1" applyFill="1" applyBorder="1" applyAlignment="1">
      <alignment horizontal="center" vertical="center"/>
    </xf>
    <xf numFmtId="0" fontId="11" fillId="34" borderId="0" xfId="155" applyFont="1" applyFill="1" applyProtection="1">
      <protection locked="0"/>
    </xf>
    <xf numFmtId="0" fontId="59" fillId="0" borderId="0" xfId="0" applyFont="1" applyAlignment="1" applyProtection="1">
      <alignment horizontal="left" wrapText="1"/>
      <protection locked="0"/>
    </xf>
    <xf numFmtId="0" fontId="78" fillId="0" borderId="0" xfId="29" applyFont="1"/>
    <xf numFmtId="166" fontId="78" fillId="0" borderId="0" xfId="29" applyNumberFormat="1" applyFont="1" applyFill="1"/>
    <xf numFmtId="0" fontId="78" fillId="0" borderId="0" xfId="0" applyFont="1" applyAlignment="1" applyProtection="1">
      <alignment wrapText="1"/>
      <protection locked="0"/>
    </xf>
    <xf numFmtId="43" fontId="78" fillId="0" borderId="24" xfId="29" applyNumberFormat="1" applyFont="1" applyFill="1" applyBorder="1"/>
    <xf numFmtId="0" fontId="69" fillId="0" borderId="40" xfId="0" applyFont="1" applyBorder="1" applyAlignment="1"/>
    <xf numFmtId="0" fontId="10" fillId="34" borderId="0" xfId="155" applyFont="1" applyFill="1" applyProtection="1">
      <protection locked="0"/>
    </xf>
    <xf numFmtId="0" fontId="65" fillId="0" borderId="26" xfId="0" applyFont="1" applyBorder="1"/>
    <xf numFmtId="0" fontId="65" fillId="0" borderId="40" xfId="0" applyFont="1" applyBorder="1"/>
    <xf numFmtId="0" fontId="61" fillId="0" borderId="0" xfId="0" applyFont="1" applyBorder="1"/>
    <xf numFmtId="44" fontId="65" fillId="0" borderId="41" xfId="0" applyNumberFormat="1" applyFont="1" applyBorder="1"/>
    <xf numFmtId="44" fontId="65" fillId="0" borderId="40" xfId="0" applyNumberFormat="1" applyFont="1" applyBorder="1"/>
    <xf numFmtId="44" fontId="82" fillId="0" borderId="41" xfId="0" applyNumberFormat="1" applyFont="1" applyBorder="1"/>
    <xf numFmtId="0" fontId="39" fillId="0" borderId="0" xfId="29" applyFont="1"/>
    <xf numFmtId="0" fontId="39" fillId="0" borderId="40" xfId="29" applyFont="1" applyBorder="1"/>
    <xf numFmtId="0" fontId="39" fillId="0" borderId="41" xfId="0" applyFont="1" applyBorder="1"/>
    <xf numFmtId="0" fontId="39" fillId="0" borderId="42" xfId="0" applyFont="1" applyBorder="1"/>
    <xf numFmtId="0" fontId="39" fillId="0" borderId="43" xfId="0" applyFont="1" applyBorder="1"/>
    <xf numFmtId="0" fontId="39" fillId="0" borderId="44" xfId="0" applyFont="1" applyBorder="1"/>
    <xf numFmtId="10" fontId="39" fillId="0" borderId="16" xfId="0" applyNumberFormat="1" applyFont="1" applyBorder="1"/>
    <xf numFmtId="41" fontId="39" fillId="0" borderId="59" xfId="0" applyNumberFormat="1" applyFont="1" applyBorder="1"/>
    <xf numFmtId="41" fontId="39" fillId="0" borderId="106" xfId="0" applyNumberFormat="1" applyFont="1" applyBorder="1"/>
    <xf numFmtId="41" fontId="39" fillId="0" borderId="107" xfId="0" applyNumberFormat="1" applyFont="1" applyBorder="1"/>
    <xf numFmtId="41" fontId="39" fillId="0" borderId="108" xfId="0" applyNumberFormat="1" applyFont="1" applyBorder="1"/>
    <xf numFmtId="41" fontId="39" fillId="0" borderId="109" xfId="0" applyNumberFormat="1" applyFont="1" applyBorder="1"/>
    <xf numFmtId="10" fontId="39" fillId="0" borderId="31" xfId="2534" applyNumberFormat="1" applyFont="1" applyBorder="1"/>
    <xf numFmtId="43" fontId="0" fillId="0" borderId="31" xfId="0" applyNumberFormat="1" applyBorder="1"/>
    <xf numFmtId="0" fontId="0" fillId="0" borderId="31" xfId="0" applyBorder="1"/>
    <xf numFmtId="10" fontId="0" fillId="0" borderId="31" xfId="0" applyNumberFormat="1" applyBorder="1"/>
    <xf numFmtId="10" fontId="0" fillId="0" borderId="16" xfId="0" applyNumberFormat="1" applyBorder="1"/>
    <xf numFmtId="10" fontId="0" fillId="0" borderId="56" xfId="0" applyNumberFormat="1" applyBorder="1"/>
    <xf numFmtId="170" fontId="97" fillId="0" borderId="98" xfId="57783" applyNumberFormat="1" applyFont="1" applyFill="1" applyBorder="1" applyAlignment="1">
      <alignment horizontal="center" vertical="center" wrapText="1"/>
    </xf>
    <xf numFmtId="10" fontId="0" fillId="0" borderId="48" xfId="0" applyNumberFormat="1" applyBorder="1"/>
    <xf numFmtId="0" fontId="11" fillId="0" borderId="0" xfId="57783" applyFill="1"/>
    <xf numFmtId="0" fontId="98" fillId="40" borderId="110" xfId="57783" applyFont="1" applyFill="1" applyBorder="1" applyAlignment="1">
      <alignment horizontal="center" vertical="center" wrapText="1"/>
    </xf>
    <xf numFmtId="0" fontId="97" fillId="40" borderId="111" xfId="57783" applyFont="1" applyFill="1" applyBorder="1" applyAlignment="1">
      <alignment vertical="center" wrapText="1"/>
    </xf>
    <xf numFmtId="42" fontId="97" fillId="40" borderId="17" xfId="57783" applyNumberFormat="1" applyFont="1" applyFill="1" applyBorder="1" applyAlignment="1">
      <alignment horizontal="center" vertical="center" wrapText="1"/>
    </xf>
    <xf numFmtId="170" fontId="97" fillId="40" borderId="17" xfId="57783" applyNumberFormat="1" applyFont="1" applyFill="1" applyBorder="1" applyAlignment="1">
      <alignment horizontal="center" vertical="center" wrapText="1"/>
    </xf>
    <xf numFmtId="170" fontId="97" fillId="0" borderId="17" xfId="57783" applyNumberFormat="1" applyFont="1" applyFill="1" applyBorder="1" applyAlignment="1">
      <alignment horizontal="center" vertical="center" wrapText="1"/>
    </xf>
    <xf numFmtId="0" fontId="97" fillId="40" borderId="112" xfId="57783" applyFont="1" applyFill="1" applyBorder="1" applyAlignment="1">
      <alignment vertical="center" wrapText="1"/>
    </xf>
    <xf numFmtId="44" fontId="11" fillId="0" borderId="0" xfId="57783" applyNumberFormat="1"/>
    <xf numFmtId="42" fontId="97" fillId="40" borderId="30" xfId="57783" applyNumberFormat="1" applyFont="1" applyFill="1" applyBorder="1" applyAlignment="1">
      <alignment horizontal="center" vertical="center" wrapText="1"/>
    </xf>
    <xf numFmtId="170" fontId="97" fillId="40" borderId="30" xfId="57783" applyNumberFormat="1" applyFont="1" applyFill="1" applyBorder="1" applyAlignment="1">
      <alignment horizontal="center" vertical="center" wrapText="1"/>
    </xf>
    <xf numFmtId="170" fontId="97" fillId="0" borderId="30" xfId="57783" applyNumberFormat="1" applyFont="1" applyFill="1" applyBorder="1" applyAlignment="1">
      <alignment horizontal="center" vertical="center" wrapText="1"/>
    </xf>
    <xf numFmtId="0" fontId="100" fillId="0" borderId="28" xfId="57783" applyFont="1" applyBorder="1" applyAlignment="1">
      <alignment horizontal="center"/>
    </xf>
    <xf numFmtId="0" fontId="9" fillId="0" borderId="29" xfId="57783" applyFont="1" applyBorder="1"/>
    <xf numFmtId="43" fontId="55" fillId="0" borderId="62" xfId="155" applyNumberFormat="1" applyFont="1" applyBorder="1"/>
    <xf numFmtId="0" fontId="71" fillId="0" borderId="113" xfId="0" applyFont="1" applyBorder="1"/>
    <xf numFmtId="0" fontId="0" fillId="0" borderId="113" xfId="0" applyBorder="1"/>
    <xf numFmtId="0" fontId="39" fillId="0" borderId="113" xfId="0" applyFont="1" applyBorder="1"/>
    <xf numFmtId="0" fontId="37" fillId="0" borderId="113" xfId="0" applyFont="1" applyBorder="1" applyAlignment="1">
      <alignment horizontal="left"/>
    </xf>
    <xf numFmtId="0" fontId="37" fillId="0" borderId="113" xfId="0" applyFont="1" applyBorder="1" applyAlignment="1">
      <alignment horizontal="left" indent="2"/>
    </xf>
    <xf numFmtId="0" fontId="0" fillId="0" borderId="111" xfId="0" applyBorder="1"/>
    <xf numFmtId="0" fontId="71" fillId="0" borderId="117" xfId="0" applyFont="1" applyBorder="1" applyAlignment="1">
      <alignment wrapText="1"/>
    </xf>
    <xf numFmtId="41" fontId="39" fillId="0" borderId="113" xfId="0" applyNumberFormat="1" applyFont="1" applyBorder="1"/>
    <xf numFmtId="41" fontId="39" fillId="0" borderId="113" xfId="0" applyNumberFormat="1" applyFont="1" applyFill="1" applyBorder="1"/>
    <xf numFmtId="41" fontId="39" fillId="0" borderId="113" xfId="29" applyNumberFormat="1" applyFont="1" applyFill="1" applyBorder="1"/>
    <xf numFmtId="41" fontId="39" fillId="0" borderId="22" xfId="0" applyNumberFormat="1" applyFont="1" applyBorder="1"/>
    <xf numFmtId="41" fontId="39" fillId="0" borderId="116" xfId="0" applyNumberFormat="1" applyFont="1" applyBorder="1"/>
    <xf numFmtId="41" fontId="39" fillId="0" borderId="115" xfId="0" applyNumberFormat="1" applyFont="1" applyBorder="1"/>
    <xf numFmtId="41" fontId="39" fillId="0" borderId="114" xfId="0" applyNumberFormat="1" applyFont="1" applyBorder="1"/>
    <xf numFmtId="169" fontId="39" fillId="0" borderId="103" xfId="0" applyNumberFormat="1" applyFont="1" applyFill="1" applyBorder="1"/>
    <xf numFmtId="41" fontId="39" fillId="0" borderId="113" xfId="29" applyNumberFormat="1" applyFont="1" applyBorder="1" applyAlignment="1">
      <alignment horizontal="left" indent="1"/>
    </xf>
    <xf numFmtId="41" fontId="39" fillId="0" borderId="113" xfId="29" applyNumberFormat="1" applyFont="1" applyFill="1" applyBorder="1" applyAlignment="1">
      <alignment horizontal="left" indent="1"/>
    </xf>
    <xf numFmtId="41" fontId="39" fillId="0" borderId="113" xfId="29" applyNumberFormat="1" applyFont="1" applyFill="1" applyBorder="1" applyAlignment="1">
      <alignment horizontal="left" indent="2"/>
    </xf>
    <xf numFmtId="41" fontId="39" fillId="0" borderId="116" xfId="0" applyNumberFormat="1" applyFont="1" applyBorder="1" applyAlignment="1">
      <alignment horizontal="left"/>
    </xf>
    <xf numFmtId="41" fontId="39" fillId="0" borderId="115" xfId="0" applyNumberFormat="1" applyFont="1" applyBorder="1" applyAlignment="1">
      <alignment horizontal="left" indent="2"/>
    </xf>
    <xf numFmtId="41" fontId="39" fillId="0" borderId="113" xfId="0" applyNumberFormat="1" applyFont="1" applyBorder="1" applyAlignment="1">
      <alignment horizontal="left"/>
    </xf>
    <xf numFmtId="41" fontId="39" fillId="0" borderId="114" xfId="0" applyNumberFormat="1" applyFont="1" applyBorder="1" applyAlignment="1">
      <alignment horizontal="left" indent="2"/>
    </xf>
    <xf numFmtId="41" fontId="39" fillId="0" borderId="22" xfId="0" applyNumberFormat="1" applyFont="1" applyBorder="1" applyAlignment="1">
      <alignment horizontal="left" indent="2"/>
    </xf>
    <xf numFmtId="169" fontId="37" fillId="0" borderId="103" xfId="0" applyNumberFormat="1" applyFont="1" applyBorder="1"/>
    <xf numFmtId="44" fontId="77" fillId="0" borderId="0" xfId="29" applyNumberFormat="1" applyFont="1"/>
    <xf numFmtId="44" fontId="77" fillId="0" borderId="0" xfId="0" applyNumberFormat="1" applyFont="1"/>
    <xf numFmtId="0" fontId="75" fillId="35" borderId="0" xfId="155" applyFont="1" applyFill="1" applyBorder="1" applyAlignment="1">
      <alignment horizontal="center" wrapText="1"/>
    </xf>
    <xf numFmtId="39" fontId="0" fillId="0" borderId="0" xfId="0" applyNumberFormat="1"/>
    <xf numFmtId="41" fontId="55" fillId="0" borderId="0" xfId="155" applyNumberFormat="1" applyFont="1" applyBorder="1"/>
    <xf numFmtId="41" fontId="39" fillId="0" borderId="31" xfId="29" applyNumberFormat="1" applyBorder="1"/>
    <xf numFmtId="0" fontId="8" fillId="0" borderId="0" xfId="57783" applyFont="1"/>
    <xf numFmtId="42" fontId="96" fillId="40" borderId="77" xfId="57783" applyNumberFormat="1" applyFont="1" applyFill="1" applyBorder="1"/>
    <xf numFmtId="0" fontId="98" fillId="40" borderId="54" xfId="57783" applyFont="1" applyFill="1" applyBorder="1" applyAlignment="1">
      <alignment horizontal="center" vertical="center" wrapText="1"/>
    </xf>
    <xf numFmtId="0" fontId="97" fillId="40" borderId="54" xfId="57783" applyFont="1" applyFill="1" applyBorder="1" applyAlignment="1">
      <alignment vertical="center" wrapText="1"/>
    </xf>
    <xf numFmtId="42" fontId="97" fillId="40" borderId="118" xfId="57783" applyNumberFormat="1" applyFont="1" applyFill="1" applyBorder="1" applyAlignment="1">
      <alignment horizontal="center" vertical="center" wrapText="1"/>
    </xf>
    <xf numFmtId="170" fontId="97" fillId="40" borderId="118" xfId="57783" applyNumberFormat="1" applyFont="1" applyFill="1" applyBorder="1" applyAlignment="1">
      <alignment horizontal="center" vertical="center" wrapText="1"/>
    </xf>
    <xf numFmtId="170" fontId="97" fillId="36" borderId="118" xfId="57783" applyNumberFormat="1" applyFont="1" applyFill="1" applyBorder="1" applyAlignment="1">
      <alignment horizontal="center" vertical="center" wrapText="1"/>
    </xf>
    <xf numFmtId="0" fontId="7" fillId="0" borderId="0" xfId="57783" applyFont="1"/>
    <xf numFmtId="0" fontId="39" fillId="0" borderId="117" xfId="0" applyFont="1" applyFill="1" applyBorder="1" applyAlignment="1">
      <alignment horizontal="center" wrapText="1"/>
    </xf>
    <xf numFmtId="0" fontId="100" fillId="0" borderId="101" xfId="57783" applyFont="1" applyBorder="1" applyAlignment="1">
      <alignment horizontal="center"/>
    </xf>
    <xf numFmtId="170" fontId="97" fillId="0" borderId="100" xfId="57783" applyNumberFormat="1" applyFont="1" applyFill="1" applyBorder="1" applyAlignment="1">
      <alignment horizontal="center" vertical="center" wrapText="1"/>
    </xf>
    <xf numFmtId="0" fontId="7" fillId="0" borderId="45" xfId="57783" applyFont="1" applyBorder="1"/>
    <xf numFmtId="42" fontId="11" fillId="0" borderId="0" xfId="57783" applyNumberFormat="1"/>
    <xf numFmtId="42" fontId="0" fillId="0" borderId="113" xfId="0" applyNumberFormat="1" applyBorder="1"/>
    <xf numFmtId="170" fontId="11" fillId="0" borderId="0" xfId="57783" applyNumberFormat="1"/>
    <xf numFmtId="169" fontId="39" fillId="0" borderId="103" xfId="0" applyNumberFormat="1" applyFont="1" applyBorder="1"/>
    <xf numFmtId="0" fontId="7" fillId="34" borderId="0" xfId="155" applyFont="1" applyFill="1" applyProtection="1">
      <protection locked="0"/>
    </xf>
    <xf numFmtId="168" fontId="34" fillId="35" borderId="0" xfId="155" applyNumberFormat="1" applyFill="1" applyBorder="1"/>
    <xf numFmtId="168" fontId="57" fillId="35" borderId="0" xfId="155" applyNumberFormat="1" applyFont="1" applyFill="1" applyBorder="1"/>
    <xf numFmtId="0" fontId="98" fillId="40" borderId="119" xfId="57783" applyFont="1" applyFill="1" applyBorder="1" applyAlignment="1">
      <alignment horizontal="center" vertical="center" wrapText="1"/>
    </xf>
    <xf numFmtId="0" fontId="97" fillId="40" borderId="117" xfId="57783" applyFont="1" applyFill="1" applyBorder="1" applyAlignment="1">
      <alignment vertical="center" wrapText="1"/>
    </xf>
    <xf numFmtId="0" fontId="98" fillId="40" borderId="29" xfId="57783" applyFont="1" applyFill="1" applyBorder="1" applyAlignment="1">
      <alignment horizontal="center" vertical="center" wrapText="1"/>
    </xf>
    <xf numFmtId="0" fontId="97" fillId="40" borderId="29" xfId="57783" applyFont="1" applyFill="1" applyBorder="1" applyAlignment="1">
      <alignment vertical="center" wrapText="1"/>
    </xf>
    <xf numFmtId="41" fontId="84" fillId="0" borderId="0" xfId="0" applyNumberFormat="1" applyFont="1" applyBorder="1" applyAlignment="1">
      <alignment horizontal="center"/>
    </xf>
    <xf numFmtId="0" fontId="38" fillId="0" borderId="0" xfId="0" applyFont="1" applyBorder="1" applyAlignment="1">
      <alignment horizontal="center"/>
    </xf>
    <xf numFmtId="41" fontId="0" fillId="0" borderId="0" xfId="0" applyNumberFormat="1" applyBorder="1"/>
    <xf numFmtId="43" fontId="0" fillId="39" borderId="0" xfId="0" applyNumberFormat="1" applyFill="1" applyBorder="1"/>
    <xf numFmtId="41" fontId="0" fillId="39" borderId="0" xfId="0" applyNumberFormat="1" applyFill="1" applyBorder="1"/>
    <xf numFmtId="10" fontId="39" fillId="0" borderId="56" xfId="0" applyNumberFormat="1" applyFont="1" applyBorder="1"/>
    <xf numFmtId="10" fontId="39" fillId="0" borderId="59" xfId="0" applyNumberFormat="1" applyFont="1" applyBorder="1"/>
    <xf numFmtId="10" fontId="39" fillId="0" borderId="48" xfId="0" applyNumberFormat="1" applyFont="1" applyFill="1" applyBorder="1"/>
    <xf numFmtId="41" fontId="0" fillId="0" borderId="0" xfId="0" applyNumberFormat="1" applyFill="1" applyBorder="1"/>
    <xf numFmtId="10" fontId="0" fillId="0" borderId="0" xfId="0" applyNumberFormat="1" applyFill="1" applyBorder="1"/>
    <xf numFmtId="0" fontId="6" fillId="0" borderId="0" xfId="57783" applyFont="1"/>
    <xf numFmtId="0" fontId="101" fillId="0" borderId="112" xfId="0" applyFont="1" applyBorder="1" applyAlignment="1">
      <alignment horizontal="justify" vertical="center"/>
    </xf>
    <xf numFmtId="0" fontId="5" fillId="0" borderId="0" xfId="57783" applyFont="1"/>
    <xf numFmtId="0" fontId="4" fillId="0" borderId="0" xfId="57783" applyFont="1"/>
    <xf numFmtId="0" fontId="3" fillId="0" borderId="0" xfId="57783" applyFont="1"/>
    <xf numFmtId="14" fontId="0" fillId="0" borderId="0" xfId="0" applyNumberFormat="1"/>
    <xf numFmtId="0" fontId="39" fillId="0" borderId="0" xfId="29" applyAlignment="1">
      <alignment horizontal="center"/>
    </xf>
    <xf numFmtId="0" fontId="39" fillId="0" borderId="48" xfId="29" applyBorder="1"/>
    <xf numFmtId="41" fontId="61" fillId="0" borderId="93" xfId="0" applyNumberFormat="1" applyFont="1" applyBorder="1"/>
    <xf numFmtId="41" fontId="61" fillId="0" borderId="86" xfId="0" applyNumberFormat="1" applyFont="1" applyBorder="1"/>
    <xf numFmtId="41" fontId="61" fillId="0" borderId="95" xfId="0" applyNumberFormat="1" applyFont="1" applyBorder="1"/>
    <xf numFmtId="41" fontId="61" fillId="0" borderId="87" xfId="0" applyNumberFormat="1" applyFont="1" applyBorder="1"/>
    <xf numFmtId="43" fontId="78" fillId="0" borderId="0" xfId="29" applyNumberFormat="1" applyFont="1"/>
    <xf numFmtId="43" fontId="39" fillId="0" borderId="47" xfId="1" applyBorder="1"/>
    <xf numFmtId="43" fontId="39" fillId="0" borderId="48" xfId="1" applyBorder="1"/>
    <xf numFmtId="0" fontId="64" fillId="0" borderId="0" xfId="0" applyFont="1" applyFill="1" applyBorder="1" applyAlignment="1">
      <alignment horizontal="center" wrapText="1"/>
    </xf>
    <xf numFmtId="0" fontId="59" fillId="38" borderId="0" xfId="29" applyFont="1" applyFill="1"/>
    <xf numFmtId="170" fontId="97" fillId="0" borderId="121" xfId="57783" applyNumberFormat="1" applyFont="1" applyFill="1" applyBorder="1" applyAlignment="1">
      <alignment horizontal="center" vertical="center" wrapText="1"/>
    </xf>
    <xf numFmtId="170" fontId="97" fillId="0" borderId="120" xfId="57783" applyNumberFormat="1" applyFont="1" applyFill="1" applyBorder="1" applyAlignment="1">
      <alignment horizontal="center" vertical="center" wrapText="1"/>
    </xf>
    <xf numFmtId="38" fontId="66" fillId="36" borderId="76" xfId="0" applyNumberFormat="1" applyFont="1" applyFill="1" applyBorder="1"/>
    <xf numFmtId="0" fontId="38" fillId="33" borderId="122" xfId="0" applyFont="1" applyFill="1" applyBorder="1" applyAlignment="1">
      <alignment horizontal="center" wrapText="1"/>
    </xf>
    <xf numFmtId="0" fontId="38" fillId="33" borderId="74" xfId="0" applyFont="1" applyFill="1" applyBorder="1" applyAlignment="1">
      <alignment horizontal="center" wrapText="1"/>
    </xf>
    <xf numFmtId="41" fontId="39" fillId="0" borderId="75" xfId="0" applyNumberFormat="1" applyFont="1" applyBorder="1"/>
    <xf numFmtId="41" fontId="39" fillId="0" borderId="33" xfId="0" applyNumberFormat="1" applyFont="1" applyBorder="1"/>
    <xf numFmtId="0" fontId="39" fillId="0" borderId="75" xfId="0" applyFont="1" applyBorder="1"/>
    <xf numFmtId="41" fontId="39" fillId="0" borderId="123" xfId="0" applyNumberFormat="1" applyFont="1" applyBorder="1"/>
    <xf numFmtId="41" fontId="39" fillId="0" borderId="124" xfId="0" applyNumberFormat="1" applyFont="1" applyBorder="1"/>
    <xf numFmtId="41" fontId="39" fillId="0" borderId="76" xfId="0" applyNumberFormat="1" applyFont="1" applyBorder="1"/>
    <xf numFmtId="169" fontId="39" fillId="0" borderId="97" xfId="0" applyNumberFormat="1" applyFont="1" applyFill="1" applyBorder="1"/>
    <xf numFmtId="41" fontId="0" fillId="0" borderId="16" xfId="0" applyNumberFormat="1" applyBorder="1"/>
    <xf numFmtId="0" fontId="69" fillId="0" borderId="0" xfId="0" applyFont="1" applyFill="1" applyBorder="1"/>
    <xf numFmtId="0" fontId="42" fillId="0" borderId="0" xfId="0" applyFont="1" applyFill="1" applyBorder="1"/>
    <xf numFmtId="43" fontId="42" fillId="0" borderId="41" xfId="0" applyNumberFormat="1" applyFont="1" applyFill="1" applyBorder="1"/>
    <xf numFmtId="43" fontId="39" fillId="38" borderId="35" xfId="29" applyNumberFormat="1" applyFill="1" applyBorder="1"/>
    <xf numFmtId="43" fontId="95" fillId="0" borderId="40" xfId="29" applyNumberFormat="1" applyFont="1" applyFill="1" applyBorder="1"/>
    <xf numFmtId="43" fontId="93" fillId="0" borderId="24" xfId="0" applyNumberFormat="1" applyFont="1" applyFill="1" applyBorder="1"/>
    <xf numFmtId="49" fontId="69" fillId="0" borderId="27" xfId="0" applyNumberFormat="1" applyFont="1" applyBorder="1" applyAlignment="1">
      <alignment horizontal="center"/>
    </xf>
    <xf numFmtId="49" fontId="69" fillId="0" borderId="40" xfId="0" applyNumberFormat="1" applyFont="1" applyBorder="1" applyAlignment="1">
      <alignment horizontal="center"/>
    </xf>
    <xf numFmtId="49" fontId="69" fillId="0" borderId="42" xfId="0" applyNumberFormat="1" applyFont="1" applyBorder="1" applyAlignment="1">
      <alignment horizontal="center"/>
    </xf>
    <xf numFmtId="43" fontId="39" fillId="38" borderId="36" xfId="29" applyNumberFormat="1" applyFill="1" applyBorder="1"/>
    <xf numFmtId="43" fontId="61" fillId="0" borderId="0" xfId="0" applyNumberFormat="1" applyFont="1" applyFill="1" applyBorder="1"/>
    <xf numFmtId="43" fontId="61" fillId="0" borderId="41" xfId="0" applyNumberFormat="1" applyFont="1" applyFill="1" applyBorder="1"/>
    <xf numFmtId="0" fontId="69" fillId="0" borderId="42" xfId="0" applyFont="1" applyFill="1" applyBorder="1"/>
    <xf numFmtId="0" fontId="0" fillId="0" borderId="43" xfId="0" applyFill="1" applyBorder="1"/>
    <xf numFmtId="0" fontId="68" fillId="0" borderId="40" xfId="0" applyFont="1" applyFill="1" applyBorder="1"/>
    <xf numFmtId="0" fontId="68" fillId="0" borderId="0" xfId="29" applyFont="1" applyFill="1" applyBorder="1"/>
    <xf numFmtId="0" fontId="68" fillId="0" borderId="0" xfId="0" applyFont="1" applyFill="1" applyBorder="1"/>
    <xf numFmtId="43" fontId="42" fillId="0" borderId="0" xfId="0" applyNumberFormat="1" applyFont="1" applyFill="1" applyBorder="1"/>
    <xf numFmtId="0" fontId="0" fillId="0" borderId="0" xfId="29" applyFont="1"/>
    <xf numFmtId="43" fontId="42" fillId="0" borderId="43" xfId="0" applyNumberFormat="1" applyFont="1" applyFill="1" applyBorder="1"/>
    <xf numFmtId="43" fontId="65" fillId="0" borderId="91" xfId="0" applyNumberFormat="1" applyFont="1" applyFill="1" applyBorder="1"/>
    <xf numFmtId="41" fontId="61" fillId="38" borderId="93" xfId="0" applyNumberFormat="1" applyFont="1" applyFill="1" applyBorder="1"/>
    <xf numFmtId="41" fontId="61" fillId="38" borderId="86" xfId="0" applyNumberFormat="1" applyFont="1" applyFill="1" applyBorder="1"/>
    <xf numFmtId="49" fontId="69" fillId="0" borderId="105" xfId="0" applyNumberFormat="1" applyFont="1" applyBorder="1" applyAlignment="1">
      <alignment horizontal="center"/>
    </xf>
    <xf numFmtId="41" fontId="61" fillId="0" borderId="86" xfId="0" applyNumberFormat="1" applyFont="1" applyFill="1" applyBorder="1"/>
    <xf numFmtId="41" fontId="61" fillId="0" borderId="94" xfId="0" applyNumberFormat="1" applyFont="1" applyFill="1" applyBorder="1"/>
    <xf numFmtId="41" fontId="61" fillId="0" borderId="0" xfId="0" applyNumberFormat="1" applyFont="1" applyFill="1" applyBorder="1"/>
    <xf numFmtId="41" fontId="61" fillId="0" borderId="72" xfId="0" applyNumberFormat="1" applyFont="1" applyFill="1" applyBorder="1"/>
    <xf numFmtId="41" fontId="61" fillId="0" borderId="87" xfId="0" applyNumberFormat="1" applyFont="1" applyFill="1" applyBorder="1"/>
    <xf numFmtId="41" fontId="61" fillId="0" borderId="96" xfId="0" applyNumberFormat="1" applyFont="1" applyFill="1" applyBorder="1"/>
    <xf numFmtId="41" fontId="61" fillId="0" borderId="43" xfId="0" applyNumberFormat="1" applyFont="1" applyFill="1" applyBorder="1"/>
    <xf numFmtId="41" fontId="61" fillId="0" borderId="73" xfId="0" applyNumberFormat="1" applyFont="1" applyFill="1" applyBorder="1"/>
    <xf numFmtId="43" fontId="42" fillId="0" borderId="40" xfId="29" applyNumberFormat="1" applyFont="1" applyFill="1" applyBorder="1"/>
    <xf numFmtId="43" fontId="61" fillId="0" borderId="44" xfId="0" applyNumberFormat="1" applyFont="1" applyFill="1" applyBorder="1"/>
    <xf numFmtId="0" fontId="38" fillId="33" borderId="125" xfId="0" applyFont="1" applyFill="1" applyBorder="1" applyAlignment="1">
      <alignment horizontal="center" wrapText="1"/>
    </xf>
    <xf numFmtId="41" fontId="39" fillId="0" borderId="126" xfId="0" applyNumberFormat="1" applyFont="1" applyBorder="1"/>
    <xf numFmtId="0" fontId="39" fillId="0" borderId="66" xfId="0" applyFont="1" applyBorder="1"/>
    <xf numFmtId="41" fontId="39" fillId="0" borderId="127" xfId="0" applyNumberFormat="1" applyFont="1" applyBorder="1"/>
    <xf numFmtId="41" fontId="39" fillId="0" borderId="128" xfId="0" applyNumberFormat="1" applyFont="1" applyBorder="1"/>
    <xf numFmtId="10" fontId="0" fillId="0" borderId="0" xfId="45" applyNumberFormat="1" applyFont="1" applyBorder="1"/>
    <xf numFmtId="43" fontId="39" fillId="0" borderId="1" xfId="0" applyNumberFormat="1" applyFont="1" applyFill="1" applyBorder="1"/>
    <xf numFmtId="0" fontId="39" fillId="38" borderId="0" xfId="0" applyFont="1" applyFill="1" applyBorder="1"/>
    <xf numFmtId="0" fontId="39" fillId="38" borderId="0" xfId="0" applyFont="1" applyFill="1" applyBorder="1" applyAlignment="1">
      <alignment horizontal="center"/>
    </xf>
    <xf numFmtId="0" fontId="67" fillId="38" borderId="0" xfId="0" applyFont="1" applyFill="1" applyBorder="1" applyAlignment="1"/>
    <xf numFmtId="0" fontId="39" fillId="38" borderId="0" xfId="0" applyFont="1" applyFill="1"/>
    <xf numFmtId="0" fontId="39" fillId="38" borderId="0" xfId="0" applyFont="1" applyFill="1" applyBorder="1" applyAlignment="1"/>
    <xf numFmtId="44" fontId="82" fillId="0" borderId="39" xfId="0" applyNumberFormat="1" applyFont="1" applyFill="1" applyBorder="1"/>
    <xf numFmtId="0" fontId="59" fillId="49" borderId="0" xfId="29" applyFont="1" applyFill="1" applyAlignment="1">
      <alignment horizontal="center"/>
    </xf>
    <xf numFmtId="0" fontId="59" fillId="49" borderId="0" xfId="29" applyFont="1" applyFill="1"/>
    <xf numFmtId="0" fontId="59" fillId="49" borderId="0" xfId="29" applyFont="1" applyFill="1" applyBorder="1"/>
    <xf numFmtId="0" fontId="59" fillId="49" borderId="0" xfId="29" applyFont="1" applyFill="1" applyBorder="1" applyAlignment="1">
      <alignment wrapText="1"/>
    </xf>
    <xf numFmtId="166" fontId="59" fillId="49" borderId="0" xfId="29" applyNumberFormat="1" applyFont="1" applyFill="1" applyBorder="1"/>
    <xf numFmtId="43" fontId="59" fillId="49" borderId="24" xfId="29" applyNumberFormat="1" applyFont="1" applyFill="1" applyBorder="1"/>
    <xf numFmtId="43" fontId="59" fillId="49" borderId="0" xfId="1" applyNumberFormat="1" applyFont="1" applyFill="1" applyBorder="1"/>
    <xf numFmtId="43" fontId="59" fillId="49" borderId="0" xfId="1" applyNumberFormat="1" applyFont="1" applyFill="1"/>
    <xf numFmtId="0" fontId="78" fillId="49" borderId="0" xfId="29" applyFont="1" applyFill="1"/>
    <xf numFmtId="0" fontId="39" fillId="49" borderId="0" xfId="29" applyFill="1"/>
    <xf numFmtId="43" fontId="78" fillId="49" borderId="0" xfId="29" applyNumberFormat="1" applyFont="1" applyFill="1"/>
    <xf numFmtId="0" fontId="0" fillId="34" borderId="0" xfId="0" quotePrefix="1" applyFill="1"/>
    <xf numFmtId="43" fontId="0" fillId="38" borderId="27" xfId="0" applyNumberFormat="1" applyFill="1" applyBorder="1"/>
    <xf numFmtId="43" fontId="0" fillId="38" borderId="0" xfId="0" applyNumberFormat="1" applyFill="1" applyBorder="1"/>
    <xf numFmtId="43" fontId="77" fillId="0" borderId="27" xfId="0" applyNumberFormat="1" applyFont="1" applyFill="1" applyBorder="1"/>
    <xf numFmtId="0" fontId="69" fillId="0" borderId="0" xfId="0" applyFont="1" applyFill="1" applyBorder="1" applyAlignment="1">
      <alignment horizontal="left" indent="1"/>
    </xf>
    <xf numFmtId="43" fontId="11" fillId="0" borderId="0" xfId="1" applyFont="1"/>
    <xf numFmtId="43" fontId="59" fillId="50" borderId="0" xfId="1" applyNumberFormat="1" applyFont="1" applyFill="1"/>
    <xf numFmtId="0" fontId="0" fillId="0" borderId="0" xfId="0" applyAlignment="1" applyProtection="1">
      <alignment wrapText="1"/>
      <protection locked="0"/>
    </xf>
    <xf numFmtId="43" fontId="0" fillId="49" borderId="0" xfId="0" applyNumberFormat="1" applyFill="1" applyBorder="1"/>
    <xf numFmtId="43" fontId="59" fillId="38" borderId="0" xfId="1" applyNumberFormat="1" applyFont="1" applyFill="1"/>
    <xf numFmtId="42" fontId="97" fillId="0" borderId="100" xfId="57783" applyNumberFormat="1" applyFont="1" applyFill="1" applyBorder="1" applyAlignment="1">
      <alignment horizontal="center" vertical="center" wrapText="1"/>
    </xf>
    <xf numFmtId="42" fontId="97" fillId="0" borderId="98" xfId="57783" applyNumberFormat="1" applyFont="1" applyFill="1" applyBorder="1" applyAlignment="1">
      <alignment horizontal="center" vertical="center" wrapText="1"/>
    </xf>
    <xf numFmtId="42" fontId="97" fillId="0" borderId="120" xfId="57783" applyNumberFormat="1" applyFont="1" applyFill="1" applyBorder="1" applyAlignment="1">
      <alignment horizontal="center" vertical="center" wrapText="1"/>
    </xf>
    <xf numFmtId="170" fontId="97" fillId="49" borderId="120" xfId="57783" applyNumberFormat="1" applyFont="1" applyFill="1" applyBorder="1" applyAlignment="1">
      <alignment horizontal="center" vertical="center" wrapText="1"/>
    </xf>
    <xf numFmtId="0" fontId="2" fillId="35" borderId="0" xfId="155" applyFont="1" applyFill="1"/>
    <xf numFmtId="43" fontId="0" fillId="49" borderId="46" xfId="0" applyNumberFormat="1" applyFill="1" applyBorder="1"/>
    <xf numFmtId="43" fontId="0" fillId="49" borderId="36" xfId="0" applyNumberFormat="1" applyFill="1" applyBorder="1"/>
    <xf numFmtId="0" fontId="0" fillId="49" borderId="0" xfId="0" applyFill="1" applyBorder="1"/>
    <xf numFmtId="43" fontId="77" fillId="49" borderId="62" xfId="0" applyNumberFormat="1" applyFont="1" applyFill="1" applyBorder="1"/>
    <xf numFmtId="43" fontId="0" fillId="0" borderId="35" xfId="0" applyNumberFormat="1" applyFill="1" applyBorder="1"/>
    <xf numFmtId="170" fontId="97" fillId="38" borderId="118" xfId="57783" applyNumberFormat="1" applyFont="1" applyFill="1" applyBorder="1" applyAlignment="1">
      <alignment horizontal="center" vertical="center" wrapText="1"/>
    </xf>
    <xf numFmtId="0" fontId="1" fillId="35" borderId="0" xfId="155" applyFont="1" applyFill="1"/>
    <xf numFmtId="0" fontId="37" fillId="0" borderId="74" xfId="29" applyFont="1" applyFill="1" applyBorder="1" applyAlignment="1">
      <alignment horizontal="center" vertical="center"/>
    </xf>
    <xf numFmtId="0" fontId="37" fillId="0" borderId="77" xfId="29" applyFont="1" applyFill="1" applyBorder="1" applyAlignment="1">
      <alignment horizontal="center" vertical="center"/>
    </xf>
    <xf numFmtId="0" fontId="60" fillId="0" borderId="78" xfId="29" applyFont="1" applyBorder="1" applyAlignment="1">
      <alignment horizontal="center"/>
    </xf>
    <xf numFmtId="0" fontId="60" fillId="0" borderId="79" xfId="29" applyFont="1" applyBorder="1" applyAlignment="1">
      <alignment horizontal="center"/>
    </xf>
    <xf numFmtId="0" fontId="60" fillId="0" borderId="80" xfId="29" applyFont="1" applyBorder="1" applyAlignment="1">
      <alignment horizontal="center"/>
    </xf>
  </cellXfs>
  <cellStyles count="57785">
    <cellStyle name="20% - Accent1" xfId="66" builtinId="30" customBuiltin="1"/>
    <cellStyle name="20% - Accent1 10" xfId="1107"/>
    <cellStyle name="20% - Accent1 10 2" xfId="3994"/>
    <cellStyle name="20% - Accent1 10 2 2" xfId="10035"/>
    <cellStyle name="20% - Accent1 10 2 2 2" xfId="27082"/>
    <cellStyle name="20% - Accent1 10 2 2 2 2" xfId="55943"/>
    <cellStyle name="20% - Accent1 10 2 2 3" xfId="38896"/>
    <cellStyle name="20% - Accent1 10 2 3" xfId="21104"/>
    <cellStyle name="20% - Accent1 10 2 3 2" xfId="49965"/>
    <cellStyle name="20% - Accent1 10 2 4" xfId="32855"/>
    <cellStyle name="20% - Accent1 10 3" xfId="7149"/>
    <cellStyle name="20% - Accent1 10 3 2" xfId="24196"/>
    <cellStyle name="20% - Accent1 10 3 2 2" xfId="53057"/>
    <cellStyle name="20% - Accent1 10 3 3" xfId="36010"/>
    <cellStyle name="20% - Accent1 10 4" xfId="13681"/>
    <cellStyle name="20% - Accent1 10 4 2" xfId="18424"/>
    <cellStyle name="20% - Accent1 10 4 2 2" xfId="47285"/>
    <cellStyle name="20% - Accent1 10 4 3" xfId="42542"/>
    <cellStyle name="20% - Accent1 10 5" xfId="15744"/>
    <cellStyle name="20% - Accent1 10 5 2" xfId="44605"/>
    <cellStyle name="20% - Accent1 10 6" xfId="29969"/>
    <cellStyle name="20% - Accent1 11" xfId="1313"/>
    <cellStyle name="20% - Accent1 11 2" xfId="4200"/>
    <cellStyle name="20% - Accent1 11 2 2" xfId="10241"/>
    <cellStyle name="20% - Accent1 11 2 2 2" xfId="27288"/>
    <cellStyle name="20% - Accent1 11 2 2 2 2" xfId="56149"/>
    <cellStyle name="20% - Accent1 11 2 2 3" xfId="39102"/>
    <cellStyle name="20% - Accent1 11 2 3" xfId="21310"/>
    <cellStyle name="20% - Accent1 11 2 3 2" xfId="50171"/>
    <cellStyle name="20% - Accent1 11 2 4" xfId="33061"/>
    <cellStyle name="20% - Accent1 11 3" xfId="7355"/>
    <cellStyle name="20% - Accent1 11 3 2" xfId="24402"/>
    <cellStyle name="20% - Accent1 11 3 2 2" xfId="53263"/>
    <cellStyle name="20% - Accent1 11 3 3" xfId="36216"/>
    <cellStyle name="20% - Accent1 11 4" xfId="12079"/>
    <cellStyle name="20% - Accent1 11 4 2" xfId="18630"/>
    <cellStyle name="20% - Accent1 11 4 2 2" xfId="47491"/>
    <cellStyle name="20% - Accent1 11 4 3" xfId="40940"/>
    <cellStyle name="20% - Accent1 11 5" xfId="15950"/>
    <cellStyle name="20% - Accent1 11 5 2" xfId="44811"/>
    <cellStyle name="20% - Accent1 11 6" xfId="30175"/>
    <cellStyle name="20% - Accent1 12" xfId="1519"/>
    <cellStyle name="20% - Accent1 12 2" xfId="4406"/>
    <cellStyle name="20% - Accent1 12 2 2" xfId="10447"/>
    <cellStyle name="20% - Accent1 12 2 2 2" xfId="27494"/>
    <cellStyle name="20% - Accent1 12 2 2 2 2" xfId="56355"/>
    <cellStyle name="20% - Accent1 12 2 2 3" xfId="39308"/>
    <cellStyle name="20% - Accent1 12 2 3" xfId="21516"/>
    <cellStyle name="20% - Accent1 12 2 3 2" xfId="50377"/>
    <cellStyle name="20% - Accent1 12 2 4" xfId="33267"/>
    <cellStyle name="20% - Accent1 12 3" xfId="7561"/>
    <cellStyle name="20% - Accent1 12 3 2" xfId="24608"/>
    <cellStyle name="20% - Accent1 12 3 2 2" xfId="53469"/>
    <cellStyle name="20% - Accent1 12 3 3" xfId="36422"/>
    <cellStyle name="20% - Accent1 12 4" xfId="13746"/>
    <cellStyle name="20% - Accent1 12 4 2" xfId="18836"/>
    <cellStyle name="20% - Accent1 12 4 2 2" xfId="47697"/>
    <cellStyle name="20% - Accent1 12 4 3" xfId="42607"/>
    <cellStyle name="20% - Accent1 12 5" xfId="16156"/>
    <cellStyle name="20% - Accent1 12 5 2" xfId="45017"/>
    <cellStyle name="20% - Accent1 12 6" xfId="30381"/>
    <cellStyle name="20% - Accent1 13" xfId="1725"/>
    <cellStyle name="20% - Accent1 13 2" xfId="4612"/>
    <cellStyle name="20% - Accent1 13 2 2" xfId="10653"/>
    <cellStyle name="20% - Accent1 13 2 2 2" xfId="27700"/>
    <cellStyle name="20% - Accent1 13 2 2 2 2" xfId="56561"/>
    <cellStyle name="20% - Accent1 13 2 2 3" xfId="39514"/>
    <cellStyle name="20% - Accent1 13 2 3" xfId="21722"/>
    <cellStyle name="20% - Accent1 13 2 3 2" xfId="50583"/>
    <cellStyle name="20% - Accent1 13 2 4" xfId="33473"/>
    <cellStyle name="20% - Accent1 13 3" xfId="7767"/>
    <cellStyle name="20% - Accent1 13 3 2" xfId="24814"/>
    <cellStyle name="20% - Accent1 13 3 2 2" xfId="53675"/>
    <cellStyle name="20% - Accent1 13 3 3" xfId="36628"/>
    <cellStyle name="20% - Accent1 13 4" xfId="13668"/>
    <cellStyle name="20% - Accent1 13 4 2" xfId="19042"/>
    <cellStyle name="20% - Accent1 13 4 2 2" xfId="47903"/>
    <cellStyle name="20% - Accent1 13 4 3" xfId="42529"/>
    <cellStyle name="20% - Accent1 13 5" xfId="16362"/>
    <cellStyle name="20% - Accent1 13 5 2" xfId="45223"/>
    <cellStyle name="20% - Accent1 13 6" xfId="30587"/>
    <cellStyle name="20% - Accent1 14" xfId="1931"/>
    <cellStyle name="20% - Accent1 14 2" xfId="4818"/>
    <cellStyle name="20% - Accent1 14 2 2" xfId="10859"/>
    <cellStyle name="20% - Accent1 14 2 2 2" xfId="27906"/>
    <cellStyle name="20% - Accent1 14 2 2 2 2" xfId="56767"/>
    <cellStyle name="20% - Accent1 14 2 2 3" xfId="39720"/>
    <cellStyle name="20% - Accent1 14 2 3" xfId="21928"/>
    <cellStyle name="20% - Accent1 14 2 3 2" xfId="50789"/>
    <cellStyle name="20% - Accent1 14 2 4" xfId="33679"/>
    <cellStyle name="20% - Accent1 14 3" xfId="7973"/>
    <cellStyle name="20% - Accent1 14 3 2" xfId="25020"/>
    <cellStyle name="20% - Accent1 14 3 2 2" xfId="53881"/>
    <cellStyle name="20% - Accent1 14 3 3" xfId="36834"/>
    <cellStyle name="20% - Accent1 14 4" xfId="11989"/>
    <cellStyle name="20% - Accent1 14 4 2" xfId="19248"/>
    <cellStyle name="20% - Accent1 14 4 2 2" xfId="48109"/>
    <cellStyle name="20% - Accent1 14 4 3" xfId="40850"/>
    <cellStyle name="20% - Accent1 14 5" xfId="16568"/>
    <cellStyle name="20% - Accent1 14 5 2" xfId="45429"/>
    <cellStyle name="20% - Accent1 14 6" xfId="30793"/>
    <cellStyle name="20% - Accent1 15" xfId="2343"/>
    <cellStyle name="20% - Accent1 15 2" xfId="5230"/>
    <cellStyle name="20% - Accent1 15 2 2" xfId="11271"/>
    <cellStyle name="20% - Accent1 15 2 2 2" xfId="28318"/>
    <cellStyle name="20% - Accent1 15 2 2 2 2" xfId="57179"/>
    <cellStyle name="20% - Accent1 15 2 2 3" xfId="40132"/>
    <cellStyle name="20% - Accent1 15 2 3" xfId="22340"/>
    <cellStyle name="20% - Accent1 15 2 3 2" xfId="51201"/>
    <cellStyle name="20% - Accent1 15 2 4" xfId="34091"/>
    <cellStyle name="20% - Accent1 15 3" xfId="8385"/>
    <cellStyle name="20% - Accent1 15 3 2" xfId="25432"/>
    <cellStyle name="20% - Accent1 15 3 2 2" xfId="54293"/>
    <cellStyle name="20% - Accent1 15 3 3" xfId="37246"/>
    <cellStyle name="20% - Accent1 15 4" xfId="12314"/>
    <cellStyle name="20% - Accent1 15 4 2" xfId="19660"/>
    <cellStyle name="20% - Accent1 15 4 2 2" xfId="48521"/>
    <cellStyle name="20% - Accent1 15 4 3" xfId="41175"/>
    <cellStyle name="20% - Accent1 15 5" xfId="16980"/>
    <cellStyle name="20% - Accent1 15 5 2" xfId="45841"/>
    <cellStyle name="20% - Accent1 15 6" xfId="31205"/>
    <cellStyle name="20% - Accent1 16" xfId="2552"/>
    <cellStyle name="20% - Accent1 16 2" xfId="5438"/>
    <cellStyle name="20% - Accent1 16 2 2" xfId="11479"/>
    <cellStyle name="20% - Accent1 16 2 2 2" xfId="28526"/>
    <cellStyle name="20% - Accent1 16 2 2 2 2" xfId="57387"/>
    <cellStyle name="20% - Accent1 16 2 2 3" xfId="40340"/>
    <cellStyle name="20% - Accent1 16 2 3" xfId="22548"/>
    <cellStyle name="20% - Accent1 16 2 3 2" xfId="51409"/>
    <cellStyle name="20% - Accent1 16 2 4" xfId="34299"/>
    <cellStyle name="20% - Accent1 16 3" xfId="8593"/>
    <cellStyle name="20% - Accent1 16 3 2" xfId="25640"/>
    <cellStyle name="20% - Accent1 16 3 2 2" xfId="54501"/>
    <cellStyle name="20% - Accent1 16 3 3" xfId="37454"/>
    <cellStyle name="20% - Accent1 16 4" xfId="12477"/>
    <cellStyle name="20% - Accent1 16 4 2" xfId="19868"/>
    <cellStyle name="20% - Accent1 16 4 2 2" xfId="48729"/>
    <cellStyle name="20% - Accent1 16 4 3" xfId="41338"/>
    <cellStyle name="20% - Accent1 16 5" xfId="17188"/>
    <cellStyle name="20% - Accent1 16 5 2" xfId="46049"/>
    <cellStyle name="20% - Accent1 16 6" xfId="31413"/>
    <cellStyle name="20% - Accent1 17" xfId="2964"/>
    <cellStyle name="20% - Accent1 17 2" xfId="9005"/>
    <cellStyle name="20% - Accent1 17 2 2" xfId="26052"/>
    <cellStyle name="20% - Accent1 17 2 2 2" xfId="54913"/>
    <cellStyle name="20% - Accent1 17 2 3" xfId="37866"/>
    <cellStyle name="20% - Accent1 17 3" xfId="14020"/>
    <cellStyle name="20% - Accent1 17 3 2" xfId="20074"/>
    <cellStyle name="20% - Accent1 17 3 2 2" xfId="48935"/>
    <cellStyle name="20% - Accent1 17 3 3" xfId="42881"/>
    <cellStyle name="20% - Accent1 17 4" xfId="14714"/>
    <cellStyle name="20% - Accent1 17 4 2" xfId="43575"/>
    <cellStyle name="20% - Accent1 17 5" xfId="31825"/>
    <cellStyle name="20% - Accent1 18" xfId="2758"/>
    <cellStyle name="20% - Accent1 18 2" xfId="8799"/>
    <cellStyle name="20% - Accent1 18 2 2" xfId="25846"/>
    <cellStyle name="20% - Accent1 18 2 2 2" xfId="54707"/>
    <cellStyle name="20% - Accent1 18 2 3" xfId="37660"/>
    <cellStyle name="20% - Accent1 18 3" xfId="17394"/>
    <cellStyle name="20% - Accent1 18 3 2" xfId="46255"/>
    <cellStyle name="20% - Accent1 18 4" xfId="31619"/>
    <cellStyle name="20% - Accent1 19" xfId="5644"/>
    <cellStyle name="20% - Accent1 19 2" xfId="11685"/>
    <cellStyle name="20% - Accent1 19 2 2" xfId="28732"/>
    <cellStyle name="20% - Accent1 19 2 2 2" xfId="57593"/>
    <cellStyle name="20% - Accent1 19 2 3" xfId="40546"/>
    <cellStyle name="20% - Accent1 19 3" xfId="22754"/>
    <cellStyle name="20% - Accent1 19 3 2" xfId="51615"/>
    <cellStyle name="20% - Accent1 19 4" xfId="34505"/>
    <cellStyle name="20% - Accent1 2" xfId="91"/>
    <cellStyle name="20% - Accent1 2 10" xfId="1327"/>
    <cellStyle name="20% - Accent1 2 10 2" xfId="4214"/>
    <cellStyle name="20% - Accent1 2 10 2 2" xfId="10255"/>
    <cellStyle name="20% - Accent1 2 10 2 2 2" xfId="27302"/>
    <cellStyle name="20% - Accent1 2 10 2 2 2 2" xfId="56163"/>
    <cellStyle name="20% - Accent1 2 10 2 2 3" xfId="39116"/>
    <cellStyle name="20% - Accent1 2 10 2 3" xfId="21324"/>
    <cellStyle name="20% - Accent1 2 10 2 3 2" xfId="50185"/>
    <cellStyle name="20% - Accent1 2 10 2 4" xfId="33075"/>
    <cellStyle name="20% - Accent1 2 10 3" xfId="7369"/>
    <cellStyle name="20% - Accent1 2 10 3 2" xfId="24416"/>
    <cellStyle name="20% - Accent1 2 10 3 2 2" xfId="53277"/>
    <cellStyle name="20% - Accent1 2 10 3 3" xfId="36230"/>
    <cellStyle name="20% - Accent1 2 10 4" xfId="13113"/>
    <cellStyle name="20% - Accent1 2 10 4 2" xfId="18644"/>
    <cellStyle name="20% - Accent1 2 10 4 2 2" xfId="47505"/>
    <cellStyle name="20% - Accent1 2 10 4 3" xfId="41974"/>
    <cellStyle name="20% - Accent1 2 10 5" xfId="15964"/>
    <cellStyle name="20% - Accent1 2 10 5 2" xfId="44825"/>
    <cellStyle name="20% - Accent1 2 10 6" xfId="30189"/>
    <cellStyle name="20% - Accent1 2 11" xfId="1533"/>
    <cellStyle name="20% - Accent1 2 11 2" xfId="4420"/>
    <cellStyle name="20% - Accent1 2 11 2 2" xfId="10461"/>
    <cellStyle name="20% - Accent1 2 11 2 2 2" xfId="27508"/>
    <cellStyle name="20% - Accent1 2 11 2 2 2 2" xfId="56369"/>
    <cellStyle name="20% - Accent1 2 11 2 2 3" xfId="39322"/>
    <cellStyle name="20% - Accent1 2 11 2 3" xfId="21530"/>
    <cellStyle name="20% - Accent1 2 11 2 3 2" xfId="50391"/>
    <cellStyle name="20% - Accent1 2 11 2 4" xfId="33281"/>
    <cellStyle name="20% - Accent1 2 11 3" xfId="7575"/>
    <cellStyle name="20% - Accent1 2 11 3 2" xfId="24622"/>
    <cellStyle name="20% - Accent1 2 11 3 2 2" xfId="53483"/>
    <cellStyle name="20% - Accent1 2 11 3 3" xfId="36436"/>
    <cellStyle name="20% - Accent1 2 11 4" xfId="12484"/>
    <cellStyle name="20% - Accent1 2 11 4 2" xfId="18850"/>
    <cellStyle name="20% - Accent1 2 11 4 2 2" xfId="47711"/>
    <cellStyle name="20% - Accent1 2 11 4 3" xfId="41345"/>
    <cellStyle name="20% - Accent1 2 11 5" xfId="16170"/>
    <cellStyle name="20% - Accent1 2 11 5 2" xfId="45031"/>
    <cellStyle name="20% - Accent1 2 11 6" xfId="30395"/>
    <cellStyle name="20% - Accent1 2 12" xfId="1739"/>
    <cellStyle name="20% - Accent1 2 12 2" xfId="4626"/>
    <cellStyle name="20% - Accent1 2 12 2 2" xfId="10667"/>
    <cellStyle name="20% - Accent1 2 12 2 2 2" xfId="27714"/>
    <cellStyle name="20% - Accent1 2 12 2 2 2 2" xfId="56575"/>
    <cellStyle name="20% - Accent1 2 12 2 2 3" xfId="39528"/>
    <cellStyle name="20% - Accent1 2 12 2 3" xfId="21736"/>
    <cellStyle name="20% - Accent1 2 12 2 3 2" xfId="50597"/>
    <cellStyle name="20% - Accent1 2 12 2 4" xfId="33487"/>
    <cellStyle name="20% - Accent1 2 12 3" xfId="7781"/>
    <cellStyle name="20% - Accent1 2 12 3 2" xfId="24828"/>
    <cellStyle name="20% - Accent1 2 12 3 2 2" xfId="53689"/>
    <cellStyle name="20% - Accent1 2 12 3 3" xfId="36642"/>
    <cellStyle name="20% - Accent1 2 12 4" xfId="12762"/>
    <cellStyle name="20% - Accent1 2 12 4 2" xfId="19056"/>
    <cellStyle name="20% - Accent1 2 12 4 2 2" xfId="47917"/>
    <cellStyle name="20% - Accent1 2 12 4 3" xfId="41623"/>
    <cellStyle name="20% - Accent1 2 12 5" xfId="16376"/>
    <cellStyle name="20% - Accent1 2 12 5 2" xfId="45237"/>
    <cellStyle name="20% - Accent1 2 12 6" xfId="30601"/>
    <cellStyle name="20% - Accent1 2 13" xfId="1945"/>
    <cellStyle name="20% - Accent1 2 13 2" xfId="4832"/>
    <cellStyle name="20% - Accent1 2 13 2 2" xfId="10873"/>
    <cellStyle name="20% - Accent1 2 13 2 2 2" xfId="27920"/>
    <cellStyle name="20% - Accent1 2 13 2 2 2 2" xfId="56781"/>
    <cellStyle name="20% - Accent1 2 13 2 2 3" xfId="39734"/>
    <cellStyle name="20% - Accent1 2 13 2 3" xfId="21942"/>
    <cellStyle name="20% - Accent1 2 13 2 3 2" xfId="50803"/>
    <cellStyle name="20% - Accent1 2 13 2 4" xfId="33693"/>
    <cellStyle name="20% - Accent1 2 13 3" xfId="7987"/>
    <cellStyle name="20% - Accent1 2 13 3 2" xfId="25034"/>
    <cellStyle name="20% - Accent1 2 13 3 2 2" xfId="53895"/>
    <cellStyle name="20% - Accent1 2 13 3 3" xfId="36848"/>
    <cellStyle name="20% - Accent1 2 13 4" xfId="12545"/>
    <cellStyle name="20% - Accent1 2 13 4 2" xfId="19262"/>
    <cellStyle name="20% - Accent1 2 13 4 2 2" xfId="48123"/>
    <cellStyle name="20% - Accent1 2 13 4 3" xfId="41406"/>
    <cellStyle name="20% - Accent1 2 13 5" xfId="16582"/>
    <cellStyle name="20% - Accent1 2 13 5 2" xfId="45443"/>
    <cellStyle name="20% - Accent1 2 13 6" xfId="30807"/>
    <cellStyle name="20% - Accent1 2 14" xfId="2357"/>
    <cellStyle name="20% - Accent1 2 14 2" xfId="5244"/>
    <cellStyle name="20% - Accent1 2 14 2 2" xfId="11285"/>
    <cellStyle name="20% - Accent1 2 14 2 2 2" xfId="28332"/>
    <cellStyle name="20% - Accent1 2 14 2 2 2 2" xfId="57193"/>
    <cellStyle name="20% - Accent1 2 14 2 2 3" xfId="40146"/>
    <cellStyle name="20% - Accent1 2 14 2 3" xfId="22354"/>
    <cellStyle name="20% - Accent1 2 14 2 3 2" xfId="51215"/>
    <cellStyle name="20% - Accent1 2 14 2 4" xfId="34105"/>
    <cellStyle name="20% - Accent1 2 14 3" xfId="8399"/>
    <cellStyle name="20% - Accent1 2 14 3 2" xfId="25446"/>
    <cellStyle name="20% - Accent1 2 14 3 2 2" xfId="54307"/>
    <cellStyle name="20% - Accent1 2 14 3 3" xfId="37260"/>
    <cellStyle name="20% - Accent1 2 14 4" xfId="12359"/>
    <cellStyle name="20% - Accent1 2 14 4 2" xfId="19674"/>
    <cellStyle name="20% - Accent1 2 14 4 2 2" xfId="48535"/>
    <cellStyle name="20% - Accent1 2 14 4 3" xfId="41220"/>
    <cellStyle name="20% - Accent1 2 14 5" xfId="16994"/>
    <cellStyle name="20% - Accent1 2 14 5 2" xfId="45855"/>
    <cellStyle name="20% - Accent1 2 14 6" xfId="31219"/>
    <cellStyle name="20% - Accent1 2 15" xfId="2566"/>
    <cellStyle name="20% - Accent1 2 15 2" xfId="5452"/>
    <cellStyle name="20% - Accent1 2 15 2 2" xfId="11493"/>
    <cellStyle name="20% - Accent1 2 15 2 2 2" xfId="28540"/>
    <cellStyle name="20% - Accent1 2 15 2 2 2 2" xfId="57401"/>
    <cellStyle name="20% - Accent1 2 15 2 2 3" xfId="40354"/>
    <cellStyle name="20% - Accent1 2 15 2 3" xfId="22562"/>
    <cellStyle name="20% - Accent1 2 15 2 3 2" xfId="51423"/>
    <cellStyle name="20% - Accent1 2 15 2 4" xfId="34313"/>
    <cellStyle name="20% - Accent1 2 15 3" xfId="8607"/>
    <cellStyle name="20% - Accent1 2 15 3 2" xfId="25654"/>
    <cellStyle name="20% - Accent1 2 15 3 2 2" xfId="54515"/>
    <cellStyle name="20% - Accent1 2 15 3 3" xfId="37468"/>
    <cellStyle name="20% - Accent1 2 15 4" xfId="12818"/>
    <cellStyle name="20% - Accent1 2 15 4 2" xfId="19882"/>
    <cellStyle name="20% - Accent1 2 15 4 2 2" xfId="48743"/>
    <cellStyle name="20% - Accent1 2 15 4 3" xfId="41679"/>
    <cellStyle name="20% - Accent1 2 15 5" xfId="17202"/>
    <cellStyle name="20% - Accent1 2 15 5 2" xfId="46063"/>
    <cellStyle name="20% - Accent1 2 15 6" xfId="31427"/>
    <cellStyle name="20% - Accent1 2 16" xfId="2978"/>
    <cellStyle name="20% - Accent1 2 16 2" xfId="9019"/>
    <cellStyle name="20% - Accent1 2 16 2 2" xfId="26066"/>
    <cellStyle name="20% - Accent1 2 16 2 2 2" xfId="54927"/>
    <cellStyle name="20% - Accent1 2 16 2 3" xfId="37880"/>
    <cellStyle name="20% - Accent1 2 16 3" xfId="12856"/>
    <cellStyle name="20% - Accent1 2 16 3 2" xfId="20088"/>
    <cellStyle name="20% - Accent1 2 16 3 2 2" xfId="48949"/>
    <cellStyle name="20% - Accent1 2 16 3 3" xfId="41717"/>
    <cellStyle name="20% - Accent1 2 16 4" xfId="14728"/>
    <cellStyle name="20% - Accent1 2 16 4 2" xfId="43589"/>
    <cellStyle name="20% - Accent1 2 16 5" xfId="31839"/>
    <cellStyle name="20% - Accent1 2 17" xfId="2772"/>
    <cellStyle name="20% - Accent1 2 17 2" xfId="8813"/>
    <cellStyle name="20% - Accent1 2 17 2 2" xfId="25860"/>
    <cellStyle name="20% - Accent1 2 17 2 2 2" xfId="54721"/>
    <cellStyle name="20% - Accent1 2 17 2 3" xfId="37674"/>
    <cellStyle name="20% - Accent1 2 17 3" xfId="17408"/>
    <cellStyle name="20% - Accent1 2 17 3 2" xfId="46269"/>
    <cellStyle name="20% - Accent1 2 17 4" xfId="31633"/>
    <cellStyle name="20% - Accent1 2 18" xfId="5658"/>
    <cellStyle name="20% - Accent1 2 18 2" xfId="11699"/>
    <cellStyle name="20% - Accent1 2 18 2 2" xfId="28746"/>
    <cellStyle name="20% - Accent1 2 18 2 2 2" xfId="57607"/>
    <cellStyle name="20% - Accent1 2 18 2 3" xfId="40560"/>
    <cellStyle name="20% - Accent1 2 18 3" xfId="22768"/>
    <cellStyle name="20% - Accent1 2 18 3 2" xfId="51629"/>
    <cellStyle name="20% - Accent1 2 18 4" xfId="34519"/>
    <cellStyle name="20% - Accent1 2 19" xfId="5875"/>
    <cellStyle name="20% - Accent1 2 19 2" xfId="22974"/>
    <cellStyle name="20% - Accent1 2 19 2 2" xfId="51835"/>
    <cellStyle name="20% - Accent1 2 19 3" xfId="34736"/>
    <cellStyle name="20% - Accent1 2 2" xfId="117"/>
    <cellStyle name="20% - Accent1 2 2 10" xfId="1765"/>
    <cellStyle name="20% - Accent1 2 2 10 2" xfId="4652"/>
    <cellStyle name="20% - Accent1 2 2 10 2 2" xfId="10693"/>
    <cellStyle name="20% - Accent1 2 2 10 2 2 2" xfId="27740"/>
    <cellStyle name="20% - Accent1 2 2 10 2 2 2 2" xfId="56601"/>
    <cellStyle name="20% - Accent1 2 2 10 2 2 3" xfId="39554"/>
    <cellStyle name="20% - Accent1 2 2 10 2 3" xfId="21762"/>
    <cellStyle name="20% - Accent1 2 2 10 2 3 2" xfId="50623"/>
    <cellStyle name="20% - Accent1 2 2 10 2 4" xfId="33513"/>
    <cellStyle name="20% - Accent1 2 2 10 3" xfId="7807"/>
    <cellStyle name="20% - Accent1 2 2 10 3 2" xfId="24854"/>
    <cellStyle name="20% - Accent1 2 2 10 3 2 2" xfId="53715"/>
    <cellStyle name="20% - Accent1 2 2 10 3 3" xfId="36668"/>
    <cellStyle name="20% - Accent1 2 2 10 4" xfId="14424"/>
    <cellStyle name="20% - Accent1 2 2 10 4 2" xfId="19082"/>
    <cellStyle name="20% - Accent1 2 2 10 4 2 2" xfId="47943"/>
    <cellStyle name="20% - Accent1 2 2 10 4 3" xfId="43285"/>
    <cellStyle name="20% - Accent1 2 2 10 5" xfId="16402"/>
    <cellStyle name="20% - Accent1 2 2 10 5 2" xfId="45263"/>
    <cellStyle name="20% - Accent1 2 2 10 6" xfId="30627"/>
    <cellStyle name="20% - Accent1 2 2 11" xfId="1971"/>
    <cellStyle name="20% - Accent1 2 2 11 2" xfId="4858"/>
    <cellStyle name="20% - Accent1 2 2 11 2 2" xfId="10899"/>
    <cellStyle name="20% - Accent1 2 2 11 2 2 2" xfId="27946"/>
    <cellStyle name="20% - Accent1 2 2 11 2 2 2 2" xfId="56807"/>
    <cellStyle name="20% - Accent1 2 2 11 2 2 3" xfId="39760"/>
    <cellStyle name="20% - Accent1 2 2 11 2 3" xfId="21968"/>
    <cellStyle name="20% - Accent1 2 2 11 2 3 2" xfId="50829"/>
    <cellStyle name="20% - Accent1 2 2 11 2 4" xfId="33719"/>
    <cellStyle name="20% - Accent1 2 2 11 3" xfId="8013"/>
    <cellStyle name="20% - Accent1 2 2 11 3 2" xfId="25060"/>
    <cellStyle name="20% - Accent1 2 2 11 3 2 2" xfId="53921"/>
    <cellStyle name="20% - Accent1 2 2 11 3 3" xfId="36874"/>
    <cellStyle name="20% - Accent1 2 2 11 4" xfId="14152"/>
    <cellStyle name="20% - Accent1 2 2 11 4 2" xfId="19288"/>
    <cellStyle name="20% - Accent1 2 2 11 4 2 2" xfId="48149"/>
    <cellStyle name="20% - Accent1 2 2 11 4 3" xfId="43013"/>
    <cellStyle name="20% - Accent1 2 2 11 5" xfId="16608"/>
    <cellStyle name="20% - Accent1 2 2 11 5 2" xfId="45469"/>
    <cellStyle name="20% - Accent1 2 2 11 6" xfId="30833"/>
    <cellStyle name="20% - Accent1 2 2 12" xfId="2383"/>
    <cellStyle name="20% - Accent1 2 2 12 2" xfId="5270"/>
    <cellStyle name="20% - Accent1 2 2 12 2 2" xfId="11311"/>
    <cellStyle name="20% - Accent1 2 2 12 2 2 2" xfId="28358"/>
    <cellStyle name="20% - Accent1 2 2 12 2 2 2 2" xfId="57219"/>
    <cellStyle name="20% - Accent1 2 2 12 2 2 3" xfId="40172"/>
    <cellStyle name="20% - Accent1 2 2 12 2 3" xfId="22380"/>
    <cellStyle name="20% - Accent1 2 2 12 2 3 2" xfId="51241"/>
    <cellStyle name="20% - Accent1 2 2 12 2 4" xfId="34131"/>
    <cellStyle name="20% - Accent1 2 2 12 3" xfId="8425"/>
    <cellStyle name="20% - Accent1 2 2 12 3 2" xfId="25472"/>
    <cellStyle name="20% - Accent1 2 2 12 3 2 2" xfId="54333"/>
    <cellStyle name="20% - Accent1 2 2 12 3 3" xfId="37286"/>
    <cellStyle name="20% - Accent1 2 2 12 4" xfId="12554"/>
    <cellStyle name="20% - Accent1 2 2 12 4 2" xfId="19700"/>
    <cellStyle name="20% - Accent1 2 2 12 4 2 2" xfId="48561"/>
    <cellStyle name="20% - Accent1 2 2 12 4 3" xfId="41415"/>
    <cellStyle name="20% - Accent1 2 2 12 5" xfId="17020"/>
    <cellStyle name="20% - Accent1 2 2 12 5 2" xfId="45881"/>
    <cellStyle name="20% - Accent1 2 2 12 6" xfId="31245"/>
    <cellStyle name="20% - Accent1 2 2 13" xfId="2592"/>
    <cellStyle name="20% - Accent1 2 2 13 2" xfId="5478"/>
    <cellStyle name="20% - Accent1 2 2 13 2 2" xfId="11519"/>
    <cellStyle name="20% - Accent1 2 2 13 2 2 2" xfId="28566"/>
    <cellStyle name="20% - Accent1 2 2 13 2 2 2 2" xfId="57427"/>
    <cellStyle name="20% - Accent1 2 2 13 2 2 3" xfId="40380"/>
    <cellStyle name="20% - Accent1 2 2 13 2 3" xfId="22588"/>
    <cellStyle name="20% - Accent1 2 2 13 2 3 2" xfId="51449"/>
    <cellStyle name="20% - Accent1 2 2 13 2 4" xfId="34339"/>
    <cellStyle name="20% - Accent1 2 2 13 3" xfId="8633"/>
    <cellStyle name="20% - Accent1 2 2 13 3 2" xfId="25680"/>
    <cellStyle name="20% - Accent1 2 2 13 3 2 2" xfId="54541"/>
    <cellStyle name="20% - Accent1 2 2 13 3 3" xfId="37494"/>
    <cellStyle name="20% - Accent1 2 2 13 4" xfId="11970"/>
    <cellStyle name="20% - Accent1 2 2 13 4 2" xfId="19908"/>
    <cellStyle name="20% - Accent1 2 2 13 4 2 2" xfId="48769"/>
    <cellStyle name="20% - Accent1 2 2 13 4 3" xfId="40831"/>
    <cellStyle name="20% - Accent1 2 2 13 5" xfId="17228"/>
    <cellStyle name="20% - Accent1 2 2 13 5 2" xfId="46089"/>
    <cellStyle name="20% - Accent1 2 2 13 6" xfId="31453"/>
    <cellStyle name="20% - Accent1 2 2 14" xfId="3004"/>
    <cellStyle name="20% - Accent1 2 2 14 2" xfId="9045"/>
    <cellStyle name="20% - Accent1 2 2 14 2 2" xfId="26092"/>
    <cellStyle name="20% - Accent1 2 2 14 2 2 2" xfId="54953"/>
    <cellStyle name="20% - Accent1 2 2 14 2 3" xfId="37906"/>
    <cellStyle name="20% - Accent1 2 2 14 3" xfId="12193"/>
    <cellStyle name="20% - Accent1 2 2 14 3 2" xfId="20114"/>
    <cellStyle name="20% - Accent1 2 2 14 3 2 2" xfId="48975"/>
    <cellStyle name="20% - Accent1 2 2 14 3 3" xfId="41054"/>
    <cellStyle name="20% - Accent1 2 2 14 4" xfId="14754"/>
    <cellStyle name="20% - Accent1 2 2 14 4 2" xfId="43615"/>
    <cellStyle name="20% - Accent1 2 2 14 5" xfId="31865"/>
    <cellStyle name="20% - Accent1 2 2 15" xfId="2798"/>
    <cellStyle name="20% - Accent1 2 2 15 2" xfId="8839"/>
    <cellStyle name="20% - Accent1 2 2 15 2 2" xfId="25886"/>
    <cellStyle name="20% - Accent1 2 2 15 2 2 2" xfId="54747"/>
    <cellStyle name="20% - Accent1 2 2 15 2 3" xfId="37700"/>
    <cellStyle name="20% - Accent1 2 2 15 3" xfId="17434"/>
    <cellStyle name="20% - Accent1 2 2 15 3 2" xfId="46295"/>
    <cellStyle name="20% - Accent1 2 2 15 4" xfId="31659"/>
    <cellStyle name="20% - Accent1 2 2 16" xfId="5684"/>
    <cellStyle name="20% - Accent1 2 2 16 2" xfId="11725"/>
    <cellStyle name="20% - Accent1 2 2 16 2 2" xfId="28772"/>
    <cellStyle name="20% - Accent1 2 2 16 2 2 2" xfId="57633"/>
    <cellStyle name="20% - Accent1 2 2 16 2 3" xfId="40586"/>
    <cellStyle name="20% - Accent1 2 2 16 3" xfId="22794"/>
    <cellStyle name="20% - Accent1 2 2 16 3 2" xfId="51655"/>
    <cellStyle name="20% - Accent1 2 2 16 4" xfId="34545"/>
    <cellStyle name="20% - Accent1 2 2 17" xfId="5901"/>
    <cellStyle name="20% - Accent1 2 2 17 2" xfId="23000"/>
    <cellStyle name="20% - Accent1 2 2 17 2 2" xfId="51861"/>
    <cellStyle name="20% - Accent1 2 2 17 3" xfId="34762"/>
    <cellStyle name="20% - Accent1 2 2 18" xfId="6159"/>
    <cellStyle name="20% - Accent1 2 2 18 2" xfId="23206"/>
    <cellStyle name="20% - Accent1 2 2 18 2 2" xfId="52067"/>
    <cellStyle name="20% - Accent1 2 2 18 3" xfId="35020"/>
    <cellStyle name="20% - Accent1 2 2 19" xfId="14548"/>
    <cellStyle name="20% - Accent1 2 2 19 2" xfId="43409"/>
    <cellStyle name="20% - Accent1 2 2 2" xfId="323"/>
    <cellStyle name="20% - Accent1 2 2 2 10" xfId="2486"/>
    <cellStyle name="20% - Accent1 2 2 2 10 2" xfId="5373"/>
    <cellStyle name="20% - Accent1 2 2 2 10 2 2" xfId="11414"/>
    <cellStyle name="20% - Accent1 2 2 2 10 2 2 2" xfId="28461"/>
    <cellStyle name="20% - Accent1 2 2 2 10 2 2 2 2" xfId="57322"/>
    <cellStyle name="20% - Accent1 2 2 2 10 2 2 3" xfId="40275"/>
    <cellStyle name="20% - Accent1 2 2 2 10 2 3" xfId="22483"/>
    <cellStyle name="20% - Accent1 2 2 2 10 2 3 2" xfId="51344"/>
    <cellStyle name="20% - Accent1 2 2 2 10 2 4" xfId="34234"/>
    <cellStyle name="20% - Accent1 2 2 2 10 3" xfId="8528"/>
    <cellStyle name="20% - Accent1 2 2 2 10 3 2" xfId="25575"/>
    <cellStyle name="20% - Accent1 2 2 2 10 3 2 2" xfId="54436"/>
    <cellStyle name="20% - Accent1 2 2 2 10 3 3" xfId="37389"/>
    <cellStyle name="20% - Accent1 2 2 2 10 4" xfId="14392"/>
    <cellStyle name="20% - Accent1 2 2 2 10 4 2" xfId="19803"/>
    <cellStyle name="20% - Accent1 2 2 2 10 4 2 2" xfId="48664"/>
    <cellStyle name="20% - Accent1 2 2 2 10 4 3" xfId="43253"/>
    <cellStyle name="20% - Accent1 2 2 2 10 5" xfId="17123"/>
    <cellStyle name="20% - Accent1 2 2 2 10 5 2" xfId="45984"/>
    <cellStyle name="20% - Accent1 2 2 2 10 6" xfId="31348"/>
    <cellStyle name="20% - Accent1 2 2 2 11" xfId="2695"/>
    <cellStyle name="20% - Accent1 2 2 2 11 2" xfId="5581"/>
    <cellStyle name="20% - Accent1 2 2 2 11 2 2" xfId="11622"/>
    <cellStyle name="20% - Accent1 2 2 2 11 2 2 2" xfId="28669"/>
    <cellStyle name="20% - Accent1 2 2 2 11 2 2 2 2" xfId="57530"/>
    <cellStyle name="20% - Accent1 2 2 2 11 2 2 3" xfId="40483"/>
    <cellStyle name="20% - Accent1 2 2 2 11 2 3" xfId="22691"/>
    <cellStyle name="20% - Accent1 2 2 2 11 2 3 2" xfId="51552"/>
    <cellStyle name="20% - Accent1 2 2 2 11 2 4" xfId="34442"/>
    <cellStyle name="20% - Accent1 2 2 2 11 3" xfId="8736"/>
    <cellStyle name="20% - Accent1 2 2 2 11 3 2" xfId="25783"/>
    <cellStyle name="20% - Accent1 2 2 2 11 3 2 2" xfId="54644"/>
    <cellStyle name="20% - Accent1 2 2 2 11 3 3" xfId="37597"/>
    <cellStyle name="20% - Accent1 2 2 2 11 4" xfId="12427"/>
    <cellStyle name="20% - Accent1 2 2 2 11 4 2" xfId="20011"/>
    <cellStyle name="20% - Accent1 2 2 2 11 4 2 2" xfId="48872"/>
    <cellStyle name="20% - Accent1 2 2 2 11 4 3" xfId="41288"/>
    <cellStyle name="20% - Accent1 2 2 2 11 5" xfId="17331"/>
    <cellStyle name="20% - Accent1 2 2 2 11 5 2" xfId="46192"/>
    <cellStyle name="20% - Accent1 2 2 2 11 6" xfId="31556"/>
    <cellStyle name="20% - Accent1 2 2 2 12" xfId="3210"/>
    <cellStyle name="20% - Accent1 2 2 2 12 2" xfId="9251"/>
    <cellStyle name="20% - Accent1 2 2 2 12 2 2" xfId="26298"/>
    <cellStyle name="20% - Accent1 2 2 2 12 2 2 2" xfId="55159"/>
    <cellStyle name="20% - Accent1 2 2 2 12 2 3" xfId="38112"/>
    <cellStyle name="20% - Accent1 2 2 2 12 3" xfId="12495"/>
    <cellStyle name="20% - Accent1 2 2 2 12 3 2" xfId="20320"/>
    <cellStyle name="20% - Accent1 2 2 2 12 3 2 2" xfId="49181"/>
    <cellStyle name="20% - Accent1 2 2 2 12 3 3" xfId="41356"/>
    <cellStyle name="20% - Accent1 2 2 2 12 4" xfId="14960"/>
    <cellStyle name="20% - Accent1 2 2 2 12 4 2" xfId="43821"/>
    <cellStyle name="20% - Accent1 2 2 2 12 5" xfId="32071"/>
    <cellStyle name="20% - Accent1 2 2 2 13" xfId="2901"/>
    <cellStyle name="20% - Accent1 2 2 2 13 2" xfId="8942"/>
    <cellStyle name="20% - Accent1 2 2 2 13 2 2" xfId="25989"/>
    <cellStyle name="20% - Accent1 2 2 2 13 2 2 2" xfId="54850"/>
    <cellStyle name="20% - Accent1 2 2 2 13 2 3" xfId="37803"/>
    <cellStyle name="20% - Accent1 2 2 2 13 3" xfId="17537"/>
    <cellStyle name="20% - Accent1 2 2 2 13 3 2" xfId="46398"/>
    <cellStyle name="20% - Accent1 2 2 2 13 4" xfId="31762"/>
    <cellStyle name="20% - Accent1 2 2 2 14" xfId="5787"/>
    <cellStyle name="20% - Accent1 2 2 2 14 2" xfId="11828"/>
    <cellStyle name="20% - Accent1 2 2 2 14 2 2" xfId="28875"/>
    <cellStyle name="20% - Accent1 2 2 2 14 2 2 2" xfId="57736"/>
    <cellStyle name="20% - Accent1 2 2 2 14 2 3" xfId="40689"/>
    <cellStyle name="20% - Accent1 2 2 2 14 3" xfId="22897"/>
    <cellStyle name="20% - Accent1 2 2 2 14 3 2" xfId="51758"/>
    <cellStyle name="20% - Accent1 2 2 2 14 4" xfId="34648"/>
    <cellStyle name="20% - Accent1 2 2 2 15" xfId="6004"/>
    <cellStyle name="20% - Accent1 2 2 2 15 2" xfId="23103"/>
    <cellStyle name="20% - Accent1 2 2 2 15 2 2" xfId="51964"/>
    <cellStyle name="20% - Accent1 2 2 2 15 3" xfId="34865"/>
    <cellStyle name="20% - Accent1 2 2 2 16" xfId="6365"/>
    <cellStyle name="20% - Accent1 2 2 2 16 2" xfId="23412"/>
    <cellStyle name="20% - Accent1 2 2 2 16 2 2" xfId="52273"/>
    <cellStyle name="20% - Accent1 2 2 2 16 3" xfId="35226"/>
    <cellStyle name="20% - Accent1 2 2 2 17" xfId="14651"/>
    <cellStyle name="20% - Accent1 2 2 2 17 2" xfId="43512"/>
    <cellStyle name="20% - Accent1 2 2 2 18" xfId="29185"/>
    <cellStyle name="20% - Accent1 2 2 2 2" xfId="529"/>
    <cellStyle name="20% - Accent1 2 2 2 2 2" xfId="2280"/>
    <cellStyle name="20% - Accent1 2 2 2 2 2 2" xfId="5167"/>
    <cellStyle name="20% - Accent1 2 2 2 2 2 2 2" xfId="11208"/>
    <cellStyle name="20% - Accent1 2 2 2 2 2 2 2 2" xfId="28255"/>
    <cellStyle name="20% - Accent1 2 2 2 2 2 2 2 2 2" xfId="57116"/>
    <cellStyle name="20% - Accent1 2 2 2 2 2 2 2 3" xfId="40069"/>
    <cellStyle name="20% - Accent1 2 2 2 2 2 2 3" xfId="22277"/>
    <cellStyle name="20% - Accent1 2 2 2 2 2 2 3 2" xfId="51138"/>
    <cellStyle name="20% - Accent1 2 2 2 2 2 2 4" xfId="34028"/>
    <cellStyle name="20% - Accent1 2 2 2 2 2 3" xfId="8322"/>
    <cellStyle name="20% - Accent1 2 2 2 2 2 3 2" xfId="25369"/>
    <cellStyle name="20% - Accent1 2 2 2 2 2 3 2 2" xfId="54230"/>
    <cellStyle name="20% - Accent1 2 2 2 2 2 3 3" xfId="37183"/>
    <cellStyle name="20% - Accent1 2 2 2 2 2 4" xfId="12238"/>
    <cellStyle name="20% - Accent1 2 2 2 2 2 4 2" xfId="19597"/>
    <cellStyle name="20% - Accent1 2 2 2 2 2 4 2 2" xfId="48458"/>
    <cellStyle name="20% - Accent1 2 2 2 2 2 4 3" xfId="41099"/>
    <cellStyle name="20% - Accent1 2 2 2 2 2 5" xfId="16917"/>
    <cellStyle name="20% - Accent1 2 2 2 2 2 5 2" xfId="45778"/>
    <cellStyle name="20% - Accent1 2 2 2 2 2 6" xfId="31142"/>
    <cellStyle name="20% - Accent1 2 2 2 2 3" xfId="3416"/>
    <cellStyle name="20% - Accent1 2 2 2 2 3 2" xfId="9457"/>
    <cellStyle name="20% - Accent1 2 2 2 2 3 2 2" xfId="26504"/>
    <cellStyle name="20% - Accent1 2 2 2 2 3 2 2 2" xfId="55365"/>
    <cellStyle name="20% - Accent1 2 2 2 2 3 2 3" xfId="38318"/>
    <cellStyle name="20% - Accent1 2 2 2 2 3 3" xfId="20526"/>
    <cellStyle name="20% - Accent1 2 2 2 2 3 3 2" xfId="49387"/>
    <cellStyle name="20% - Accent1 2 2 2 2 3 4" xfId="32277"/>
    <cellStyle name="20% - Accent1 2 2 2 2 4" xfId="6571"/>
    <cellStyle name="20% - Accent1 2 2 2 2 4 2" xfId="23618"/>
    <cellStyle name="20% - Accent1 2 2 2 2 4 2 2" xfId="52479"/>
    <cellStyle name="20% - Accent1 2 2 2 2 4 3" xfId="35432"/>
    <cellStyle name="20% - Accent1 2 2 2 2 5" xfId="12753"/>
    <cellStyle name="20% - Accent1 2 2 2 2 5 2" xfId="17846"/>
    <cellStyle name="20% - Accent1 2 2 2 2 5 2 2" xfId="46707"/>
    <cellStyle name="20% - Accent1 2 2 2 2 5 3" xfId="41614"/>
    <cellStyle name="20% - Accent1 2 2 2 2 6" xfId="15166"/>
    <cellStyle name="20% - Accent1 2 2 2 2 6 2" xfId="44027"/>
    <cellStyle name="20% - Accent1 2 2 2 2 7" xfId="29391"/>
    <cellStyle name="20% - Accent1 2 2 2 3" xfId="838"/>
    <cellStyle name="20% - Accent1 2 2 2 3 2" xfId="3725"/>
    <cellStyle name="20% - Accent1 2 2 2 3 2 2" xfId="9766"/>
    <cellStyle name="20% - Accent1 2 2 2 3 2 2 2" xfId="26813"/>
    <cellStyle name="20% - Accent1 2 2 2 3 2 2 2 2" xfId="55674"/>
    <cellStyle name="20% - Accent1 2 2 2 3 2 2 3" xfId="38627"/>
    <cellStyle name="20% - Accent1 2 2 2 3 2 3" xfId="20835"/>
    <cellStyle name="20% - Accent1 2 2 2 3 2 3 2" xfId="49696"/>
    <cellStyle name="20% - Accent1 2 2 2 3 2 4" xfId="32586"/>
    <cellStyle name="20% - Accent1 2 2 2 3 3" xfId="6880"/>
    <cellStyle name="20% - Accent1 2 2 2 3 3 2" xfId="23927"/>
    <cellStyle name="20% - Accent1 2 2 2 3 3 2 2" xfId="52788"/>
    <cellStyle name="20% - Accent1 2 2 2 3 3 3" xfId="35741"/>
    <cellStyle name="20% - Accent1 2 2 2 3 4" xfId="14059"/>
    <cellStyle name="20% - Accent1 2 2 2 3 4 2" xfId="18155"/>
    <cellStyle name="20% - Accent1 2 2 2 3 4 2 2" xfId="47016"/>
    <cellStyle name="20% - Accent1 2 2 2 3 4 3" xfId="42920"/>
    <cellStyle name="20% - Accent1 2 2 2 3 5" xfId="15475"/>
    <cellStyle name="20% - Accent1 2 2 2 3 5 2" xfId="44336"/>
    <cellStyle name="20% - Accent1 2 2 2 3 6" xfId="29700"/>
    <cellStyle name="20% - Accent1 2 2 2 4" xfId="1044"/>
    <cellStyle name="20% - Accent1 2 2 2 4 2" xfId="3931"/>
    <cellStyle name="20% - Accent1 2 2 2 4 2 2" xfId="9972"/>
    <cellStyle name="20% - Accent1 2 2 2 4 2 2 2" xfId="27019"/>
    <cellStyle name="20% - Accent1 2 2 2 4 2 2 2 2" xfId="55880"/>
    <cellStyle name="20% - Accent1 2 2 2 4 2 2 3" xfId="38833"/>
    <cellStyle name="20% - Accent1 2 2 2 4 2 3" xfId="21041"/>
    <cellStyle name="20% - Accent1 2 2 2 4 2 3 2" xfId="49902"/>
    <cellStyle name="20% - Accent1 2 2 2 4 2 4" xfId="32792"/>
    <cellStyle name="20% - Accent1 2 2 2 4 3" xfId="7086"/>
    <cellStyle name="20% - Accent1 2 2 2 4 3 2" xfId="24133"/>
    <cellStyle name="20% - Accent1 2 2 2 4 3 2 2" xfId="52994"/>
    <cellStyle name="20% - Accent1 2 2 2 4 3 3" xfId="35947"/>
    <cellStyle name="20% - Accent1 2 2 2 4 4" xfId="12037"/>
    <cellStyle name="20% - Accent1 2 2 2 4 4 2" xfId="18361"/>
    <cellStyle name="20% - Accent1 2 2 2 4 4 2 2" xfId="47222"/>
    <cellStyle name="20% - Accent1 2 2 2 4 4 3" xfId="40898"/>
    <cellStyle name="20% - Accent1 2 2 2 4 5" xfId="15681"/>
    <cellStyle name="20% - Accent1 2 2 2 4 5 2" xfId="44542"/>
    <cellStyle name="20% - Accent1 2 2 2 4 6" xfId="29906"/>
    <cellStyle name="20% - Accent1 2 2 2 5" xfId="1250"/>
    <cellStyle name="20% - Accent1 2 2 2 5 2" xfId="4137"/>
    <cellStyle name="20% - Accent1 2 2 2 5 2 2" xfId="10178"/>
    <cellStyle name="20% - Accent1 2 2 2 5 2 2 2" xfId="27225"/>
    <cellStyle name="20% - Accent1 2 2 2 5 2 2 2 2" xfId="56086"/>
    <cellStyle name="20% - Accent1 2 2 2 5 2 2 3" xfId="39039"/>
    <cellStyle name="20% - Accent1 2 2 2 5 2 3" xfId="21247"/>
    <cellStyle name="20% - Accent1 2 2 2 5 2 3 2" xfId="50108"/>
    <cellStyle name="20% - Accent1 2 2 2 5 2 4" xfId="32998"/>
    <cellStyle name="20% - Accent1 2 2 2 5 3" xfId="7292"/>
    <cellStyle name="20% - Accent1 2 2 2 5 3 2" xfId="24339"/>
    <cellStyle name="20% - Accent1 2 2 2 5 3 2 2" xfId="53200"/>
    <cellStyle name="20% - Accent1 2 2 2 5 3 3" xfId="36153"/>
    <cellStyle name="20% - Accent1 2 2 2 5 4" xfId="13096"/>
    <cellStyle name="20% - Accent1 2 2 2 5 4 2" xfId="18567"/>
    <cellStyle name="20% - Accent1 2 2 2 5 4 2 2" xfId="47428"/>
    <cellStyle name="20% - Accent1 2 2 2 5 4 3" xfId="41957"/>
    <cellStyle name="20% - Accent1 2 2 2 5 5" xfId="15887"/>
    <cellStyle name="20% - Accent1 2 2 2 5 5 2" xfId="44748"/>
    <cellStyle name="20% - Accent1 2 2 2 5 6" xfId="30112"/>
    <cellStyle name="20% - Accent1 2 2 2 6" xfId="1456"/>
    <cellStyle name="20% - Accent1 2 2 2 6 2" xfId="4343"/>
    <cellStyle name="20% - Accent1 2 2 2 6 2 2" xfId="10384"/>
    <cellStyle name="20% - Accent1 2 2 2 6 2 2 2" xfId="27431"/>
    <cellStyle name="20% - Accent1 2 2 2 6 2 2 2 2" xfId="56292"/>
    <cellStyle name="20% - Accent1 2 2 2 6 2 2 3" xfId="39245"/>
    <cellStyle name="20% - Accent1 2 2 2 6 2 3" xfId="21453"/>
    <cellStyle name="20% - Accent1 2 2 2 6 2 3 2" xfId="50314"/>
    <cellStyle name="20% - Accent1 2 2 2 6 2 4" xfId="33204"/>
    <cellStyle name="20% - Accent1 2 2 2 6 3" xfId="7498"/>
    <cellStyle name="20% - Accent1 2 2 2 6 3 2" xfId="24545"/>
    <cellStyle name="20% - Accent1 2 2 2 6 3 2 2" xfId="53406"/>
    <cellStyle name="20% - Accent1 2 2 2 6 3 3" xfId="36359"/>
    <cellStyle name="20% - Accent1 2 2 2 6 4" xfId="12628"/>
    <cellStyle name="20% - Accent1 2 2 2 6 4 2" xfId="18773"/>
    <cellStyle name="20% - Accent1 2 2 2 6 4 2 2" xfId="47634"/>
    <cellStyle name="20% - Accent1 2 2 2 6 4 3" xfId="41489"/>
    <cellStyle name="20% - Accent1 2 2 2 6 5" xfId="16093"/>
    <cellStyle name="20% - Accent1 2 2 2 6 5 2" xfId="44954"/>
    <cellStyle name="20% - Accent1 2 2 2 6 6" xfId="30318"/>
    <cellStyle name="20% - Accent1 2 2 2 7" xfId="1662"/>
    <cellStyle name="20% - Accent1 2 2 2 7 2" xfId="4549"/>
    <cellStyle name="20% - Accent1 2 2 2 7 2 2" xfId="10590"/>
    <cellStyle name="20% - Accent1 2 2 2 7 2 2 2" xfId="27637"/>
    <cellStyle name="20% - Accent1 2 2 2 7 2 2 2 2" xfId="56498"/>
    <cellStyle name="20% - Accent1 2 2 2 7 2 2 3" xfId="39451"/>
    <cellStyle name="20% - Accent1 2 2 2 7 2 3" xfId="21659"/>
    <cellStyle name="20% - Accent1 2 2 2 7 2 3 2" xfId="50520"/>
    <cellStyle name="20% - Accent1 2 2 2 7 2 4" xfId="33410"/>
    <cellStyle name="20% - Accent1 2 2 2 7 3" xfId="7704"/>
    <cellStyle name="20% - Accent1 2 2 2 7 3 2" xfId="24751"/>
    <cellStyle name="20% - Accent1 2 2 2 7 3 2 2" xfId="53612"/>
    <cellStyle name="20% - Accent1 2 2 2 7 3 3" xfId="36565"/>
    <cellStyle name="20% - Accent1 2 2 2 7 4" xfId="13440"/>
    <cellStyle name="20% - Accent1 2 2 2 7 4 2" xfId="18979"/>
    <cellStyle name="20% - Accent1 2 2 2 7 4 2 2" xfId="47840"/>
    <cellStyle name="20% - Accent1 2 2 2 7 4 3" xfId="42301"/>
    <cellStyle name="20% - Accent1 2 2 2 7 5" xfId="16299"/>
    <cellStyle name="20% - Accent1 2 2 2 7 5 2" xfId="45160"/>
    <cellStyle name="20% - Accent1 2 2 2 7 6" xfId="30524"/>
    <cellStyle name="20% - Accent1 2 2 2 8" xfId="1868"/>
    <cellStyle name="20% - Accent1 2 2 2 8 2" xfId="4755"/>
    <cellStyle name="20% - Accent1 2 2 2 8 2 2" xfId="10796"/>
    <cellStyle name="20% - Accent1 2 2 2 8 2 2 2" xfId="27843"/>
    <cellStyle name="20% - Accent1 2 2 2 8 2 2 2 2" xfId="56704"/>
    <cellStyle name="20% - Accent1 2 2 2 8 2 2 3" xfId="39657"/>
    <cellStyle name="20% - Accent1 2 2 2 8 2 3" xfId="21865"/>
    <cellStyle name="20% - Accent1 2 2 2 8 2 3 2" xfId="50726"/>
    <cellStyle name="20% - Accent1 2 2 2 8 2 4" xfId="33616"/>
    <cellStyle name="20% - Accent1 2 2 2 8 3" xfId="7910"/>
    <cellStyle name="20% - Accent1 2 2 2 8 3 2" xfId="24957"/>
    <cellStyle name="20% - Accent1 2 2 2 8 3 2 2" xfId="53818"/>
    <cellStyle name="20% - Accent1 2 2 2 8 3 3" xfId="36771"/>
    <cellStyle name="20% - Accent1 2 2 2 8 4" xfId="12002"/>
    <cellStyle name="20% - Accent1 2 2 2 8 4 2" xfId="19185"/>
    <cellStyle name="20% - Accent1 2 2 2 8 4 2 2" xfId="48046"/>
    <cellStyle name="20% - Accent1 2 2 2 8 4 3" xfId="40863"/>
    <cellStyle name="20% - Accent1 2 2 2 8 5" xfId="16505"/>
    <cellStyle name="20% - Accent1 2 2 2 8 5 2" xfId="45366"/>
    <cellStyle name="20% - Accent1 2 2 2 8 6" xfId="30730"/>
    <cellStyle name="20% - Accent1 2 2 2 9" xfId="2074"/>
    <cellStyle name="20% - Accent1 2 2 2 9 2" xfId="4961"/>
    <cellStyle name="20% - Accent1 2 2 2 9 2 2" xfId="11002"/>
    <cellStyle name="20% - Accent1 2 2 2 9 2 2 2" xfId="28049"/>
    <cellStyle name="20% - Accent1 2 2 2 9 2 2 2 2" xfId="56910"/>
    <cellStyle name="20% - Accent1 2 2 2 9 2 2 3" xfId="39863"/>
    <cellStyle name="20% - Accent1 2 2 2 9 2 3" xfId="22071"/>
    <cellStyle name="20% - Accent1 2 2 2 9 2 3 2" xfId="50932"/>
    <cellStyle name="20% - Accent1 2 2 2 9 2 4" xfId="33822"/>
    <cellStyle name="20% - Accent1 2 2 2 9 3" xfId="8116"/>
    <cellStyle name="20% - Accent1 2 2 2 9 3 2" xfId="25163"/>
    <cellStyle name="20% - Accent1 2 2 2 9 3 2 2" xfId="54024"/>
    <cellStyle name="20% - Accent1 2 2 2 9 3 3" xfId="36977"/>
    <cellStyle name="20% - Accent1 2 2 2 9 4" xfId="6092"/>
    <cellStyle name="20% - Accent1 2 2 2 9 4 2" xfId="19391"/>
    <cellStyle name="20% - Accent1 2 2 2 9 4 2 2" xfId="48252"/>
    <cellStyle name="20% - Accent1 2 2 2 9 4 3" xfId="34953"/>
    <cellStyle name="20% - Accent1 2 2 2 9 5" xfId="16711"/>
    <cellStyle name="20% - Accent1 2 2 2 9 5 2" xfId="45572"/>
    <cellStyle name="20% - Accent1 2 2 2 9 6" xfId="30936"/>
    <cellStyle name="20% - Accent1 2 2 20" xfId="28979"/>
    <cellStyle name="20% - Accent1 2 2 3" xfId="220"/>
    <cellStyle name="20% - Accent1 2 2 3 2" xfId="632"/>
    <cellStyle name="20% - Accent1 2 2 3 2 2" xfId="3519"/>
    <cellStyle name="20% - Accent1 2 2 3 2 2 2" xfId="9560"/>
    <cellStyle name="20% - Accent1 2 2 3 2 2 2 2" xfId="26607"/>
    <cellStyle name="20% - Accent1 2 2 3 2 2 2 2 2" xfId="55468"/>
    <cellStyle name="20% - Accent1 2 2 3 2 2 2 3" xfId="38421"/>
    <cellStyle name="20% - Accent1 2 2 3 2 2 3" xfId="20629"/>
    <cellStyle name="20% - Accent1 2 2 3 2 2 3 2" xfId="49490"/>
    <cellStyle name="20% - Accent1 2 2 3 2 2 4" xfId="32380"/>
    <cellStyle name="20% - Accent1 2 2 3 2 3" xfId="6674"/>
    <cellStyle name="20% - Accent1 2 2 3 2 3 2" xfId="23721"/>
    <cellStyle name="20% - Accent1 2 2 3 2 3 2 2" xfId="52582"/>
    <cellStyle name="20% - Accent1 2 2 3 2 3 3" xfId="35535"/>
    <cellStyle name="20% - Accent1 2 2 3 2 4" xfId="6100"/>
    <cellStyle name="20% - Accent1 2 2 3 2 4 2" xfId="17949"/>
    <cellStyle name="20% - Accent1 2 2 3 2 4 2 2" xfId="46810"/>
    <cellStyle name="20% - Accent1 2 2 3 2 4 3" xfId="34961"/>
    <cellStyle name="20% - Accent1 2 2 3 2 5" xfId="15269"/>
    <cellStyle name="20% - Accent1 2 2 3 2 5 2" xfId="44130"/>
    <cellStyle name="20% - Accent1 2 2 3 2 6" xfId="29494"/>
    <cellStyle name="20% - Accent1 2 2 3 3" xfId="2177"/>
    <cellStyle name="20% - Accent1 2 2 3 3 2" xfId="5064"/>
    <cellStyle name="20% - Accent1 2 2 3 3 2 2" xfId="11105"/>
    <cellStyle name="20% - Accent1 2 2 3 3 2 2 2" xfId="28152"/>
    <cellStyle name="20% - Accent1 2 2 3 3 2 2 2 2" xfId="57013"/>
    <cellStyle name="20% - Accent1 2 2 3 3 2 2 3" xfId="39966"/>
    <cellStyle name="20% - Accent1 2 2 3 3 2 3" xfId="22174"/>
    <cellStyle name="20% - Accent1 2 2 3 3 2 3 2" xfId="51035"/>
    <cellStyle name="20% - Accent1 2 2 3 3 2 4" xfId="33925"/>
    <cellStyle name="20% - Accent1 2 2 3 3 3" xfId="8219"/>
    <cellStyle name="20% - Accent1 2 2 3 3 3 2" xfId="25266"/>
    <cellStyle name="20% - Accent1 2 2 3 3 3 2 2" xfId="54127"/>
    <cellStyle name="20% - Accent1 2 2 3 3 3 3" xfId="37080"/>
    <cellStyle name="20% - Accent1 2 2 3 3 4" xfId="13778"/>
    <cellStyle name="20% - Accent1 2 2 3 3 4 2" xfId="19494"/>
    <cellStyle name="20% - Accent1 2 2 3 3 4 2 2" xfId="48355"/>
    <cellStyle name="20% - Accent1 2 2 3 3 4 3" xfId="42639"/>
    <cellStyle name="20% - Accent1 2 2 3 3 5" xfId="16814"/>
    <cellStyle name="20% - Accent1 2 2 3 3 5 2" xfId="45675"/>
    <cellStyle name="20% - Accent1 2 2 3 3 6" xfId="31039"/>
    <cellStyle name="20% - Accent1 2 2 3 4" xfId="3107"/>
    <cellStyle name="20% - Accent1 2 2 3 4 2" xfId="9148"/>
    <cellStyle name="20% - Accent1 2 2 3 4 2 2" xfId="26195"/>
    <cellStyle name="20% - Accent1 2 2 3 4 2 2 2" xfId="55056"/>
    <cellStyle name="20% - Accent1 2 2 3 4 2 3" xfId="38009"/>
    <cellStyle name="20% - Accent1 2 2 3 4 3" xfId="20217"/>
    <cellStyle name="20% - Accent1 2 2 3 4 3 2" xfId="49078"/>
    <cellStyle name="20% - Accent1 2 2 3 4 4" xfId="31968"/>
    <cellStyle name="20% - Accent1 2 2 3 5" xfId="6262"/>
    <cellStyle name="20% - Accent1 2 2 3 5 2" xfId="23309"/>
    <cellStyle name="20% - Accent1 2 2 3 5 2 2" xfId="52170"/>
    <cellStyle name="20% - Accent1 2 2 3 5 3" xfId="35123"/>
    <cellStyle name="20% - Accent1 2 2 3 6" xfId="13085"/>
    <cellStyle name="20% - Accent1 2 2 3 6 2" xfId="17640"/>
    <cellStyle name="20% - Accent1 2 2 3 6 2 2" xfId="46501"/>
    <cellStyle name="20% - Accent1 2 2 3 6 3" xfId="41946"/>
    <cellStyle name="20% - Accent1 2 2 3 7" xfId="14857"/>
    <cellStyle name="20% - Accent1 2 2 3 7 2" xfId="43718"/>
    <cellStyle name="20% - Accent1 2 2 3 8" xfId="29082"/>
    <cellStyle name="20% - Accent1 2 2 4" xfId="426"/>
    <cellStyle name="20% - Accent1 2 2 4 2" xfId="3313"/>
    <cellStyle name="20% - Accent1 2 2 4 2 2" xfId="9354"/>
    <cellStyle name="20% - Accent1 2 2 4 2 2 2" xfId="26401"/>
    <cellStyle name="20% - Accent1 2 2 4 2 2 2 2" xfId="55262"/>
    <cellStyle name="20% - Accent1 2 2 4 2 2 3" xfId="38215"/>
    <cellStyle name="20% - Accent1 2 2 4 2 3" xfId="20423"/>
    <cellStyle name="20% - Accent1 2 2 4 2 3 2" xfId="49284"/>
    <cellStyle name="20% - Accent1 2 2 4 2 4" xfId="32174"/>
    <cellStyle name="20% - Accent1 2 2 4 3" xfId="6468"/>
    <cellStyle name="20% - Accent1 2 2 4 3 2" xfId="23515"/>
    <cellStyle name="20% - Accent1 2 2 4 3 2 2" xfId="52376"/>
    <cellStyle name="20% - Accent1 2 2 4 3 3" xfId="35329"/>
    <cellStyle name="20% - Accent1 2 2 4 4" xfId="12422"/>
    <cellStyle name="20% - Accent1 2 2 4 4 2" xfId="17743"/>
    <cellStyle name="20% - Accent1 2 2 4 4 2 2" xfId="46604"/>
    <cellStyle name="20% - Accent1 2 2 4 4 3" xfId="41283"/>
    <cellStyle name="20% - Accent1 2 2 4 5" xfId="15063"/>
    <cellStyle name="20% - Accent1 2 2 4 5 2" xfId="43924"/>
    <cellStyle name="20% - Accent1 2 2 4 6" xfId="29288"/>
    <cellStyle name="20% - Accent1 2 2 5" xfId="735"/>
    <cellStyle name="20% - Accent1 2 2 5 2" xfId="3622"/>
    <cellStyle name="20% - Accent1 2 2 5 2 2" xfId="9663"/>
    <cellStyle name="20% - Accent1 2 2 5 2 2 2" xfId="26710"/>
    <cellStyle name="20% - Accent1 2 2 5 2 2 2 2" xfId="55571"/>
    <cellStyle name="20% - Accent1 2 2 5 2 2 3" xfId="38524"/>
    <cellStyle name="20% - Accent1 2 2 5 2 3" xfId="20732"/>
    <cellStyle name="20% - Accent1 2 2 5 2 3 2" xfId="49593"/>
    <cellStyle name="20% - Accent1 2 2 5 2 4" xfId="32483"/>
    <cellStyle name="20% - Accent1 2 2 5 3" xfId="6777"/>
    <cellStyle name="20% - Accent1 2 2 5 3 2" xfId="23824"/>
    <cellStyle name="20% - Accent1 2 2 5 3 2 2" xfId="52685"/>
    <cellStyle name="20% - Accent1 2 2 5 3 3" xfId="35638"/>
    <cellStyle name="20% - Accent1 2 2 5 4" xfId="13167"/>
    <cellStyle name="20% - Accent1 2 2 5 4 2" xfId="18052"/>
    <cellStyle name="20% - Accent1 2 2 5 4 2 2" xfId="46913"/>
    <cellStyle name="20% - Accent1 2 2 5 4 3" xfId="42028"/>
    <cellStyle name="20% - Accent1 2 2 5 5" xfId="15372"/>
    <cellStyle name="20% - Accent1 2 2 5 5 2" xfId="44233"/>
    <cellStyle name="20% - Accent1 2 2 5 6" xfId="29597"/>
    <cellStyle name="20% - Accent1 2 2 6" xfId="941"/>
    <cellStyle name="20% - Accent1 2 2 6 2" xfId="3828"/>
    <cellStyle name="20% - Accent1 2 2 6 2 2" xfId="9869"/>
    <cellStyle name="20% - Accent1 2 2 6 2 2 2" xfId="26916"/>
    <cellStyle name="20% - Accent1 2 2 6 2 2 2 2" xfId="55777"/>
    <cellStyle name="20% - Accent1 2 2 6 2 2 3" xfId="38730"/>
    <cellStyle name="20% - Accent1 2 2 6 2 3" xfId="20938"/>
    <cellStyle name="20% - Accent1 2 2 6 2 3 2" xfId="49799"/>
    <cellStyle name="20% - Accent1 2 2 6 2 4" xfId="32689"/>
    <cellStyle name="20% - Accent1 2 2 6 3" xfId="6983"/>
    <cellStyle name="20% - Accent1 2 2 6 3 2" xfId="24030"/>
    <cellStyle name="20% - Accent1 2 2 6 3 2 2" xfId="52891"/>
    <cellStyle name="20% - Accent1 2 2 6 3 3" xfId="35844"/>
    <cellStyle name="20% - Accent1 2 2 6 4" xfId="12836"/>
    <cellStyle name="20% - Accent1 2 2 6 4 2" xfId="18258"/>
    <cellStyle name="20% - Accent1 2 2 6 4 2 2" xfId="47119"/>
    <cellStyle name="20% - Accent1 2 2 6 4 3" xfId="41697"/>
    <cellStyle name="20% - Accent1 2 2 6 5" xfId="15578"/>
    <cellStyle name="20% - Accent1 2 2 6 5 2" xfId="44439"/>
    <cellStyle name="20% - Accent1 2 2 6 6" xfId="29803"/>
    <cellStyle name="20% - Accent1 2 2 7" xfId="1147"/>
    <cellStyle name="20% - Accent1 2 2 7 2" xfId="4034"/>
    <cellStyle name="20% - Accent1 2 2 7 2 2" xfId="10075"/>
    <cellStyle name="20% - Accent1 2 2 7 2 2 2" xfId="27122"/>
    <cellStyle name="20% - Accent1 2 2 7 2 2 2 2" xfId="55983"/>
    <cellStyle name="20% - Accent1 2 2 7 2 2 3" xfId="38936"/>
    <cellStyle name="20% - Accent1 2 2 7 2 3" xfId="21144"/>
    <cellStyle name="20% - Accent1 2 2 7 2 3 2" xfId="50005"/>
    <cellStyle name="20% - Accent1 2 2 7 2 4" xfId="32895"/>
    <cellStyle name="20% - Accent1 2 2 7 3" xfId="7189"/>
    <cellStyle name="20% - Accent1 2 2 7 3 2" xfId="24236"/>
    <cellStyle name="20% - Accent1 2 2 7 3 2 2" xfId="53097"/>
    <cellStyle name="20% - Accent1 2 2 7 3 3" xfId="36050"/>
    <cellStyle name="20% - Accent1 2 2 7 4" xfId="12941"/>
    <cellStyle name="20% - Accent1 2 2 7 4 2" xfId="18464"/>
    <cellStyle name="20% - Accent1 2 2 7 4 2 2" xfId="47325"/>
    <cellStyle name="20% - Accent1 2 2 7 4 3" xfId="41802"/>
    <cellStyle name="20% - Accent1 2 2 7 5" xfId="15784"/>
    <cellStyle name="20% - Accent1 2 2 7 5 2" xfId="44645"/>
    <cellStyle name="20% - Accent1 2 2 7 6" xfId="30009"/>
    <cellStyle name="20% - Accent1 2 2 8" xfId="1353"/>
    <cellStyle name="20% - Accent1 2 2 8 2" xfId="4240"/>
    <cellStyle name="20% - Accent1 2 2 8 2 2" xfId="10281"/>
    <cellStyle name="20% - Accent1 2 2 8 2 2 2" xfId="27328"/>
    <cellStyle name="20% - Accent1 2 2 8 2 2 2 2" xfId="56189"/>
    <cellStyle name="20% - Accent1 2 2 8 2 2 3" xfId="39142"/>
    <cellStyle name="20% - Accent1 2 2 8 2 3" xfId="21350"/>
    <cellStyle name="20% - Accent1 2 2 8 2 3 2" xfId="50211"/>
    <cellStyle name="20% - Accent1 2 2 8 2 4" xfId="33101"/>
    <cellStyle name="20% - Accent1 2 2 8 3" xfId="7395"/>
    <cellStyle name="20% - Accent1 2 2 8 3 2" xfId="24442"/>
    <cellStyle name="20% - Accent1 2 2 8 3 2 2" xfId="53303"/>
    <cellStyle name="20% - Accent1 2 2 8 3 3" xfId="36256"/>
    <cellStyle name="20% - Accent1 2 2 8 4" xfId="13154"/>
    <cellStyle name="20% - Accent1 2 2 8 4 2" xfId="18670"/>
    <cellStyle name="20% - Accent1 2 2 8 4 2 2" xfId="47531"/>
    <cellStyle name="20% - Accent1 2 2 8 4 3" xfId="42015"/>
    <cellStyle name="20% - Accent1 2 2 8 5" xfId="15990"/>
    <cellStyle name="20% - Accent1 2 2 8 5 2" xfId="44851"/>
    <cellStyle name="20% - Accent1 2 2 8 6" xfId="30215"/>
    <cellStyle name="20% - Accent1 2 2 9" xfId="1559"/>
    <cellStyle name="20% - Accent1 2 2 9 2" xfId="4446"/>
    <cellStyle name="20% - Accent1 2 2 9 2 2" xfId="10487"/>
    <cellStyle name="20% - Accent1 2 2 9 2 2 2" xfId="27534"/>
    <cellStyle name="20% - Accent1 2 2 9 2 2 2 2" xfId="56395"/>
    <cellStyle name="20% - Accent1 2 2 9 2 2 3" xfId="39348"/>
    <cellStyle name="20% - Accent1 2 2 9 2 3" xfId="21556"/>
    <cellStyle name="20% - Accent1 2 2 9 2 3 2" xfId="50417"/>
    <cellStyle name="20% - Accent1 2 2 9 2 4" xfId="33307"/>
    <cellStyle name="20% - Accent1 2 2 9 3" xfId="7601"/>
    <cellStyle name="20% - Accent1 2 2 9 3 2" xfId="24648"/>
    <cellStyle name="20% - Accent1 2 2 9 3 2 2" xfId="53509"/>
    <cellStyle name="20% - Accent1 2 2 9 3 3" xfId="36462"/>
    <cellStyle name="20% - Accent1 2 2 9 4" xfId="12804"/>
    <cellStyle name="20% - Accent1 2 2 9 4 2" xfId="18876"/>
    <cellStyle name="20% - Accent1 2 2 9 4 2 2" xfId="47737"/>
    <cellStyle name="20% - Accent1 2 2 9 4 3" xfId="41665"/>
    <cellStyle name="20% - Accent1 2 2 9 5" xfId="16196"/>
    <cellStyle name="20% - Accent1 2 2 9 5 2" xfId="45057"/>
    <cellStyle name="20% - Accent1 2 2 9 6" xfId="30421"/>
    <cellStyle name="20% - Accent1 2 20" xfId="6133"/>
    <cellStyle name="20% - Accent1 2 20 2" xfId="23180"/>
    <cellStyle name="20% - Accent1 2 20 2 2" xfId="52041"/>
    <cellStyle name="20% - Accent1 2 20 3" xfId="34994"/>
    <cellStyle name="20% - Accent1 2 21" xfId="14522"/>
    <cellStyle name="20% - Accent1 2 21 2" xfId="43383"/>
    <cellStyle name="20% - Accent1 2 22" xfId="28953"/>
    <cellStyle name="20% - Accent1 2 3" xfId="143"/>
    <cellStyle name="20% - Accent1 2 3 10" xfId="1791"/>
    <cellStyle name="20% - Accent1 2 3 10 2" xfId="4678"/>
    <cellStyle name="20% - Accent1 2 3 10 2 2" xfId="10719"/>
    <cellStyle name="20% - Accent1 2 3 10 2 2 2" xfId="27766"/>
    <cellStyle name="20% - Accent1 2 3 10 2 2 2 2" xfId="56627"/>
    <cellStyle name="20% - Accent1 2 3 10 2 2 3" xfId="39580"/>
    <cellStyle name="20% - Accent1 2 3 10 2 3" xfId="21788"/>
    <cellStyle name="20% - Accent1 2 3 10 2 3 2" xfId="50649"/>
    <cellStyle name="20% - Accent1 2 3 10 2 4" xfId="33539"/>
    <cellStyle name="20% - Accent1 2 3 10 3" xfId="7833"/>
    <cellStyle name="20% - Accent1 2 3 10 3 2" xfId="24880"/>
    <cellStyle name="20% - Accent1 2 3 10 3 2 2" xfId="53741"/>
    <cellStyle name="20% - Accent1 2 3 10 3 3" xfId="36694"/>
    <cellStyle name="20% - Accent1 2 3 10 4" xfId="14144"/>
    <cellStyle name="20% - Accent1 2 3 10 4 2" xfId="19108"/>
    <cellStyle name="20% - Accent1 2 3 10 4 2 2" xfId="47969"/>
    <cellStyle name="20% - Accent1 2 3 10 4 3" xfId="43005"/>
    <cellStyle name="20% - Accent1 2 3 10 5" xfId="16428"/>
    <cellStyle name="20% - Accent1 2 3 10 5 2" xfId="45289"/>
    <cellStyle name="20% - Accent1 2 3 10 6" xfId="30653"/>
    <cellStyle name="20% - Accent1 2 3 11" xfId="1997"/>
    <cellStyle name="20% - Accent1 2 3 11 2" xfId="4884"/>
    <cellStyle name="20% - Accent1 2 3 11 2 2" xfId="10925"/>
    <cellStyle name="20% - Accent1 2 3 11 2 2 2" xfId="27972"/>
    <cellStyle name="20% - Accent1 2 3 11 2 2 2 2" xfId="56833"/>
    <cellStyle name="20% - Accent1 2 3 11 2 2 3" xfId="39786"/>
    <cellStyle name="20% - Accent1 2 3 11 2 3" xfId="21994"/>
    <cellStyle name="20% - Accent1 2 3 11 2 3 2" xfId="50855"/>
    <cellStyle name="20% - Accent1 2 3 11 2 4" xfId="33745"/>
    <cellStyle name="20% - Accent1 2 3 11 3" xfId="8039"/>
    <cellStyle name="20% - Accent1 2 3 11 3 2" xfId="25086"/>
    <cellStyle name="20% - Accent1 2 3 11 3 2 2" xfId="53947"/>
    <cellStyle name="20% - Accent1 2 3 11 3 3" xfId="36900"/>
    <cellStyle name="20% - Accent1 2 3 11 4" xfId="12588"/>
    <cellStyle name="20% - Accent1 2 3 11 4 2" xfId="19314"/>
    <cellStyle name="20% - Accent1 2 3 11 4 2 2" xfId="48175"/>
    <cellStyle name="20% - Accent1 2 3 11 4 3" xfId="41449"/>
    <cellStyle name="20% - Accent1 2 3 11 5" xfId="16634"/>
    <cellStyle name="20% - Accent1 2 3 11 5 2" xfId="45495"/>
    <cellStyle name="20% - Accent1 2 3 11 6" xfId="30859"/>
    <cellStyle name="20% - Accent1 2 3 12" xfId="2409"/>
    <cellStyle name="20% - Accent1 2 3 12 2" xfId="5296"/>
    <cellStyle name="20% - Accent1 2 3 12 2 2" xfId="11337"/>
    <cellStyle name="20% - Accent1 2 3 12 2 2 2" xfId="28384"/>
    <cellStyle name="20% - Accent1 2 3 12 2 2 2 2" xfId="57245"/>
    <cellStyle name="20% - Accent1 2 3 12 2 2 3" xfId="40198"/>
    <cellStyle name="20% - Accent1 2 3 12 2 3" xfId="22406"/>
    <cellStyle name="20% - Accent1 2 3 12 2 3 2" xfId="51267"/>
    <cellStyle name="20% - Accent1 2 3 12 2 4" xfId="34157"/>
    <cellStyle name="20% - Accent1 2 3 12 3" xfId="8451"/>
    <cellStyle name="20% - Accent1 2 3 12 3 2" xfId="25498"/>
    <cellStyle name="20% - Accent1 2 3 12 3 2 2" xfId="54359"/>
    <cellStyle name="20% - Accent1 2 3 12 3 3" xfId="37312"/>
    <cellStyle name="20% - Accent1 2 3 12 4" xfId="12132"/>
    <cellStyle name="20% - Accent1 2 3 12 4 2" xfId="19726"/>
    <cellStyle name="20% - Accent1 2 3 12 4 2 2" xfId="48587"/>
    <cellStyle name="20% - Accent1 2 3 12 4 3" xfId="40993"/>
    <cellStyle name="20% - Accent1 2 3 12 5" xfId="17046"/>
    <cellStyle name="20% - Accent1 2 3 12 5 2" xfId="45907"/>
    <cellStyle name="20% - Accent1 2 3 12 6" xfId="31271"/>
    <cellStyle name="20% - Accent1 2 3 13" xfId="2618"/>
    <cellStyle name="20% - Accent1 2 3 13 2" xfId="5504"/>
    <cellStyle name="20% - Accent1 2 3 13 2 2" xfId="11545"/>
    <cellStyle name="20% - Accent1 2 3 13 2 2 2" xfId="28592"/>
    <cellStyle name="20% - Accent1 2 3 13 2 2 2 2" xfId="57453"/>
    <cellStyle name="20% - Accent1 2 3 13 2 2 3" xfId="40406"/>
    <cellStyle name="20% - Accent1 2 3 13 2 3" xfId="22614"/>
    <cellStyle name="20% - Accent1 2 3 13 2 3 2" xfId="51475"/>
    <cellStyle name="20% - Accent1 2 3 13 2 4" xfId="34365"/>
    <cellStyle name="20% - Accent1 2 3 13 3" xfId="8659"/>
    <cellStyle name="20% - Accent1 2 3 13 3 2" xfId="25706"/>
    <cellStyle name="20% - Accent1 2 3 13 3 2 2" xfId="54567"/>
    <cellStyle name="20% - Accent1 2 3 13 3 3" xfId="37520"/>
    <cellStyle name="20% - Accent1 2 3 13 4" xfId="14228"/>
    <cellStyle name="20% - Accent1 2 3 13 4 2" xfId="19934"/>
    <cellStyle name="20% - Accent1 2 3 13 4 2 2" xfId="48795"/>
    <cellStyle name="20% - Accent1 2 3 13 4 3" xfId="43089"/>
    <cellStyle name="20% - Accent1 2 3 13 5" xfId="17254"/>
    <cellStyle name="20% - Accent1 2 3 13 5 2" xfId="46115"/>
    <cellStyle name="20% - Accent1 2 3 13 6" xfId="31479"/>
    <cellStyle name="20% - Accent1 2 3 14" xfId="3030"/>
    <cellStyle name="20% - Accent1 2 3 14 2" xfId="9071"/>
    <cellStyle name="20% - Accent1 2 3 14 2 2" xfId="26118"/>
    <cellStyle name="20% - Accent1 2 3 14 2 2 2" xfId="54979"/>
    <cellStyle name="20% - Accent1 2 3 14 2 3" xfId="37932"/>
    <cellStyle name="20% - Accent1 2 3 14 3" xfId="12623"/>
    <cellStyle name="20% - Accent1 2 3 14 3 2" xfId="20140"/>
    <cellStyle name="20% - Accent1 2 3 14 3 2 2" xfId="49001"/>
    <cellStyle name="20% - Accent1 2 3 14 3 3" xfId="41484"/>
    <cellStyle name="20% - Accent1 2 3 14 4" xfId="14780"/>
    <cellStyle name="20% - Accent1 2 3 14 4 2" xfId="43641"/>
    <cellStyle name="20% - Accent1 2 3 14 5" xfId="31891"/>
    <cellStyle name="20% - Accent1 2 3 15" xfId="2824"/>
    <cellStyle name="20% - Accent1 2 3 15 2" xfId="8865"/>
    <cellStyle name="20% - Accent1 2 3 15 2 2" xfId="25912"/>
    <cellStyle name="20% - Accent1 2 3 15 2 2 2" xfId="54773"/>
    <cellStyle name="20% - Accent1 2 3 15 2 3" xfId="37726"/>
    <cellStyle name="20% - Accent1 2 3 15 3" xfId="17460"/>
    <cellStyle name="20% - Accent1 2 3 15 3 2" xfId="46321"/>
    <cellStyle name="20% - Accent1 2 3 15 4" xfId="31685"/>
    <cellStyle name="20% - Accent1 2 3 16" xfId="5710"/>
    <cellStyle name="20% - Accent1 2 3 16 2" xfId="11751"/>
    <cellStyle name="20% - Accent1 2 3 16 2 2" xfId="28798"/>
    <cellStyle name="20% - Accent1 2 3 16 2 2 2" xfId="57659"/>
    <cellStyle name="20% - Accent1 2 3 16 2 3" xfId="40612"/>
    <cellStyle name="20% - Accent1 2 3 16 3" xfId="22820"/>
    <cellStyle name="20% - Accent1 2 3 16 3 2" xfId="51681"/>
    <cellStyle name="20% - Accent1 2 3 16 4" xfId="34571"/>
    <cellStyle name="20% - Accent1 2 3 17" xfId="5927"/>
    <cellStyle name="20% - Accent1 2 3 17 2" xfId="23026"/>
    <cellStyle name="20% - Accent1 2 3 17 2 2" xfId="51887"/>
    <cellStyle name="20% - Accent1 2 3 17 3" xfId="34788"/>
    <cellStyle name="20% - Accent1 2 3 18" xfId="6185"/>
    <cellStyle name="20% - Accent1 2 3 18 2" xfId="23232"/>
    <cellStyle name="20% - Accent1 2 3 18 2 2" xfId="52093"/>
    <cellStyle name="20% - Accent1 2 3 18 3" xfId="35046"/>
    <cellStyle name="20% - Accent1 2 3 19" xfId="14574"/>
    <cellStyle name="20% - Accent1 2 3 19 2" xfId="43435"/>
    <cellStyle name="20% - Accent1 2 3 2" xfId="349"/>
    <cellStyle name="20% - Accent1 2 3 2 10" xfId="2512"/>
    <cellStyle name="20% - Accent1 2 3 2 10 2" xfId="5399"/>
    <cellStyle name="20% - Accent1 2 3 2 10 2 2" xfId="11440"/>
    <cellStyle name="20% - Accent1 2 3 2 10 2 2 2" xfId="28487"/>
    <cellStyle name="20% - Accent1 2 3 2 10 2 2 2 2" xfId="57348"/>
    <cellStyle name="20% - Accent1 2 3 2 10 2 2 3" xfId="40301"/>
    <cellStyle name="20% - Accent1 2 3 2 10 2 3" xfId="22509"/>
    <cellStyle name="20% - Accent1 2 3 2 10 2 3 2" xfId="51370"/>
    <cellStyle name="20% - Accent1 2 3 2 10 2 4" xfId="34260"/>
    <cellStyle name="20% - Accent1 2 3 2 10 3" xfId="8554"/>
    <cellStyle name="20% - Accent1 2 3 2 10 3 2" xfId="25601"/>
    <cellStyle name="20% - Accent1 2 3 2 10 3 2 2" xfId="54462"/>
    <cellStyle name="20% - Accent1 2 3 2 10 3 3" xfId="37415"/>
    <cellStyle name="20% - Accent1 2 3 2 10 4" xfId="13281"/>
    <cellStyle name="20% - Accent1 2 3 2 10 4 2" xfId="19829"/>
    <cellStyle name="20% - Accent1 2 3 2 10 4 2 2" xfId="48690"/>
    <cellStyle name="20% - Accent1 2 3 2 10 4 3" xfId="42142"/>
    <cellStyle name="20% - Accent1 2 3 2 10 5" xfId="17149"/>
    <cellStyle name="20% - Accent1 2 3 2 10 5 2" xfId="46010"/>
    <cellStyle name="20% - Accent1 2 3 2 10 6" xfId="31374"/>
    <cellStyle name="20% - Accent1 2 3 2 11" xfId="2721"/>
    <cellStyle name="20% - Accent1 2 3 2 11 2" xfId="5607"/>
    <cellStyle name="20% - Accent1 2 3 2 11 2 2" xfId="11648"/>
    <cellStyle name="20% - Accent1 2 3 2 11 2 2 2" xfId="28695"/>
    <cellStyle name="20% - Accent1 2 3 2 11 2 2 2 2" xfId="57556"/>
    <cellStyle name="20% - Accent1 2 3 2 11 2 2 3" xfId="40509"/>
    <cellStyle name="20% - Accent1 2 3 2 11 2 3" xfId="22717"/>
    <cellStyle name="20% - Accent1 2 3 2 11 2 3 2" xfId="51578"/>
    <cellStyle name="20% - Accent1 2 3 2 11 2 4" xfId="34468"/>
    <cellStyle name="20% - Accent1 2 3 2 11 3" xfId="8762"/>
    <cellStyle name="20% - Accent1 2 3 2 11 3 2" xfId="25809"/>
    <cellStyle name="20% - Accent1 2 3 2 11 3 2 2" xfId="54670"/>
    <cellStyle name="20% - Accent1 2 3 2 11 3 3" xfId="37623"/>
    <cellStyle name="20% - Accent1 2 3 2 11 4" xfId="12972"/>
    <cellStyle name="20% - Accent1 2 3 2 11 4 2" xfId="20037"/>
    <cellStyle name="20% - Accent1 2 3 2 11 4 2 2" xfId="48898"/>
    <cellStyle name="20% - Accent1 2 3 2 11 4 3" xfId="41833"/>
    <cellStyle name="20% - Accent1 2 3 2 11 5" xfId="17357"/>
    <cellStyle name="20% - Accent1 2 3 2 11 5 2" xfId="46218"/>
    <cellStyle name="20% - Accent1 2 3 2 11 6" xfId="31582"/>
    <cellStyle name="20% - Accent1 2 3 2 12" xfId="3236"/>
    <cellStyle name="20% - Accent1 2 3 2 12 2" xfId="9277"/>
    <cellStyle name="20% - Accent1 2 3 2 12 2 2" xfId="26324"/>
    <cellStyle name="20% - Accent1 2 3 2 12 2 2 2" xfId="55185"/>
    <cellStyle name="20% - Accent1 2 3 2 12 2 3" xfId="38138"/>
    <cellStyle name="20% - Accent1 2 3 2 12 3" xfId="14074"/>
    <cellStyle name="20% - Accent1 2 3 2 12 3 2" xfId="20346"/>
    <cellStyle name="20% - Accent1 2 3 2 12 3 2 2" xfId="49207"/>
    <cellStyle name="20% - Accent1 2 3 2 12 3 3" xfId="42935"/>
    <cellStyle name="20% - Accent1 2 3 2 12 4" xfId="14986"/>
    <cellStyle name="20% - Accent1 2 3 2 12 4 2" xfId="43847"/>
    <cellStyle name="20% - Accent1 2 3 2 12 5" xfId="32097"/>
    <cellStyle name="20% - Accent1 2 3 2 13" xfId="2927"/>
    <cellStyle name="20% - Accent1 2 3 2 13 2" xfId="8968"/>
    <cellStyle name="20% - Accent1 2 3 2 13 2 2" xfId="26015"/>
    <cellStyle name="20% - Accent1 2 3 2 13 2 2 2" xfId="54876"/>
    <cellStyle name="20% - Accent1 2 3 2 13 2 3" xfId="37829"/>
    <cellStyle name="20% - Accent1 2 3 2 13 3" xfId="17563"/>
    <cellStyle name="20% - Accent1 2 3 2 13 3 2" xfId="46424"/>
    <cellStyle name="20% - Accent1 2 3 2 13 4" xfId="31788"/>
    <cellStyle name="20% - Accent1 2 3 2 14" xfId="5813"/>
    <cellStyle name="20% - Accent1 2 3 2 14 2" xfId="11854"/>
    <cellStyle name="20% - Accent1 2 3 2 14 2 2" xfId="28901"/>
    <cellStyle name="20% - Accent1 2 3 2 14 2 2 2" xfId="57762"/>
    <cellStyle name="20% - Accent1 2 3 2 14 2 3" xfId="40715"/>
    <cellStyle name="20% - Accent1 2 3 2 14 3" xfId="22923"/>
    <cellStyle name="20% - Accent1 2 3 2 14 3 2" xfId="51784"/>
    <cellStyle name="20% - Accent1 2 3 2 14 4" xfId="34674"/>
    <cellStyle name="20% - Accent1 2 3 2 15" xfId="6030"/>
    <cellStyle name="20% - Accent1 2 3 2 15 2" xfId="23129"/>
    <cellStyle name="20% - Accent1 2 3 2 15 2 2" xfId="51990"/>
    <cellStyle name="20% - Accent1 2 3 2 15 3" xfId="34891"/>
    <cellStyle name="20% - Accent1 2 3 2 16" xfId="6391"/>
    <cellStyle name="20% - Accent1 2 3 2 16 2" xfId="23438"/>
    <cellStyle name="20% - Accent1 2 3 2 16 2 2" xfId="52299"/>
    <cellStyle name="20% - Accent1 2 3 2 16 3" xfId="35252"/>
    <cellStyle name="20% - Accent1 2 3 2 17" xfId="14677"/>
    <cellStyle name="20% - Accent1 2 3 2 17 2" xfId="43538"/>
    <cellStyle name="20% - Accent1 2 3 2 18" xfId="29211"/>
    <cellStyle name="20% - Accent1 2 3 2 2" xfId="555"/>
    <cellStyle name="20% - Accent1 2 3 2 2 2" xfId="2306"/>
    <cellStyle name="20% - Accent1 2 3 2 2 2 2" xfId="5193"/>
    <cellStyle name="20% - Accent1 2 3 2 2 2 2 2" xfId="11234"/>
    <cellStyle name="20% - Accent1 2 3 2 2 2 2 2 2" xfId="28281"/>
    <cellStyle name="20% - Accent1 2 3 2 2 2 2 2 2 2" xfId="57142"/>
    <cellStyle name="20% - Accent1 2 3 2 2 2 2 2 3" xfId="40095"/>
    <cellStyle name="20% - Accent1 2 3 2 2 2 2 3" xfId="22303"/>
    <cellStyle name="20% - Accent1 2 3 2 2 2 2 3 2" xfId="51164"/>
    <cellStyle name="20% - Accent1 2 3 2 2 2 2 4" xfId="34054"/>
    <cellStyle name="20% - Accent1 2 3 2 2 2 3" xfId="8348"/>
    <cellStyle name="20% - Accent1 2 3 2 2 2 3 2" xfId="25395"/>
    <cellStyle name="20% - Accent1 2 3 2 2 2 3 2 2" xfId="54256"/>
    <cellStyle name="20% - Accent1 2 3 2 2 2 3 3" xfId="37209"/>
    <cellStyle name="20% - Accent1 2 3 2 2 2 4" xfId="14427"/>
    <cellStyle name="20% - Accent1 2 3 2 2 2 4 2" xfId="19623"/>
    <cellStyle name="20% - Accent1 2 3 2 2 2 4 2 2" xfId="48484"/>
    <cellStyle name="20% - Accent1 2 3 2 2 2 4 3" xfId="43288"/>
    <cellStyle name="20% - Accent1 2 3 2 2 2 5" xfId="16943"/>
    <cellStyle name="20% - Accent1 2 3 2 2 2 5 2" xfId="45804"/>
    <cellStyle name="20% - Accent1 2 3 2 2 2 6" xfId="31168"/>
    <cellStyle name="20% - Accent1 2 3 2 2 3" xfId="3442"/>
    <cellStyle name="20% - Accent1 2 3 2 2 3 2" xfId="9483"/>
    <cellStyle name="20% - Accent1 2 3 2 2 3 2 2" xfId="26530"/>
    <cellStyle name="20% - Accent1 2 3 2 2 3 2 2 2" xfId="55391"/>
    <cellStyle name="20% - Accent1 2 3 2 2 3 2 3" xfId="38344"/>
    <cellStyle name="20% - Accent1 2 3 2 2 3 3" xfId="20552"/>
    <cellStyle name="20% - Accent1 2 3 2 2 3 3 2" xfId="49413"/>
    <cellStyle name="20% - Accent1 2 3 2 2 3 4" xfId="32303"/>
    <cellStyle name="20% - Accent1 2 3 2 2 4" xfId="6597"/>
    <cellStyle name="20% - Accent1 2 3 2 2 4 2" xfId="23644"/>
    <cellStyle name="20% - Accent1 2 3 2 2 4 2 2" xfId="52505"/>
    <cellStyle name="20% - Accent1 2 3 2 2 4 3" xfId="35458"/>
    <cellStyle name="20% - Accent1 2 3 2 2 5" xfId="14202"/>
    <cellStyle name="20% - Accent1 2 3 2 2 5 2" xfId="17872"/>
    <cellStyle name="20% - Accent1 2 3 2 2 5 2 2" xfId="46733"/>
    <cellStyle name="20% - Accent1 2 3 2 2 5 3" xfId="43063"/>
    <cellStyle name="20% - Accent1 2 3 2 2 6" xfId="15192"/>
    <cellStyle name="20% - Accent1 2 3 2 2 6 2" xfId="44053"/>
    <cellStyle name="20% - Accent1 2 3 2 2 7" xfId="29417"/>
    <cellStyle name="20% - Accent1 2 3 2 3" xfId="864"/>
    <cellStyle name="20% - Accent1 2 3 2 3 2" xfId="3751"/>
    <cellStyle name="20% - Accent1 2 3 2 3 2 2" xfId="9792"/>
    <cellStyle name="20% - Accent1 2 3 2 3 2 2 2" xfId="26839"/>
    <cellStyle name="20% - Accent1 2 3 2 3 2 2 2 2" xfId="55700"/>
    <cellStyle name="20% - Accent1 2 3 2 3 2 2 3" xfId="38653"/>
    <cellStyle name="20% - Accent1 2 3 2 3 2 3" xfId="20861"/>
    <cellStyle name="20% - Accent1 2 3 2 3 2 3 2" xfId="49722"/>
    <cellStyle name="20% - Accent1 2 3 2 3 2 4" xfId="32612"/>
    <cellStyle name="20% - Accent1 2 3 2 3 3" xfId="6906"/>
    <cellStyle name="20% - Accent1 2 3 2 3 3 2" xfId="23953"/>
    <cellStyle name="20% - Accent1 2 3 2 3 3 2 2" xfId="52814"/>
    <cellStyle name="20% - Accent1 2 3 2 3 3 3" xfId="35767"/>
    <cellStyle name="20% - Accent1 2 3 2 3 4" xfId="13182"/>
    <cellStyle name="20% - Accent1 2 3 2 3 4 2" xfId="18181"/>
    <cellStyle name="20% - Accent1 2 3 2 3 4 2 2" xfId="47042"/>
    <cellStyle name="20% - Accent1 2 3 2 3 4 3" xfId="42043"/>
    <cellStyle name="20% - Accent1 2 3 2 3 5" xfId="15501"/>
    <cellStyle name="20% - Accent1 2 3 2 3 5 2" xfId="44362"/>
    <cellStyle name="20% - Accent1 2 3 2 3 6" xfId="29726"/>
    <cellStyle name="20% - Accent1 2 3 2 4" xfId="1070"/>
    <cellStyle name="20% - Accent1 2 3 2 4 2" xfId="3957"/>
    <cellStyle name="20% - Accent1 2 3 2 4 2 2" xfId="9998"/>
    <cellStyle name="20% - Accent1 2 3 2 4 2 2 2" xfId="27045"/>
    <cellStyle name="20% - Accent1 2 3 2 4 2 2 2 2" xfId="55906"/>
    <cellStyle name="20% - Accent1 2 3 2 4 2 2 3" xfId="38859"/>
    <cellStyle name="20% - Accent1 2 3 2 4 2 3" xfId="21067"/>
    <cellStyle name="20% - Accent1 2 3 2 4 2 3 2" xfId="49928"/>
    <cellStyle name="20% - Accent1 2 3 2 4 2 4" xfId="32818"/>
    <cellStyle name="20% - Accent1 2 3 2 4 3" xfId="7112"/>
    <cellStyle name="20% - Accent1 2 3 2 4 3 2" xfId="24159"/>
    <cellStyle name="20% - Accent1 2 3 2 4 3 2 2" xfId="53020"/>
    <cellStyle name="20% - Accent1 2 3 2 4 3 3" xfId="35973"/>
    <cellStyle name="20% - Accent1 2 3 2 4 4" xfId="13080"/>
    <cellStyle name="20% - Accent1 2 3 2 4 4 2" xfId="18387"/>
    <cellStyle name="20% - Accent1 2 3 2 4 4 2 2" xfId="47248"/>
    <cellStyle name="20% - Accent1 2 3 2 4 4 3" xfId="41941"/>
    <cellStyle name="20% - Accent1 2 3 2 4 5" xfId="15707"/>
    <cellStyle name="20% - Accent1 2 3 2 4 5 2" xfId="44568"/>
    <cellStyle name="20% - Accent1 2 3 2 4 6" xfId="29932"/>
    <cellStyle name="20% - Accent1 2 3 2 5" xfId="1276"/>
    <cellStyle name="20% - Accent1 2 3 2 5 2" xfId="4163"/>
    <cellStyle name="20% - Accent1 2 3 2 5 2 2" xfId="10204"/>
    <cellStyle name="20% - Accent1 2 3 2 5 2 2 2" xfId="27251"/>
    <cellStyle name="20% - Accent1 2 3 2 5 2 2 2 2" xfId="56112"/>
    <cellStyle name="20% - Accent1 2 3 2 5 2 2 3" xfId="39065"/>
    <cellStyle name="20% - Accent1 2 3 2 5 2 3" xfId="21273"/>
    <cellStyle name="20% - Accent1 2 3 2 5 2 3 2" xfId="50134"/>
    <cellStyle name="20% - Accent1 2 3 2 5 2 4" xfId="33024"/>
    <cellStyle name="20% - Accent1 2 3 2 5 3" xfId="7318"/>
    <cellStyle name="20% - Accent1 2 3 2 5 3 2" xfId="24365"/>
    <cellStyle name="20% - Accent1 2 3 2 5 3 2 2" xfId="53226"/>
    <cellStyle name="20% - Accent1 2 3 2 5 3 3" xfId="36179"/>
    <cellStyle name="20% - Accent1 2 3 2 5 4" xfId="13264"/>
    <cellStyle name="20% - Accent1 2 3 2 5 4 2" xfId="18593"/>
    <cellStyle name="20% - Accent1 2 3 2 5 4 2 2" xfId="47454"/>
    <cellStyle name="20% - Accent1 2 3 2 5 4 3" xfId="42125"/>
    <cellStyle name="20% - Accent1 2 3 2 5 5" xfId="15913"/>
    <cellStyle name="20% - Accent1 2 3 2 5 5 2" xfId="44774"/>
    <cellStyle name="20% - Accent1 2 3 2 5 6" xfId="30138"/>
    <cellStyle name="20% - Accent1 2 3 2 6" xfId="1482"/>
    <cellStyle name="20% - Accent1 2 3 2 6 2" xfId="4369"/>
    <cellStyle name="20% - Accent1 2 3 2 6 2 2" xfId="10410"/>
    <cellStyle name="20% - Accent1 2 3 2 6 2 2 2" xfId="27457"/>
    <cellStyle name="20% - Accent1 2 3 2 6 2 2 2 2" xfId="56318"/>
    <cellStyle name="20% - Accent1 2 3 2 6 2 2 3" xfId="39271"/>
    <cellStyle name="20% - Accent1 2 3 2 6 2 3" xfId="21479"/>
    <cellStyle name="20% - Accent1 2 3 2 6 2 3 2" xfId="50340"/>
    <cellStyle name="20% - Accent1 2 3 2 6 2 4" xfId="33230"/>
    <cellStyle name="20% - Accent1 2 3 2 6 3" xfId="7524"/>
    <cellStyle name="20% - Accent1 2 3 2 6 3 2" xfId="24571"/>
    <cellStyle name="20% - Accent1 2 3 2 6 3 2 2" xfId="53432"/>
    <cellStyle name="20% - Accent1 2 3 2 6 3 3" xfId="36385"/>
    <cellStyle name="20% - Accent1 2 3 2 6 4" xfId="13619"/>
    <cellStyle name="20% - Accent1 2 3 2 6 4 2" xfId="18799"/>
    <cellStyle name="20% - Accent1 2 3 2 6 4 2 2" xfId="47660"/>
    <cellStyle name="20% - Accent1 2 3 2 6 4 3" xfId="42480"/>
    <cellStyle name="20% - Accent1 2 3 2 6 5" xfId="16119"/>
    <cellStyle name="20% - Accent1 2 3 2 6 5 2" xfId="44980"/>
    <cellStyle name="20% - Accent1 2 3 2 6 6" xfId="30344"/>
    <cellStyle name="20% - Accent1 2 3 2 7" xfId="1688"/>
    <cellStyle name="20% - Accent1 2 3 2 7 2" xfId="4575"/>
    <cellStyle name="20% - Accent1 2 3 2 7 2 2" xfId="10616"/>
    <cellStyle name="20% - Accent1 2 3 2 7 2 2 2" xfId="27663"/>
    <cellStyle name="20% - Accent1 2 3 2 7 2 2 2 2" xfId="56524"/>
    <cellStyle name="20% - Accent1 2 3 2 7 2 2 3" xfId="39477"/>
    <cellStyle name="20% - Accent1 2 3 2 7 2 3" xfId="21685"/>
    <cellStyle name="20% - Accent1 2 3 2 7 2 3 2" xfId="50546"/>
    <cellStyle name="20% - Accent1 2 3 2 7 2 4" xfId="33436"/>
    <cellStyle name="20% - Accent1 2 3 2 7 3" xfId="7730"/>
    <cellStyle name="20% - Accent1 2 3 2 7 3 2" xfId="24777"/>
    <cellStyle name="20% - Accent1 2 3 2 7 3 2 2" xfId="53638"/>
    <cellStyle name="20% - Accent1 2 3 2 7 3 3" xfId="36591"/>
    <cellStyle name="20% - Accent1 2 3 2 7 4" xfId="13597"/>
    <cellStyle name="20% - Accent1 2 3 2 7 4 2" xfId="19005"/>
    <cellStyle name="20% - Accent1 2 3 2 7 4 2 2" xfId="47866"/>
    <cellStyle name="20% - Accent1 2 3 2 7 4 3" xfId="42458"/>
    <cellStyle name="20% - Accent1 2 3 2 7 5" xfId="16325"/>
    <cellStyle name="20% - Accent1 2 3 2 7 5 2" xfId="45186"/>
    <cellStyle name="20% - Accent1 2 3 2 7 6" xfId="30550"/>
    <cellStyle name="20% - Accent1 2 3 2 8" xfId="1894"/>
    <cellStyle name="20% - Accent1 2 3 2 8 2" xfId="4781"/>
    <cellStyle name="20% - Accent1 2 3 2 8 2 2" xfId="10822"/>
    <cellStyle name="20% - Accent1 2 3 2 8 2 2 2" xfId="27869"/>
    <cellStyle name="20% - Accent1 2 3 2 8 2 2 2 2" xfId="56730"/>
    <cellStyle name="20% - Accent1 2 3 2 8 2 2 3" xfId="39683"/>
    <cellStyle name="20% - Accent1 2 3 2 8 2 3" xfId="21891"/>
    <cellStyle name="20% - Accent1 2 3 2 8 2 3 2" xfId="50752"/>
    <cellStyle name="20% - Accent1 2 3 2 8 2 4" xfId="33642"/>
    <cellStyle name="20% - Accent1 2 3 2 8 3" xfId="7936"/>
    <cellStyle name="20% - Accent1 2 3 2 8 3 2" xfId="24983"/>
    <cellStyle name="20% - Accent1 2 3 2 8 3 2 2" xfId="53844"/>
    <cellStyle name="20% - Accent1 2 3 2 8 3 3" xfId="36797"/>
    <cellStyle name="20% - Accent1 2 3 2 8 4" xfId="12929"/>
    <cellStyle name="20% - Accent1 2 3 2 8 4 2" xfId="19211"/>
    <cellStyle name="20% - Accent1 2 3 2 8 4 2 2" xfId="48072"/>
    <cellStyle name="20% - Accent1 2 3 2 8 4 3" xfId="41790"/>
    <cellStyle name="20% - Accent1 2 3 2 8 5" xfId="16531"/>
    <cellStyle name="20% - Accent1 2 3 2 8 5 2" xfId="45392"/>
    <cellStyle name="20% - Accent1 2 3 2 8 6" xfId="30756"/>
    <cellStyle name="20% - Accent1 2 3 2 9" xfId="2100"/>
    <cellStyle name="20% - Accent1 2 3 2 9 2" xfId="4987"/>
    <cellStyle name="20% - Accent1 2 3 2 9 2 2" xfId="11028"/>
    <cellStyle name="20% - Accent1 2 3 2 9 2 2 2" xfId="28075"/>
    <cellStyle name="20% - Accent1 2 3 2 9 2 2 2 2" xfId="56936"/>
    <cellStyle name="20% - Accent1 2 3 2 9 2 2 3" xfId="39889"/>
    <cellStyle name="20% - Accent1 2 3 2 9 2 3" xfId="22097"/>
    <cellStyle name="20% - Accent1 2 3 2 9 2 3 2" xfId="50958"/>
    <cellStyle name="20% - Accent1 2 3 2 9 2 4" xfId="33848"/>
    <cellStyle name="20% - Accent1 2 3 2 9 3" xfId="8142"/>
    <cellStyle name="20% - Accent1 2 3 2 9 3 2" xfId="25189"/>
    <cellStyle name="20% - Accent1 2 3 2 9 3 2 2" xfId="54050"/>
    <cellStyle name="20% - Accent1 2 3 2 9 3 3" xfId="37003"/>
    <cellStyle name="20% - Accent1 2 3 2 9 4" xfId="13047"/>
    <cellStyle name="20% - Accent1 2 3 2 9 4 2" xfId="19417"/>
    <cellStyle name="20% - Accent1 2 3 2 9 4 2 2" xfId="48278"/>
    <cellStyle name="20% - Accent1 2 3 2 9 4 3" xfId="41908"/>
    <cellStyle name="20% - Accent1 2 3 2 9 5" xfId="16737"/>
    <cellStyle name="20% - Accent1 2 3 2 9 5 2" xfId="45598"/>
    <cellStyle name="20% - Accent1 2 3 2 9 6" xfId="30962"/>
    <cellStyle name="20% - Accent1 2 3 20" xfId="29005"/>
    <cellStyle name="20% - Accent1 2 3 3" xfId="246"/>
    <cellStyle name="20% - Accent1 2 3 3 2" xfId="658"/>
    <cellStyle name="20% - Accent1 2 3 3 2 2" xfId="3545"/>
    <cellStyle name="20% - Accent1 2 3 3 2 2 2" xfId="9586"/>
    <cellStyle name="20% - Accent1 2 3 3 2 2 2 2" xfId="26633"/>
    <cellStyle name="20% - Accent1 2 3 3 2 2 2 2 2" xfId="55494"/>
    <cellStyle name="20% - Accent1 2 3 3 2 2 2 3" xfId="38447"/>
    <cellStyle name="20% - Accent1 2 3 3 2 2 3" xfId="20655"/>
    <cellStyle name="20% - Accent1 2 3 3 2 2 3 2" xfId="49516"/>
    <cellStyle name="20% - Accent1 2 3 3 2 2 4" xfId="32406"/>
    <cellStyle name="20% - Accent1 2 3 3 2 3" xfId="6700"/>
    <cellStyle name="20% - Accent1 2 3 3 2 3 2" xfId="23747"/>
    <cellStyle name="20% - Accent1 2 3 3 2 3 2 2" xfId="52608"/>
    <cellStyle name="20% - Accent1 2 3 3 2 3 3" xfId="35561"/>
    <cellStyle name="20% - Accent1 2 3 3 2 4" xfId="13817"/>
    <cellStyle name="20% - Accent1 2 3 3 2 4 2" xfId="17975"/>
    <cellStyle name="20% - Accent1 2 3 3 2 4 2 2" xfId="46836"/>
    <cellStyle name="20% - Accent1 2 3 3 2 4 3" xfId="42678"/>
    <cellStyle name="20% - Accent1 2 3 3 2 5" xfId="15295"/>
    <cellStyle name="20% - Accent1 2 3 3 2 5 2" xfId="44156"/>
    <cellStyle name="20% - Accent1 2 3 3 2 6" xfId="29520"/>
    <cellStyle name="20% - Accent1 2 3 3 3" xfId="2203"/>
    <cellStyle name="20% - Accent1 2 3 3 3 2" xfId="5090"/>
    <cellStyle name="20% - Accent1 2 3 3 3 2 2" xfId="11131"/>
    <cellStyle name="20% - Accent1 2 3 3 3 2 2 2" xfId="28178"/>
    <cellStyle name="20% - Accent1 2 3 3 3 2 2 2 2" xfId="57039"/>
    <cellStyle name="20% - Accent1 2 3 3 3 2 2 3" xfId="39992"/>
    <cellStyle name="20% - Accent1 2 3 3 3 2 3" xfId="22200"/>
    <cellStyle name="20% - Accent1 2 3 3 3 2 3 2" xfId="51061"/>
    <cellStyle name="20% - Accent1 2 3 3 3 2 4" xfId="33951"/>
    <cellStyle name="20% - Accent1 2 3 3 3 3" xfId="8245"/>
    <cellStyle name="20% - Accent1 2 3 3 3 3 2" xfId="25292"/>
    <cellStyle name="20% - Accent1 2 3 3 3 3 2 2" xfId="54153"/>
    <cellStyle name="20% - Accent1 2 3 3 3 3 3" xfId="37106"/>
    <cellStyle name="20% - Accent1 2 3 3 3 4" xfId="12550"/>
    <cellStyle name="20% - Accent1 2 3 3 3 4 2" xfId="19520"/>
    <cellStyle name="20% - Accent1 2 3 3 3 4 2 2" xfId="48381"/>
    <cellStyle name="20% - Accent1 2 3 3 3 4 3" xfId="41411"/>
    <cellStyle name="20% - Accent1 2 3 3 3 5" xfId="16840"/>
    <cellStyle name="20% - Accent1 2 3 3 3 5 2" xfId="45701"/>
    <cellStyle name="20% - Accent1 2 3 3 3 6" xfId="31065"/>
    <cellStyle name="20% - Accent1 2 3 3 4" xfId="3133"/>
    <cellStyle name="20% - Accent1 2 3 3 4 2" xfId="9174"/>
    <cellStyle name="20% - Accent1 2 3 3 4 2 2" xfId="26221"/>
    <cellStyle name="20% - Accent1 2 3 3 4 2 2 2" xfId="55082"/>
    <cellStyle name="20% - Accent1 2 3 3 4 2 3" xfId="38035"/>
    <cellStyle name="20% - Accent1 2 3 3 4 3" xfId="20243"/>
    <cellStyle name="20% - Accent1 2 3 3 4 3 2" xfId="49104"/>
    <cellStyle name="20% - Accent1 2 3 3 4 4" xfId="31994"/>
    <cellStyle name="20% - Accent1 2 3 3 5" xfId="6288"/>
    <cellStyle name="20% - Accent1 2 3 3 5 2" xfId="23335"/>
    <cellStyle name="20% - Accent1 2 3 3 5 2 2" xfId="52196"/>
    <cellStyle name="20% - Accent1 2 3 3 5 3" xfId="35149"/>
    <cellStyle name="20% - Accent1 2 3 3 6" xfId="13358"/>
    <cellStyle name="20% - Accent1 2 3 3 6 2" xfId="17666"/>
    <cellStyle name="20% - Accent1 2 3 3 6 2 2" xfId="46527"/>
    <cellStyle name="20% - Accent1 2 3 3 6 3" xfId="42219"/>
    <cellStyle name="20% - Accent1 2 3 3 7" xfId="14883"/>
    <cellStyle name="20% - Accent1 2 3 3 7 2" xfId="43744"/>
    <cellStyle name="20% - Accent1 2 3 3 8" xfId="29108"/>
    <cellStyle name="20% - Accent1 2 3 4" xfId="452"/>
    <cellStyle name="20% - Accent1 2 3 4 2" xfId="3339"/>
    <cellStyle name="20% - Accent1 2 3 4 2 2" xfId="9380"/>
    <cellStyle name="20% - Accent1 2 3 4 2 2 2" xfId="26427"/>
    <cellStyle name="20% - Accent1 2 3 4 2 2 2 2" xfId="55288"/>
    <cellStyle name="20% - Accent1 2 3 4 2 2 3" xfId="38241"/>
    <cellStyle name="20% - Accent1 2 3 4 2 3" xfId="20449"/>
    <cellStyle name="20% - Accent1 2 3 4 2 3 2" xfId="49310"/>
    <cellStyle name="20% - Accent1 2 3 4 2 4" xfId="32200"/>
    <cellStyle name="20% - Accent1 2 3 4 3" xfId="6494"/>
    <cellStyle name="20% - Accent1 2 3 4 3 2" xfId="23541"/>
    <cellStyle name="20% - Accent1 2 3 4 3 2 2" xfId="52402"/>
    <cellStyle name="20% - Accent1 2 3 4 3 3" xfId="35355"/>
    <cellStyle name="20% - Accent1 2 3 4 4" xfId="13321"/>
    <cellStyle name="20% - Accent1 2 3 4 4 2" xfId="17769"/>
    <cellStyle name="20% - Accent1 2 3 4 4 2 2" xfId="46630"/>
    <cellStyle name="20% - Accent1 2 3 4 4 3" xfId="42182"/>
    <cellStyle name="20% - Accent1 2 3 4 5" xfId="15089"/>
    <cellStyle name="20% - Accent1 2 3 4 5 2" xfId="43950"/>
    <cellStyle name="20% - Accent1 2 3 4 6" xfId="29314"/>
    <cellStyle name="20% - Accent1 2 3 5" xfId="761"/>
    <cellStyle name="20% - Accent1 2 3 5 2" xfId="3648"/>
    <cellStyle name="20% - Accent1 2 3 5 2 2" xfId="9689"/>
    <cellStyle name="20% - Accent1 2 3 5 2 2 2" xfId="26736"/>
    <cellStyle name="20% - Accent1 2 3 5 2 2 2 2" xfId="55597"/>
    <cellStyle name="20% - Accent1 2 3 5 2 2 3" xfId="38550"/>
    <cellStyle name="20% - Accent1 2 3 5 2 3" xfId="20758"/>
    <cellStyle name="20% - Accent1 2 3 5 2 3 2" xfId="49619"/>
    <cellStyle name="20% - Accent1 2 3 5 2 4" xfId="32509"/>
    <cellStyle name="20% - Accent1 2 3 5 3" xfId="6803"/>
    <cellStyle name="20% - Accent1 2 3 5 3 2" xfId="23850"/>
    <cellStyle name="20% - Accent1 2 3 5 3 2 2" xfId="52711"/>
    <cellStyle name="20% - Accent1 2 3 5 3 3" xfId="35664"/>
    <cellStyle name="20% - Accent1 2 3 5 4" xfId="13036"/>
    <cellStyle name="20% - Accent1 2 3 5 4 2" xfId="18078"/>
    <cellStyle name="20% - Accent1 2 3 5 4 2 2" xfId="46939"/>
    <cellStyle name="20% - Accent1 2 3 5 4 3" xfId="41897"/>
    <cellStyle name="20% - Accent1 2 3 5 5" xfId="15398"/>
    <cellStyle name="20% - Accent1 2 3 5 5 2" xfId="44259"/>
    <cellStyle name="20% - Accent1 2 3 5 6" xfId="29623"/>
    <cellStyle name="20% - Accent1 2 3 6" xfId="967"/>
    <cellStyle name="20% - Accent1 2 3 6 2" xfId="3854"/>
    <cellStyle name="20% - Accent1 2 3 6 2 2" xfId="9895"/>
    <cellStyle name="20% - Accent1 2 3 6 2 2 2" xfId="26942"/>
    <cellStyle name="20% - Accent1 2 3 6 2 2 2 2" xfId="55803"/>
    <cellStyle name="20% - Accent1 2 3 6 2 2 3" xfId="38756"/>
    <cellStyle name="20% - Accent1 2 3 6 2 3" xfId="20964"/>
    <cellStyle name="20% - Accent1 2 3 6 2 3 2" xfId="49825"/>
    <cellStyle name="20% - Accent1 2 3 6 2 4" xfId="32715"/>
    <cellStyle name="20% - Accent1 2 3 6 3" xfId="7009"/>
    <cellStyle name="20% - Accent1 2 3 6 3 2" xfId="24056"/>
    <cellStyle name="20% - Accent1 2 3 6 3 2 2" xfId="52917"/>
    <cellStyle name="20% - Accent1 2 3 6 3 3" xfId="35870"/>
    <cellStyle name="20% - Accent1 2 3 6 4" xfId="12883"/>
    <cellStyle name="20% - Accent1 2 3 6 4 2" xfId="18284"/>
    <cellStyle name="20% - Accent1 2 3 6 4 2 2" xfId="47145"/>
    <cellStyle name="20% - Accent1 2 3 6 4 3" xfId="41744"/>
    <cellStyle name="20% - Accent1 2 3 6 5" xfId="15604"/>
    <cellStyle name="20% - Accent1 2 3 6 5 2" xfId="44465"/>
    <cellStyle name="20% - Accent1 2 3 6 6" xfId="29829"/>
    <cellStyle name="20% - Accent1 2 3 7" xfId="1173"/>
    <cellStyle name="20% - Accent1 2 3 7 2" xfId="4060"/>
    <cellStyle name="20% - Accent1 2 3 7 2 2" xfId="10101"/>
    <cellStyle name="20% - Accent1 2 3 7 2 2 2" xfId="27148"/>
    <cellStyle name="20% - Accent1 2 3 7 2 2 2 2" xfId="56009"/>
    <cellStyle name="20% - Accent1 2 3 7 2 2 3" xfId="38962"/>
    <cellStyle name="20% - Accent1 2 3 7 2 3" xfId="21170"/>
    <cellStyle name="20% - Accent1 2 3 7 2 3 2" xfId="50031"/>
    <cellStyle name="20% - Accent1 2 3 7 2 4" xfId="32921"/>
    <cellStyle name="20% - Accent1 2 3 7 3" xfId="7215"/>
    <cellStyle name="20% - Accent1 2 3 7 3 2" xfId="24262"/>
    <cellStyle name="20% - Accent1 2 3 7 3 2 2" xfId="53123"/>
    <cellStyle name="20% - Accent1 2 3 7 3 3" xfId="36076"/>
    <cellStyle name="20% - Accent1 2 3 7 4" xfId="14488"/>
    <cellStyle name="20% - Accent1 2 3 7 4 2" xfId="18490"/>
    <cellStyle name="20% - Accent1 2 3 7 4 2 2" xfId="47351"/>
    <cellStyle name="20% - Accent1 2 3 7 4 3" xfId="43349"/>
    <cellStyle name="20% - Accent1 2 3 7 5" xfId="15810"/>
    <cellStyle name="20% - Accent1 2 3 7 5 2" xfId="44671"/>
    <cellStyle name="20% - Accent1 2 3 7 6" xfId="30035"/>
    <cellStyle name="20% - Accent1 2 3 8" xfId="1379"/>
    <cellStyle name="20% - Accent1 2 3 8 2" xfId="4266"/>
    <cellStyle name="20% - Accent1 2 3 8 2 2" xfId="10307"/>
    <cellStyle name="20% - Accent1 2 3 8 2 2 2" xfId="27354"/>
    <cellStyle name="20% - Accent1 2 3 8 2 2 2 2" xfId="56215"/>
    <cellStyle name="20% - Accent1 2 3 8 2 2 3" xfId="39168"/>
    <cellStyle name="20% - Accent1 2 3 8 2 3" xfId="21376"/>
    <cellStyle name="20% - Accent1 2 3 8 2 3 2" xfId="50237"/>
    <cellStyle name="20% - Accent1 2 3 8 2 4" xfId="33127"/>
    <cellStyle name="20% - Accent1 2 3 8 3" xfId="7421"/>
    <cellStyle name="20% - Accent1 2 3 8 3 2" xfId="24468"/>
    <cellStyle name="20% - Accent1 2 3 8 3 2 2" xfId="53329"/>
    <cellStyle name="20% - Accent1 2 3 8 3 3" xfId="36282"/>
    <cellStyle name="20% - Accent1 2 3 8 4" xfId="12934"/>
    <cellStyle name="20% - Accent1 2 3 8 4 2" xfId="18696"/>
    <cellStyle name="20% - Accent1 2 3 8 4 2 2" xfId="47557"/>
    <cellStyle name="20% - Accent1 2 3 8 4 3" xfId="41795"/>
    <cellStyle name="20% - Accent1 2 3 8 5" xfId="16016"/>
    <cellStyle name="20% - Accent1 2 3 8 5 2" xfId="44877"/>
    <cellStyle name="20% - Accent1 2 3 8 6" xfId="30241"/>
    <cellStyle name="20% - Accent1 2 3 9" xfId="1585"/>
    <cellStyle name="20% - Accent1 2 3 9 2" xfId="4472"/>
    <cellStyle name="20% - Accent1 2 3 9 2 2" xfId="10513"/>
    <cellStyle name="20% - Accent1 2 3 9 2 2 2" xfId="27560"/>
    <cellStyle name="20% - Accent1 2 3 9 2 2 2 2" xfId="56421"/>
    <cellStyle name="20% - Accent1 2 3 9 2 2 3" xfId="39374"/>
    <cellStyle name="20% - Accent1 2 3 9 2 3" xfId="21582"/>
    <cellStyle name="20% - Accent1 2 3 9 2 3 2" xfId="50443"/>
    <cellStyle name="20% - Accent1 2 3 9 2 4" xfId="33333"/>
    <cellStyle name="20% - Accent1 2 3 9 3" xfId="7627"/>
    <cellStyle name="20% - Accent1 2 3 9 3 2" xfId="24674"/>
    <cellStyle name="20% - Accent1 2 3 9 3 2 2" xfId="53535"/>
    <cellStyle name="20% - Accent1 2 3 9 3 3" xfId="36488"/>
    <cellStyle name="20% - Accent1 2 3 9 4" xfId="14250"/>
    <cellStyle name="20% - Accent1 2 3 9 4 2" xfId="18902"/>
    <cellStyle name="20% - Accent1 2 3 9 4 2 2" xfId="47763"/>
    <cellStyle name="20% - Accent1 2 3 9 4 3" xfId="43111"/>
    <cellStyle name="20% - Accent1 2 3 9 5" xfId="16222"/>
    <cellStyle name="20% - Accent1 2 3 9 5 2" xfId="45083"/>
    <cellStyle name="20% - Accent1 2 3 9 6" xfId="30447"/>
    <cellStyle name="20% - Accent1 2 4" xfId="297"/>
    <cellStyle name="20% - Accent1 2 4 10" xfId="2460"/>
    <cellStyle name="20% - Accent1 2 4 10 2" xfId="5347"/>
    <cellStyle name="20% - Accent1 2 4 10 2 2" xfId="11388"/>
    <cellStyle name="20% - Accent1 2 4 10 2 2 2" xfId="28435"/>
    <cellStyle name="20% - Accent1 2 4 10 2 2 2 2" xfId="57296"/>
    <cellStyle name="20% - Accent1 2 4 10 2 2 3" xfId="40249"/>
    <cellStyle name="20% - Accent1 2 4 10 2 3" xfId="22457"/>
    <cellStyle name="20% - Accent1 2 4 10 2 3 2" xfId="51318"/>
    <cellStyle name="20% - Accent1 2 4 10 2 4" xfId="34208"/>
    <cellStyle name="20% - Accent1 2 4 10 3" xfId="8502"/>
    <cellStyle name="20% - Accent1 2 4 10 3 2" xfId="25549"/>
    <cellStyle name="20% - Accent1 2 4 10 3 2 2" xfId="54410"/>
    <cellStyle name="20% - Accent1 2 4 10 3 3" xfId="37363"/>
    <cellStyle name="20% - Accent1 2 4 10 4" xfId="13735"/>
    <cellStyle name="20% - Accent1 2 4 10 4 2" xfId="19777"/>
    <cellStyle name="20% - Accent1 2 4 10 4 2 2" xfId="48638"/>
    <cellStyle name="20% - Accent1 2 4 10 4 3" xfId="42596"/>
    <cellStyle name="20% - Accent1 2 4 10 5" xfId="17097"/>
    <cellStyle name="20% - Accent1 2 4 10 5 2" xfId="45958"/>
    <cellStyle name="20% - Accent1 2 4 10 6" xfId="31322"/>
    <cellStyle name="20% - Accent1 2 4 11" xfId="2669"/>
    <cellStyle name="20% - Accent1 2 4 11 2" xfId="5555"/>
    <cellStyle name="20% - Accent1 2 4 11 2 2" xfId="11596"/>
    <cellStyle name="20% - Accent1 2 4 11 2 2 2" xfId="28643"/>
    <cellStyle name="20% - Accent1 2 4 11 2 2 2 2" xfId="57504"/>
    <cellStyle name="20% - Accent1 2 4 11 2 2 3" xfId="40457"/>
    <cellStyle name="20% - Accent1 2 4 11 2 3" xfId="22665"/>
    <cellStyle name="20% - Accent1 2 4 11 2 3 2" xfId="51526"/>
    <cellStyle name="20% - Accent1 2 4 11 2 4" xfId="34416"/>
    <cellStyle name="20% - Accent1 2 4 11 3" xfId="8710"/>
    <cellStyle name="20% - Accent1 2 4 11 3 2" xfId="25757"/>
    <cellStyle name="20% - Accent1 2 4 11 3 2 2" xfId="54618"/>
    <cellStyle name="20% - Accent1 2 4 11 3 3" xfId="37571"/>
    <cellStyle name="20% - Accent1 2 4 11 4" xfId="13993"/>
    <cellStyle name="20% - Accent1 2 4 11 4 2" xfId="19985"/>
    <cellStyle name="20% - Accent1 2 4 11 4 2 2" xfId="48846"/>
    <cellStyle name="20% - Accent1 2 4 11 4 3" xfId="42854"/>
    <cellStyle name="20% - Accent1 2 4 11 5" xfId="17305"/>
    <cellStyle name="20% - Accent1 2 4 11 5 2" xfId="46166"/>
    <cellStyle name="20% - Accent1 2 4 11 6" xfId="31530"/>
    <cellStyle name="20% - Accent1 2 4 12" xfId="3184"/>
    <cellStyle name="20% - Accent1 2 4 12 2" xfId="9225"/>
    <cellStyle name="20% - Accent1 2 4 12 2 2" xfId="26272"/>
    <cellStyle name="20% - Accent1 2 4 12 2 2 2" xfId="55133"/>
    <cellStyle name="20% - Accent1 2 4 12 2 3" xfId="38086"/>
    <cellStyle name="20% - Accent1 2 4 12 3" xfId="11918"/>
    <cellStyle name="20% - Accent1 2 4 12 3 2" xfId="20294"/>
    <cellStyle name="20% - Accent1 2 4 12 3 2 2" xfId="49155"/>
    <cellStyle name="20% - Accent1 2 4 12 3 3" xfId="40779"/>
    <cellStyle name="20% - Accent1 2 4 12 4" xfId="14934"/>
    <cellStyle name="20% - Accent1 2 4 12 4 2" xfId="43795"/>
    <cellStyle name="20% - Accent1 2 4 12 5" xfId="32045"/>
    <cellStyle name="20% - Accent1 2 4 13" xfId="2875"/>
    <cellStyle name="20% - Accent1 2 4 13 2" xfId="8916"/>
    <cellStyle name="20% - Accent1 2 4 13 2 2" xfId="25963"/>
    <cellStyle name="20% - Accent1 2 4 13 2 2 2" xfId="54824"/>
    <cellStyle name="20% - Accent1 2 4 13 2 3" xfId="37777"/>
    <cellStyle name="20% - Accent1 2 4 13 3" xfId="17511"/>
    <cellStyle name="20% - Accent1 2 4 13 3 2" xfId="46372"/>
    <cellStyle name="20% - Accent1 2 4 13 4" xfId="31736"/>
    <cellStyle name="20% - Accent1 2 4 14" xfId="5761"/>
    <cellStyle name="20% - Accent1 2 4 14 2" xfId="11802"/>
    <cellStyle name="20% - Accent1 2 4 14 2 2" xfId="28849"/>
    <cellStyle name="20% - Accent1 2 4 14 2 2 2" xfId="57710"/>
    <cellStyle name="20% - Accent1 2 4 14 2 3" xfId="40663"/>
    <cellStyle name="20% - Accent1 2 4 14 3" xfId="22871"/>
    <cellStyle name="20% - Accent1 2 4 14 3 2" xfId="51732"/>
    <cellStyle name="20% - Accent1 2 4 14 4" xfId="34622"/>
    <cellStyle name="20% - Accent1 2 4 15" xfId="5978"/>
    <cellStyle name="20% - Accent1 2 4 15 2" xfId="23077"/>
    <cellStyle name="20% - Accent1 2 4 15 2 2" xfId="51938"/>
    <cellStyle name="20% - Accent1 2 4 15 3" xfId="34839"/>
    <cellStyle name="20% - Accent1 2 4 16" xfId="6339"/>
    <cellStyle name="20% - Accent1 2 4 16 2" xfId="23386"/>
    <cellStyle name="20% - Accent1 2 4 16 2 2" xfId="52247"/>
    <cellStyle name="20% - Accent1 2 4 16 3" xfId="35200"/>
    <cellStyle name="20% - Accent1 2 4 17" xfId="14625"/>
    <cellStyle name="20% - Accent1 2 4 17 2" xfId="43486"/>
    <cellStyle name="20% - Accent1 2 4 18" xfId="29159"/>
    <cellStyle name="20% - Accent1 2 4 2" xfId="503"/>
    <cellStyle name="20% - Accent1 2 4 2 2" xfId="2254"/>
    <cellStyle name="20% - Accent1 2 4 2 2 2" xfId="5141"/>
    <cellStyle name="20% - Accent1 2 4 2 2 2 2" xfId="11182"/>
    <cellStyle name="20% - Accent1 2 4 2 2 2 2 2" xfId="28229"/>
    <cellStyle name="20% - Accent1 2 4 2 2 2 2 2 2" xfId="57090"/>
    <cellStyle name="20% - Accent1 2 4 2 2 2 2 3" xfId="40043"/>
    <cellStyle name="20% - Accent1 2 4 2 2 2 3" xfId="22251"/>
    <cellStyle name="20% - Accent1 2 4 2 2 2 3 2" xfId="51112"/>
    <cellStyle name="20% - Accent1 2 4 2 2 2 4" xfId="34002"/>
    <cellStyle name="20% - Accent1 2 4 2 2 3" xfId="8296"/>
    <cellStyle name="20% - Accent1 2 4 2 2 3 2" xfId="25343"/>
    <cellStyle name="20% - Accent1 2 4 2 2 3 2 2" xfId="54204"/>
    <cellStyle name="20% - Accent1 2 4 2 2 3 3" xfId="37157"/>
    <cellStyle name="20% - Accent1 2 4 2 2 4" xfId="12867"/>
    <cellStyle name="20% - Accent1 2 4 2 2 4 2" xfId="19571"/>
    <cellStyle name="20% - Accent1 2 4 2 2 4 2 2" xfId="48432"/>
    <cellStyle name="20% - Accent1 2 4 2 2 4 3" xfId="41728"/>
    <cellStyle name="20% - Accent1 2 4 2 2 5" xfId="16891"/>
    <cellStyle name="20% - Accent1 2 4 2 2 5 2" xfId="45752"/>
    <cellStyle name="20% - Accent1 2 4 2 2 6" xfId="31116"/>
    <cellStyle name="20% - Accent1 2 4 2 3" xfId="3390"/>
    <cellStyle name="20% - Accent1 2 4 2 3 2" xfId="9431"/>
    <cellStyle name="20% - Accent1 2 4 2 3 2 2" xfId="26478"/>
    <cellStyle name="20% - Accent1 2 4 2 3 2 2 2" xfId="55339"/>
    <cellStyle name="20% - Accent1 2 4 2 3 2 3" xfId="38292"/>
    <cellStyle name="20% - Accent1 2 4 2 3 3" xfId="20500"/>
    <cellStyle name="20% - Accent1 2 4 2 3 3 2" xfId="49361"/>
    <cellStyle name="20% - Accent1 2 4 2 3 4" xfId="32251"/>
    <cellStyle name="20% - Accent1 2 4 2 4" xfId="6545"/>
    <cellStyle name="20% - Accent1 2 4 2 4 2" xfId="23592"/>
    <cellStyle name="20% - Accent1 2 4 2 4 2 2" xfId="52453"/>
    <cellStyle name="20% - Accent1 2 4 2 4 3" xfId="35406"/>
    <cellStyle name="20% - Accent1 2 4 2 5" xfId="13609"/>
    <cellStyle name="20% - Accent1 2 4 2 5 2" xfId="17820"/>
    <cellStyle name="20% - Accent1 2 4 2 5 2 2" xfId="46681"/>
    <cellStyle name="20% - Accent1 2 4 2 5 3" xfId="42470"/>
    <cellStyle name="20% - Accent1 2 4 2 6" xfId="15140"/>
    <cellStyle name="20% - Accent1 2 4 2 6 2" xfId="44001"/>
    <cellStyle name="20% - Accent1 2 4 2 7" xfId="29365"/>
    <cellStyle name="20% - Accent1 2 4 3" xfId="812"/>
    <cellStyle name="20% - Accent1 2 4 3 2" xfId="3699"/>
    <cellStyle name="20% - Accent1 2 4 3 2 2" xfId="9740"/>
    <cellStyle name="20% - Accent1 2 4 3 2 2 2" xfId="26787"/>
    <cellStyle name="20% - Accent1 2 4 3 2 2 2 2" xfId="55648"/>
    <cellStyle name="20% - Accent1 2 4 3 2 2 3" xfId="38601"/>
    <cellStyle name="20% - Accent1 2 4 3 2 3" xfId="20809"/>
    <cellStyle name="20% - Accent1 2 4 3 2 3 2" xfId="49670"/>
    <cellStyle name="20% - Accent1 2 4 3 2 4" xfId="32560"/>
    <cellStyle name="20% - Accent1 2 4 3 3" xfId="6854"/>
    <cellStyle name="20% - Accent1 2 4 3 3 2" xfId="23901"/>
    <cellStyle name="20% - Accent1 2 4 3 3 2 2" xfId="52762"/>
    <cellStyle name="20% - Accent1 2 4 3 3 3" xfId="35715"/>
    <cellStyle name="20% - Accent1 2 4 3 4" xfId="14244"/>
    <cellStyle name="20% - Accent1 2 4 3 4 2" xfId="18129"/>
    <cellStyle name="20% - Accent1 2 4 3 4 2 2" xfId="46990"/>
    <cellStyle name="20% - Accent1 2 4 3 4 3" xfId="43105"/>
    <cellStyle name="20% - Accent1 2 4 3 5" xfId="15449"/>
    <cellStyle name="20% - Accent1 2 4 3 5 2" xfId="44310"/>
    <cellStyle name="20% - Accent1 2 4 3 6" xfId="29674"/>
    <cellStyle name="20% - Accent1 2 4 4" xfId="1018"/>
    <cellStyle name="20% - Accent1 2 4 4 2" xfId="3905"/>
    <cellStyle name="20% - Accent1 2 4 4 2 2" xfId="9946"/>
    <cellStyle name="20% - Accent1 2 4 4 2 2 2" xfId="26993"/>
    <cellStyle name="20% - Accent1 2 4 4 2 2 2 2" xfId="55854"/>
    <cellStyle name="20% - Accent1 2 4 4 2 2 3" xfId="38807"/>
    <cellStyle name="20% - Accent1 2 4 4 2 3" xfId="21015"/>
    <cellStyle name="20% - Accent1 2 4 4 2 3 2" xfId="49876"/>
    <cellStyle name="20% - Accent1 2 4 4 2 4" xfId="32766"/>
    <cellStyle name="20% - Accent1 2 4 4 3" xfId="7060"/>
    <cellStyle name="20% - Accent1 2 4 4 3 2" xfId="24107"/>
    <cellStyle name="20% - Accent1 2 4 4 3 2 2" xfId="52968"/>
    <cellStyle name="20% - Accent1 2 4 4 3 3" xfId="35921"/>
    <cellStyle name="20% - Accent1 2 4 4 4" xfId="14382"/>
    <cellStyle name="20% - Accent1 2 4 4 4 2" xfId="18335"/>
    <cellStyle name="20% - Accent1 2 4 4 4 2 2" xfId="47196"/>
    <cellStyle name="20% - Accent1 2 4 4 4 3" xfId="43243"/>
    <cellStyle name="20% - Accent1 2 4 4 5" xfId="15655"/>
    <cellStyle name="20% - Accent1 2 4 4 5 2" xfId="44516"/>
    <cellStyle name="20% - Accent1 2 4 4 6" xfId="29880"/>
    <cellStyle name="20% - Accent1 2 4 5" xfId="1224"/>
    <cellStyle name="20% - Accent1 2 4 5 2" xfId="4111"/>
    <cellStyle name="20% - Accent1 2 4 5 2 2" xfId="10152"/>
    <cellStyle name="20% - Accent1 2 4 5 2 2 2" xfId="27199"/>
    <cellStyle name="20% - Accent1 2 4 5 2 2 2 2" xfId="56060"/>
    <cellStyle name="20% - Accent1 2 4 5 2 2 3" xfId="39013"/>
    <cellStyle name="20% - Accent1 2 4 5 2 3" xfId="21221"/>
    <cellStyle name="20% - Accent1 2 4 5 2 3 2" xfId="50082"/>
    <cellStyle name="20% - Accent1 2 4 5 2 4" xfId="32972"/>
    <cellStyle name="20% - Accent1 2 4 5 3" xfId="7266"/>
    <cellStyle name="20% - Accent1 2 4 5 3 2" xfId="24313"/>
    <cellStyle name="20% - Accent1 2 4 5 3 2 2" xfId="53174"/>
    <cellStyle name="20% - Accent1 2 4 5 3 3" xfId="36127"/>
    <cellStyle name="20% - Accent1 2 4 5 4" xfId="12543"/>
    <cellStyle name="20% - Accent1 2 4 5 4 2" xfId="18541"/>
    <cellStyle name="20% - Accent1 2 4 5 4 2 2" xfId="47402"/>
    <cellStyle name="20% - Accent1 2 4 5 4 3" xfId="41404"/>
    <cellStyle name="20% - Accent1 2 4 5 5" xfId="15861"/>
    <cellStyle name="20% - Accent1 2 4 5 5 2" xfId="44722"/>
    <cellStyle name="20% - Accent1 2 4 5 6" xfId="30086"/>
    <cellStyle name="20% - Accent1 2 4 6" xfId="1430"/>
    <cellStyle name="20% - Accent1 2 4 6 2" xfId="4317"/>
    <cellStyle name="20% - Accent1 2 4 6 2 2" xfId="10358"/>
    <cellStyle name="20% - Accent1 2 4 6 2 2 2" xfId="27405"/>
    <cellStyle name="20% - Accent1 2 4 6 2 2 2 2" xfId="56266"/>
    <cellStyle name="20% - Accent1 2 4 6 2 2 3" xfId="39219"/>
    <cellStyle name="20% - Accent1 2 4 6 2 3" xfId="21427"/>
    <cellStyle name="20% - Accent1 2 4 6 2 3 2" xfId="50288"/>
    <cellStyle name="20% - Accent1 2 4 6 2 4" xfId="33178"/>
    <cellStyle name="20% - Accent1 2 4 6 3" xfId="7472"/>
    <cellStyle name="20% - Accent1 2 4 6 3 2" xfId="24519"/>
    <cellStyle name="20% - Accent1 2 4 6 3 2 2" xfId="53380"/>
    <cellStyle name="20% - Accent1 2 4 6 3 3" xfId="36333"/>
    <cellStyle name="20% - Accent1 2 4 6 4" xfId="13702"/>
    <cellStyle name="20% - Accent1 2 4 6 4 2" xfId="18747"/>
    <cellStyle name="20% - Accent1 2 4 6 4 2 2" xfId="47608"/>
    <cellStyle name="20% - Accent1 2 4 6 4 3" xfId="42563"/>
    <cellStyle name="20% - Accent1 2 4 6 5" xfId="16067"/>
    <cellStyle name="20% - Accent1 2 4 6 5 2" xfId="44928"/>
    <cellStyle name="20% - Accent1 2 4 6 6" xfId="30292"/>
    <cellStyle name="20% - Accent1 2 4 7" xfId="1636"/>
    <cellStyle name="20% - Accent1 2 4 7 2" xfId="4523"/>
    <cellStyle name="20% - Accent1 2 4 7 2 2" xfId="10564"/>
    <cellStyle name="20% - Accent1 2 4 7 2 2 2" xfId="27611"/>
    <cellStyle name="20% - Accent1 2 4 7 2 2 2 2" xfId="56472"/>
    <cellStyle name="20% - Accent1 2 4 7 2 2 3" xfId="39425"/>
    <cellStyle name="20% - Accent1 2 4 7 2 3" xfId="21633"/>
    <cellStyle name="20% - Accent1 2 4 7 2 3 2" xfId="50494"/>
    <cellStyle name="20% - Accent1 2 4 7 2 4" xfId="33384"/>
    <cellStyle name="20% - Accent1 2 4 7 3" xfId="7678"/>
    <cellStyle name="20% - Accent1 2 4 7 3 2" xfId="24725"/>
    <cellStyle name="20% - Accent1 2 4 7 3 2 2" xfId="53586"/>
    <cellStyle name="20% - Accent1 2 4 7 3 3" xfId="36539"/>
    <cellStyle name="20% - Accent1 2 4 7 4" xfId="13841"/>
    <cellStyle name="20% - Accent1 2 4 7 4 2" xfId="18953"/>
    <cellStyle name="20% - Accent1 2 4 7 4 2 2" xfId="47814"/>
    <cellStyle name="20% - Accent1 2 4 7 4 3" xfId="42702"/>
    <cellStyle name="20% - Accent1 2 4 7 5" xfId="16273"/>
    <cellStyle name="20% - Accent1 2 4 7 5 2" xfId="45134"/>
    <cellStyle name="20% - Accent1 2 4 7 6" xfId="30498"/>
    <cellStyle name="20% - Accent1 2 4 8" xfId="1842"/>
    <cellStyle name="20% - Accent1 2 4 8 2" xfId="4729"/>
    <cellStyle name="20% - Accent1 2 4 8 2 2" xfId="10770"/>
    <cellStyle name="20% - Accent1 2 4 8 2 2 2" xfId="27817"/>
    <cellStyle name="20% - Accent1 2 4 8 2 2 2 2" xfId="56678"/>
    <cellStyle name="20% - Accent1 2 4 8 2 2 3" xfId="39631"/>
    <cellStyle name="20% - Accent1 2 4 8 2 3" xfId="21839"/>
    <cellStyle name="20% - Accent1 2 4 8 2 3 2" xfId="50700"/>
    <cellStyle name="20% - Accent1 2 4 8 2 4" xfId="33590"/>
    <cellStyle name="20% - Accent1 2 4 8 3" xfId="7884"/>
    <cellStyle name="20% - Accent1 2 4 8 3 2" xfId="24931"/>
    <cellStyle name="20% - Accent1 2 4 8 3 2 2" xfId="53792"/>
    <cellStyle name="20% - Accent1 2 4 8 3 3" xfId="36745"/>
    <cellStyle name="20% - Accent1 2 4 8 4" xfId="12186"/>
    <cellStyle name="20% - Accent1 2 4 8 4 2" xfId="19159"/>
    <cellStyle name="20% - Accent1 2 4 8 4 2 2" xfId="48020"/>
    <cellStyle name="20% - Accent1 2 4 8 4 3" xfId="41047"/>
    <cellStyle name="20% - Accent1 2 4 8 5" xfId="16479"/>
    <cellStyle name="20% - Accent1 2 4 8 5 2" xfId="45340"/>
    <cellStyle name="20% - Accent1 2 4 8 6" xfId="30704"/>
    <cellStyle name="20% - Accent1 2 4 9" xfId="2048"/>
    <cellStyle name="20% - Accent1 2 4 9 2" xfId="4935"/>
    <cellStyle name="20% - Accent1 2 4 9 2 2" xfId="10976"/>
    <cellStyle name="20% - Accent1 2 4 9 2 2 2" xfId="28023"/>
    <cellStyle name="20% - Accent1 2 4 9 2 2 2 2" xfId="56884"/>
    <cellStyle name="20% - Accent1 2 4 9 2 2 3" xfId="39837"/>
    <cellStyle name="20% - Accent1 2 4 9 2 3" xfId="22045"/>
    <cellStyle name="20% - Accent1 2 4 9 2 3 2" xfId="50906"/>
    <cellStyle name="20% - Accent1 2 4 9 2 4" xfId="33796"/>
    <cellStyle name="20% - Accent1 2 4 9 3" xfId="8090"/>
    <cellStyle name="20% - Accent1 2 4 9 3 2" xfId="25137"/>
    <cellStyle name="20% - Accent1 2 4 9 3 2 2" xfId="53998"/>
    <cellStyle name="20% - Accent1 2 4 9 3 3" xfId="36951"/>
    <cellStyle name="20% - Accent1 2 4 9 4" xfId="13658"/>
    <cellStyle name="20% - Accent1 2 4 9 4 2" xfId="19365"/>
    <cellStyle name="20% - Accent1 2 4 9 4 2 2" xfId="48226"/>
    <cellStyle name="20% - Accent1 2 4 9 4 3" xfId="42519"/>
    <cellStyle name="20% - Accent1 2 4 9 5" xfId="16685"/>
    <cellStyle name="20% - Accent1 2 4 9 5 2" xfId="45546"/>
    <cellStyle name="20% - Accent1 2 4 9 6" xfId="30910"/>
    <cellStyle name="20% - Accent1 2 5" xfId="194"/>
    <cellStyle name="20% - Accent1 2 5 2" xfId="606"/>
    <cellStyle name="20% - Accent1 2 5 2 2" xfId="3493"/>
    <cellStyle name="20% - Accent1 2 5 2 2 2" xfId="9534"/>
    <cellStyle name="20% - Accent1 2 5 2 2 2 2" xfId="26581"/>
    <cellStyle name="20% - Accent1 2 5 2 2 2 2 2" xfId="55442"/>
    <cellStyle name="20% - Accent1 2 5 2 2 2 3" xfId="38395"/>
    <cellStyle name="20% - Accent1 2 5 2 2 3" xfId="20603"/>
    <cellStyle name="20% - Accent1 2 5 2 2 3 2" xfId="49464"/>
    <cellStyle name="20% - Accent1 2 5 2 2 4" xfId="32354"/>
    <cellStyle name="20% - Accent1 2 5 2 3" xfId="6648"/>
    <cellStyle name="20% - Accent1 2 5 2 3 2" xfId="23695"/>
    <cellStyle name="20% - Accent1 2 5 2 3 2 2" xfId="52556"/>
    <cellStyle name="20% - Accent1 2 5 2 3 3" xfId="35509"/>
    <cellStyle name="20% - Accent1 2 5 2 4" xfId="14444"/>
    <cellStyle name="20% - Accent1 2 5 2 4 2" xfId="17923"/>
    <cellStyle name="20% - Accent1 2 5 2 4 2 2" xfId="46784"/>
    <cellStyle name="20% - Accent1 2 5 2 4 3" xfId="43305"/>
    <cellStyle name="20% - Accent1 2 5 2 5" xfId="15243"/>
    <cellStyle name="20% - Accent1 2 5 2 5 2" xfId="44104"/>
    <cellStyle name="20% - Accent1 2 5 2 6" xfId="29468"/>
    <cellStyle name="20% - Accent1 2 5 3" xfId="2151"/>
    <cellStyle name="20% - Accent1 2 5 3 2" xfId="5038"/>
    <cellStyle name="20% - Accent1 2 5 3 2 2" xfId="11079"/>
    <cellStyle name="20% - Accent1 2 5 3 2 2 2" xfId="28126"/>
    <cellStyle name="20% - Accent1 2 5 3 2 2 2 2" xfId="56987"/>
    <cellStyle name="20% - Accent1 2 5 3 2 2 3" xfId="39940"/>
    <cellStyle name="20% - Accent1 2 5 3 2 3" xfId="22148"/>
    <cellStyle name="20% - Accent1 2 5 3 2 3 2" xfId="51009"/>
    <cellStyle name="20% - Accent1 2 5 3 2 4" xfId="33899"/>
    <cellStyle name="20% - Accent1 2 5 3 3" xfId="8193"/>
    <cellStyle name="20% - Accent1 2 5 3 3 2" xfId="25240"/>
    <cellStyle name="20% - Accent1 2 5 3 3 2 2" xfId="54101"/>
    <cellStyle name="20% - Accent1 2 5 3 3 3" xfId="37054"/>
    <cellStyle name="20% - Accent1 2 5 3 4" xfId="13241"/>
    <cellStyle name="20% - Accent1 2 5 3 4 2" xfId="19468"/>
    <cellStyle name="20% - Accent1 2 5 3 4 2 2" xfId="48329"/>
    <cellStyle name="20% - Accent1 2 5 3 4 3" xfId="42102"/>
    <cellStyle name="20% - Accent1 2 5 3 5" xfId="16788"/>
    <cellStyle name="20% - Accent1 2 5 3 5 2" xfId="45649"/>
    <cellStyle name="20% - Accent1 2 5 3 6" xfId="31013"/>
    <cellStyle name="20% - Accent1 2 5 4" xfId="3081"/>
    <cellStyle name="20% - Accent1 2 5 4 2" xfId="9122"/>
    <cellStyle name="20% - Accent1 2 5 4 2 2" xfId="26169"/>
    <cellStyle name="20% - Accent1 2 5 4 2 2 2" xfId="55030"/>
    <cellStyle name="20% - Accent1 2 5 4 2 3" xfId="37983"/>
    <cellStyle name="20% - Accent1 2 5 4 3" xfId="20191"/>
    <cellStyle name="20% - Accent1 2 5 4 3 2" xfId="49052"/>
    <cellStyle name="20% - Accent1 2 5 4 4" xfId="31942"/>
    <cellStyle name="20% - Accent1 2 5 5" xfId="6236"/>
    <cellStyle name="20% - Accent1 2 5 5 2" xfId="23283"/>
    <cellStyle name="20% - Accent1 2 5 5 2 2" xfId="52144"/>
    <cellStyle name="20% - Accent1 2 5 5 3" xfId="35097"/>
    <cellStyle name="20% - Accent1 2 5 6" xfId="13293"/>
    <cellStyle name="20% - Accent1 2 5 6 2" xfId="17614"/>
    <cellStyle name="20% - Accent1 2 5 6 2 2" xfId="46475"/>
    <cellStyle name="20% - Accent1 2 5 6 3" xfId="42154"/>
    <cellStyle name="20% - Accent1 2 5 7" xfId="14831"/>
    <cellStyle name="20% - Accent1 2 5 7 2" xfId="43692"/>
    <cellStyle name="20% - Accent1 2 5 8" xfId="29056"/>
    <cellStyle name="20% - Accent1 2 6" xfId="400"/>
    <cellStyle name="20% - Accent1 2 6 2" xfId="3287"/>
    <cellStyle name="20% - Accent1 2 6 2 2" xfId="9328"/>
    <cellStyle name="20% - Accent1 2 6 2 2 2" xfId="26375"/>
    <cellStyle name="20% - Accent1 2 6 2 2 2 2" xfId="55236"/>
    <cellStyle name="20% - Accent1 2 6 2 2 3" xfId="38189"/>
    <cellStyle name="20% - Accent1 2 6 2 3" xfId="20397"/>
    <cellStyle name="20% - Accent1 2 6 2 3 2" xfId="49258"/>
    <cellStyle name="20% - Accent1 2 6 2 4" xfId="32148"/>
    <cellStyle name="20% - Accent1 2 6 3" xfId="6442"/>
    <cellStyle name="20% - Accent1 2 6 3 2" xfId="23489"/>
    <cellStyle name="20% - Accent1 2 6 3 2 2" xfId="52350"/>
    <cellStyle name="20% - Accent1 2 6 3 3" xfId="35303"/>
    <cellStyle name="20% - Accent1 2 6 4" xfId="13766"/>
    <cellStyle name="20% - Accent1 2 6 4 2" xfId="17717"/>
    <cellStyle name="20% - Accent1 2 6 4 2 2" xfId="46578"/>
    <cellStyle name="20% - Accent1 2 6 4 3" xfId="42627"/>
    <cellStyle name="20% - Accent1 2 6 5" xfId="15037"/>
    <cellStyle name="20% - Accent1 2 6 5 2" xfId="43898"/>
    <cellStyle name="20% - Accent1 2 6 6" xfId="29262"/>
    <cellStyle name="20% - Accent1 2 7" xfId="709"/>
    <cellStyle name="20% - Accent1 2 7 2" xfId="3596"/>
    <cellStyle name="20% - Accent1 2 7 2 2" xfId="9637"/>
    <cellStyle name="20% - Accent1 2 7 2 2 2" xfId="26684"/>
    <cellStyle name="20% - Accent1 2 7 2 2 2 2" xfId="55545"/>
    <cellStyle name="20% - Accent1 2 7 2 2 3" xfId="38498"/>
    <cellStyle name="20% - Accent1 2 7 2 3" xfId="20706"/>
    <cellStyle name="20% - Accent1 2 7 2 3 2" xfId="49567"/>
    <cellStyle name="20% - Accent1 2 7 2 4" xfId="32457"/>
    <cellStyle name="20% - Accent1 2 7 3" xfId="6751"/>
    <cellStyle name="20% - Accent1 2 7 3 2" xfId="23798"/>
    <cellStyle name="20% - Accent1 2 7 3 2 2" xfId="52659"/>
    <cellStyle name="20% - Accent1 2 7 3 3" xfId="35612"/>
    <cellStyle name="20% - Accent1 2 7 4" xfId="12337"/>
    <cellStyle name="20% - Accent1 2 7 4 2" xfId="18026"/>
    <cellStyle name="20% - Accent1 2 7 4 2 2" xfId="46887"/>
    <cellStyle name="20% - Accent1 2 7 4 3" xfId="41198"/>
    <cellStyle name="20% - Accent1 2 7 5" xfId="15346"/>
    <cellStyle name="20% - Accent1 2 7 5 2" xfId="44207"/>
    <cellStyle name="20% - Accent1 2 7 6" xfId="29571"/>
    <cellStyle name="20% - Accent1 2 8" xfId="915"/>
    <cellStyle name="20% - Accent1 2 8 2" xfId="3802"/>
    <cellStyle name="20% - Accent1 2 8 2 2" xfId="9843"/>
    <cellStyle name="20% - Accent1 2 8 2 2 2" xfId="26890"/>
    <cellStyle name="20% - Accent1 2 8 2 2 2 2" xfId="55751"/>
    <cellStyle name="20% - Accent1 2 8 2 2 3" xfId="38704"/>
    <cellStyle name="20% - Accent1 2 8 2 3" xfId="20912"/>
    <cellStyle name="20% - Accent1 2 8 2 3 2" xfId="49773"/>
    <cellStyle name="20% - Accent1 2 8 2 4" xfId="32663"/>
    <cellStyle name="20% - Accent1 2 8 3" xfId="6957"/>
    <cellStyle name="20% - Accent1 2 8 3 2" xfId="24004"/>
    <cellStyle name="20% - Accent1 2 8 3 2 2" xfId="52865"/>
    <cellStyle name="20% - Accent1 2 8 3 3" xfId="35818"/>
    <cellStyle name="20% - Accent1 2 8 4" xfId="13187"/>
    <cellStyle name="20% - Accent1 2 8 4 2" xfId="18232"/>
    <cellStyle name="20% - Accent1 2 8 4 2 2" xfId="47093"/>
    <cellStyle name="20% - Accent1 2 8 4 3" xfId="42048"/>
    <cellStyle name="20% - Accent1 2 8 5" xfId="15552"/>
    <cellStyle name="20% - Accent1 2 8 5 2" xfId="44413"/>
    <cellStyle name="20% - Accent1 2 8 6" xfId="29777"/>
    <cellStyle name="20% - Accent1 2 9" xfId="1121"/>
    <cellStyle name="20% - Accent1 2 9 2" xfId="4008"/>
    <cellStyle name="20% - Accent1 2 9 2 2" xfId="10049"/>
    <cellStyle name="20% - Accent1 2 9 2 2 2" xfId="27096"/>
    <cellStyle name="20% - Accent1 2 9 2 2 2 2" xfId="55957"/>
    <cellStyle name="20% - Accent1 2 9 2 2 3" xfId="38910"/>
    <cellStyle name="20% - Accent1 2 9 2 3" xfId="21118"/>
    <cellStyle name="20% - Accent1 2 9 2 3 2" xfId="49979"/>
    <cellStyle name="20% - Accent1 2 9 2 4" xfId="32869"/>
    <cellStyle name="20% - Accent1 2 9 3" xfId="7163"/>
    <cellStyle name="20% - Accent1 2 9 3 2" xfId="24210"/>
    <cellStyle name="20% - Accent1 2 9 3 2 2" xfId="53071"/>
    <cellStyle name="20% - Accent1 2 9 3 3" xfId="36024"/>
    <cellStyle name="20% - Accent1 2 9 4" xfId="12201"/>
    <cellStyle name="20% - Accent1 2 9 4 2" xfId="18438"/>
    <cellStyle name="20% - Accent1 2 9 4 2 2" xfId="47299"/>
    <cellStyle name="20% - Accent1 2 9 4 3" xfId="41062"/>
    <cellStyle name="20% - Accent1 2 9 5" xfId="15758"/>
    <cellStyle name="20% - Accent1 2 9 5 2" xfId="44619"/>
    <cellStyle name="20% - Accent1 2 9 6" xfId="29983"/>
    <cellStyle name="20% - Accent1 20" xfId="5859"/>
    <cellStyle name="20% - Accent1 20 2" xfId="22960"/>
    <cellStyle name="20% - Accent1 20 2 2" xfId="51821"/>
    <cellStyle name="20% - Accent1 20 3" xfId="34720"/>
    <cellStyle name="20% - Accent1 21" xfId="6119"/>
    <cellStyle name="20% - Accent1 21 2" xfId="23166"/>
    <cellStyle name="20% - Accent1 21 2 2" xfId="52027"/>
    <cellStyle name="20% - Accent1 21 3" xfId="34980"/>
    <cellStyle name="20% - Accent1 22" xfId="14508"/>
    <cellStyle name="20% - Accent1 22 2" xfId="43369"/>
    <cellStyle name="20% - Accent1 23" xfId="28939"/>
    <cellStyle name="20% - Accent1 3" xfId="104"/>
    <cellStyle name="20% - Accent1 3 10" xfId="1752"/>
    <cellStyle name="20% - Accent1 3 10 2" xfId="4639"/>
    <cellStyle name="20% - Accent1 3 10 2 2" xfId="10680"/>
    <cellStyle name="20% - Accent1 3 10 2 2 2" xfId="27727"/>
    <cellStyle name="20% - Accent1 3 10 2 2 2 2" xfId="56588"/>
    <cellStyle name="20% - Accent1 3 10 2 2 3" xfId="39541"/>
    <cellStyle name="20% - Accent1 3 10 2 3" xfId="21749"/>
    <cellStyle name="20% - Accent1 3 10 2 3 2" xfId="50610"/>
    <cellStyle name="20% - Accent1 3 10 2 4" xfId="33500"/>
    <cellStyle name="20% - Accent1 3 10 3" xfId="7794"/>
    <cellStyle name="20% - Accent1 3 10 3 2" xfId="24841"/>
    <cellStyle name="20% - Accent1 3 10 3 2 2" xfId="53702"/>
    <cellStyle name="20% - Accent1 3 10 3 3" xfId="36655"/>
    <cellStyle name="20% - Accent1 3 10 4" xfId="11977"/>
    <cellStyle name="20% - Accent1 3 10 4 2" xfId="19069"/>
    <cellStyle name="20% - Accent1 3 10 4 2 2" xfId="47930"/>
    <cellStyle name="20% - Accent1 3 10 4 3" xfId="40838"/>
    <cellStyle name="20% - Accent1 3 10 5" xfId="16389"/>
    <cellStyle name="20% - Accent1 3 10 5 2" xfId="45250"/>
    <cellStyle name="20% - Accent1 3 10 6" xfId="30614"/>
    <cellStyle name="20% - Accent1 3 11" xfId="1958"/>
    <cellStyle name="20% - Accent1 3 11 2" xfId="4845"/>
    <cellStyle name="20% - Accent1 3 11 2 2" xfId="10886"/>
    <cellStyle name="20% - Accent1 3 11 2 2 2" xfId="27933"/>
    <cellStyle name="20% - Accent1 3 11 2 2 2 2" xfId="56794"/>
    <cellStyle name="20% - Accent1 3 11 2 2 3" xfId="39747"/>
    <cellStyle name="20% - Accent1 3 11 2 3" xfId="21955"/>
    <cellStyle name="20% - Accent1 3 11 2 3 2" xfId="50816"/>
    <cellStyle name="20% - Accent1 3 11 2 4" xfId="33706"/>
    <cellStyle name="20% - Accent1 3 11 3" xfId="8000"/>
    <cellStyle name="20% - Accent1 3 11 3 2" xfId="25047"/>
    <cellStyle name="20% - Accent1 3 11 3 2 2" xfId="53908"/>
    <cellStyle name="20% - Accent1 3 11 3 3" xfId="36861"/>
    <cellStyle name="20% - Accent1 3 11 4" xfId="12551"/>
    <cellStyle name="20% - Accent1 3 11 4 2" xfId="19275"/>
    <cellStyle name="20% - Accent1 3 11 4 2 2" xfId="48136"/>
    <cellStyle name="20% - Accent1 3 11 4 3" xfId="41412"/>
    <cellStyle name="20% - Accent1 3 11 5" xfId="16595"/>
    <cellStyle name="20% - Accent1 3 11 5 2" xfId="45456"/>
    <cellStyle name="20% - Accent1 3 11 6" xfId="30820"/>
    <cellStyle name="20% - Accent1 3 12" xfId="2370"/>
    <cellStyle name="20% - Accent1 3 12 2" xfId="5257"/>
    <cellStyle name="20% - Accent1 3 12 2 2" xfId="11298"/>
    <cellStyle name="20% - Accent1 3 12 2 2 2" xfId="28345"/>
    <cellStyle name="20% - Accent1 3 12 2 2 2 2" xfId="57206"/>
    <cellStyle name="20% - Accent1 3 12 2 2 3" xfId="40159"/>
    <cellStyle name="20% - Accent1 3 12 2 3" xfId="22367"/>
    <cellStyle name="20% - Accent1 3 12 2 3 2" xfId="51228"/>
    <cellStyle name="20% - Accent1 3 12 2 4" xfId="34118"/>
    <cellStyle name="20% - Accent1 3 12 3" xfId="8412"/>
    <cellStyle name="20% - Accent1 3 12 3 2" xfId="25459"/>
    <cellStyle name="20% - Accent1 3 12 3 2 2" xfId="54320"/>
    <cellStyle name="20% - Accent1 3 12 3 3" xfId="37273"/>
    <cellStyle name="20% - Accent1 3 12 4" xfId="14086"/>
    <cellStyle name="20% - Accent1 3 12 4 2" xfId="19687"/>
    <cellStyle name="20% - Accent1 3 12 4 2 2" xfId="48548"/>
    <cellStyle name="20% - Accent1 3 12 4 3" xfId="42947"/>
    <cellStyle name="20% - Accent1 3 12 5" xfId="17007"/>
    <cellStyle name="20% - Accent1 3 12 5 2" xfId="45868"/>
    <cellStyle name="20% - Accent1 3 12 6" xfId="31232"/>
    <cellStyle name="20% - Accent1 3 13" xfId="2579"/>
    <cellStyle name="20% - Accent1 3 13 2" xfId="5465"/>
    <cellStyle name="20% - Accent1 3 13 2 2" xfId="11506"/>
    <cellStyle name="20% - Accent1 3 13 2 2 2" xfId="28553"/>
    <cellStyle name="20% - Accent1 3 13 2 2 2 2" xfId="57414"/>
    <cellStyle name="20% - Accent1 3 13 2 2 3" xfId="40367"/>
    <cellStyle name="20% - Accent1 3 13 2 3" xfId="22575"/>
    <cellStyle name="20% - Accent1 3 13 2 3 2" xfId="51436"/>
    <cellStyle name="20% - Accent1 3 13 2 4" xfId="34326"/>
    <cellStyle name="20% - Accent1 3 13 3" xfId="8620"/>
    <cellStyle name="20% - Accent1 3 13 3 2" xfId="25667"/>
    <cellStyle name="20% - Accent1 3 13 3 2 2" xfId="54528"/>
    <cellStyle name="20% - Accent1 3 13 3 3" xfId="37481"/>
    <cellStyle name="20% - Accent1 3 13 4" xfId="13345"/>
    <cellStyle name="20% - Accent1 3 13 4 2" xfId="19895"/>
    <cellStyle name="20% - Accent1 3 13 4 2 2" xfId="48756"/>
    <cellStyle name="20% - Accent1 3 13 4 3" xfId="42206"/>
    <cellStyle name="20% - Accent1 3 13 5" xfId="17215"/>
    <cellStyle name="20% - Accent1 3 13 5 2" xfId="46076"/>
    <cellStyle name="20% - Accent1 3 13 6" xfId="31440"/>
    <cellStyle name="20% - Accent1 3 14" xfId="2991"/>
    <cellStyle name="20% - Accent1 3 14 2" xfId="9032"/>
    <cellStyle name="20% - Accent1 3 14 2 2" xfId="26079"/>
    <cellStyle name="20% - Accent1 3 14 2 2 2" xfId="54940"/>
    <cellStyle name="20% - Accent1 3 14 2 3" xfId="37893"/>
    <cellStyle name="20% - Accent1 3 14 3" xfId="12327"/>
    <cellStyle name="20% - Accent1 3 14 3 2" xfId="20101"/>
    <cellStyle name="20% - Accent1 3 14 3 2 2" xfId="48962"/>
    <cellStyle name="20% - Accent1 3 14 3 3" xfId="41188"/>
    <cellStyle name="20% - Accent1 3 14 4" xfId="14741"/>
    <cellStyle name="20% - Accent1 3 14 4 2" xfId="43602"/>
    <cellStyle name="20% - Accent1 3 14 5" xfId="31852"/>
    <cellStyle name="20% - Accent1 3 15" xfId="2785"/>
    <cellStyle name="20% - Accent1 3 15 2" xfId="8826"/>
    <cellStyle name="20% - Accent1 3 15 2 2" xfId="25873"/>
    <cellStyle name="20% - Accent1 3 15 2 2 2" xfId="54734"/>
    <cellStyle name="20% - Accent1 3 15 2 3" xfId="37687"/>
    <cellStyle name="20% - Accent1 3 15 3" xfId="17421"/>
    <cellStyle name="20% - Accent1 3 15 3 2" xfId="46282"/>
    <cellStyle name="20% - Accent1 3 15 4" xfId="31646"/>
    <cellStyle name="20% - Accent1 3 16" xfId="5671"/>
    <cellStyle name="20% - Accent1 3 16 2" xfId="11712"/>
    <cellStyle name="20% - Accent1 3 16 2 2" xfId="28759"/>
    <cellStyle name="20% - Accent1 3 16 2 2 2" xfId="57620"/>
    <cellStyle name="20% - Accent1 3 16 2 3" xfId="40573"/>
    <cellStyle name="20% - Accent1 3 16 3" xfId="22781"/>
    <cellStyle name="20% - Accent1 3 16 3 2" xfId="51642"/>
    <cellStyle name="20% - Accent1 3 16 4" xfId="34532"/>
    <cellStyle name="20% - Accent1 3 17" xfId="5888"/>
    <cellStyle name="20% - Accent1 3 17 2" xfId="22987"/>
    <cellStyle name="20% - Accent1 3 17 2 2" xfId="51848"/>
    <cellStyle name="20% - Accent1 3 17 3" xfId="34749"/>
    <cellStyle name="20% - Accent1 3 18" xfId="6146"/>
    <cellStyle name="20% - Accent1 3 18 2" xfId="23193"/>
    <cellStyle name="20% - Accent1 3 18 2 2" xfId="52054"/>
    <cellStyle name="20% - Accent1 3 18 3" xfId="35007"/>
    <cellStyle name="20% - Accent1 3 19" xfId="14535"/>
    <cellStyle name="20% - Accent1 3 19 2" xfId="43396"/>
    <cellStyle name="20% - Accent1 3 2" xfId="310"/>
    <cellStyle name="20% - Accent1 3 2 10" xfId="2473"/>
    <cellStyle name="20% - Accent1 3 2 10 2" xfId="5360"/>
    <cellStyle name="20% - Accent1 3 2 10 2 2" xfId="11401"/>
    <cellStyle name="20% - Accent1 3 2 10 2 2 2" xfId="28448"/>
    <cellStyle name="20% - Accent1 3 2 10 2 2 2 2" xfId="57309"/>
    <cellStyle name="20% - Accent1 3 2 10 2 2 3" xfId="40262"/>
    <cellStyle name="20% - Accent1 3 2 10 2 3" xfId="22470"/>
    <cellStyle name="20% - Accent1 3 2 10 2 3 2" xfId="51331"/>
    <cellStyle name="20% - Accent1 3 2 10 2 4" xfId="34221"/>
    <cellStyle name="20% - Accent1 3 2 10 3" xfId="8515"/>
    <cellStyle name="20% - Accent1 3 2 10 3 2" xfId="25562"/>
    <cellStyle name="20% - Accent1 3 2 10 3 2 2" xfId="54423"/>
    <cellStyle name="20% - Accent1 3 2 10 3 3" xfId="37376"/>
    <cellStyle name="20% - Accent1 3 2 10 4" xfId="13276"/>
    <cellStyle name="20% - Accent1 3 2 10 4 2" xfId="19790"/>
    <cellStyle name="20% - Accent1 3 2 10 4 2 2" xfId="48651"/>
    <cellStyle name="20% - Accent1 3 2 10 4 3" xfId="42137"/>
    <cellStyle name="20% - Accent1 3 2 10 5" xfId="17110"/>
    <cellStyle name="20% - Accent1 3 2 10 5 2" xfId="45971"/>
    <cellStyle name="20% - Accent1 3 2 10 6" xfId="31335"/>
    <cellStyle name="20% - Accent1 3 2 11" xfId="2682"/>
    <cellStyle name="20% - Accent1 3 2 11 2" xfId="5568"/>
    <cellStyle name="20% - Accent1 3 2 11 2 2" xfId="11609"/>
    <cellStyle name="20% - Accent1 3 2 11 2 2 2" xfId="28656"/>
    <cellStyle name="20% - Accent1 3 2 11 2 2 2 2" xfId="57517"/>
    <cellStyle name="20% - Accent1 3 2 11 2 2 3" xfId="40470"/>
    <cellStyle name="20% - Accent1 3 2 11 2 3" xfId="22678"/>
    <cellStyle name="20% - Accent1 3 2 11 2 3 2" xfId="51539"/>
    <cellStyle name="20% - Accent1 3 2 11 2 4" xfId="34429"/>
    <cellStyle name="20% - Accent1 3 2 11 3" xfId="8723"/>
    <cellStyle name="20% - Accent1 3 2 11 3 2" xfId="25770"/>
    <cellStyle name="20% - Accent1 3 2 11 3 2 2" xfId="54631"/>
    <cellStyle name="20% - Accent1 3 2 11 3 3" xfId="37584"/>
    <cellStyle name="20% - Accent1 3 2 11 4" xfId="13679"/>
    <cellStyle name="20% - Accent1 3 2 11 4 2" xfId="19998"/>
    <cellStyle name="20% - Accent1 3 2 11 4 2 2" xfId="48859"/>
    <cellStyle name="20% - Accent1 3 2 11 4 3" xfId="42540"/>
    <cellStyle name="20% - Accent1 3 2 11 5" xfId="17318"/>
    <cellStyle name="20% - Accent1 3 2 11 5 2" xfId="46179"/>
    <cellStyle name="20% - Accent1 3 2 11 6" xfId="31543"/>
    <cellStyle name="20% - Accent1 3 2 12" xfId="3197"/>
    <cellStyle name="20% - Accent1 3 2 12 2" xfId="9238"/>
    <cellStyle name="20% - Accent1 3 2 12 2 2" xfId="26285"/>
    <cellStyle name="20% - Accent1 3 2 12 2 2 2" xfId="55146"/>
    <cellStyle name="20% - Accent1 3 2 12 2 3" xfId="38099"/>
    <cellStyle name="20% - Accent1 3 2 12 3" xfId="12453"/>
    <cellStyle name="20% - Accent1 3 2 12 3 2" xfId="20307"/>
    <cellStyle name="20% - Accent1 3 2 12 3 2 2" xfId="49168"/>
    <cellStyle name="20% - Accent1 3 2 12 3 3" xfId="41314"/>
    <cellStyle name="20% - Accent1 3 2 12 4" xfId="14947"/>
    <cellStyle name="20% - Accent1 3 2 12 4 2" xfId="43808"/>
    <cellStyle name="20% - Accent1 3 2 12 5" xfId="32058"/>
    <cellStyle name="20% - Accent1 3 2 13" xfId="2888"/>
    <cellStyle name="20% - Accent1 3 2 13 2" xfId="8929"/>
    <cellStyle name="20% - Accent1 3 2 13 2 2" xfId="25976"/>
    <cellStyle name="20% - Accent1 3 2 13 2 2 2" xfId="54837"/>
    <cellStyle name="20% - Accent1 3 2 13 2 3" xfId="37790"/>
    <cellStyle name="20% - Accent1 3 2 13 3" xfId="17524"/>
    <cellStyle name="20% - Accent1 3 2 13 3 2" xfId="46385"/>
    <cellStyle name="20% - Accent1 3 2 13 4" xfId="31749"/>
    <cellStyle name="20% - Accent1 3 2 14" xfId="5774"/>
    <cellStyle name="20% - Accent1 3 2 14 2" xfId="11815"/>
    <cellStyle name="20% - Accent1 3 2 14 2 2" xfId="28862"/>
    <cellStyle name="20% - Accent1 3 2 14 2 2 2" xfId="57723"/>
    <cellStyle name="20% - Accent1 3 2 14 2 3" xfId="40676"/>
    <cellStyle name="20% - Accent1 3 2 14 3" xfId="22884"/>
    <cellStyle name="20% - Accent1 3 2 14 3 2" xfId="51745"/>
    <cellStyle name="20% - Accent1 3 2 14 4" xfId="34635"/>
    <cellStyle name="20% - Accent1 3 2 15" xfId="5991"/>
    <cellStyle name="20% - Accent1 3 2 15 2" xfId="23090"/>
    <cellStyle name="20% - Accent1 3 2 15 2 2" xfId="51951"/>
    <cellStyle name="20% - Accent1 3 2 15 3" xfId="34852"/>
    <cellStyle name="20% - Accent1 3 2 16" xfId="6352"/>
    <cellStyle name="20% - Accent1 3 2 16 2" xfId="23399"/>
    <cellStyle name="20% - Accent1 3 2 16 2 2" xfId="52260"/>
    <cellStyle name="20% - Accent1 3 2 16 3" xfId="35213"/>
    <cellStyle name="20% - Accent1 3 2 17" xfId="14638"/>
    <cellStyle name="20% - Accent1 3 2 17 2" xfId="43499"/>
    <cellStyle name="20% - Accent1 3 2 18" xfId="29172"/>
    <cellStyle name="20% - Accent1 3 2 2" xfId="516"/>
    <cellStyle name="20% - Accent1 3 2 2 2" xfId="2267"/>
    <cellStyle name="20% - Accent1 3 2 2 2 2" xfId="5154"/>
    <cellStyle name="20% - Accent1 3 2 2 2 2 2" xfId="11195"/>
    <cellStyle name="20% - Accent1 3 2 2 2 2 2 2" xfId="28242"/>
    <cellStyle name="20% - Accent1 3 2 2 2 2 2 2 2" xfId="57103"/>
    <cellStyle name="20% - Accent1 3 2 2 2 2 2 3" xfId="40056"/>
    <cellStyle name="20% - Accent1 3 2 2 2 2 3" xfId="22264"/>
    <cellStyle name="20% - Accent1 3 2 2 2 2 3 2" xfId="51125"/>
    <cellStyle name="20% - Accent1 3 2 2 2 2 4" xfId="34015"/>
    <cellStyle name="20% - Accent1 3 2 2 2 3" xfId="8309"/>
    <cellStyle name="20% - Accent1 3 2 2 2 3 2" xfId="25356"/>
    <cellStyle name="20% - Accent1 3 2 2 2 3 2 2" xfId="54217"/>
    <cellStyle name="20% - Accent1 3 2 2 2 3 3" xfId="37170"/>
    <cellStyle name="20% - Accent1 3 2 2 2 4" xfId="12492"/>
    <cellStyle name="20% - Accent1 3 2 2 2 4 2" xfId="19584"/>
    <cellStyle name="20% - Accent1 3 2 2 2 4 2 2" xfId="48445"/>
    <cellStyle name="20% - Accent1 3 2 2 2 4 3" xfId="41353"/>
    <cellStyle name="20% - Accent1 3 2 2 2 5" xfId="16904"/>
    <cellStyle name="20% - Accent1 3 2 2 2 5 2" xfId="45765"/>
    <cellStyle name="20% - Accent1 3 2 2 2 6" xfId="31129"/>
    <cellStyle name="20% - Accent1 3 2 2 3" xfId="3403"/>
    <cellStyle name="20% - Accent1 3 2 2 3 2" xfId="9444"/>
    <cellStyle name="20% - Accent1 3 2 2 3 2 2" xfId="26491"/>
    <cellStyle name="20% - Accent1 3 2 2 3 2 2 2" xfId="55352"/>
    <cellStyle name="20% - Accent1 3 2 2 3 2 3" xfId="38305"/>
    <cellStyle name="20% - Accent1 3 2 2 3 3" xfId="20513"/>
    <cellStyle name="20% - Accent1 3 2 2 3 3 2" xfId="49374"/>
    <cellStyle name="20% - Accent1 3 2 2 3 4" xfId="32264"/>
    <cellStyle name="20% - Accent1 3 2 2 4" xfId="6558"/>
    <cellStyle name="20% - Accent1 3 2 2 4 2" xfId="23605"/>
    <cellStyle name="20% - Accent1 3 2 2 4 2 2" xfId="52466"/>
    <cellStyle name="20% - Accent1 3 2 2 4 3" xfId="35419"/>
    <cellStyle name="20% - Accent1 3 2 2 5" xfId="12571"/>
    <cellStyle name="20% - Accent1 3 2 2 5 2" xfId="17833"/>
    <cellStyle name="20% - Accent1 3 2 2 5 2 2" xfId="46694"/>
    <cellStyle name="20% - Accent1 3 2 2 5 3" xfId="41432"/>
    <cellStyle name="20% - Accent1 3 2 2 6" xfId="15153"/>
    <cellStyle name="20% - Accent1 3 2 2 6 2" xfId="44014"/>
    <cellStyle name="20% - Accent1 3 2 2 7" xfId="29378"/>
    <cellStyle name="20% - Accent1 3 2 3" xfId="825"/>
    <cellStyle name="20% - Accent1 3 2 3 2" xfId="3712"/>
    <cellStyle name="20% - Accent1 3 2 3 2 2" xfId="9753"/>
    <cellStyle name="20% - Accent1 3 2 3 2 2 2" xfId="26800"/>
    <cellStyle name="20% - Accent1 3 2 3 2 2 2 2" xfId="55661"/>
    <cellStyle name="20% - Accent1 3 2 3 2 2 3" xfId="38614"/>
    <cellStyle name="20% - Accent1 3 2 3 2 3" xfId="20822"/>
    <cellStyle name="20% - Accent1 3 2 3 2 3 2" xfId="49683"/>
    <cellStyle name="20% - Accent1 3 2 3 2 4" xfId="32573"/>
    <cellStyle name="20% - Accent1 3 2 3 3" xfId="6867"/>
    <cellStyle name="20% - Accent1 3 2 3 3 2" xfId="23914"/>
    <cellStyle name="20% - Accent1 3 2 3 3 2 2" xfId="52775"/>
    <cellStyle name="20% - Accent1 3 2 3 3 3" xfId="35728"/>
    <cellStyle name="20% - Accent1 3 2 3 4" xfId="14307"/>
    <cellStyle name="20% - Accent1 3 2 3 4 2" xfId="18142"/>
    <cellStyle name="20% - Accent1 3 2 3 4 2 2" xfId="47003"/>
    <cellStyle name="20% - Accent1 3 2 3 4 3" xfId="43168"/>
    <cellStyle name="20% - Accent1 3 2 3 5" xfId="15462"/>
    <cellStyle name="20% - Accent1 3 2 3 5 2" xfId="44323"/>
    <cellStyle name="20% - Accent1 3 2 3 6" xfId="29687"/>
    <cellStyle name="20% - Accent1 3 2 4" xfId="1031"/>
    <cellStyle name="20% - Accent1 3 2 4 2" xfId="3918"/>
    <cellStyle name="20% - Accent1 3 2 4 2 2" xfId="9959"/>
    <cellStyle name="20% - Accent1 3 2 4 2 2 2" xfId="27006"/>
    <cellStyle name="20% - Accent1 3 2 4 2 2 2 2" xfId="55867"/>
    <cellStyle name="20% - Accent1 3 2 4 2 2 3" xfId="38820"/>
    <cellStyle name="20% - Accent1 3 2 4 2 3" xfId="21028"/>
    <cellStyle name="20% - Accent1 3 2 4 2 3 2" xfId="49889"/>
    <cellStyle name="20% - Accent1 3 2 4 2 4" xfId="32779"/>
    <cellStyle name="20% - Accent1 3 2 4 3" xfId="7073"/>
    <cellStyle name="20% - Accent1 3 2 4 3 2" xfId="24120"/>
    <cellStyle name="20% - Accent1 3 2 4 3 2 2" xfId="52981"/>
    <cellStyle name="20% - Accent1 3 2 4 3 3" xfId="35934"/>
    <cellStyle name="20% - Accent1 3 2 4 4" xfId="12928"/>
    <cellStyle name="20% - Accent1 3 2 4 4 2" xfId="18348"/>
    <cellStyle name="20% - Accent1 3 2 4 4 2 2" xfId="47209"/>
    <cellStyle name="20% - Accent1 3 2 4 4 3" xfId="41789"/>
    <cellStyle name="20% - Accent1 3 2 4 5" xfId="15668"/>
    <cellStyle name="20% - Accent1 3 2 4 5 2" xfId="44529"/>
    <cellStyle name="20% - Accent1 3 2 4 6" xfId="29893"/>
    <cellStyle name="20% - Accent1 3 2 5" xfId="1237"/>
    <cellStyle name="20% - Accent1 3 2 5 2" xfId="4124"/>
    <cellStyle name="20% - Accent1 3 2 5 2 2" xfId="10165"/>
    <cellStyle name="20% - Accent1 3 2 5 2 2 2" xfId="27212"/>
    <cellStyle name="20% - Accent1 3 2 5 2 2 2 2" xfId="56073"/>
    <cellStyle name="20% - Accent1 3 2 5 2 2 3" xfId="39026"/>
    <cellStyle name="20% - Accent1 3 2 5 2 3" xfId="21234"/>
    <cellStyle name="20% - Accent1 3 2 5 2 3 2" xfId="50095"/>
    <cellStyle name="20% - Accent1 3 2 5 2 4" xfId="32985"/>
    <cellStyle name="20% - Accent1 3 2 5 3" xfId="7279"/>
    <cellStyle name="20% - Accent1 3 2 5 3 2" xfId="24326"/>
    <cellStyle name="20% - Accent1 3 2 5 3 2 2" xfId="53187"/>
    <cellStyle name="20% - Accent1 3 2 5 3 3" xfId="36140"/>
    <cellStyle name="20% - Accent1 3 2 5 4" xfId="13518"/>
    <cellStyle name="20% - Accent1 3 2 5 4 2" xfId="18554"/>
    <cellStyle name="20% - Accent1 3 2 5 4 2 2" xfId="47415"/>
    <cellStyle name="20% - Accent1 3 2 5 4 3" xfId="42379"/>
    <cellStyle name="20% - Accent1 3 2 5 5" xfId="15874"/>
    <cellStyle name="20% - Accent1 3 2 5 5 2" xfId="44735"/>
    <cellStyle name="20% - Accent1 3 2 5 6" xfId="30099"/>
    <cellStyle name="20% - Accent1 3 2 6" xfId="1443"/>
    <cellStyle name="20% - Accent1 3 2 6 2" xfId="4330"/>
    <cellStyle name="20% - Accent1 3 2 6 2 2" xfId="10371"/>
    <cellStyle name="20% - Accent1 3 2 6 2 2 2" xfId="27418"/>
    <cellStyle name="20% - Accent1 3 2 6 2 2 2 2" xfId="56279"/>
    <cellStyle name="20% - Accent1 3 2 6 2 2 3" xfId="39232"/>
    <cellStyle name="20% - Accent1 3 2 6 2 3" xfId="21440"/>
    <cellStyle name="20% - Accent1 3 2 6 2 3 2" xfId="50301"/>
    <cellStyle name="20% - Accent1 3 2 6 2 4" xfId="33191"/>
    <cellStyle name="20% - Accent1 3 2 6 3" xfId="7485"/>
    <cellStyle name="20% - Accent1 3 2 6 3 2" xfId="24532"/>
    <cellStyle name="20% - Accent1 3 2 6 3 2 2" xfId="53393"/>
    <cellStyle name="20% - Accent1 3 2 6 3 3" xfId="36346"/>
    <cellStyle name="20% - Accent1 3 2 6 4" xfId="12658"/>
    <cellStyle name="20% - Accent1 3 2 6 4 2" xfId="18760"/>
    <cellStyle name="20% - Accent1 3 2 6 4 2 2" xfId="47621"/>
    <cellStyle name="20% - Accent1 3 2 6 4 3" xfId="41519"/>
    <cellStyle name="20% - Accent1 3 2 6 5" xfId="16080"/>
    <cellStyle name="20% - Accent1 3 2 6 5 2" xfId="44941"/>
    <cellStyle name="20% - Accent1 3 2 6 6" xfId="30305"/>
    <cellStyle name="20% - Accent1 3 2 7" xfId="1649"/>
    <cellStyle name="20% - Accent1 3 2 7 2" xfId="4536"/>
    <cellStyle name="20% - Accent1 3 2 7 2 2" xfId="10577"/>
    <cellStyle name="20% - Accent1 3 2 7 2 2 2" xfId="27624"/>
    <cellStyle name="20% - Accent1 3 2 7 2 2 2 2" xfId="56485"/>
    <cellStyle name="20% - Accent1 3 2 7 2 2 3" xfId="39438"/>
    <cellStyle name="20% - Accent1 3 2 7 2 3" xfId="21646"/>
    <cellStyle name="20% - Accent1 3 2 7 2 3 2" xfId="50507"/>
    <cellStyle name="20% - Accent1 3 2 7 2 4" xfId="33397"/>
    <cellStyle name="20% - Accent1 3 2 7 3" xfId="7691"/>
    <cellStyle name="20% - Accent1 3 2 7 3 2" xfId="24738"/>
    <cellStyle name="20% - Accent1 3 2 7 3 2 2" xfId="53599"/>
    <cellStyle name="20% - Accent1 3 2 7 3 3" xfId="36552"/>
    <cellStyle name="20% - Accent1 3 2 7 4" xfId="12969"/>
    <cellStyle name="20% - Accent1 3 2 7 4 2" xfId="18966"/>
    <cellStyle name="20% - Accent1 3 2 7 4 2 2" xfId="47827"/>
    <cellStyle name="20% - Accent1 3 2 7 4 3" xfId="41830"/>
    <cellStyle name="20% - Accent1 3 2 7 5" xfId="16286"/>
    <cellStyle name="20% - Accent1 3 2 7 5 2" xfId="45147"/>
    <cellStyle name="20% - Accent1 3 2 7 6" xfId="30511"/>
    <cellStyle name="20% - Accent1 3 2 8" xfId="1855"/>
    <cellStyle name="20% - Accent1 3 2 8 2" xfId="4742"/>
    <cellStyle name="20% - Accent1 3 2 8 2 2" xfId="10783"/>
    <cellStyle name="20% - Accent1 3 2 8 2 2 2" xfId="27830"/>
    <cellStyle name="20% - Accent1 3 2 8 2 2 2 2" xfId="56691"/>
    <cellStyle name="20% - Accent1 3 2 8 2 2 3" xfId="39644"/>
    <cellStyle name="20% - Accent1 3 2 8 2 3" xfId="21852"/>
    <cellStyle name="20% - Accent1 3 2 8 2 3 2" xfId="50713"/>
    <cellStyle name="20% - Accent1 3 2 8 2 4" xfId="33603"/>
    <cellStyle name="20% - Accent1 3 2 8 3" xfId="7897"/>
    <cellStyle name="20% - Accent1 3 2 8 3 2" xfId="24944"/>
    <cellStyle name="20% - Accent1 3 2 8 3 2 2" xfId="53805"/>
    <cellStyle name="20% - Accent1 3 2 8 3 3" xfId="36758"/>
    <cellStyle name="20% - Accent1 3 2 8 4" xfId="12825"/>
    <cellStyle name="20% - Accent1 3 2 8 4 2" xfId="19172"/>
    <cellStyle name="20% - Accent1 3 2 8 4 2 2" xfId="48033"/>
    <cellStyle name="20% - Accent1 3 2 8 4 3" xfId="41686"/>
    <cellStyle name="20% - Accent1 3 2 8 5" xfId="16492"/>
    <cellStyle name="20% - Accent1 3 2 8 5 2" xfId="45353"/>
    <cellStyle name="20% - Accent1 3 2 8 6" xfId="30717"/>
    <cellStyle name="20% - Accent1 3 2 9" xfId="2061"/>
    <cellStyle name="20% - Accent1 3 2 9 2" xfId="4948"/>
    <cellStyle name="20% - Accent1 3 2 9 2 2" xfId="10989"/>
    <cellStyle name="20% - Accent1 3 2 9 2 2 2" xfId="28036"/>
    <cellStyle name="20% - Accent1 3 2 9 2 2 2 2" xfId="56897"/>
    <cellStyle name="20% - Accent1 3 2 9 2 2 3" xfId="39850"/>
    <cellStyle name="20% - Accent1 3 2 9 2 3" xfId="22058"/>
    <cellStyle name="20% - Accent1 3 2 9 2 3 2" xfId="50919"/>
    <cellStyle name="20% - Accent1 3 2 9 2 4" xfId="33809"/>
    <cellStyle name="20% - Accent1 3 2 9 3" xfId="8103"/>
    <cellStyle name="20% - Accent1 3 2 9 3 2" xfId="25150"/>
    <cellStyle name="20% - Accent1 3 2 9 3 2 2" xfId="54011"/>
    <cellStyle name="20% - Accent1 3 2 9 3 3" xfId="36964"/>
    <cellStyle name="20% - Accent1 3 2 9 4" xfId="12814"/>
    <cellStyle name="20% - Accent1 3 2 9 4 2" xfId="19378"/>
    <cellStyle name="20% - Accent1 3 2 9 4 2 2" xfId="48239"/>
    <cellStyle name="20% - Accent1 3 2 9 4 3" xfId="41675"/>
    <cellStyle name="20% - Accent1 3 2 9 5" xfId="16698"/>
    <cellStyle name="20% - Accent1 3 2 9 5 2" xfId="45559"/>
    <cellStyle name="20% - Accent1 3 2 9 6" xfId="30923"/>
    <cellStyle name="20% - Accent1 3 20" xfId="28966"/>
    <cellStyle name="20% - Accent1 3 3" xfId="207"/>
    <cellStyle name="20% - Accent1 3 3 2" xfId="619"/>
    <cellStyle name="20% - Accent1 3 3 2 2" xfId="3506"/>
    <cellStyle name="20% - Accent1 3 3 2 2 2" xfId="9547"/>
    <cellStyle name="20% - Accent1 3 3 2 2 2 2" xfId="26594"/>
    <cellStyle name="20% - Accent1 3 3 2 2 2 2 2" xfId="55455"/>
    <cellStyle name="20% - Accent1 3 3 2 2 2 3" xfId="38408"/>
    <cellStyle name="20% - Accent1 3 3 2 2 3" xfId="20616"/>
    <cellStyle name="20% - Accent1 3 3 2 2 3 2" xfId="49477"/>
    <cellStyle name="20% - Accent1 3 3 2 2 4" xfId="32367"/>
    <cellStyle name="20% - Accent1 3 3 2 3" xfId="6661"/>
    <cellStyle name="20% - Accent1 3 3 2 3 2" xfId="23708"/>
    <cellStyle name="20% - Accent1 3 3 2 3 2 2" xfId="52569"/>
    <cellStyle name="20% - Accent1 3 3 2 3 3" xfId="35522"/>
    <cellStyle name="20% - Accent1 3 3 2 4" xfId="13919"/>
    <cellStyle name="20% - Accent1 3 3 2 4 2" xfId="17936"/>
    <cellStyle name="20% - Accent1 3 3 2 4 2 2" xfId="46797"/>
    <cellStyle name="20% - Accent1 3 3 2 4 3" xfId="42780"/>
    <cellStyle name="20% - Accent1 3 3 2 5" xfId="15256"/>
    <cellStyle name="20% - Accent1 3 3 2 5 2" xfId="44117"/>
    <cellStyle name="20% - Accent1 3 3 2 6" xfId="29481"/>
    <cellStyle name="20% - Accent1 3 3 3" xfId="2164"/>
    <cellStyle name="20% - Accent1 3 3 3 2" xfId="5051"/>
    <cellStyle name="20% - Accent1 3 3 3 2 2" xfId="11092"/>
    <cellStyle name="20% - Accent1 3 3 3 2 2 2" xfId="28139"/>
    <cellStyle name="20% - Accent1 3 3 3 2 2 2 2" xfId="57000"/>
    <cellStyle name="20% - Accent1 3 3 3 2 2 3" xfId="39953"/>
    <cellStyle name="20% - Accent1 3 3 3 2 3" xfId="22161"/>
    <cellStyle name="20% - Accent1 3 3 3 2 3 2" xfId="51022"/>
    <cellStyle name="20% - Accent1 3 3 3 2 4" xfId="33912"/>
    <cellStyle name="20% - Accent1 3 3 3 3" xfId="8206"/>
    <cellStyle name="20% - Accent1 3 3 3 3 2" xfId="25253"/>
    <cellStyle name="20% - Accent1 3 3 3 3 2 2" xfId="54114"/>
    <cellStyle name="20% - Accent1 3 3 3 3 3" xfId="37067"/>
    <cellStyle name="20% - Accent1 3 3 3 4" xfId="13150"/>
    <cellStyle name="20% - Accent1 3 3 3 4 2" xfId="19481"/>
    <cellStyle name="20% - Accent1 3 3 3 4 2 2" xfId="48342"/>
    <cellStyle name="20% - Accent1 3 3 3 4 3" xfId="42011"/>
    <cellStyle name="20% - Accent1 3 3 3 5" xfId="16801"/>
    <cellStyle name="20% - Accent1 3 3 3 5 2" xfId="45662"/>
    <cellStyle name="20% - Accent1 3 3 3 6" xfId="31026"/>
    <cellStyle name="20% - Accent1 3 3 4" xfId="3094"/>
    <cellStyle name="20% - Accent1 3 3 4 2" xfId="9135"/>
    <cellStyle name="20% - Accent1 3 3 4 2 2" xfId="26182"/>
    <cellStyle name="20% - Accent1 3 3 4 2 2 2" xfId="55043"/>
    <cellStyle name="20% - Accent1 3 3 4 2 3" xfId="37996"/>
    <cellStyle name="20% - Accent1 3 3 4 3" xfId="20204"/>
    <cellStyle name="20% - Accent1 3 3 4 3 2" xfId="49065"/>
    <cellStyle name="20% - Accent1 3 3 4 4" xfId="31955"/>
    <cellStyle name="20% - Accent1 3 3 5" xfId="6249"/>
    <cellStyle name="20% - Accent1 3 3 5 2" xfId="23296"/>
    <cellStyle name="20% - Accent1 3 3 5 2 2" xfId="52157"/>
    <cellStyle name="20% - Accent1 3 3 5 3" xfId="35110"/>
    <cellStyle name="20% - Accent1 3 3 6" xfId="12307"/>
    <cellStyle name="20% - Accent1 3 3 6 2" xfId="17627"/>
    <cellStyle name="20% - Accent1 3 3 6 2 2" xfId="46488"/>
    <cellStyle name="20% - Accent1 3 3 6 3" xfId="41168"/>
    <cellStyle name="20% - Accent1 3 3 7" xfId="14844"/>
    <cellStyle name="20% - Accent1 3 3 7 2" xfId="43705"/>
    <cellStyle name="20% - Accent1 3 3 8" xfId="29069"/>
    <cellStyle name="20% - Accent1 3 4" xfId="413"/>
    <cellStyle name="20% - Accent1 3 4 2" xfId="3300"/>
    <cellStyle name="20% - Accent1 3 4 2 2" xfId="9341"/>
    <cellStyle name="20% - Accent1 3 4 2 2 2" xfId="26388"/>
    <cellStyle name="20% - Accent1 3 4 2 2 2 2" xfId="55249"/>
    <cellStyle name="20% - Accent1 3 4 2 2 3" xfId="38202"/>
    <cellStyle name="20% - Accent1 3 4 2 3" xfId="20410"/>
    <cellStyle name="20% - Accent1 3 4 2 3 2" xfId="49271"/>
    <cellStyle name="20% - Accent1 3 4 2 4" xfId="32161"/>
    <cellStyle name="20% - Accent1 3 4 3" xfId="6455"/>
    <cellStyle name="20% - Accent1 3 4 3 2" xfId="23502"/>
    <cellStyle name="20% - Accent1 3 4 3 2 2" xfId="52363"/>
    <cellStyle name="20% - Accent1 3 4 3 3" xfId="35316"/>
    <cellStyle name="20% - Accent1 3 4 4" xfId="13315"/>
    <cellStyle name="20% - Accent1 3 4 4 2" xfId="17730"/>
    <cellStyle name="20% - Accent1 3 4 4 2 2" xfId="46591"/>
    <cellStyle name="20% - Accent1 3 4 4 3" xfId="42176"/>
    <cellStyle name="20% - Accent1 3 4 5" xfId="15050"/>
    <cellStyle name="20% - Accent1 3 4 5 2" xfId="43911"/>
    <cellStyle name="20% - Accent1 3 4 6" xfId="29275"/>
    <cellStyle name="20% - Accent1 3 5" xfId="722"/>
    <cellStyle name="20% - Accent1 3 5 2" xfId="3609"/>
    <cellStyle name="20% - Accent1 3 5 2 2" xfId="9650"/>
    <cellStyle name="20% - Accent1 3 5 2 2 2" xfId="26697"/>
    <cellStyle name="20% - Accent1 3 5 2 2 2 2" xfId="55558"/>
    <cellStyle name="20% - Accent1 3 5 2 2 3" xfId="38511"/>
    <cellStyle name="20% - Accent1 3 5 2 3" xfId="20719"/>
    <cellStyle name="20% - Accent1 3 5 2 3 2" xfId="49580"/>
    <cellStyle name="20% - Accent1 3 5 2 4" xfId="32470"/>
    <cellStyle name="20% - Accent1 3 5 3" xfId="6764"/>
    <cellStyle name="20% - Accent1 3 5 3 2" xfId="23811"/>
    <cellStyle name="20% - Accent1 3 5 3 2 2" xfId="52672"/>
    <cellStyle name="20% - Accent1 3 5 3 3" xfId="35625"/>
    <cellStyle name="20% - Accent1 3 5 4" xfId="14143"/>
    <cellStyle name="20% - Accent1 3 5 4 2" xfId="18039"/>
    <cellStyle name="20% - Accent1 3 5 4 2 2" xfId="46900"/>
    <cellStyle name="20% - Accent1 3 5 4 3" xfId="43004"/>
    <cellStyle name="20% - Accent1 3 5 5" xfId="15359"/>
    <cellStyle name="20% - Accent1 3 5 5 2" xfId="44220"/>
    <cellStyle name="20% - Accent1 3 5 6" xfId="29584"/>
    <cellStyle name="20% - Accent1 3 6" xfId="928"/>
    <cellStyle name="20% - Accent1 3 6 2" xfId="3815"/>
    <cellStyle name="20% - Accent1 3 6 2 2" xfId="9856"/>
    <cellStyle name="20% - Accent1 3 6 2 2 2" xfId="26903"/>
    <cellStyle name="20% - Accent1 3 6 2 2 2 2" xfId="55764"/>
    <cellStyle name="20% - Accent1 3 6 2 2 3" xfId="38717"/>
    <cellStyle name="20% - Accent1 3 6 2 3" xfId="20925"/>
    <cellStyle name="20% - Accent1 3 6 2 3 2" xfId="49786"/>
    <cellStyle name="20% - Accent1 3 6 2 4" xfId="32676"/>
    <cellStyle name="20% - Accent1 3 6 3" xfId="6970"/>
    <cellStyle name="20% - Accent1 3 6 3 2" xfId="24017"/>
    <cellStyle name="20% - Accent1 3 6 3 2 2" xfId="52878"/>
    <cellStyle name="20% - Accent1 3 6 3 3" xfId="35831"/>
    <cellStyle name="20% - Accent1 3 6 4" xfId="12014"/>
    <cellStyle name="20% - Accent1 3 6 4 2" xfId="18245"/>
    <cellStyle name="20% - Accent1 3 6 4 2 2" xfId="47106"/>
    <cellStyle name="20% - Accent1 3 6 4 3" xfId="40875"/>
    <cellStyle name="20% - Accent1 3 6 5" xfId="15565"/>
    <cellStyle name="20% - Accent1 3 6 5 2" xfId="44426"/>
    <cellStyle name="20% - Accent1 3 6 6" xfId="29790"/>
    <cellStyle name="20% - Accent1 3 7" xfId="1134"/>
    <cellStyle name="20% - Accent1 3 7 2" xfId="4021"/>
    <cellStyle name="20% - Accent1 3 7 2 2" xfId="10062"/>
    <cellStyle name="20% - Accent1 3 7 2 2 2" xfId="27109"/>
    <cellStyle name="20% - Accent1 3 7 2 2 2 2" xfId="55970"/>
    <cellStyle name="20% - Accent1 3 7 2 2 3" xfId="38923"/>
    <cellStyle name="20% - Accent1 3 7 2 3" xfId="21131"/>
    <cellStyle name="20% - Accent1 3 7 2 3 2" xfId="49992"/>
    <cellStyle name="20% - Accent1 3 7 2 4" xfId="32882"/>
    <cellStyle name="20% - Accent1 3 7 3" xfId="7176"/>
    <cellStyle name="20% - Accent1 3 7 3 2" xfId="24223"/>
    <cellStyle name="20% - Accent1 3 7 3 2 2" xfId="53084"/>
    <cellStyle name="20% - Accent1 3 7 3 3" xfId="36037"/>
    <cellStyle name="20% - Accent1 3 7 4" xfId="13743"/>
    <cellStyle name="20% - Accent1 3 7 4 2" xfId="18451"/>
    <cellStyle name="20% - Accent1 3 7 4 2 2" xfId="47312"/>
    <cellStyle name="20% - Accent1 3 7 4 3" xfId="42604"/>
    <cellStyle name="20% - Accent1 3 7 5" xfId="15771"/>
    <cellStyle name="20% - Accent1 3 7 5 2" xfId="44632"/>
    <cellStyle name="20% - Accent1 3 7 6" xfId="29996"/>
    <cellStyle name="20% - Accent1 3 8" xfId="1340"/>
    <cellStyle name="20% - Accent1 3 8 2" xfId="4227"/>
    <cellStyle name="20% - Accent1 3 8 2 2" xfId="10268"/>
    <cellStyle name="20% - Accent1 3 8 2 2 2" xfId="27315"/>
    <cellStyle name="20% - Accent1 3 8 2 2 2 2" xfId="56176"/>
    <cellStyle name="20% - Accent1 3 8 2 2 3" xfId="39129"/>
    <cellStyle name="20% - Accent1 3 8 2 3" xfId="21337"/>
    <cellStyle name="20% - Accent1 3 8 2 3 2" xfId="50198"/>
    <cellStyle name="20% - Accent1 3 8 2 4" xfId="33088"/>
    <cellStyle name="20% - Accent1 3 8 3" xfId="7382"/>
    <cellStyle name="20% - Accent1 3 8 3 2" xfId="24429"/>
    <cellStyle name="20% - Accent1 3 8 3 2 2" xfId="53290"/>
    <cellStyle name="20% - Accent1 3 8 3 3" xfId="36243"/>
    <cellStyle name="20% - Accent1 3 8 4" xfId="13651"/>
    <cellStyle name="20% - Accent1 3 8 4 2" xfId="18657"/>
    <cellStyle name="20% - Accent1 3 8 4 2 2" xfId="47518"/>
    <cellStyle name="20% - Accent1 3 8 4 3" xfId="42512"/>
    <cellStyle name="20% - Accent1 3 8 5" xfId="15977"/>
    <cellStyle name="20% - Accent1 3 8 5 2" xfId="44838"/>
    <cellStyle name="20% - Accent1 3 8 6" xfId="30202"/>
    <cellStyle name="20% - Accent1 3 9" xfId="1546"/>
    <cellStyle name="20% - Accent1 3 9 2" xfId="4433"/>
    <cellStyle name="20% - Accent1 3 9 2 2" xfId="10474"/>
    <cellStyle name="20% - Accent1 3 9 2 2 2" xfId="27521"/>
    <cellStyle name="20% - Accent1 3 9 2 2 2 2" xfId="56382"/>
    <cellStyle name="20% - Accent1 3 9 2 2 3" xfId="39335"/>
    <cellStyle name="20% - Accent1 3 9 2 3" xfId="21543"/>
    <cellStyle name="20% - Accent1 3 9 2 3 2" xfId="50404"/>
    <cellStyle name="20% - Accent1 3 9 2 4" xfId="33294"/>
    <cellStyle name="20% - Accent1 3 9 3" xfId="7588"/>
    <cellStyle name="20% - Accent1 3 9 3 2" xfId="24635"/>
    <cellStyle name="20% - Accent1 3 9 3 2 2" xfId="53496"/>
    <cellStyle name="20% - Accent1 3 9 3 3" xfId="36449"/>
    <cellStyle name="20% - Accent1 3 9 4" xfId="14220"/>
    <cellStyle name="20% - Accent1 3 9 4 2" xfId="18863"/>
    <cellStyle name="20% - Accent1 3 9 4 2 2" xfId="47724"/>
    <cellStyle name="20% - Accent1 3 9 4 3" xfId="43081"/>
    <cellStyle name="20% - Accent1 3 9 5" xfId="16183"/>
    <cellStyle name="20% - Accent1 3 9 5 2" xfId="45044"/>
    <cellStyle name="20% - Accent1 3 9 6" xfId="30408"/>
    <cellStyle name="20% - Accent1 4" xfId="130"/>
    <cellStyle name="20% - Accent1 4 10" xfId="1778"/>
    <cellStyle name="20% - Accent1 4 10 2" xfId="4665"/>
    <cellStyle name="20% - Accent1 4 10 2 2" xfId="10706"/>
    <cellStyle name="20% - Accent1 4 10 2 2 2" xfId="27753"/>
    <cellStyle name="20% - Accent1 4 10 2 2 2 2" xfId="56614"/>
    <cellStyle name="20% - Accent1 4 10 2 2 3" xfId="39567"/>
    <cellStyle name="20% - Accent1 4 10 2 3" xfId="21775"/>
    <cellStyle name="20% - Accent1 4 10 2 3 2" xfId="50636"/>
    <cellStyle name="20% - Accent1 4 10 2 4" xfId="33526"/>
    <cellStyle name="20% - Accent1 4 10 3" xfId="7820"/>
    <cellStyle name="20% - Accent1 4 10 3 2" xfId="24867"/>
    <cellStyle name="20% - Accent1 4 10 3 2 2" xfId="53728"/>
    <cellStyle name="20% - Accent1 4 10 3 3" xfId="36681"/>
    <cellStyle name="20% - Accent1 4 10 4" xfId="12503"/>
    <cellStyle name="20% - Accent1 4 10 4 2" xfId="19095"/>
    <cellStyle name="20% - Accent1 4 10 4 2 2" xfId="47956"/>
    <cellStyle name="20% - Accent1 4 10 4 3" xfId="41364"/>
    <cellStyle name="20% - Accent1 4 10 5" xfId="16415"/>
    <cellStyle name="20% - Accent1 4 10 5 2" xfId="45276"/>
    <cellStyle name="20% - Accent1 4 10 6" xfId="30640"/>
    <cellStyle name="20% - Accent1 4 11" xfId="1984"/>
    <cellStyle name="20% - Accent1 4 11 2" xfId="4871"/>
    <cellStyle name="20% - Accent1 4 11 2 2" xfId="10912"/>
    <cellStyle name="20% - Accent1 4 11 2 2 2" xfId="27959"/>
    <cellStyle name="20% - Accent1 4 11 2 2 2 2" xfId="56820"/>
    <cellStyle name="20% - Accent1 4 11 2 2 3" xfId="39773"/>
    <cellStyle name="20% - Accent1 4 11 2 3" xfId="21981"/>
    <cellStyle name="20% - Accent1 4 11 2 3 2" xfId="50842"/>
    <cellStyle name="20% - Accent1 4 11 2 4" xfId="33732"/>
    <cellStyle name="20% - Accent1 4 11 3" xfId="8026"/>
    <cellStyle name="20% - Accent1 4 11 3 2" xfId="25073"/>
    <cellStyle name="20% - Accent1 4 11 3 2 2" xfId="53934"/>
    <cellStyle name="20% - Accent1 4 11 3 3" xfId="36887"/>
    <cellStyle name="20% - Accent1 4 11 4" xfId="13107"/>
    <cellStyle name="20% - Accent1 4 11 4 2" xfId="19301"/>
    <cellStyle name="20% - Accent1 4 11 4 2 2" xfId="48162"/>
    <cellStyle name="20% - Accent1 4 11 4 3" xfId="41968"/>
    <cellStyle name="20% - Accent1 4 11 5" xfId="16621"/>
    <cellStyle name="20% - Accent1 4 11 5 2" xfId="45482"/>
    <cellStyle name="20% - Accent1 4 11 6" xfId="30846"/>
    <cellStyle name="20% - Accent1 4 12" xfId="2396"/>
    <cellStyle name="20% - Accent1 4 12 2" xfId="5283"/>
    <cellStyle name="20% - Accent1 4 12 2 2" xfId="11324"/>
    <cellStyle name="20% - Accent1 4 12 2 2 2" xfId="28371"/>
    <cellStyle name="20% - Accent1 4 12 2 2 2 2" xfId="57232"/>
    <cellStyle name="20% - Accent1 4 12 2 2 3" xfId="40185"/>
    <cellStyle name="20% - Accent1 4 12 2 3" xfId="22393"/>
    <cellStyle name="20% - Accent1 4 12 2 3 2" xfId="51254"/>
    <cellStyle name="20% - Accent1 4 12 2 4" xfId="34144"/>
    <cellStyle name="20% - Accent1 4 12 3" xfId="8438"/>
    <cellStyle name="20% - Accent1 4 12 3 2" xfId="25485"/>
    <cellStyle name="20% - Accent1 4 12 3 2 2" xfId="54346"/>
    <cellStyle name="20% - Accent1 4 12 3 3" xfId="37299"/>
    <cellStyle name="20% - Accent1 4 12 4" xfId="12113"/>
    <cellStyle name="20% - Accent1 4 12 4 2" xfId="19713"/>
    <cellStyle name="20% - Accent1 4 12 4 2 2" xfId="48574"/>
    <cellStyle name="20% - Accent1 4 12 4 3" xfId="40974"/>
    <cellStyle name="20% - Accent1 4 12 5" xfId="17033"/>
    <cellStyle name="20% - Accent1 4 12 5 2" xfId="45894"/>
    <cellStyle name="20% - Accent1 4 12 6" xfId="31258"/>
    <cellStyle name="20% - Accent1 4 13" xfId="2605"/>
    <cellStyle name="20% - Accent1 4 13 2" xfId="5491"/>
    <cellStyle name="20% - Accent1 4 13 2 2" xfId="11532"/>
    <cellStyle name="20% - Accent1 4 13 2 2 2" xfId="28579"/>
    <cellStyle name="20% - Accent1 4 13 2 2 2 2" xfId="57440"/>
    <cellStyle name="20% - Accent1 4 13 2 2 3" xfId="40393"/>
    <cellStyle name="20% - Accent1 4 13 2 3" xfId="22601"/>
    <cellStyle name="20% - Accent1 4 13 2 3 2" xfId="51462"/>
    <cellStyle name="20% - Accent1 4 13 2 4" xfId="34352"/>
    <cellStyle name="20% - Accent1 4 13 3" xfId="8646"/>
    <cellStyle name="20% - Accent1 4 13 3 2" xfId="25693"/>
    <cellStyle name="20% - Accent1 4 13 3 2 2" xfId="54554"/>
    <cellStyle name="20% - Accent1 4 13 3 3" xfId="37507"/>
    <cellStyle name="20% - Accent1 4 13 4" xfId="12602"/>
    <cellStyle name="20% - Accent1 4 13 4 2" xfId="19921"/>
    <cellStyle name="20% - Accent1 4 13 4 2 2" xfId="48782"/>
    <cellStyle name="20% - Accent1 4 13 4 3" xfId="41463"/>
    <cellStyle name="20% - Accent1 4 13 5" xfId="17241"/>
    <cellStyle name="20% - Accent1 4 13 5 2" xfId="46102"/>
    <cellStyle name="20% - Accent1 4 13 6" xfId="31466"/>
    <cellStyle name="20% - Accent1 4 14" xfId="3017"/>
    <cellStyle name="20% - Accent1 4 14 2" xfId="9058"/>
    <cellStyle name="20% - Accent1 4 14 2 2" xfId="26105"/>
    <cellStyle name="20% - Accent1 4 14 2 2 2" xfId="54966"/>
    <cellStyle name="20% - Accent1 4 14 2 3" xfId="37919"/>
    <cellStyle name="20% - Accent1 4 14 3" xfId="13492"/>
    <cellStyle name="20% - Accent1 4 14 3 2" xfId="20127"/>
    <cellStyle name="20% - Accent1 4 14 3 2 2" xfId="48988"/>
    <cellStyle name="20% - Accent1 4 14 3 3" xfId="42353"/>
    <cellStyle name="20% - Accent1 4 14 4" xfId="14767"/>
    <cellStyle name="20% - Accent1 4 14 4 2" xfId="43628"/>
    <cellStyle name="20% - Accent1 4 14 5" xfId="31878"/>
    <cellStyle name="20% - Accent1 4 15" xfId="2811"/>
    <cellStyle name="20% - Accent1 4 15 2" xfId="8852"/>
    <cellStyle name="20% - Accent1 4 15 2 2" xfId="25899"/>
    <cellStyle name="20% - Accent1 4 15 2 2 2" xfId="54760"/>
    <cellStyle name="20% - Accent1 4 15 2 3" xfId="37713"/>
    <cellStyle name="20% - Accent1 4 15 3" xfId="17447"/>
    <cellStyle name="20% - Accent1 4 15 3 2" xfId="46308"/>
    <cellStyle name="20% - Accent1 4 15 4" xfId="31672"/>
    <cellStyle name="20% - Accent1 4 16" xfId="5697"/>
    <cellStyle name="20% - Accent1 4 16 2" xfId="11738"/>
    <cellStyle name="20% - Accent1 4 16 2 2" xfId="28785"/>
    <cellStyle name="20% - Accent1 4 16 2 2 2" xfId="57646"/>
    <cellStyle name="20% - Accent1 4 16 2 3" xfId="40599"/>
    <cellStyle name="20% - Accent1 4 16 3" xfId="22807"/>
    <cellStyle name="20% - Accent1 4 16 3 2" xfId="51668"/>
    <cellStyle name="20% - Accent1 4 16 4" xfId="34558"/>
    <cellStyle name="20% - Accent1 4 17" xfId="5914"/>
    <cellStyle name="20% - Accent1 4 17 2" xfId="23013"/>
    <cellStyle name="20% - Accent1 4 17 2 2" xfId="51874"/>
    <cellStyle name="20% - Accent1 4 17 3" xfId="34775"/>
    <cellStyle name="20% - Accent1 4 18" xfId="6172"/>
    <cellStyle name="20% - Accent1 4 18 2" xfId="23219"/>
    <cellStyle name="20% - Accent1 4 18 2 2" xfId="52080"/>
    <cellStyle name="20% - Accent1 4 18 3" xfId="35033"/>
    <cellStyle name="20% - Accent1 4 19" xfId="14561"/>
    <cellStyle name="20% - Accent1 4 19 2" xfId="43422"/>
    <cellStyle name="20% - Accent1 4 2" xfId="336"/>
    <cellStyle name="20% - Accent1 4 2 10" xfId="2499"/>
    <cellStyle name="20% - Accent1 4 2 10 2" xfId="5386"/>
    <cellStyle name="20% - Accent1 4 2 10 2 2" xfId="11427"/>
    <cellStyle name="20% - Accent1 4 2 10 2 2 2" xfId="28474"/>
    <cellStyle name="20% - Accent1 4 2 10 2 2 2 2" xfId="57335"/>
    <cellStyle name="20% - Accent1 4 2 10 2 2 3" xfId="40288"/>
    <cellStyle name="20% - Accent1 4 2 10 2 3" xfId="22496"/>
    <cellStyle name="20% - Accent1 4 2 10 2 3 2" xfId="51357"/>
    <cellStyle name="20% - Accent1 4 2 10 2 4" xfId="34247"/>
    <cellStyle name="20% - Accent1 4 2 10 3" xfId="8541"/>
    <cellStyle name="20% - Accent1 4 2 10 3 2" xfId="25588"/>
    <cellStyle name="20% - Accent1 4 2 10 3 2 2" xfId="54449"/>
    <cellStyle name="20% - Accent1 4 2 10 3 3" xfId="37402"/>
    <cellStyle name="20% - Accent1 4 2 10 4" xfId="13369"/>
    <cellStyle name="20% - Accent1 4 2 10 4 2" xfId="19816"/>
    <cellStyle name="20% - Accent1 4 2 10 4 2 2" xfId="48677"/>
    <cellStyle name="20% - Accent1 4 2 10 4 3" xfId="42230"/>
    <cellStyle name="20% - Accent1 4 2 10 5" xfId="17136"/>
    <cellStyle name="20% - Accent1 4 2 10 5 2" xfId="45997"/>
    <cellStyle name="20% - Accent1 4 2 10 6" xfId="31361"/>
    <cellStyle name="20% - Accent1 4 2 11" xfId="2708"/>
    <cellStyle name="20% - Accent1 4 2 11 2" xfId="5594"/>
    <cellStyle name="20% - Accent1 4 2 11 2 2" xfId="11635"/>
    <cellStyle name="20% - Accent1 4 2 11 2 2 2" xfId="28682"/>
    <cellStyle name="20% - Accent1 4 2 11 2 2 2 2" xfId="57543"/>
    <cellStyle name="20% - Accent1 4 2 11 2 2 3" xfId="40496"/>
    <cellStyle name="20% - Accent1 4 2 11 2 3" xfId="22704"/>
    <cellStyle name="20% - Accent1 4 2 11 2 3 2" xfId="51565"/>
    <cellStyle name="20% - Accent1 4 2 11 2 4" xfId="34455"/>
    <cellStyle name="20% - Accent1 4 2 11 3" xfId="8749"/>
    <cellStyle name="20% - Accent1 4 2 11 3 2" xfId="25796"/>
    <cellStyle name="20% - Accent1 4 2 11 3 2 2" xfId="54657"/>
    <cellStyle name="20% - Accent1 4 2 11 3 3" xfId="37610"/>
    <cellStyle name="20% - Accent1 4 2 11 4" xfId="13473"/>
    <cellStyle name="20% - Accent1 4 2 11 4 2" xfId="20024"/>
    <cellStyle name="20% - Accent1 4 2 11 4 2 2" xfId="48885"/>
    <cellStyle name="20% - Accent1 4 2 11 4 3" xfId="42334"/>
    <cellStyle name="20% - Accent1 4 2 11 5" xfId="17344"/>
    <cellStyle name="20% - Accent1 4 2 11 5 2" xfId="46205"/>
    <cellStyle name="20% - Accent1 4 2 11 6" xfId="31569"/>
    <cellStyle name="20% - Accent1 4 2 12" xfId="3223"/>
    <cellStyle name="20% - Accent1 4 2 12 2" xfId="9264"/>
    <cellStyle name="20% - Accent1 4 2 12 2 2" xfId="26311"/>
    <cellStyle name="20% - Accent1 4 2 12 2 2 2" xfId="55172"/>
    <cellStyle name="20% - Accent1 4 2 12 2 3" xfId="38125"/>
    <cellStyle name="20% - Accent1 4 2 12 3" xfId="13804"/>
    <cellStyle name="20% - Accent1 4 2 12 3 2" xfId="20333"/>
    <cellStyle name="20% - Accent1 4 2 12 3 2 2" xfId="49194"/>
    <cellStyle name="20% - Accent1 4 2 12 3 3" xfId="42665"/>
    <cellStyle name="20% - Accent1 4 2 12 4" xfId="14973"/>
    <cellStyle name="20% - Accent1 4 2 12 4 2" xfId="43834"/>
    <cellStyle name="20% - Accent1 4 2 12 5" xfId="32084"/>
    <cellStyle name="20% - Accent1 4 2 13" xfId="2914"/>
    <cellStyle name="20% - Accent1 4 2 13 2" xfId="8955"/>
    <cellStyle name="20% - Accent1 4 2 13 2 2" xfId="26002"/>
    <cellStyle name="20% - Accent1 4 2 13 2 2 2" xfId="54863"/>
    <cellStyle name="20% - Accent1 4 2 13 2 3" xfId="37816"/>
    <cellStyle name="20% - Accent1 4 2 13 3" xfId="17550"/>
    <cellStyle name="20% - Accent1 4 2 13 3 2" xfId="46411"/>
    <cellStyle name="20% - Accent1 4 2 13 4" xfId="31775"/>
    <cellStyle name="20% - Accent1 4 2 14" xfId="5800"/>
    <cellStyle name="20% - Accent1 4 2 14 2" xfId="11841"/>
    <cellStyle name="20% - Accent1 4 2 14 2 2" xfId="28888"/>
    <cellStyle name="20% - Accent1 4 2 14 2 2 2" xfId="57749"/>
    <cellStyle name="20% - Accent1 4 2 14 2 3" xfId="40702"/>
    <cellStyle name="20% - Accent1 4 2 14 3" xfId="22910"/>
    <cellStyle name="20% - Accent1 4 2 14 3 2" xfId="51771"/>
    <cellStyle name="20% - Accent1 4 2 14 4" xfId="34661"/>
    <cellStyle name="20% - Accent1 4 2 15" xfId="6017"/>
    <cellStyle name="20% - Accent1 4 2 15 2" xfId="23116"/>
    <cellStyle name="20% - Accent1 4 2 15 2 2" xfId="51977"/>
    <cellStyle name="20% - Accent1 4 2 15 3" xfId="34878"/>
    <cellStyle name="20% - Accent1 4 2 16" xfId="6378"/>
    <cellStyle name="20% - Accent1 4 2 16 2" xfId="23425"/>
    <cellStyle name="20% - Accent1 4 2 16 2 2" xfId="52286"/>
    <cellStyle name="20% - Accent1 4 2 16 3" xfId="35239"/>
    <cellStyle name="20% - Accent1 4 2 17" xfId="14664"/>
    <cellStyle name="20% - Accent1 4 2 17 2" xfId="43525"/>
    <cellStyle name="20% - Accent1 4 2 18" xfId="29198"/>
    <cellStyle name="20% - Accent1 4 2 2" xfId="542"/>
    <cellStyle name="20% - Accent1 4 2 2 2" xfId="2293"/>
    <cellStyle name="20% - Accent1 4 2 2 2 2" xfId="5180"/>
    <cellStyle name="20% - Accent1 4 2 2 2 2 2" xfId="11221"/>
    <cellStyle name="20% - Accent1 4 2 2 2 2 2 2" xfId="28268"/>
    <cellStyle name="20% - Accent1 4 2 2 2 2 2 2 2" xfId="57129"/>
    <cellStyle name="20% - Accent1 4 2 2 2 2 2 3" xfId="40082"/>
    <cellStyle name="20% - Accent1 4 2 2 2 2 3" xfId="22290"/>
    <cellStyle name="20% - Accent1 4 2 2 2 2 3 2" xfId="51151"/>
    <cellStyle name="20% - Accent1 4 2 2 2 2 4" xfId="34041"/>
    <cellStyle name="20% - Accent1 4 2 2 2 3" xfId="8335"/>
    <cellStyle name="20% - Accent1 4 2 2 2 3 2" xfId="25382"/>
    <cellStyle name="20% - Accent1 4 2 2 2 3 2 2" xfId="54243"/>
    <cellStyle name="20% - Accent1 4 2 2 2 3 3" xfId="37196"/>
    <cellStyle name="20% - Accent1 4 2 2 2 4" xfId="13715"/>
    <cellStyle name="20% - Accent1 4 2 2 2 4 2" xfId="19610"/>
    <cellStyle name="20% - Accent1 4 2 2 2 4 2 2" xfId="48471"/>
    <cellStyle name="20% - Accent1 4 2 2 2 4 3" xfId="42576"/>
    <cellStyle name="20% - Accent1 4 2 2 2 5" xfId="16930"/>
    <cellStyle name="20% - Accent1 4 2 2 2 5 2" xfId="45791"/>
    <cellStyle name="20% - Accent1 4 2 2 2 6" xfId="31155"/>
    <cellStyle name="20% - Accent1 4 2 2 3" xfId="3429"/>
    <cellStyle name="20% - Accent1 4 2 2 3 2" xfId="9470"/>
    <cellStyle name="20% - Accent1 4 2 2 3 2 2" xfId="26517"/>
    <cellStyle name="20% - Accent1 4 2 2 3 2 2 2" xfId="55378"/>
    <cellStyle name="20% - Accent1 4 2 2 3 2 3" xfId="38331"/>
    <cellStyle name="20% - Accent1 4 2 2 3 3" xfId="20539"/>
    <cellStyle name="20% - Accent1 4 2 2 3 3 2" xfId="49400"/>
    <cellStyle name="20% - Accent1 4 2 2 3 4" xfId="32290"/>
    <cellStyle name="20% - Accent1 4 2 2 4" xfId="6584"/>
    <cellStyle name="20% - Accent1 4 2 2 4 2" xfId="23631"/>
    <cellStyle name="20% - Accent1 4 2 2 4 2 2" xfId="52492"/>
    <cellStyle name="20% - Accent1 4 2 2 4 3" xfId="35445"/>
    <cellStyle name="20% - Accent1 4 2 2 5" xfId="13830"/>
    <cellStyle name="20% - Accent1 4 2 2 5 2" xfId="17859"/>
    <cellStyle name="20% - Accent1 4 2 2 5 2 2" xfId="46720"/>
    <cellStyle name="20% - Accent1 4 2 2 5 3" xfId="42691"/>
    <cellStyle name="20% - Accent1 4 2 2 6" xfId="15179"/>
    <cellStyle name="20% - Accent1 4 2 2 6 2" xfId="44040"/>
    <cellStyle name="20% - Accent1 4 2 2 7" xfId="29404"/>
    <cellStyle name="20% - Accent1 4 2 3" xfId="851"/>
    <cellStyle name="20% - Accent1 4 2 3 2" xfId="3738"/>
    <cellStyle name="20% - Accent1 4 2 3 2 2" xfId="9779"/>
    <cellStyle name="20% - Accent1 4 2 3 2 2 2" xfId="26826"/>
    <cellStyle name="20% - Accent1 4 2 3 2 2 2 2" xfId="55687"/>
    <cellStyle name="20% - Accent1 4 2 3 2 2 3" xfId="38640"/>
    <cellStyle name="20% - Accent1 4 2 3 2 3" xfId="20848"/>
    <cellStyle name="20% - Accent1 4 2 3 2 3 2" xfId="49709"/>
    <cellStyle name="20% - Accent1 4 2 3 2 4" xfId="32599"/>
    <cellStyle name="20% - Accent1 4 2 3 3" xfId="6893"/>
    <cellStyle name="20% - Accent1 4 2 3 3 2" xfId="23940"/>
    <cellStyle name="20% - Accent1 4 2 3 3 2 2" xfId="52801"/>
    <cellStyle name="20% - Accent1 4 2 3 3 3" xfId="35754"/>
    <cellStyle name="20% - Accent1 4 2 3 4" xfId="11994"/>
    <cellStyle name="20% - Accent1 4 2 3 4 2" xfId="18168"/>
    <cellStyle name="20% - Accent1 4 2 3 4 2 2" xfId="47029"/>
    <cellStyle name="20% - Accent1 4 2 3 4 3" xfId="40855"/>
    <cellStyle name="20% - Accent1 4 2 3 5" xfId="15488"/>
    <cellStyle name="20% - Accent1 4 2 3 5 2" xfId="44349"/>
    <cellStyle name="20% - Accent1 4 2 3 6" xfId="29713"/>
    <cellStyle name="20% - Accent1 4 2 4" xfId="1057"/>
    <cellStyle name="20% - Accent1 4 2 4 2" xfId="3944"/>
    <cellStyle name="20% - Accent1 4 2 4 2 2" xfId="9985"/>
    <cellStyle name="20% - Accent1 4 2 4 2 2 2" xfId="27032"/>
    <cellStyle name="20% - Accent1 4 2 4 2 2 2 2" xfId="55893"/>
    <cellStyle name="20% - Accent1 4 2 4 2 2 3" xfId="38846"/>
    <cellStyle name="20% - Accent1 4 2 4 2 3" xfId="21054"/>
    <cellStyle name="20% - Accent1 4 2 4 2 3 2" xfId="49915"/>
    <cellStyle name="20% - Accent1 4 2 4 2 4" xfId="32805"/>
    <cellStyle name="20% - Accent1 4 2 4 3" xfId="7099"/>
    <cellStyle name="20% - Accent1 4 2 4 3 2" xfId="24146"/>
    <cellStyle name="20% - Accent1 4 2 4 3 2 2" xfId="53007"/>
    <cellStyle name="20% - Accent1 4 2 4 3 3" xfId="35960"/>
    <cellStyle name="20% - Accent1 4 2 4 4" xfId="12210"/>
    <cellStyle name="20% - Accent1 4 2 4 4 2" xfId="18374"/>
    <cellStyle name="20% - Accent1 4 2 4 4 2 2" xfId="47235"/>
    <cellStyle name="20% - Accent1 4 2 4 4 3" xfId="41071"/>
    <cellStyle name="20% - Accent1 4 2 4 5" xfId="15694"/>
    <cellStyle name="20% - Accent1 4 2 4 5 2" xfId="44555"/>
    <cellStyle name="20% - Accent1 4 2 4 6" xfId="29919"/>
    <cellStyle name="20% - Accent1 4 2 5" xfId="1263"/>
    <cellStyle name="20% - Accent1 4 2 5 2" xfId="4150"/>
    <cellStyle name="20% - Accent1 4 2 5 2 2" xfId="10191"/>
    <cellStyle name="20% - Accent1 4 2 5 2 2 2" xfId="27238"/>
    <cellStyle name="20% - Accent1 4 2 5 2 2 2 2" xfId="56099"/>
    <cellStyle name="20% - Accent1 4 2 5 2 2 3" xfId="39052"/>
    <cellStyle name="20% - Accent1 4 2 5 2 3" xfId="21260"/>
    <cellStyle name="20% - Accent1 4 2 5 2 3 2" xfId="50121"/>
    <cellStyle name="20% - Accent1 4 2 5 2 4" xfId="33011"/>
    <cellStyle name="20% - Accent1 4 2 5 3" xfId="7305"/>
    <cellStyle name="20% - Accent1 4 2 5 3 2" xfId="24352"/>
    <cellStyle name="20% - Accent1 4 2 5 3 2 2" xfId="53213"/>
    <cellStyle name="20% - Accent1 4 2 5 3 3" xfId="36166"/>
    <cellStyle name="20% - Accent1 4 2 5 4" xfId="13682"/>
    <cellStyle name="20% - Accent1 4 2 5 4 2" xfId="18580"/>
    <cellStyle name="20% - Accent1 4 2 5 4 2 2" xfId="47441"/>
    <cellStyle name="20% - Accent1 4 2 5 4 3" xfId="42543"/>
    <cellStyle name="20% - Accent1 4 2 5 5" xfId="15900"/>
    <cellStyle name="20% - Accent1 4 2 5 5 2" xfId="44761"/>
    <cellStyle name="20% - Accent1 4 2 5 6" xfId="30125"/>
    <cellStyle name="20% - Accent1 4 2 6" xfId="1469"/>
    <cellStyle name="20% - Accent1 4 2 6 2" xfId="4356"/>
    <cellStyle name="20% - Accent1 4 2 6 2 2" xfId="10397"/>
    <cellStyle name="20% - Accent1 4 2 6 2 2 2" xfId="27444"/>
    <cellStyle name="20% - Accent1 4 2 6 2 2 2 2" xfId="56305"/>
    <cellStyle name="20% - Accent1 4 2 6 2 2 3" xfId="39258"/>
    <cellStyle name="20% - Accent1 4 2 6 2 3" xfId="21466"/>
    <cellStyle name="20% - Accent1 4 2 6 2 3 2" xfId="50327"/>
    <cellStyle name="20% - Accent1 4 2 6 2 4" xfId="33217"/>
    <cellStyle name="20% - Accent1 4 2 6 3" xfId="7511"/>
    <cellStyle name="20% - Accent1 4 2 6 3 2" xfId="24558"/>
    <cellStyle name="20% - Accent1 4 2 6 3 2 2" xfId="53419"/>
    <cellStyle name="20% - Accent1 4 2 6 3 3" xfId="36372"/>
    <cellStyle name="20% - Accent1 4 2 6 4" xfId="13022"/>
    <cellStyle name="20% - Accent1 4 2 6 4 2" xfId="18786"/>
    <cellStyle name="20% - Accent1 4 2 6 4 2 2" xfId="47647"/>
    <cellStyle name="20% - Accent1 4 2 6 4 3" xfId="41883"/>
    <cellStyle name="20% - Accent1 4 2 6 5" xfId="16106"/>
    <cellStyle name="20% - Accent1 4 2 6 5 2" xfId="44967"/>
    <cellStyle name="20% - Accent1 4 2 6 6" xfId="30331"/>
    <cellStyle name="20% - Accent1 4 2 7" xfId="1675"/>
    <cellStyle name="20% - Accent1 4 2 7 2" xfId="4562"/>
    <cellStyle name="20% - Accent1 4 2 7 2 2" xfId="10603"/>
    <cellStyle name="20% - Accent1 4 2 7 2 2 2" xfId="27650"/>
    <cellStyle name="20% - Accent1 4 2 7 2 2 2 2" xfId="56511"/>
    <cellStyle name="20% - Accent1 4 2 7 2 2 3" xfId="39464"/>
    <cellStyle name="20% - Accent1 4 2 7 2 3" xfId="21672"/>
    <cellStyle name="20% - Accent1 4 2 7 2 3 2" xfId="50533"/>
    <cellStyle name="20% - Accent1 4 2 7 2 4" xfId="33423"/>
    <cellStyle name="20% - Accent1 4 2 7 3" xfId="7717"/>
    <cellStyle name="20% - Accent1 4 2 7 3 2" xfId="24764"/>
    <cellStyle name="20% - Accent1 4 2 7 3 2 2" xfId="53625"/>
    <cellStyle name="20% - Accent1 4 2 7 3 3" xfId="36578"/>
    <cellStyle name="20% - Accent1 4 2 7 4" xfId="12743"/>
    <cellStyle name="20% - Accent1 4 2 7 4 2" xfId="18992"/>
    <cellStyle name="20% - Accent1 4 2 7 4 2 2" xfId="47853"/>
    <cellStyle name="20% - Accent1 4 2 7 4 3" xfId="41604"/>
    <cellStyle name="20% - Accent1 4 2 7 5" xfId="16312"/>
    <cellStyle name="20% - Accent1 4 2 7 5 2" xfId="45173"/>
    <cellStyle name="20% - Accent1 4 2 7 6" xfId="30537"/>
    <cellStyle name="20% - Accent1 4 2 8" xfId="1881"/>
    <cellStyle name="20% - Accent1 4 2 8 2" xfId="4768"/>
    <cellStyle name="20% - Accent1 4 2 8 2 2" xfId="10809"/>
    <cellStyle name="20% - Accent1 4 2 8 2 2 2" xfId="27856"/>
    <cellStyle name="20% - Accent1 4 2 8 2 2 2 2" xfId="56717"/>
    <cellStyle name="20% - Accent1 4 2 8 2 2 3" xfId="39670"/>
    <cellStyle name="20% - Accent1 4 2 8 2 3" xfId="21878"/>
    <cellStyle name="20% - Accent1 4 2 8 2 3 2" xfId="50739"/>
    <cellStyle name="20% - Accent1 4 2 8 2 4" xfId="33629"/>
    <cellStyle name="20% - Accent1 4 2 8 3" xfId="7923"/>
    <cellStyle name="20% - Accent1 4 2 8 3 2" xfId="24970"/>
    <cellStyle name="20% - Accent1 4 2 8 3 2 2" xfId="53831"/>
    <cellStyle name="20% - Accent1 4 2 8 3 3" xfId="36784"/>
    <cellStyle name="20% - Accent1 4 2 8 4" xfId="13120"/>
    <cellStyle name="20% - Accent1 4 2 8 4 2" xfId="19198"/>
    <cellStyle name="20% - Accent1 4 2 8 4 2 2" xfId="48059"/>
    <cellStyle name="20% - Accent1 4 2 8 4 3" xfId="41981"/>
    <cellStyle name="20% - Accent1 4 2 8 5" xfId="16518"/>
    <cellStyle name="20% - Accent1 4 2 8 5 2" xfId="45379"/>
    <cellStyle name="20% - Accent1 4 2 8 6" xfId="30743"/>
    <cellStyle name="20% - Accent1 4 2 9" xfId="2087"/>
    <cellStyle name="20% - Accent1 4 2 9 2" xfId="4974"/>
    <cellStyle name="20% - Accent1 4 2 9 2 2" xfId="11015"/>
    <cellStyle name="20% - Accent1 4 2 9 2 2 2" xfId="28062"/>
    <cellStyle name="20% - Accent1 4 2 9 2 2 2 2" xfId="56923"/>
    <cellStyle name="20% - Accent1 4 2 9 2 2 3" xfId="39876"/>
    <cellStyle name="20% - Accent1 4 2 9 2 3" xfId="22084"/>
    <cellStyle name="20% - Accent1 4 2 9 2 3 2" xfId="50945"/>
    <cellStyle name="20% - Accent1 4 2 9 2 4" xfId="33835"/>
    <cellStyle name="20% - Accent1 4 2 9 3" xfId="8129"/>
    <cellStyle name="20% - Accent1 4 2 9 3 2" xfId="25176"/>
    <cellStyle name="20% - Accent1 4 2 9 3 2 2" xfId="54037"/>
    <cellStyle name="20% - Accent1 4 2 9 3 3" xfId="36990"/>
    <cellStyle name="20% - Accent1 4 2 9 4" xfId="11895"/>
    <cellStyle name="20% - Accent1 4 2 9 4 2" xfId="19404"/>
    <cellStyle name="20% - Accent1 4 2 9 4 2 2" xfId="48265"/>
    <cellStyle name="20% - Accent1 4 2 9 4 3" xfId="40756"/>
    <cellStyle name="20% - Accent1 4 2 9 5" xfId="16724"/>
    <cellStyle name="20% - Accent1 4 2 9 5 2" xfId="45585"/>
    <cellStyle name="20% - Accent1 4 2 9 6" xfId="30949"/>
    <cellStyle name="20% - Accent1 4 20" xfId="28992"/>
    <cellStyle name="20% - Accent1 4 3" xfId="233"/>
    <cellStyle name="20% - Accent1 4 3 2" xfId="645"/>
    <cellStyle name="20% - Accent1 4 3 2 2" xfId="3532"/>
    <cellStyle name="20% - Accent1 4 3 2 2 2" xfId="9573"/>
    <cellStyle name="20% - Accent1 4 3 2 2 2 2" xfId="26620"/>
    <cellStyle name="20% - Accent1 4 3 2 2 2 2 2" xfId="55481"/>
    <cellStyle name="20% - Accent1 4 3 2 2 2 3" xfId="38434"/>
    <cellStyle name="20% - Accent1 4 3 2 2 3" xfId="20642"/>
    <cellStyle name="20% - Accent1 4 3 2 2 3 2" xfId="49503"/>
    <cellStyle name="20% - Accent1 4 3 2 2 4" xfId="32393"/>
    <cellStyle name="20% - Accent1 4 3 2 3" xfId="6687"/>
    <cellStyle name="20% - Accent1 4 3 2 3 2" xfId="23734"/>
    <cellStyle name="20% - Accent1 4 3 2 3 2 2" xfId="52595"/>
    <cellStyle name="20% - Accent1 4 3 2 3 3" xfId="35548"/>
    <cellStyle name="20% - Accent1 4 3 2 4" xfId="14317"/>
    <cellStyle name="20% - Accent1 4 3 2 4 2" xfId="17962"/>
    <cellStyle name="20% - Accent1 4 3 2 4 2 2" xfId="46823"/>
    <cellStyle name="20% - Accent1 4 3 2 4 3" xfId="43178"/>
    <cellStyle name="20% - Accent1 4 3 2 5" xfId="15282"/>
    <cellStyle name="20% - Accent1 4 3 2 5 2" xfId="44143"/>
    <cellStyle name="20% - Accent1 4 3 2 6" xfId="29507"/>
    <cellStyle name="20% - Accent1 4 3 3" xfId="2190"/>
    <cellStyle name="20% - Accent1 4 3 3 2" xfId="5077"/>
    <cellStyle name="20% - Accent1 4 3 3 2 2" xfId="11118"/>
    <cellStyle name="20% - Accent1 4 3 3 2 2 2" xfId="28165"/>
    <cellStyle name="20% - Accent1 4 3 3 2 2 2 2" xfId="57026"/>
    <cellStyle name="20% - Accent1 4 3 3 2 2 3" xfId="39979"/>
    <cellStyle name="20% - Accent1 4 3 3 2 3" xfId="22187"/>
    <cellStyle name="20% - Accent1 4 3 3 2 3 2" xfId="51048"/>
    <cellStyle name="20% - Accent1 4 3 3 2 4" xfId="33938"/>
    <cellStyle name="20% - Accent1 4 3 3 3" xfId="8232"/>
    <cellStyle name="20% - Accent1 4 3 3 3 2" xfId="25279"/>
    <cellStyle name="20% - Accent1 4 3 3 3 2 2" xfId="54140"/>
    <cellStyle name="20% - Accent1 4 3 3 3 3" xfId="37093"/>
    <cellStyle name="20% - Accent1 4 3 3 4" xfId="12889"/>
    <cellStyle name="20% - Accent1 4 3 3 4 2" xfId="19507"/>
    <cellStyle name="20% - Accent1 4 3 3 4 2 2" xfId="48368"/>
    <cellStyle name="20% - Accent1 4 3 3 4 3" xfId="41750"/>
    <cellStyle name="20% - Accent1 4 3 3 5" xfId="16827"/>
    <cellStyle name="20% - Accent1 4 3 3 5 2" xfId="45688"/>
    <cellStyle name="20% - Accent1 4 3 3 6" xfId="31052"/>
    <cellStyle name="20% - Accent1 4 3 4" xfId="3120"/>
    <cellStyle name="20% - Accent1 4 3 4 2" xfId="9161"/>
    <cellStyle name="20% - Accent1 4 3 4 2 2" xfId="26208"/>
    <cellStyle name="20% - Accent1 4 3 4 2 2 2" xfId="55069"/>
    <cellStyle name="20% - Accent1 4 3 4 2 3" xfId="38022"/>
    <cellStyle name="20% - Accent1 4 3 4 3" xfId="20230"/>
    <cellStyle name="20% - Accent1 4 3 4 3 2" xfId="49091"/>
    <cellStyle name="20% - Accent1 4 3 4 4" xfId="31981"/>
    <cellStyle name="20% - Accent1 4 3 5" xfId="6275"/>
    <cellStyle name="20% - Accent1 4 3 5 2" xfId="23322"/>
    <cellStyle name="20% - Accent1 4 3 5 2 2" xfId="52183"/>
    <cellStyle name="20% - Accent1 4 3 5 3" xfId="35136"/>
    <cellStyle name="20% - Accent1 4 3 6" xfId="12584"/>
    <cellStyle name="20% - Accent1 4 3 6 2" xfId="17653"/>
    <cellStyle name="20% - Accent1 4 3 6 2 2" xfId="46514"/>
    <cellStyle name="20% - Accent1 4 3 6 3" xfId="41445"/>
    <cellStyle name="20% - Accent1 4 3 7" xfId="14870"/>
    <cellStyle name="20% - Accent1 4 3 7 2" xfId="43731"/>
    <cellStyle name="20% - Accent1 4 3 8" xfId="29095"/>
    <cellStyle name="20% - Accent1 4 4" xfId="439"/>
    <cellStyle name="20% - Accent1 4 4 2" xfId="3326"/>
    <cellStyle name="20% - Accent1 4 4 2 2" xfId="9367"/>
    <cellStyle name="20% - Accent1 4 4 2 2 2" xfId="26414"/>
    <cellStyle name="20% - Accent1 4 4 2 2 2 2" xfId="55275"/>
    <cellStyle name="20% - Accent1 4 4 2 2 3" xfId="38228"/>
    <cellStyle name="20% - Accent1 4 4 2 3" xfId="20436"/>
    <cellStyle name="20% - Accent1 4 4 2 3 2" xfId="49297"/>
    <cellStyle name="20% - Accent1 4 4 2 4" xfId="32187"/>
    <cellStyle name="20% - Accent1 4 4 3" xfId="6481"/>
    <cellStyle name="20% - Accent1 4 4 3 2" xfId="23528"/>
    <cellStyle name="20% - Accent1 4 4 3 2 2" xfId="52389"/>
    <cellStyle name="20% - Accent1 4 4 3 3" xfId="35342"/>
    <cellStyle name="20% - Accent1 4 4 4" xfId="14081"/>
    <cellStyle name="20% - Accent1 4 4 4 2" xfId="17756"/>
    <cellStyle name="20% - Accent1 4 4 4 2 2" xfId="46617"/>
    <cellStyle name="20% - Accent1 4 4 4 3" xfId="42942"/>
    <cellStyle name="20% - Accent1 4 4 5" xfId="15076"/>
    <cellStyle name="20% - Accent1 4 4 5 2" xfId="43937"/>
    <cellStyle name="20% - Accent1 4 4 6" xfId="29301"/>
    <cellStyle name="20% - Accent1 4 5" xfId="748"/>
    <cellStyle name="20% - Accent1 4 5 2" xfId="3635"/>
    <cellStyle name="20% - Accent1 4 5 2 2" xfId="9676"/>
    <cellStyle name="20% - Accent1 4 5 2 2 2" xfId="26723"/>
    <cellStyle name="20% - Accent1 4 5 2 2 2 2" xfId="55584"/>
    <cellStyle name="20% - Accent1 4 5 2 2 3" xfId="38537"/>
    <cellStyle name="20% - Accent1 4 5 2 3" xfId="20745"/>
    <cellStyle name="20% - Accent1 4 5 2 3 2" xfId="49606"/>
    <cellStyle name="20% - Accent1 4 5 2 4" xfId="32496"/>
    <cellStyle name="20% - Accent1 4 5 3" xfId="6790"/>
    <cellStyle name="20% - Accent1 4 5 3 2" xfId="23837"/>
    <cellStyle name="20% - Accent1 4 5 3 2 2" xfId="52698"/>
    <cellStyle name="20% - Accent1 4 5 3 3" xfId="35651"/>
    <cellStyle name="20% - Accent1 4 5 4" xfId="12690"/>
    <cellStyle name="20% - Accent1 4 5 4 2" xfId="18065"/>
    <cellStyle name="20% - Accent1 4 5 4 2 2" xfId="46926"/>
    <cellStyle name="20% - Accent1 4 5 4 3" xfId="41551"/>
    <cellStyle name="20% - Accent1 4 5 5" xfId="15385"/>
    <cellStyle name="20% - Accent1 4 5 5 2" xfId="44246"/>
    <cellStyle name="20% - Accent1 4 5 6" xfId="29610"/>
    <cellStyle name="20% - Accent1 4 6" xfId="954"/>
    <cellStyle name="20% - Accent1 4 6 2" xfId="3841"/>
    <cellStyle name="20% - Accent1 4 6 2 2" xfId="9882"/>
    <cellStyle name="20% - Accent1 4 6 2 2 2" xfId="26929"/>
    <cellStyle name="20% - Accent1 4 6 2 2 2 2" xfId="55790"/>
    <cellStyle name="20% - Accent1 4 6 2 2 3" xfId="38743"/>
    <cellStyle name="20% - Accent1 4 6 2 3" xfId="20951"/>
    <cellStyle name="20% - Accent1 4 6 2 3 2" xfId="49812"/>
    <cellStyle name="20% - Accent1 4 6 2 4" xfId="32702"/>
    <cellStyle name="20% - Accent1 4 6 3" xfId="6996"/>
    <cellStyle name="20% - Accent1 4 6 3 2" xfId="24043"/>
    <cellStyle name="20% - Accent1 4 6 3 2 2" xfId="52904"/>
    <cellStyle name="20% - Accent1 4 6 3 3" xfId="35857"/>
    <cellStyle name="20% - Accent1 4 6 4" xfId="13757"/>
    <cellStyle name="20% - Accent1 4 6 4 2" xfId="18271"/>
    <cellStyle name="20% - Accent1 4 6 4 2 2" xfId="47132"/>
    <cellStyle name="20% - Accent1 4 6 4 3" xfId="42618"/>
    <cellStyle name="20% - Accent1 4 6 5" xfId="15591"/>
    <cellStyle name="20% - Accent1 4 6 5 2" xfId="44452"/>
    <cellStyle name="20% - Accent1 4 6 6" xfId="29816"/>
    <cellStyle name="20% - Accent1 4 7" xfId="1160"/>
    <cellStyle name="20% - Accent1 4 7 2" xfId="4047"/>
    <cellStyle name="20% - Accent1 4 7 2 2" xfId="10088"/>
    <cellStyle name="20% - Accent1 4 7 2 2 2" xfId="27135"/>
    <cellStyle name="20% - Accent1 4 7 2 2 2 2" xfId="55996"/>
    <cellStyle name="20% - Accent1 4 7 2 2 3" xfId="38949"/>
    <cellStyle name="20% - Accent1 4 7 2 3" xfId="21157"/>
    <cellStyle name="20% - Accent1 4 7 2 3 2" xfId="50018"/>
    <cellStyle name="20% - Accent1 4 7 2 4" xfId="32908"/>
    <cellStyle name="20% - Accent1 4 7 3" xfId="7202"/>
    <cellStyle name="20% - Accent1 4 7 3 2" xfId="24249"/>
    <cellStyle name="20% - Accent1 4 7 3 2 2" xfId="53110"/>
    <cellStyle name="20% - Accent1 4 7 3 3" xfId="36063"/>
    <cellStyle name="20% - Accent1 4 7 4" xfId="14233"/>
    <cellStyle name="20% - Accent1 4 7 4 2" xfId="18477"/>
    <cellStyle name="20% - Accent1 4 7 4 2 2" xfId="47338"/>
    <cellStyle name="20% - Accent1 4 7 4 3" xfId="43094"/>
    <cellStyle name="20% - Accent1 4 7 5" xfId="15797"/>
    <cellStyle name="20% - Accent1 4 7 5 2" xfId="44658"/>
    <cellStyle name="20% - Accent1 4 7 6" xfId="30022"/>
    <cellStyle name="20% - Accent1 4 8" xfId="1366"/>
    <cellStyle name="20% - Accent1 4 8 2" xfId="4253"/>
    <cellStyle name="20% - Accent1 4 8 2 2" xfId="10294"/>
    <cellStyle name="20% - Accent1 4 8 2 2 2" xfId="27341"/>
    <cellStyle name="20% - Accent1 4 8 2 2 2 2" xfId="56202"/>
    <cellStyle name="20% - Accent1 4 8 2 2 3" xfId="39155"/>
    <cellStyle name="20% - Accent1 4 8 2 3" xfId="21363"/>
    <cellStyle name="20% - Accent1 4 8 2 3 2" xfId="50224"/>
    <cellStyle name="20% - Accent1 4 8 2 4" xfId="33114"/>
    <cellStyle name="20% - Accent1 4 8 3" xfId="7408"/>
    <cellStyle name="20% - Accent1 4 8 3 2" xfId="24455"/>
    <cellStyle name="20% - Accent1 4 8 3 2 2" xfId="53316"/>
    <cellStyle name="20% - Accent1 4 8 3 3" xfId="36269"/>
    <cellStyle name="20% - Accent1 4 8 4" xfId="12368"/>
    <cellStyle name="20% - Accent1 4 8 4 2" xfId="18683"/>
    <cellStyle name="20% - Accent1 4 8 4 2 2" xfId="47544"/>
    <cellStyle name="20% - Accent1 4 8 4 3" xfId="41229"/>
    <cellStyle name="20% - Accent1 4 8 5" xfId="16003"/>
    <cellStyle name="20% - Accent1 4 8 5 2" xfId="44864"/>
    <cellStyle name="20% - Accent1 4 8 6" xfId="30228"/>
    <cellStyle name="20% - Accent1 4 9" xfId="1572"/>
    <cellStyle name="20% - Accent1 4 9 2" xfId="4459"/>
    <cellStyle name="20% - Accent1 4 9 2 2" xfId="10500"/>
    <cellStyle name="20% - Accent1 4 9 2 2 2" xfId="27547"/>
    <cellStyle name="20% - Accent1 4 9 2 2 2 2" xfId="56408"/>
    <cellStyle name="20% - Accent1 4 9 2 2 3" xfId="39361"/>
    <cellStyle name="20% - Accent1 4 9 2 3" xfId="21569"/>
    <cellStyle name="20% - Accent1 4 9 2 3 2" xfId="50430"/>
    <cellStyle name="20% - Accent1 4 9 2 4" xfId="33320"/>
    <cellStyle name="20% - Accent1 4 9 3" xfId="7614"/>
    <cellStyle name="20% - Accent1 4 9 3 2" xfId="24661"/>
    <cellStyle name="20% - Accent1 4 9 3 2 2" xfId="53522"/>
    <cellStyle name="20% - Accent1 4 9 3 3" xfId="36475"/>
    <cellStyle name="20% - Accent1 4 9 4" xfId="12145"/>
    <cellStyle name="20% - Accent1 4 9 4 2" xfId="18889"/>
    <cellStyle name="20% - Accent1 4 9 4 2 2" xfId="47750"/>
    <cellStyle name="20% - Accent1 4 9 4 3" xfId="41006"/>
    <cellStyle name="20% - Accent1 4 9 5" xfId="16209"/>
    <cellStyle name="20% - Accent1 4 9 5 2" xfId="45070"/>
    <cellStyle name="20% - Accent1 4 9 6" xfId="30434"/>
    <cellStyle name="20% - Accent1 5" xfId="283"/>
    <cellStyle name="20% - Accent1 5 10" xfId="2446"/>
    <cellStyle name="20% - Accent1 5 10 2" xfId="5333"/>
    <cellStyle name="20% - Accent1 5 10 2 2" xfId="11374"/>
    <cellStyle name="20% - Accent1 5 10 2 2 2" xfId="28421"/>
    <cellStyle name="20% - Accent1 5 10 2 2 2 2" xfId="57282"/>
    <cellStyle name="20% - Accent1 5 10 2 2 3" xfId="40235"/>
    <cellStyle name="20% - Accent1 5 10 2 3" xfId="22443"/>
    <cellStyle name="20% - Accent1 5 10 2 3 2" xfId="51304"/>
    <cellStyle name="20% - Accent1 5 10 2 4" xfId="34194"/>
    <cellStyle name="20% - Accent1 5 10 3" xfId="8488"/>
    <cellStyle name="20% - Accent1 5 10 3 2" xfId="25535"/>
    <cellStyle name="20% - Accent1 5 10 3 2 2" xfId="54396"/>
    <cellStyle name="20% - Accent1 5 10 3 3" xfId="37349"/>
    <cellStyle name="20% - Accent1 5 10 4" xfId="11972"/>
    <cellStyle name="20% - Accent1 5 10 4 2" xfId="19763"/>
    <cellStyle name="20% - Accent1 5 10 4 2 2" xfId="48624"/>
    <cellStyle name="20% - Accent1 5 10 4 3" xfId="40833"/>
    <cellStyle name="20% - Accent1 5 10 5" xfId="17083"/>
    <cellStyle name="20% - Accent1 5 10 5 2" xfId="45944"/>
    <cellStyle name="20% - Accent1 5 10 6" xfId="31308"/>
    <cellStyle name="20% - Accent1 5 11" xfId="2655"/>
    <cellStyle name="20% - Accent1 5 11 2" xfId="5541"/>
    <cellStyle name="20% - Accent1 5 11 2 2" xfId="11582"/>
    <cellStyle name="20% - Accent1 5 11 2 2 2" xfId="28629"/>
    <cellStyle name="20% - Accent1 5 11 2 2 2 2" xfId="57490"/>
    <cellStyle name="20% - Accent1 5 11 2 2 3" xfId="40443"/>
    <cellStyle name="20% - Accent1 5 11 2 3" xfId="22651"/>
    <cellStyle name="20% - Accent1 5 11 2 3 2" xfId="51512"/>
    <cellStyle name="20% - Accent1 5 11 2 4" xfId="34402"/>
    <cellStyle name="20% - Accent1 5 11 3" xfId="8696"/>
    <cellStyle name="20% - Accent1 5 11 3 2" xfId="25743"/>
    <cellStyle name="20% - Accent1 5 11 3 2 2" xfId="54604"/>
    <cellStyle name="20% - Accent1 5 11 3 3" xfId="37557"/>
    <cellStyle name="20% - Accent1 5 11 4" xfId="12021"/>
    <cellStyle name="20% - Accent1 5 11 4 2" xfId="19971"/>
    <cellStyle name="20% - Accent1 5 11 4 2 2" xfId="48832"/>
    <cellStyle name="20% - Accent1 5 11 4 3" xfId="40882"/>
    <cellStyle name="20% - Accent1 5 11 5" xfId="17291"/>
    <cellStyle name="20% - Accent1 5 11 5 2" xfId="46152"/>
    <cellStyle name="20% - Accent1 5 11 6" xfId="31516"/>
    <cellStyle name="20% - Accent1 5 12" xfId="3170"/>
    <cellStyle name="20% - Accent1 5 12 2" xfId="9211"/>
    <cellStyle name="20% - Accent1 5 12 2 2" xfId="26258"/>
    <cellStyle name="20% - Accent1 5 12 2 2 2" xfId="55119"/>
    <cellStyle name="20% - Accent1 5 12 2 3" xfId="38072"/>
    <cellStyle name="20% - Accent1 5 12 3" xfId="14300"/>
    <cellStyle name="20% - Accent1 5 12 3 2" xfId="20280"/>
    <cellStyle name="20% - Accent1 5 12 3 2 2" xfId="49141"/>
    <cellStyle name="20% - Accent1 5 12 3 3" xfId="43161"/>
    <cellStyle name="20% - Accent1 5 12 4" xfId="14920"/>
    <cellStyle name="20% - Accent1 5 12 4 2" xfId="43781"/>
    <cellStyle name="20% - Accent1 5 12 5" xfId="32031"/>
    <cellStyle name="20% - Accent1 5 13" xfId="2861"/>
    <cellStyle name="20% - Accent1 5 13 2" xfId="8902"/>
    <cellStyle name="20% - Accent1 5 13 2 2" xfId="25949"/>
    <cellStyle name="20% - Accent1 5 13 2 2 2" xfId="54810"/>
    <cellStyle name="20% - Accent1 5 13 2 3" xfId="37763"/>
    <cellStyle name="20% - Accent1 5 13 3" xfId="17497"/>
    <cellStyle name="20% - Accent1 5 13 3 2" xfId="46358"/>
    <cellStyle name="20% - Accent1 5 13 4" xfId="31722"/>
    <cellStyle name="20% - Accent1 5 14" xfId="5747"/>
    <cellStyle name="20% - Accent1 5 14 2" xfId="11788"/>
    <cellStyle name="20% - Accent1 5 14 2 2" xfId="28835"/>
    <cellStyle name="20% - Accent1 5 14 2 2 2" xfId="57696"/>
    <cellStyle name="20% - Accent1 5 14 2 3" xfId="40649"/>
    <cellStyle name="20% - Accent1 5 14 3" xfId="22857"/>
    <cellStyle name="20% - Accent1 5 14 3 2" xfId="51718"/>
    <cellStyle name="20% - Accent1 5 14 4" xfId="34608"/>
    <cellStyle name="20% - Accent1 5 15" xfId="5964"/>
    <cellStyle name="20% - Accent1 5 15 2" xfId="23063"/>
    <cellStyle name="20% - Accent1 5 15 2 2" xfId="51924"/>
    <cellStyle name="20% - Accent1 5 15 3" xfId="34825"/>
    <cellStyle name="20% - Accent1 5 16" xfId="6325"/>
    <cellStyle name="20% - Accent1 5 16 2" xfId="23372"/>
    <cellStyle name="20% - Accent1 5 16 2 2" xfId="52233"/>
    <cellStyle name="20% - Accent1 5 16 3" xfId="35186"/>
    <cellStyle name="20% - Accent1 5 17" xfId="14611"/>
    <cellStyle name="20% - Accent1 5 17 2" xfId="43472"/>
    <cellStyle name="20% - Accent1 5 18" xfId="29145"/>
    <cellStyle name="20% - Accent1 5 2" xfId="489"/>
    <cellStyle name="20% - Accent1 5 2 2" xfId="2240"/>
    <cellStyle name="20% - Accent1 5 2 2 2" xfId="5127"/>
    <cellStyle name="20% - Accent1 5 2 2 2 2" xfId="11168"/>
    <cellStyle name="20% - Accent1 5 2 2 2 2 2" xfId="28215"/>
    <cellStyle name="20% - Accent1 5 2 2 2 2 2 2" xfId="57076"/>
    <cellStyle name="20% - Accent1 5 2 2 2 2 3" xfId="40029"/>
    <cellStyle name="20% - Accent1 5 2 2 2 3" xfId="22237"/>
    <cellStyle name="20% - Accent1 5 2 2 2 3 2" xfId="51098"/>
    <cellStyle name="20% - Accent1 5 2 2 2 4" xfId="33988"/>
    <cellStyle name="20% - Accent1 5 2 2 3" xfId="8282"/>
    <cellStyle name="20% - Accent1 5 2 2 3 2" xfId="25329"/>
    <cellStyle name="20% - Accent1 5 2 2 3 2 2" xfId="54190"/>
    <cellStyle name="20% - Accent1 5 2 2 3 3" xfId="37143"/>
    <cellStyle name="20% - Accent1 5 2 2 4" xfId="11954"/>
    <cellStyle name="20% - Accent1 5 2 2 4 2" xfId="19557"/>
    <cellStyle name="20% - Accent1 5 2 2 4 2 2" xfId="48418"/>
    <cellStyle name="20% - Accent1 5 2 2 4 3" xfId="40815"/>
    <cellStyle name="20% - Accent1 5 2 2 5" xfId="16877"/>
    <cellStyle name="20% - Accent1 5 2 2 5 2" xfId="45738"/>
    <cellStyle name="20% - Accent1 5 2 2 6" xfId="31102"/>
    <cellStyle name="20% - Accent1 5 2 3" xfId="3376"/>
    <cellStyle name="20% - Accent1 5 2 3 2" xfId="9417"/>
    <cellStyle name="20% - Accent1 5 2 3 2 2" xfId="26464"/>
    <cellStyle name="20% - Accent1 5 2 3 2 2 2" xfId="55325"/>
    <cellStyle name="20% - Accent1 5 2 3 2 3" xfId="38278"/>
    <cellStyle name="20% - Accent1 5 2 3 3" xfId="20486"/>
    <cellStyle name="20% - Accent1 5 2 3 3 2" xfId="49347"/>
    <cellStyle name="20% - Accent1 5 2 3 4" xfId="32237"/>
    <cellStyle name="20% - Accent1 5 2 4" xfId="6531"/>
    <cellStyle name="20% - Accent1 5 2 4 2" xfId="23578"/>
    <cellStyle name="20% - Accent1 5 2 4 2 2" xfId="52439"/>
    <cellStyle name="20% - Accent1 5 2 4 3" xfId="35392"/>
    <cellStyle name="20% - Accent1 5 2 5" xfId="12729"/>
    <cellStyle name="20% - Accent1 5 2 5 2" xfId="17806"/>
    <cellStyle name="20% - Accent1 5 2 5 2 2" xfId="46667"/>
    <cellStyle name="20% - Accent1 5 2 5 3" xfId="41590"/>
    <cellStyle name="20% - Accent1 5 2 6" xfId="15126"/>
    <cellStyle name="20% - Accent1 5 2 6 2" xfId="43987"/>
    <cellStyle name="20% - Accent1 5 2 7" xfId="29351"/>
    <cellStyle name="20% - Accent1 5 3" xfId="798"/>
    <cellStyle name="20% - Accent1 5 3 2" xfId="3685"/>
    <cellStyle name="20% - Accent1 5 3 2 2" xfId="9726"/>
    <cellStyle name="20% - Accent1 5 3 2 2 2" xfId="26773"/>
    <cellStyle name="20% - Accent1 5 3 2 2 2 2" xfId="55634"/>
    <cellStyle name="20% - Accent1 5 3 2 2 3" xfId="38587"/>
    <cellStyle name="20% - Accent1 5 3 2 3" xfId="20795"/>
    <cellStyle name="20% - Accent1 5 3 2 3 2" xfId="49656"/>
    <cellStyle name="20% - Accent1 5 3 2 4" xfId="32546"/>
    <cellStyle name="20% - Accent1 5 3 3" xfId="6840"/>
    <cellStyle name="20% - Accent1 5 3 3 2" xfId="23887"/>
    <cellStyle name="20% - Accent1 5 3 3 2 2" xfId="52748"/>
    <cellStyle name="20% - Accent1 5 3 3 3" xfId="35701"/>
    <cellStyle name="20% - Accent1 5 3 4" xfId="12660"/>
    <cellStyle name="20% - Accent1 5 3 4 2" xfId="18115"/>
    <cellStyle name="20% - Accent1 5 3 4 2 2" xfId="46976"/>
    <cellStyle name="20% - Accent1 5 3 4 3" xfId="41521"/>
    <cellStyle name="20% - Accent1 5 3 5" xfId="15435"/>
    <cellStyle name="20% - Accent1 5 3 5 2" xfId="44296"/>
    <cellStyle name="20% - Accent1 5 3 6" xfId="29660"/>
    <cellStyle name="20% - Accent1 5 4" xfId="1004"/>
    <cellStyle name="20% - Accent1 5 4 2" xfId="3891"/>
    <cellStyle name="20% - Accent1 5 4 2 2" xfId="9932"/>
    <cellStyle name="20% - Accent1 5 4 2 2 2" xfId="26979"/>
    <cellStyle name="20% - Accent1 5 4 2 2 2 2" xfId="55840"/>
    <cellStyle name="20% - Accent1 5 4 2 2 3" xfId="38793"/>
    <cellStyle name="20% - Accent1 5 4 2 3" xfId="21001"/>
    <cellStyle name="20% - Accent1 5 4 2 3 2" xfId="49862"/>
    <cellStyle name="20% - Accent1 5 4 2 4" xfId="32752"/>
    <cellStyle name="20% - Accent1 5 4 3" xfId="7046"/>
    <cellStyle name="20% - Accent1 5 4 3 2" xfId="24093"/>
    <cellStyle name="20% - Accent1 5 4 3 2 2" xfId="52954"/>
    <cellStyle name="20% - Accent1 5 4 3 3" xfId="35907"/>
    <cellStyle name="20% - Accent1 5 4 4" xfId="11890"/>
    <cellStyle name="20% - Accent1 5 4 4 2" xfId="18321"/>
    <cellStyle name="20% - Accent1 5 4 4 2 2" xfId="47182"/>
    <cellStyle name="20% - Accent1 5 4 4 3" xfId="40751"/>
    <cellStyle name="20% - Accent1 5 4 5" xfId="15641"/>
    <cellStyle name="20% - Accent1 5 4 5 2" xfId="44502"/>
    <cellStyle name="20% - Accent1 5 4 6" xfId="29866"/>
    <cellStyle name="20% - Accent1 5 5" xfId="1210"/>
    <cellStyle name="20% - Accent1 5 5 2" xfId="4097"/>
    <cellStyle name="20% - Accent1 5 5 2 2" xfId="10138"/>
    <cellStyle name="20% - Accent1 5 5 2 2 2" xfId="27185"/>
    <cellStyle name="20% - Accent1 5 5 2 2 2 2" xfId="56046"/>
    <cellStyle name="20% - Accent1 5 5 2 2 3" xfId="38999"/>
    <cellStyle name="20% - Accent1 5 5 2 3" xfId="21207"/>
    <cellStyle name="20% - Accent1 5 5 2 3 2" xfId="50068"/>
    <cellStyle name="20% - Accent1 5 5 2 4" xfId="32958"/>
    <cellStyle name="20% - Accent1 5 5 3" xfId="7252"/>
    <cellStyle name="20% - Accent1 5 5 3 2" xfId="24299"/>
    <cellStyle name="20% - Accent1 5 5 3 2 2" xfId="53160"/>
    <cellStyle name="20% - Accent1 5 5 3 3" xfId="36113"/>
    <cellStyle name="20% - Accent1 5 5 4" xfId="14271"/>
    <cellStyle name="20% - Accent1 5 5 4 2" xfId="18527"/>
    <cellStyle name="20% - Accent1 5 5 4 2 2" xfId="47388"/>
    <cellStyle name="20% - Accent1 5 5 4 3" xfId="43132"/>
    <cellStyle name="20% - Accent1 5 5 5" xfId="15847"/>
    <cellStyle name="20% - Accent1 5 5 5 2" xfId="44708"/>
    <cellStyle name="20% - Accent1 5 5 6" xfId="30072"/>
    <cellStyle name="20% - Accent1 5 6" xfId="1416"/>
    <cellStyle name="20% - Accent1 5 6 2" xfId="4303"/>
    <cellStyle name="20% - Accent1 5 6 2 2" xfId="10344"/>
    <cellStyle name="20% - Accent1 5 6 2 2 2" xfId="27391"/>
    <cellStyle name="20% - Accent1 5 6 2 2 2 2" xfId="56252"/>
    <cellStyle name="20% - Accent1 5 6 2 2 3" xfId="39205"/>
    <cellStyle name="20% - Accent1 5 6 2 3" xfId="21413"/>
    <cellStyle name="20% - Accent1 5 6 2 3 2" xfId="50274"/>
    <cellStyle name="20% - Accent1 5 6 2 4" xfId="33164"/>
    <cellStyle name="20% - Accent1 5 6 3" xfId="7458"/>
    <cellStyle name="20% - Accent1 5 6 3 2" xfId="24505"/>
    <cellStyle name="20% - Accent1 5 6 3 2 2" xfId="53366"/>
    <cellStyle name="20% - Accent1 5 6 3 3" xfId="36319"/>
    <cellStyle name="20% - Accent1 5 6 4" xfId="13560"/>
    <cellStyle name="20% - Accent1 5 6 4 2" xfId="18733"/>
    <cellStyle name="20% - Accent1 5 6 4 2 2" xfId="47594"/>
    <cellStyle name="20% - Accent1 5 6 4 3" xfId="42421"/>
    <cellStyle name="20% - Accent1 5 6 5" xfId="16053"/>
    <cellStyle name="20% - Accent1 5 6 5 2" xfId="44914"/>
    <cellStyle name="20% - Accent1 5 6 6" xfId="30278"/>
    <cellStyle name="20% - Accent1 5 7" xfId="1622"/>
    <cellStyle name="20% - Accent1 5 7 2" xfId="4509"/>
    <cellStyle name="20% - Accent1 5 7 2 2" xfId="10550"/>
    <cellStyle name="20% - Accent1 5 7 2 2 2" xfId="27597"/>
    <cellStyle name="20% - Accent1 5 7 2 2 2 2" xfId="56458"/>
    <cellStyle name="20% - Accent1 5 7 2 2 3" xfId="39411"/>
    <cellStyle name="20% - Accent1 5 7 2 3" xfId="21619"/>
    <cellStyle name="20% - Accent1 5 7 2 3 2" xfId="50480"/>
    <cellStyle name="20% - Accent1 5 7 2 4" xfId="33370"/>
    <cellStyle name="20% - Accent1 5 7 3" xfId="7664"/>
    <cellStyle name="20% - Accent1 5 7 3 2" xfId="24711"/>
    <cellStyle name="20% - Accent1 5 7 3 2 2" xfId="53572"/>
    <cellStyle name="20% - Accent1 5 7 3 3" xfId="36525"/>
    <cellStyle name="20% - Accent1 5 7 4" xfId="6086"/>
    <cellStyle name="20% - Accent1 5 7 4 2" xfId="18939"/>
    <cellStyle name="20% - Accent1 5 7 4 2 2" xfId="47800"/>
    <cellStyle name="20% - Accent1 5 7 4 3" xfId="34947"/>
    <cellStyle name="20% - Accent1 5 7 5" xfId="16259"/>
    <cellStyle name="20% - Accent1 5 7 5 2" xfId="45120"/>
    <cellStyle name="20% - Accent1 5 7 6" xfId="30484"/>
    <cellStyle name="20% - Accent1 5 8" xfId="1828"/>
    <cellStyle name="20% - Accent1 5 8 2" xfId="4715"/>
    <cellStyle name="20% - Accent1 5 8 2 2" xfId="10756"/>
    <cellStyle name="20% - Accent1 5 8 2 2 2" xfId="27803"/>
    <cellStyle name="20% - Accent1 5 8 2 2 2 2" xfId="56664"/>
    <cellStyle name="20% - Accent1 5 8 2 2 3" xfId="39617"/>
    <cellStyle name="20% - Accent1 5 8 2 3" xfId="21825"/>
    <cellStyle name="20% - Accent1 5 8 2 3 2" xfId="50686"/>
    <cellStyle name="20% - Accent1 5 8 2 4" xfId="33576"/>
    <cellStyle name="20% - Accent1 5 8 3" xfId="7870"/>
    <cellStyle name="20% - Accent1 5 8 3 2" xfId="24917"/>
    <cellStyle name="20% - Accent1 5 8 3 2 2" xfId="53778"/>
    <cellStyle name="20% - Accent1 5 8 3 3" xfId="36731"/>
    <cellStyle name="20% - Accent1 5 8 4" xfId="12219"/>
    <cellStyle name="20% - Accent1 5 8 4 2" xfId="19145"/>
    <cellStyle name="20% - Accent1 5 8 4 2 2" xfId="48006"/>
    <cellStyle name="20% - Accent1 5 8 4 3" xfId="41080"/>
    <cellStyle name="20% - Accent1 5 8 5" xfId="16465"/>
    <cellStyle name="20% - Accent1 5 8 5 2" xfId="45326"/>
    <cellStyle name="20% - Accent1 5 8 6" xfId="30690"/>
    <cellStyle name="20% - Accent1 5 9" xfId="2034"/>
    <cellStyle name="20% - Accent1 5 9 2" xfId="4921"/>
    <cellStyle name="20% - Accent1 5 9 2 2" xfId="10962"/>
    <cellStyle name="20% - Accent1 5 9 2 2 2" xfId="28009"/>
    <cellStyle name="20% - Accent1 5 9 2 2 2 2" xfId="56870"/>
    <cellStyle name="20% - Accent1 5 9 2 2 3" xfId="39823"/>
    <cellStyle name="20% - Accent1 5 9 2 3" xfId="22031"/>
    <cellStyle name="20% - Accent1 5 9 2 3 2" xfId="50892"/>
    <cellStyle name="20% - Accent1 5 9 2 4" xfId="33782"/>
    <cellStyle name="20% - Accent1 5 9 3" xfId="8076"/>
    <cellStyle name="20% - Accent1 5 9 3 2" xfId="25123"/>
    <cellStyle name="20% - Accent1 5 9 3 2 2" xfId="53984"/>
    <cellStyle name="20% - Accent1 5 9 3 3" xfId="36937"/>
    <cellStyle name="20% - Accent1 5 9 4" xfId="13967"/>
    <cellStyle name="20% - Accent1 5 9 4 2" xfId="19351"/>
    <cellStyle name="20% - Accent1 5 9 4 2 2" xfId="48212"/>
    <cellStyle name="20% - Accent1 5 9 4 3" xfId="42828"/>
    <cellStyle name="20% - Accent1 5 9 5" xfId="16671"/>
    <cellStyle name="20% - Accent1 5 9 5 2" xfId="45532"/>
    <cellStyle name="20% - Accent1 5 9 6" xfId="30896"/>
    <cellStyle name="20% - Accent1 6" xfId="180"/>
    <cellStyle name="20% - Accent1 6 2" xfId="592"/>
    <cellStyle name="20% - Accent1 6 2 2" xfId="3479"/>
    <cellStyle name="20% - Accent1 6 2 2 2" xfId="9520"/>
    <cellStyle name="20% - Accent1 6 2 2 2 2" xfId="26567"/>
    <cellStyle name="20% - Accent1 6 2 2 2 2 2" xfId="55428"/>
    <cellStyle name="20% - Accent1 6 2 2 2 3" xfId="38381"/>
    <cellStyle name="20% - Accent1 6 2 2 3" xfId="20589"/>
    <cellStyle name="20% - Accent1 6 2 2 3 2" xfId="49450"/>
    <cellStyle name="20% - Accent1 6 2 2 4" xfId="32340"/>
    <cellStyle name="20% - Accent1 6 2 3" xfId="6634"/>
    <cellStyle name="20% - Accent1 6 2 3 2" xfId="23681"/>
    <cellStyle name="20% - Accent1 6 2 3 2 2" xfId="52542"/>
    <cellStyle name="20% - Accent1 6 2 3 3" xfId="35495"/>
    <cellStyle name="20% - Accent1 6 2 4" xfId="12744"/>
    <cellStyle name="20% - Accent1 6 2 4 2" xfId="17909"/>
    <cellStyle name="20% - Accent1 6 2 4 2 2" xfId="46770"/>
    <cellStyle name="20% - Accent1 6 2 4 3" xfId="41605"/>
    <cellStyle name="20% - Accent1 6 2 5" xfId="15229"/>
    <cellStyle name="20% - Accent1 6 2 5 2" xfId="44090"/>
    <cellStyle name="20% - Accent1 6 2 6" xfId="29454"/>
    <cellStyle name="20% - Accent1 6 3" xfId="2137"/>
    <cellStyle name="20% - Accent1 6 3 2" xfId="5024"/>
    <cellStyle name="20% - Accent1 6 3 2 2" xfId="11065"/>
    <cellStyle name="20% - Accent1 6 3 2 2 2" xfId="28112"/>
    <cellStyle name="20% - Accent1 6 3 2 2 2 2" xfId="56973"/>
    <cellStyle name="20% - Accent1 6 3 2 2 3" xfId="39926"/>
    <cellStyle name="20% - Accent1 6 3 2 3" xfId="22134"/>
    <cellStyle name="20% - Accent1 6 3 2 3 2" xfId="50995"/>
    <cellStyle name="20% - Accent1 6 3 2 4" xfId="33885"/>
    <cellStyle name="20% - Accent1 6 3 3" xfId="8179"/>
    <cellStyle name="20% - Accent1 6 3 3 2" xfId="25226"/>
    <cellStyle name="20% - Accent1 6 3 3 2 2" xfId="54087"/>
    <cellStyle name="20% - Accent1 6 3 3 3" xfId="37040"/>
    <cellStyle name="20% - Accent1 6 3 4" xfId="13568"/>
    <cellStyle name="20% - Accent1 6 3 4 2" xfId="19454"/>
    <cellStyle name="20% - Accent1 6 3 4 2 2" xfId="48315"/>
    <cellStyle name="20% - Accent1 6 3 4 3" xfId="42429"/>
    <cellStyle name="20% - Accent1 6 3 5" xfId="16774"/>
    <cellStyle name="20% - Accent1 6 3 5 2" xfId="45635"/>
    <cellStyle name="20% - Accent1 6 3 6" xfId="30999"/>
    <cellStyle name="20% - Accent1 6 4" xfId="3067"/>
    <cellStyle name="20% - Accent1 6 4 2" xfId="9108"/>
    <cellStyle name="20% - Accent1 6 4 2 2" xfId="26155"/>
    <cellStyle name="20% - Accent1 6 4 2 2 2" xfId="55016"/>
    <cellStyle name="20% - Accent1 6 4 2 3" xfId="37969"/>
    <cellStyle name="20% - Accent1 6 4 3" xfId="20177"/>
    <cellStyle name="20% - Accent1 6 4 3 2" xfId="49038"/>
    <cellStyle name="20% - Accent1 6 4 4" xfId="31928"/>
    <cellStyle name="20% - Accent1 6 5" xfId="6222"/>
    <cellStyle name="20% - Accent1 6 5 2" xfId="23269"/>
    <cellStyle name="20% - Accent1 6 5 2 2" xfId="52130"/>
    <cellStyle name="20% - Accent1 6 5 3" xfId="35083"/>
    <cellStyle name="20% - Accent1 6 6" xfId="12805"/>
    <cellStyle name="20% - Accent1 6 6 2" xfId="17600"/>
    <cellStyle name="20% - Accent1 6 6 2 2" xfId="46461"/>
    <cellStyle name="20% - Accent1 6 6 3" xfId="41666"/>
    <cellStyle name="20% - Accent1 6 7" xfId="14817"/>
    <cellStyle name="20% - Accent1 6 7 2" xfId="43678"/>
    <cellStyle name="20% - Accent1 6 8" xfId="29042"/>
    <cellStyle name="20% - Accent1 7" xfId="386"/>
    <cellStyle name="20% - Accent1 7 2" xfId="3273"/>
    <cellStyle name="20% - Accent1 7 2 2" xfId="9314"/>
    <cellStyle name="20% - Accent1 7 2 2 2" xfId="26361"/>
    <cellStyle name="20% - Accent1 7 2 2 2 2" xfId="55222"/>
    <cellStyle name="20% - Accent1 7 2 2 3" xfId="38175"/>
    <cellStyle name="20% - Accent1 7 2 3" xfId="20383"/>
    <cellStyle name="20% - Accent1 7 2 3 2" xfId="49244"/>
    <cellStyle name="20% - Accent1 7 2 4" xfId="32134"/>
    <cellStyle name="20% - Accent1 7 3" xfId="6428"/>
    <cellStyle name="20% - Accent1 7 3 2" xfId="23475"/>
    <cellStyle name="20% - Accent1 7 3 2 2" xfId="52336"/>
    <cellStyle name="20% - Accent1 7 3 3" xfId="35289"/>
    <cellStyle name="20% - Accent1 7 4" xfId="13784"/>
    <cellStyle name="20% - Accent1 7 4 2" xfId="17703"/>
    <cellStyle name="20% - Accent1 7 4 2 2" xfId="46564"/>
    <cellStyle name="20% - Accent1 7 4 3" xfId="42645"/>
    <cellStyle name="20% - Accent1 7 5" xfId="15023"/>
    <cellStyle name="20% - Accent1 7 5 2" xfId="43884"/>
    <cellStyle name="20% - Accent1 7 6" xfId="29248"/>
    <cellStyle name="20% - Accent1 8" xfId="695"/>
    <cellStyle name="20% - Accent1 8 2" xfId="3582"/>
    <cellStyle name="20% - Accent1 8 2 2" xfId="9623"/>
    <cellStyle name="20% - Accent1 8 2 2 2" xfId="26670"/>
    <cellStyle name="20% - Accent1 8 2 2 2 2" xfId="55531"/>
    <cellStyle name="20% - Accent1 8 2 2 3" xfId="38484"/>
    <cellStyle name="20% - Accent1 8 2 3" xfId="20692"/>
    <cellStyle name="20% - Accent1 8 2 3 2" xfId="49553"/>
    <cellStyle name="20% - Accent1 8 2 4" xfId="32443"/>
    <cellStyle name="20% - Accent1 8 3" xfId="6737"/>
    <cellStyle name="20% - Accent1 8 3 2" xfId="23784"/>
    <cellStyle name="20% - Accent1 8 3 2 2" xfId="52645"/>
    <cellStyle name="20% - Accent1 8 3 3" xfId="35598"/>
    <cellStyle name="20% - Accent1 8 4" xfId="14359"/>
    <cellStyle name="20% - Accent1 8 4 2" xfId="18012"/>
    <cellStyle name="20% - Accent1 8 4 2 2" xfId="46873"/>
    <cellStyle name="20% - Accent1 8 4 3" xfId="43220"/>
    <cellStyle name="20% - Accent1 8 5" xfId="15332"/>
    <cellStyle name="20% - Accent1 8 5 2" xfId="44193"/>
    <cellStyle name="20% - Accent1 8 6" xfId="29557"/>
    <cellStyle name="20% - Accent1 9" xfId="901"/>
    <cellStyle name="20% - Accent1 9 2" xfId="3788"/>
    <cellStyle name="20% - Accent1 9 2 2" xfId="9829"/>
    <cellStyle name="20% - Accent1 9 2 2 2" xfId="26876"/>
    <cellStyle name="20% - Accent1 9 2 2 2 2" xfId="55737"/>
    <cellStyle name="20% - Accent1 9 2 2 3" xfId="38690"/>
    <cellStyle name="20% - Accent1 9 2 3" xfId="20898"/>
    <cellStyle name="20% - Accent1 9 2 3 2" xfId="49759"/>
    <cellStyle name="20% - Accent1 9 2 4" xfId="32649"/>
    <cellStyle name="20% - Accent1 9 3" xfId="6943"/>
    <cellStyle name="20% - Accent1 9 3 2" xfId="23990"/>
    <cellStyle name="20% - Accent1 9 3 2 2" xfId="52851"/>
    <cellStyle name="20% - Accent1 9 3 3" xfId="35804"/>
    <cellStyle name="20% - Accent1 9 4" xfId="12190"/>
    <cellStyle name="20% - Accent1 9 4 2" xfId="18218"/>
    <cellStyle name="20% - Accent1 9 4 2 2" xfId="47079"/>
    <cellStyle name="20% - Accent1 9 4 3" xfId="41051"/>
    <cellStyle name="20% - Accent1 9 5" xfId="15538"/>
    <cellStyle name="20% - Accent1 9 5 2" xfId="44399"/>
    <cellStyle name="20% - Accent1 9 6" xfId="29763"/>
    <cellStyle name="20% - Accent2" xfId="70" builtinId="34" customBuiltin="1"/>
    <cellStyle name="20% - Accent2 10" xfId="1109"/>
    <cellStyle name="20% - Accent2 10 2" xfId="3996"/>
    <cellStyle name="20% - Accent2 10 2 2" xfId="10037"/>
    <cellStyle name="20% - Accent2 10 2 2 2" xfId="27084"/>
    <cellStyle name="20% - Accent2 10 2 2 2 2" xfId="55945"/>
    <cellStyle name="20% - Accent2 10 2 2 3" xfId="38898"/>
    <cellStyle name="20% - Accent2 10 2 3" xfId="21106"/>
    <cellStyle name="20% - Accent2 10 2 3 2" xfId="49967"/>
    <cellStyle name="20% - Accent2 10 2 4" xfId="32857"/>
    <cellStyle name="20% - Accent2 10 3" xfId="7151"/>
    <cellStyle name="20% - Accent2 10 3 2" xfId="24198"/>
    <cellStyle name="20% - Accent2 10 3 2 2" xfId="53059"/>
    <cellStyle name="20% - Accent2 10 3 3" xfId="36012"/>
    <cellStyle name="20% - Accent2 10 4" xfId="13740"/>
    <cellStyle name="20% - Accent2 10 4 2" xfId="18426"/>
    <cellStyle name="20% - Accent2 10 4 2 2" xfId="47287"/>
    <cellStyle name="20% - Accent2 10 4 3" xfId="42601"/>
    <cellStyle name="20% - Accent2 10 5" xfId="15746"/>
    <cellStyle name="20% - Accent2 10 5 2" xfId="44607"/>
    <cellStyle name="20% - Accent2 10 6" xfId="29971"/>
    <cellStyle name="20% - Accent2 11" xfId="1315"/>
    <cellStyle name="20% - Accent2 11 2" xfId="4202"/>
    <cellStyle name="20% - Accent2 11 2 2" xfId="10243"/>
    <cellStyle name="20% - Accent2 11 2 2 2" xfId="27290"/>
    <cellStyle name="20% - Accent2 11 2 2 2 2" xfId="56151"/>
    <cellStyle name="20% - Accent2 11 2 2 3" xfId="39104"/>
    <cellStyle name="20% - Accent2 11 2 3" xfId="21312"/>
    <cellStyle name="20% - Accent2 11 2 3 2" xfId="50173"/>
    <cellStyle name="20% - Accent2 11 2 4" xfId="33063"/>
    <cellStyle name="20% - Accent2 11 3" xfId="7357"/>
    <cellStyle name="20% - Accent2 11 3 2" xfId="24404"/>
    <cellStyle name="20% - Accent2 11 3 2 2" xfId="53265"/>
    <cellStyle name="20% - Accent2 11 3 3" xfId="36218"/>
    <cellStyle name="20% - Accent2 11 4" xfId="13665"/>
    <cellStyle name="20% - Accent2 11 4 2" xfId="18632"/>
    <cellStyle name="20% - Accent2 11 4 2 2" xfId="47493"/>
    <cellStyle name="20% - Accent2 11 4 3" xfId="42526"/>
    <cellStyle name="20% - Accent2 11 5" xfId="15952"/>
    <cellStyle name="20% - Accent2 11 5 2" xfId="44813"/>
    <cellStyle name="20% - Accent2 11 6" xfId="30177"/>
    <cellStyle name="20% - Accent2 12" xfId="1521"/>
    <cellStyle name="20% - Accent2 12 2" xfId="4408"/>
    <cellStyle name="20% - Accent2 12 2 2" xfId="10449"/>
    <cellStyle name="20% - Accent2 12 2 2 2" xfId="27496"/>
    <cellStyle name="20% - Accent2 12 2 2 2 2" xfId="56357"/>
    <cellStyle name="20% - Accent2 12 2 2 3" xfId="39310"/>
    <cellStyle name="20% - Accent2 12 2 3" xfId="21518"/>
    <cellStyle name="20% - Accent2 12 2 3 2" xfId="50379"/>
    <cellStyle name="20% - Accent2 12 2 4" xfId="33269"/>
    <cellStyle name="20% - Accent2 12 3" xfId="7563"/>
    <cellStyle name="20% - Accent2 12 3 2" xfId="24610"/>
    <cellStyle name="20% - Accent2 12 3 2 2" xfId="53471"/>
    <cellStyle name="20% - Accent2 12 3 3" xfId="36424"/>
    <cellStyle name="20% - Accent2 12 4" xfId="11912"/>
    <cellStyle name="20% - Accent2 12 4 2" xfId="18838"/>
    <cellStyle name="20% - Accent2 12 4 2 2" xfId="47699"/>
    <cellStyle name="20% - Accent2 12 4 3" xfId="40773"/>
    <cellStyle name="20% - Accent2 12 5" xfId="16158"/>
    <cellStyle name="20% - Accent2 12 5 2" xfId="45019"/>
    <cellStyle name="20% - Accent2 12 6" xfId="30383"/>
    <cellStyle name="20% - Accent2 13" xfId="1727"/>
    <cellStyle name="20% - Accent2 13 2" xfId="4614"/>
    <cellStyle name="20% - Accent2 13 2 2" xfId="10655"/>
    <cellStyle name="20% - Accent2 13 2 2 2" xfId="27702"/>
    <cellStyle name="20% - Accent2 13 2 2 2 2" xfId="56563"/>
    <cellStyle name="20% - Accent2 13 2 2 3" xfId="39516"/>
    <cellStyle name="20% - Accent2 13 2 3" xfId="21724"/>
    <cellStyle name="20% - Accent2 13 2 3 2" xfId="50585"/>
    <cellStyle name="20% - Accent2 13 2 4" xfId="33475"/>
    <cellStyle name="20% - Accent2 13 3" xfId="7769"/>
    <cellStyle name="20% - Accent2 13 3 2" xfId="24816"/>
    <cellStyle name="20% - Accent2 13 3 2 2" xfId="53677"/>
    <cellStyle name="20% - Accent2 13 3 3" xfId="36630"/>
    <cellStyle name="20% - Accent2 13 4" xfId="13443"/>
    <cellStyle name="20% - Accent2 13 4 2" xfId="19044"/>
    <cellStyle name="20% - Accent2 13 4 2 2" xfId="47905"/>
    <cellStyle name="20% - Accent2 13 4 3" xfId="42304"/>
    <cellStyle name="20% - Accent2 13 5" xfId="16364"/>
    <cellStyle name="20% - Accent2 13 5 2" xfId="45225"/>
    <cellStyle name="20% - Accent2 13 6" xfId="30589"/>
    <cellStyle name="20% - Accent2 14" xfId="1933"/>
    <cellStyle name="20% - Accent2 14 2" xfId="4820"/>
    <cellStyle name="20% - Accent2 14 2 2" xfId="10861"/>
    <cellStyle name="20% - Accent2 14 2 2 2" xfId="27908"/>
    <cellStyle name="20% - Accent2 14 2 2 2 2" xfId="56769"/>
    <cellStyle name="20% - Accent2 14 2 2 3" xfId="39722"/>
    <cellStyle name="20% - Accent2 14 2 3" xfId="21930"/>
    <cellStyle name="20% - Accent2 14 2 3 2" xfId="50791"/>
    <cellStyle name="20% - Accent2 14 2 4" xfId="33681"/>
    <cellStyle name="20% - Accent2 14 3" xfId="7975"/>
    <cellStyle name="20% - Accent2 14 3 2" xfId="25022"/>
    <cellStyle name="20% - Accent2 14 3 2 2" xfId="53883"/>
    <cellStyle name="20% - Accent2 14 3 3" xfId="36836"/>
    <cellStyle name="20% - Accent2 14 4" xfId="12229"/>
    <cellStyle name="20% - Accent2 14 4 2" xfId="19250"/>
    <cellStyle name="20% - Accent2 14 4 2 2" xfId="48111"/>
    <cellStyle name="20% - Accent2 14 4 3" xfId="41090"/>
    <cellStyle name="20% - Accent2 14 5" xfId="16570"/>
    <cellStyle name="20% - Accent2 14 5 2" xfId="45431"/>
    <cellStyle name="20% - Accent2 14 6" xfId="30795"/>
    <cellStyle name="20% - Accent2 15" xfId="2345"/>
    <cellStyle name="20% - Accent2 15 2" xfId="5232"/>
    <cellStyle name="20% - Accent2 15 2 2" xfId="11273"/>
    <cellStyle name="20% - Accent2 15 2 2 2" xfId="28320"/>
    <cellStyle name="20% - Accent2 15 2 2 2 2" xfId="57181"/>
    <cellStyle name="20% - Accent2 15 2 2 3" xfId="40134"/>
    <cellStyle name="20% - Accent2 15 2 3" xfId="22342"/>
    <cellStyle name="20% - Accent2 15 2 3 2" xfId="51203"/>
    <cellStyle name="20% - Accent2 15 2 4" xfId="34093"/>
    <cellStyle name="20% - Accent2 15 3" xfId="8387"/>
    <cellStyle name="20% - Accent2 15 3 2" xfId="25434"/>
    <cellStyle name="20% - Accent2 15 3 2 2" xfId="54295"/>
    <cellStyle name="20% - Accent2 15 3 3" xfId="37248"/>
    <cellStyle name="20% - Accent2 15 4" xfId="11965"/>
    <cellStyle name="20% - Accent2 15 4 2" xfId="19662"/>
    <cellStyle name="20% - Accent2 15 4 2 2" xfId="48523"/>
    <cellStyle name="20% - Accent2 15 4 3" xfId="40826"/>
    <cellStyle name="20% - Accent2 15 5" xfId="16982"/>
    <cellStyle name="20% - Accent2 15 5 2" xfId="45843"/>
    <cellStyle name="20% - Accent2 15 6" xfId="31207"/>
    <cellStyle name="20% - Accent2 16" xfId="2554"/>
    <cellStyle name="20% - Accent2 16 2" xfId="5440"/>
    <cellStyle name="20% - Accent2 16 2 2" xfId="11481"/>
    <cellStyle name="20% - Accent2 16 2 2 2" xfId="28528"/>
    <cellStyle name="20% - Accent2 16 2 2 2 2" xfId="57389"/>
    <cellStyle name="20% - Accent2 16 2 2 3" xfId="40342"/>
    <cellStyle name="20% - Accent2 16 2 3" xfId="22550"/>
    <cellStyle name="20% - Accent2 16 2 3 2" xfId="51411"/>
    <cellStyle name="20% - Accent2 16 2 4" xfId="34301"/>
    <cellStyle name="20% - Accent2 16 3" xfId="8595"/>
    <cellStyle name="20% - Accent2 16 3 2" xfId="25642"/>
    <cellStyle name="20% - Accent2 16 3 2 2" xfId="54503"/>
    <cellStyle name="20% - Accent2 16 3 3" xfId="37456"/>
    <cellStyle name="20% - Accent2 16 4" xfId="14289"/>
    <cellStyle name="20% - Accent2 16 4 2" xfId="19870"/>
    <cellStyle name="20% - Accent2 16 4 2 2" xfId="48731"/>
    <cellStyle name="20% - Accent2 16 4 3" xfId="43150"/>
    <cellStyle name="20% - Accent2 16 5" xfId="17190"/>
    <cellStyle name="20% - Accent2 16 5 2" xfId="46051"/>
    <cellStyle name="20% - Accent2 16 6" xfId="31415"/>
    <cellStyle name="20% - Accent2 17" xfId="2966"/>
    <cellStyle name="20% - Accent2 17 2" xfId="9007"/>
    <cellStyle name="20% - Accent2 17 2 2" xfId="26054"/>
    <cellStyle name="20% - Accent2 17 2 2 2" xfId="54915"/>
    <cellStyle name="20% - Accent2 17 2 3" xfId="37868"/>
    <cellStyle name="20% - Accent2 17 3" xfId="13368"/>
    <cellStyle name="20% - Accent2 17 3 2" xfId="20076"/>
    <cellStyle name="20% - Accent2 17 3 2 2" xfId="48937"/>
    <cellStyle name="20% - Accent2 17 3 3" xfId="42229"/>
    <cellStyle name="20% - Accent2 17 4" xfId="14716"/>
    <cellStyle name="20% - Accent2 17 4 2" xfId="43577"/>
    <cellStyle name="20% - Accent2 17 5" xfId="31827"/>
    <cellStyle name="20% - Accent2 18" xfId="2760"/>
    <cellStyle name="20% - Accent2 18 2" xfId="8801"/>
    <cellStyle name="20% - Accent2 18 2 2" xfId="25848"/>
    <cellStyle name="20% - Accent2 18 2 2 2" xfId="54709"/>
    <cellStyle name="20% - Accent2 18 2 3" xfId="37662"/>
    <cellStyle name="20% - Accent2 18 3" xfId="17396"/>
    <cellStyle name="20% - Accent2 18 3 2" xfId="46257"/>
    <cellStyle name="20% - Accent2 18 4" xfId="31621"/>
    <cellStyle name="20% - Accent2 19" xfId="5646"/>
    <cellStyle name="20% - Accent2 19 2" xfId="11687"/>
    <cellStyle name="20% - Accent2 19 2 2" xfId="28734"/>
    <cellStyle name="20% - Accent2 19 2 2 2" xfId="57595"/>
    <cellStyle name="20% - Accent2 19 2 3" xfId="40548"/>
    <cellStyle name="20% - Accent2 19 3" xfId="22756"/>
    <cellStyle name="20% - Accent2 19 3 2" xfId="51617"/>
    <cellStyle name="20% - Accent2 19 4" xfId="34507"/>
    <cellStyle name="20% - Accent2 2" xfId="93"/>
    <cellStyle name="20% - Accent2 2 10" xfId="1329"/>
    <cellStyle name="20% - Accent2 2 10 2" xfId="4216"/>
    <cellStyle name="20% - Accent2 2 10 2 2" xfId="10257"/>
    <cellStyle name="20% - Accent2 2 10 2 2 2" xfId="27304"/>
    <cellStyle name="20% - Accent2 2 10 2 2 2 2" xfId="56165"/>
    <cellStyle name="20% - Accent2 2 10 2 2 3" xfId="39118"/>
    <cellStyle name="20% - Accent2 2 10 2 3" xfId="21326"/>
    <cellStyle name="20% - Accent2 2 10 2 3 2" xfId="50187"/>
    <cellStyle name="20% - Accent2 2 10 2 4" xfId="33077"/>
    <cellStyle name="20% - Accent2 2 10 3" xfId="7371"/>
    <cellStyle name="20% - Accent2 2 10 3 2" xfId="24418"/>
    <cellStyle name="20% - Accent2 2 10 3 2 2" xfId="53279"/>
    <cellStyle name="20% - Accent2 2 10 3 3" xfId="36232"/>
    <cellStyle name="20% - Accent2 2 10 4" xfId="12215"/>
    <cellStyle name="20% - Accent2 2 10 4 2" xfId="18646"/>
    <cellStyle name="20% - Accent2 2 10 4 2 2" xfId="47507"/>
    <cellStyle name="20% - Accent2 2 10 4 3" xfId="41076"/>
    <cellStyle name="20% - Accent2 2 10 5" xfId="15966"/>
    <cellStyle name="20% - Accent2 2 10 5 2" xfId="44827"/>
    <cellStyle name="20% - Accent2 2 10 6" xfId="30191"/>
    <cellStyle name="20% - Accent2 2 11" xfId="1535"/>
    <cellStyle name="20% - Accent2 2 11 2" xfId="4422"/>
    <cellStyle name="20% - Accent2 2 11 2 2" xfId="10463"/>
    <cellStyle name="20% - Accent2 2 11 2 2 2" xfId="27510"/>
    <cellStyle name="20% - Accent2 2 11 2 2 2 2" xfId="56371"/>
    <cellStyle name="20% - Accent2 2 11 2 2 3" xfId="39324"/>
    <cellStyle name="20% - Accent2 2 11 2 3" xfId="21532"/>
    <cellStyle name="20% - Accent2 2 11 2 3 2" xfId="50393"/>
    <cellStyle name="20% - Accent2 2 11 2 4" xfId="33283"/>
    <cellStyle name="20% - Accent2 2 11 3" xfId="7577"/>
    <cellStyle name="20% - Accent2 2 11 3 2" xfId="24624"/>
    <cellStyle name="20% - Accent2 2 11 3 2 2" xfId="53485"/>
    <cellStyle name="20% - Accent2 2 11 3 3" xfId="36438"/>
    <cellStyle name="20% - Accent2 2 11 4" xfId="13565"/>
    <cellStyle name="20% - Accent2 2 11 4 2" xfId="18852"/>
    <cellStyle name="20% - Accent2 2 11 4 2 2" xfId="47713"/>
    <cellStyle name="20% - Accent2 2 11 4 3" xfId="42426"/>
    <cellStyle name="20% - Accent2 2 11 5" xfId="16172"/>
    <cellStyle name="20% - Accent2 2 11 5 2" xfId="45033"/>
    <cellStyle name="20% - Accent2 2 11 6" xfId="30397"/>
    <cellStyle name="20% - Accent2 2 12" xfId="1741"/>
    <cellStyle name="20% - Accent2 2 12 2" xfId="4628"/>
    <cellStyle name="20% - Accent2 2 12 2 2" xfId="10669"/>
    <cellStyle name="20% - Accent2 2 12 2 2 2" xfId="27716"/>
    <cellStyle name="20% - Accent2 2 12 2 2 2 2" xfId="56577"/>
    <cellStyle name="20% - Accent2 2 12 2 2 3" xfId="39530"/>
    <cellStyle name="20% - Accent2 2 12 2 3" xfId="21738"/>
    <cellStyle name="20% - Accent2 2 12 2 3 2" xfId="50599"/>
    <cellStyle name="20% - Accent2 2 12 2 4" xfId="33489"/>
    <cellStyle name="20% - Accent2 2 12 3" xfId="7783"/>
    <cellStyle name="20% - Accent2 2 12 3 2" xfId="24830"/>
    <cellStyle name="20% - Accent2 2 12 3 2 2" xfId="53691"/>
    <cellStyle name="20% - Accent2 2 12 3 3" xfId="36644"/>
    <cellStyle name="20% - Accent2 2 12 4" xfId="12395"/>
    <cellStyle name="20% - Accent2 2 12 4 2" xfId="19058"/>
    <cellStyle name="20% - Accent2 2 12 4 2 2" xfId="47919"/>
    <cellStyle name="20% - Accent2 2 12 4 3" xfId="41256"/>
    <cellStyle name="20% - Accent2 2 12 5" xfId="16378"/>
    <cellStyle name="20% - Accent2 2 12 5 2" xfId="45239"/>
    <cellStyle name="20% - Accent2 2 12 6" xfId="30603"/>
    <cellStyle name="20% - Accent2 2 13" xfId="1947"/>
    <cellStyle name="20% - Accent2 2 13 2" xfId="4834"/>
    <cellStyle name="20% - Accent2 2 13 2 2" xfId="10875"/>
    <cellStyle name="20% - Accent2 2 13 2 2 2" xfId="27922"/>
    <cellStyle name="20% - Accent2 2 13 2 2 2 2" xfId="56783"/>
    <cellStyle name="20% - Accent2 2 13 2 2 3" xfId="39736"/>
    <cellStyle name="20% - Accent2 2 13 2 3" xfId="21944"/>
    <cellStyle name="20% - Accent2 2 13 2 3 2" xfId="50805"/>
    <cellStyle name="20% - Accent2 2 13 2 4" xfId="33695"/>
    <cellStyle name="20% - Accent2 2 13 3" xfId="7989"/>
    <cellStyle name="20% - Accent2 2 13 3 2" xfId="25036"/>
    <cellStyle name="20% - Accent2 2 13 3 2 2" xfId="53897"/>
    <cellStyle name="20% - Accent2 2 13 3 3" xfId="36850"/>
    <cellStyle name="20% - Accent2 2 13 4" xfId="12684"/>
    <cellStyle name="20% - Accent2 2 13 4 2" xfId="19264"/>
    <cellStyle name="20% - Accent2 2 13 4 2 2" xfId="48125"/>
    <cellStyle name="20% - Accent2 2 13 4 3" xfId="41545"/>
    <cellStyle name="20% - Accent2 2 13 5" xfId="16584"/>
    <cellStyle name="20% - Accent2 2 13 5 2" xfId="45445"/>
    <cellStyle name="20% - Accent2 2 13 6" xfId="30809"/>
    <cellStyle name="20% - Accent2 2 14" xfId="2359"/>
    <cellStyle name="20% - Accent2 2 14 2" xfId="5246"/>
    <cellStyle name="20% - Accent2 2 14 2 2" xfId="11287"/>
    <cellStyle name="20% - Accent2 2 14 2 2 2" xfId="28334"/>
    <cellStyle name="20% - Accent2 2 14 2 2 2 2" xfId="57195"/>
    <cellStyle name="20% - Accent2 2 14 2 2 3" xfId="40148"/>
    <cellStyle name="20% - Accent2 2 14 2 3" xfId="22356"/>
    <cellStyle name="20% - Accent2 2 14 2 3 2" xfId="51217"/>
    <cellStyle name="20% - Accent2 2 14 2 4" xfId="34107"/>
    <cellStyle name="20% - Accent2 2 14 3" xfId="8401"/>
    <cellStyle name="20% - Accent2 2 14 3 2" xfId="25448"/>
    <cellStyle name="20% - Accent2 2 14 3 2 2" xfId="54309"/>
    <cellStyle name="20% - Accent2 2 14 3 3" xfId="37262"/>
    <cellStyle name="20% - Accent2 2 14 4" xfId="13354"/>
    <cellStyle name="20% - Accent2 2 14 4 2" xfId="19676"/>
    <cellStyle name="20% - Accent2 2 14 4 2 2" xfId="48537"/>
    <cellStyle name="20% - Accent2 2 14 4 3" xfId="42215"/>
    <cellStyle name="20% - Accent2 2 14 5" xfId="16996"/>
    <cellStyle name="20% - Accent2 2 14 5 2" xfId="45857"/>
    <cellStyle name="20% - Accent2 2 14 6" xfId="31221"/>
    <cellStyle name="20% - Accent2 2 15" xfId="2568"/>
    <cellStyle name="20% - Accent2 2 15 2" xfId="5454"/>
    <cellStyle name="20% - Accent2 2 15 2 2" xfId="11495"/>
    <cellStyle name="20% - Accent2 2 15 2 2 2" xfId="28542"/>
    <cellStyle name="20% - Accent2 2 15 2 2 2 2" xfId="57403"/>
    <cellStyle name="20% - Accent2 2 15 2 2 3" xfId="40356"/>
    <cellStyle name="20% - Accent2 2 15 2 3" xfId="22564"/>
    <cellStyle name="20% - Accent2 2 15 2 3 2" xfId="51425"/>
    <cellStyle name="20% - Accent2 2 15 2 4" xfId="34315"/>
    <cellStyle name="20% - Accent2 2 15 3" xfId="8609"/>
    <cellStyle name="20% - Accent2 2 15 3 2" xfId="25656"/>
    <cellStyle name="20% - Accent2 2 15 3 2 2" xfId="54517"/>
    <cellStyle name="20% - Accent2 2 15 3 3" xfId="37470"/>
    <cellStyle name="20% - Accent2 2 15 4" xfId="13685"/>
    <cellStyle name="20% - Accent2 2 15 4 2" xfId="19884"/>
    <cellStyle name="20% - Accent2 2 15 4 2 2" xfId="48745"/>
    <cellStyle name="20% - Accent2 2 15 4 3" xfId="42546"/>
    <cellStyle name="20% - Accent2 2 15 5" xfId="17204"/>
    <cellStyle name="20% - Accent2 2 15 5 2" xfId="46065"/>
    <cellStyle name="20% - Accent2 2 15 6" xfId="31429"/>
    <cellStyle name="20% - Accent2 2 16" xfId="2980"/>
    <cellStyle name="20% - Accent2 2 16 2" xfId="9021"/>
    <cellStyle name="20% - Accent2 2 16 2 2" xfId="26068"/>
    <cellStyle name="20% - Accent2 2 16 2 2 2" xfId="54929"/>
    <cellStyle name="20% - Accent2 2 16 2 3" xfId="37882"/>
    <cellStyle name="20% - Accent2 2 16 3" xfId="13924"/>
    <cellStyle name="20% - Accent2 2 16 3 2" xfId="20090"/>
    <cellStyle name="20% - Accent2 2 16 3 2 2" xfId="48951"/>
    <cellStyle name="20% - Accent2 2 16 3 3" xfId="42785"/>
    <cellStyle name="20% - Accent2 2 16 4" xfId="14730"/>
    <cellStyle name="20% - Accent2 2 16 4 2" xfId="43591"/>
    <cellStyle name="20% - Accent2 2 16 5" xfId="31841"/>
    <cellStyle name="20% - Accent2 2 17" xfId="2774"/>
    <cellStyle name="20% - Accent2 2 17 2" xfId="8815"/>
    <cellStyle name="20% - Accent2 2 17 2 2" xfId="25862"/>
    <cellStyle name="20% - Accent2 2 17 2 2 2" xfId="54723"/>
    <cellStyle name="20% - Accent2 2 17 2 3" xfId="37676"/>
    <cellStyle name="20% - Accent2 2 17 3" xfId="17410"/>
    <cellStyle name="20% - Accent2 2 17 3 2" xfId="46271"/>
    <cellStyle name="20% - Accent2 2 17 4" xfId="31635"/>
    <cellStyle name="20% - Accent2 2 18" xfId="5660"/>
    <cellStyle name="20% - Accent2 2 18 2" xfId="11701"/>
    <cellStyle name="20% - Accent2 2 18 2 2" xfId="28748"/>
    <cellStyle name="20% - Accent2 2 18 2 2 2" xfId="57609"/>
    <cellStyle name="20% - Accent2 2 18 2 3" xfId="40562"/>
    <cellStyle name="20% - Accent2 2 18 3" xfId="22770"/>
    <cellStyle name="20% - Accent2 2 18 3 2" xfId="51631"/>
    <cellStyle name="20% - Accent2 2 18 4" xfId="34521"/>
    <cellStyle name="20% - Accent2 2 19" xfId="5877"/>
    <cellStyle name="20% - Accent2 2 19 2" xfId="22976"/>
    <cellStyle name="20% - Accent2 2 19 2 2" xfId="51837"/>
    <cellStyle name="20% - Accent2 2 19 3" xfId="34738"/>
    <cellStyle name="20% - Accent2 2 2" xfId="119"/>
    <cellStyle name="20% - Accent2 2 2 10" xfId="1767"/>
    <cellStyle name="20% - Accent2 2 2 10 2" xfId="4654"/>
    <cellStyle name="20% - Accent2 2 2 10 2 2" xfId="10695"/>
    <cellStyle name="20% - Accent2 2 2 10 2 2 2" xfId="27742"/>
    <cellStyle name="20% - Accent2 2 2 10 2 2 2 2" xfId="56603"/>
    <cellStyle name="20% - Accent2 2 2 10 2 2 3" xfId="39556"/>
    <cellStyle name="20% - Accent2 2 2 10 2 3" xfId="21764"/>
    <cellStyle name="20% - Accent2 2 2 10 2 3 2" xfId="50625"/>
    <cellStyle name="20% - Accent2 2 2 10 2 4" xfId="33515"/>
    <cellStyle name="20% - Accent2 2 2 10 3" xfId="7809"/>
    <cellStyle name="20% - Accent2 2 2 10 3 2" xfId="24856"/>
    <cellStyle name="20% - Accent2 2 2 10 3 2 2" xfId="53717"/>
    <cellStyle name="20% - Accent2 2 2 10 3 3" xfId="36670"/>
    <cellStyle name="20% - Accent2 2 2 10 4" xfId="12659"/>
    <cellStyle name="20% - Accent2 2 2 10 4 2" xfId="19084"/>
    <cellStyle name="20% - Accent2 2 2 10 4 2 2" xfId="47945"/>
    <cellStyle name="20% - Accent2 2 2 10 4 3" xfId="41520"/>
    <cellStyle name="20% - Accent2 2 2 10 5" xfId="16404"/>
    <cellStyle name="20% - Accent2 2 2 10 5 2" xfId="45265"/>
    <cellStyle name="20% - Accent2 2 2 10 6" xfId="30629"/>
    <cellStyle name="20% - Accent2 2 2 11" xfId="1973"/>
    <cellStyle name="20% - Accent2 2 2 11 2" xfId="4860"/>
    <cellStyle name="20% - Accent2 2 2 11 2 2" xfId="10901"/>
    <cellStyle name="20% - Accent2 2 2 11 2 2 2" xfId="27948"/>
    <cellStyle name="20% - Accent2 2 2 11 2 2 2 2" xfId="56809"/>
    <cellStyle name="20% - Accent2 2 2 11 2 2 3" xfId="39762"/>
    <cellStyle name="20% - Accent2 2 2 11 2 3" xfId="21970"/>
    <cellStyle name="20% - Accent2 2 2 11 2 3 2" xfId="50831"/>
    <cellStyle name="20% - Accent2 2 2 11 2 4" xfId="33721"/>
    <cellStyle name="20% - Accent2 2 2 11 3" xfId="8015"/>
    <cellStyle name="20% - Accent2 2 2 11 3 2" xfId="25062"/>
    <cellStyle name="20% - Accent2 2 2 11 3 2 2" xfId="53923"/>
    <cellStyle name="20% - Accent2 2 2 11 3 3" xfId="36876"/>
    <cellStyle name="20% - Accent2 2 2 11 4" xfId="12421"/>
    <cellStyle name="20% - Accent2 2 2 11 4 2" xfId="19290"/>
    <cellStyle name="20% - Accent2 2 2 11 4 2 2" xfId="48151"/>
    <cellStyle name="20% - Accent2 2 2 11 4 3" xfId="41282"/>
    <cellStyle name="20% - Accent2 2 2 11 5" xfId="16610"/>
    <cellStyle name="20% - Accent2 2 2 11 5 2" xfId="45471"/>
    <cellStyle name="20% - Accent2 2 2 11 6" xfId="30835"/>
    <cellStyle name="20% - Accent2 2 2 12" xfId="2385"/>
    <cellStyle name="20% - Accent2 2 2 12 2" xfId="5272"/>
    <cellStyle name="20% - Accent2 2 2 12 2 2" xfId="11313"/>
    <cellStyle name="20% - Accent2 2 2 12 2 2 2" xfId="28360"/>
    <cellStyle name="20% - Accent2 2 2 12 2 2 2 2" xfId="57221"/>
    <cellStyle name="20% - Accent2 2 2 12 2 2 3" xfId="40174"/>
    <cellStyle name="20% - Accent2 2 2 12 2 3" xfId="22382"/>
    <cellStyle name="20% - Accent2 2 2 12 2 3 2" xfId="51243"/>
    <cellStyle name="20% - Accent2 2 2 12 2 4" xfId="34133"/>
    <cellStyle name="20% - Accent2 2 2 12 3" xfId="8427"/>
    <cellStyle name="20% - Accent2 2 2 12 3 2" xfId="25474"/>
    <cellStyle name="20% - Accent2 2 2 12 3 2 2" xfId="54335"/>
    <cellStyle name="20% - Accent2 2 2 12 3 3" xfId="37288"/>
    <cellStyle name="20% - Accent2 2 2 12 4" xfId="12549"/>
    <cellStyle name="20% - Accent2 2 2 12 4 2" xfId="19702"/>
    <cellStyle name="20% - Accent2 2 2 12 4 2 2" xfId="48563"/>
    <cellStyle name="20% - Accent2 2 2 12 4 3" xfId="41410"/>
    <cellStyle name="20% - Accent2 2 2 12 5" xfId="17022"/>
    <cellStyle name="20% - Accent2 2 2 12 5 2" xfId="45883"/>
    <cellStyle name="20% - Accent2 2 2 12 6" xfId="31247"/>
    <cellStyle name="20% - Accent2 2 2 13" xfId="2594"/>
    <cellStyle name="20% - Accent2 2 2 13 2" xfId="5480"/>
    <cellStyle name="20% - Accent2 2 2 13 2 2" xfId="11521"/>
    <cellStyle name="20% - Accent2 2 2 13 2 2 2" xfId="28568"/>
    <cellStyle name="20% - Accent2 2 2 13 2 2 2 2" xfId="57429"/>
    <cellStyle name="20% - Accent2 2 2 13 2 2 3" xfId="40382"/>
    <cellStyle name="20% - Accent2 2 2 13 2 3" xfId="22590"/>
    <cellStyle name="20% - Accent2 2 2 13 2 3 2" xfId="51451"/>
    <cellStyle name="20% - Accent2 2 2 13 2 4" xfId="34341"/>
    <cellStyle name="20% - Accent2 2 2 13 3" xfId="8635"/>
    <cellStyle name="20% - Accent2 2 2 13 3 2" xfId="25682"/>
    <cellStyle name="20% - Accent2 2 2 13 3 2 2" xfId="54543"/>
    <cellStyle name="20% - Accent2 2 2 13 3 3" xfId="37496"/>
    <cellStyle name="20% - Accent2 2 2 13 4" xfId="14315"/>
    <cellStyle name="20% - Accent2 2 2 13 4 2" xfId="19910"/>
    <cellStyle name="20% - Accent2 2 2 13 4 2 2" xfId="48771"/>
    <cellStyle name="20% - Accent2 2 2 13 4 3" xfId="43176"/>
    <cellStyle name="20% - Accent2 2 2 13 5" xfId="17230"/>
    <cellStyle name="20% - Accent2 2 2 13 5 2" xfId="46091"/>
    <cellStyle name="20% - Accent2 2 2 13 6" xfId="31455"/>
    <cellStyle name="20% - Accent2 2 2 14" xfId="3006"/>
    <cellStyle name="20% - Accent2 2 2 14 2" xfId="9047"/>
    <cellStyle name="20% - Accent2 2 2 14 2 2" xfId="26094"/>
    <cellStyle name="20% - Accent2 2 2 14 2 2 2" xfId="54955"/>
    <cellStyle name="20% - Accent2 2 2 14 2 3" xfId="37908"/>
    <cellStyle name="20% - Accent2 2 2 14 3" xfId="14303"/>
    <cellStyle name="20% - Accent2 2 2 14 3 2" xfId="20116"/>
    <cellStyle name="20% - Accent2 2 2 14 3 2 2" xfId="48977"/>
    <cellStyle name="20% - Accent2 2 2 14 3 3" xfId="43164"/>
    <cellStyle name="20% - Accent2 2 2 14 4" xfId="14756"/>
    <cellStyle name="20% - Accent2 2 2 14 4 2" xfId="43617"/>
    <cellStyle name="20% - Accent2 2 2 14 5" xfId="31867"/>
    <cellStyle name="20% - Accent2 2 2 15" xfId="2800"/>
    <cellStyle name="20% - Accent2 2 2 15 2" xfId="8841"/>
    <cellStyle name="20% - Accent2 2 2 15 2 2" xfId="25888"/>
    <cellStyle name="20% - Accent2 2 2 15 2 2 2" xfId="54749"/>
    <cellStyle name="20% - Accent2 2 2 15 2 3" xfId="37702"/>
    <cellStyle name="20% - Accent2 2 2 15 3" xfId="17436"/>
    <cellStyle name="20% - Accent2 2 2 15 3 2" xfId="46297"/>
    <cellStyle name="20% - Accent2 2 2 15 4" xfId="31661"/>
    <cellStyle name="20% - Accent2 2 2 16" xfId="5686"/>
    <cellStyle name="20% - Accent2 2 2 16 2" xfId="11727"/>
    <cellStyle name="20% - Accent2 2 2 16 2 2" xfId="28774"/>
    <cellStyle name="20% - Accent2 2 2 16 2 2 2" xfId="57635"/>
    <cellStyle name="20% - Accent2 2 2 16 2 3" xfId="40588"/>
    <cellStyle name="20% - Accent2 2 2 16 3" xfId="22796"/>
    <cellStyle name="20% - Accent2 2 2 16 3 2" xfId="51657"/>
    <cellStyle name="20% - Accent2 2 2 16 4" xfId="34547"/>
    <cellStyle name="20% - Accent2 2 2 17" xfId="5903"/>
    <cellStyle name="20% - Accent2 2 2 17 2" xfId="23002"/>
    <cellStyle name="20% - Accent2 2 2 17 2 2" xfId="51863"/>
    <cellStyle name="20% - Accent2 2 2 17 3" xfId="34764"/>
    <cellStyle name="20% - Accent2 2 2 18" xfId="6161"/>
    <cellStyle name="20% - Accent2 2 2 18 2" xfId="23208"/>
    <cellStyle name="20% - Accent2 2 2 18 2 2" xfId="52069"/>
    <cellStyle name="20% - Accent2 2 2 18 3" xfId="35022"/>
    <cellStyle name="20% - Accent2 2 2 19" xfId="14550"/>
    <cellStyle name="20% - Accent2 2 2 19 2" xfId="43411"/>
    <cellStyle name="20% - Accent2 2 2 2" xfId="325"/>
    <cellStyle name="20% - Accent2 2 2 2 10" xfId="2488"/>
    <cellStyle name="20% - Accent2 2 2 2 10 2" xfId="5375"/>
    <cellStyle name="20% - Accent2 2 2 2 10 2 2" xfId="11416"/>
    <cellStyle name="20% - Accent2 2 2 2 10 2 2 2" xfId="28463"/>
    <cellStyle name="20% - Accent2 2 2 2 10 2 2 2 2" xfId="57324"/>
    <cellStyle name="20% - Accent2 2 2 2 10 2 2 3" xfId="40277"/>
    <cellStyle name="20% - Accent2 2 2 2 10 2 3" xfId="22485"/>
    <cellStyle name="20% - Accent2 2 2 2 10 2 3 2" xfId="51346"/>
    <cellStyle name="20% - Accent2 2 2 2 10 2 4" xfId="34236"/>
    <cellStyle name="20% - Accent2 2 2 2 10 3" xfId="8530"/>
    <cellStyle name="20% - Accent2 2 2 2 10 3 2" xfId="25577"/>
    <cellStyle name="20% - Accent2 2 2 2 10 3 2 2" xfId="54438"/>
    <cellStyle name="20% - Accent2 2 2 2 10 3 3" xfId="37391"/>
    <cellStyle name="20% - Accent2 2 2 2 10 4" xfId="14287"/>
    <cellStyle name="20% - Accent2 2 2 2 10 4 2" xfId="19805"/>
    <cellStyle name="20% - Accent2 2 2 2 10 4 2 2" xfId="48666"/>
    <cellStyle name="20% - Accent2 2 2 2 10 4 3" xfId="43148"/>
    <cellStyle name="20% - Accent2 2 2 2 10 5" xfId="17125"/>
    <cellStyle name="20% - Accent2 2 2 2 10 5 2" xfId="45986"/>
    <cellStyle name="20% - Accent2 2 2 2 10 6" xfId="31350"/>
    <cellStyle name="20% - Accent2 2 2 2 11" xfId="2697"/>
    <cellStyle name="20% - Accent2 2 2 2 11 2" xfId="5583"/>
    <cellStyle name="20% - Accent2 2 2 2 11 2 2" xfId="11624"/>
    <cellStyle name="20% - Accent2 2 2 2 11 2 2 2" xfId="28671"/>
    <cellStyle name="20% - Accent2 2 2 2 11 2 2 2 2" xfId="57532"/>
    <cellStyle name="20% - Accent2 2 2 2 11 2 2 3" xfId="40485"/>
    <cellStyle name="20% - Accent2 2 2 2 11 2 3" xfId="22693"/>
    <cellStyle name="20% - Accent2 2 2 2 11 2 3 2" xfId="51554"/>
    <cellStyle name="20% - Accent2 2 2 2 11 2 4" xfId="34444"/>
    <cellStyle name="20% - Accent2 2 2 2 11 3" xfId="8738"/>
    <cellStyle name="20% - Accent2 2 2 2 11 3 2" xfId="25785"/>
    <cellStyle name="20% - Accent2 2 2 2 11 3 2 2" xfId="54646"/>
    <cellStyle name="20% - Accent2 2 2 2 11 3 3" xfId="37599"/>
    <cellStyle name="20% - Accent2 2 2 2 11 4" xfId="14305"/>
    <cellStyle name="20% - Accent2 2 2 2 11 4 2" xfId="20013"/>
    <cellStyle name="20% - Accent2 2 2 2 11 4 2 2" xfId="48874"/>
    <cellStyle name="20% - Accent2 2 2 2 11 4 3" xfId="43166"/>
    <cellStyle name="20% - Accent2 2 2 2 11 5" xfId="17333"/>
    <cellStyle name="20% - Accent2 2 2 2 11 5 2" xfId="46194"/>
    <cellStyle name="20% - Accent2 2 2 2 11 6" xfId="31558"/>
    <cellStyle name="20% - Accent2 2 2 2 12" xfId="3212"/>
    <cellStyle name="20% - Accent2 2 2 2 12 2" xfId="9253"/>
    <cellStyle name="20% - Accent2 2 2 2 12 2 2" xfId="26300"/>
    <cellStyle name="20% - Accent2 2 2 2 12 2 2 2" xfId="55161"/>
    <cellStyle name="20% - Accent2 2 2 2 12 2 3" xfId="38114"/>
    <cellStyle name="20% - Accent2 2 2 2 12 3" xfId="12981"/>
    <cellStyle name="20% - Accent2 2 2 2 12 3 2" xfId="20322"/>
    <cellStyle name="20% - Accent2 2 2 2 12 3 2 2" xfId="49183"/>
    <cellStyle name="20% - Accent2 2 2 2 12 3 3" xfId="41842"/>
    <cellStyle name="20% - Accent2 2 2 2 12 4" xfId="14962"/>
    <cellStyle name="20% - Accent2 2 2 2 12 4 2" xfId="43823"/>
    <cellStyle name="20% - Accent2 2 2 2 12 5" xfId="32073"/>
    <cellStyle name="20% - Accent2 2 2 2 13" xfId="2903"/>
    <cellStyle name="20% - Accent2 2 2 2 13 2" xfId="8944"/>
    <cellStyle name="20% - Accent2 2 2 2 13 2 2" xfId="25991"/>
    <cellStyle name="20% - Accent2 2 2 2 13 2 2 2" xfId="54852"/>
    <cellStyle name="20% - Accent2 2 2 2 13 2 3" xfId="37805"/>
    <cellStyle name="20% - Accent2 2 2 2 13 3" xfId="17539"/>
    <cellStyle name="20% - Accent2 2 2 2 13 3 2" xfId="46400"/>
    <cellStyle name="20% - Accent2 2 2 2 13 4" xfId="31764"/>
    <cellStyle name="20% - Accent2 2 2 2 14" xfId="5789"/>
    <cellStyle name="20% - Accent2 2 2 2 14 2" xfId="11830"/>
    <cellStyle name="20% - Accent2 2 2 2 14 2 2" xfId="28877"/>
    <cellStyle name="20% - Accent2 2 2 2 14 2 2 2" xfId="57738"/>
    <cellStyle name="20% - Accent2 2 2 2 14 2 3" xfId="40691"/>
    <cellStyle name="20% - Accent2 2 2 2 14 3" xfId="22899"/>
    <cellStyle name="20% - Accent2 2 2 2 14 3 2" xfId="51760"/>
    <cellStyle name="20% - Accent2 2 2 2 14 4" xfId="34650"/>
    <cellStyle name="20% - Accent2 2 2 2 15" xfId="6006"/>
    <cellStyle name="20% - Accent2 2 2 2 15 2" xfId="23105"/>
    <cellStyle name="20% - Accent2 2 2 2 15 2 2" xfId="51966"/>
    <cellStyle name="20% - Accent2 2 2 2 15 3" xfId="34867"/>
    <cellStyle name="20% - Accent2 2 2 2 16" xfId="6367"/>
    <cellStyle name="20% - Accent2 2 2 2 16 2" xfId="23414"/>
    <cellStyle name="20% - Accent2 2 2 2 16 2 2" xfId="52275"/>
    <cellStyle name="20% - Accent2 2 2 2 16 3" xfId="35228"/>
    <cellStyle name="20% - Accent2 2 2 2 17" xfId="14653"/>
    <cellStyle name="20% - Accent2 2 2 2 17 2" xfId="43514"/>
    <cellStyle name="20% - Accent2 2 2 2 18" xfId="29187"/>
    <cellStyle name="20% - Accent2 2 2 2 2" xfId="531"/>
    <cellStyle name="20% - Accent2 2 2 2 2 2" xfId="2282"/>
    <cellStyle name="20% - Accent2 2 2 2 2 2 2" xfId="5169"/>
    <cellStyle name="20% - Accent2 2 2 2 2 2 2 2" xfId="11210"/>
    <cellStyle name="20% - Accent2 2 2 2 2 2 2 2 2" xfId="28257"/>
    <cellStyle name="20% - Accent2 2 2 2 2 2 2 2 2 2" xfId="57118"/>
    <cellStyle name="20% - Accent2 2 2 2 2 2 2 2 3" xfId="40071"/>
    <cellStyle name="20% - Accent2 2 2 2 2 2 2 3" xfId="22279"/>
    <cellStyle name="20% - Accent2 2 2 2 2 2 2 3 2" xfId="51140"/>
    <cellStyle name="20% - Accent2 2 2 2 2 2 2 4" xfId="34030"/>
    <cellStyle name="20% - Accent2 2 2 2 2 2 3" xfId="8324"/>
    <cellStyle name="20% - Accent2 2 2 2 2 2 3 2" xfId="25371"/>
    <cellStyle name="20% - Accent2 2 2 2 2 2 3 2 2" xfId="54232"/>
    <cellStyle name="20% - Accent2 2 2 2 2 2 3 3" xfId="37185"/>
    <cellStyle name="20% - Accent2 2 2 2 2 2 4" xfId="14376"/>
    <cellStyle name="20% - Accent2 2 2 2 2 2 4 2" xfId="19599"/>
    <cellStyle name="20% - Accent2 2 2 2 2 2 4 2 2" xfId="48460"/>
    <cellStyle name="20% - Accent2 2 2 2 2 2 4 3" xfId="43237"/>
    <cellStyle name="20% - Accent2 2 2 2 2 2 5" xfId="16919"/>
    <cellStyle name="20% - Accent2 2 2 2 2 2 5 2" xfId="45780"/>
    <cellStyle name="20% - Accent2 2 2 2 2 2 6" xfId="31144"/>
    <cellStyle name="20% - Accent2 2 2 2 2 3" xfId="3418"/>
    <cellStyle name="20% - Accent2 2 2 2 2 3 2" xfId="9459"/>
    <cellStyle name="20% - Accent2 2 2 2 2 3 2 2" xfId="26506"/>
    <cellStyle name="20% - Accent2 2 2 2 2 3 2 2 2" xfId="55367"/>
    <cellStyle name="20% - Accent2 2 2 2 2 3 2 3" xfId="38320"/>
    <cellStyle name="20% - Accent2 2 2 2 2 3 3" xfId="20528"/>
    <cellStyle name="20% - Accent2 2 2 2 2 3 3 2" xfId="49389"/>
    <cellStyle name="20% - Accent2 2 2 2 2 3 4" xfId="32279"/>
    <cellStyle name="20% - Accent2 2 2 2 2 4" xfId="6573"/>
    <cellStyle name="20% - Accent2 2 2 2 2 4 2" xfId="23620"/>
    <cellStyle name="20% - Accent2 2 2 2 2 4 2 2" xfId="52481"/>
    <cellStyle name="20% - Accent2 2 2 2 2 4 3" xfId="35434"/>
    <cellStyle name="20% - Accent2 2 2 2 2 5" xfId="13514"/>
    <cellStyle name="20% - Accent2 2 2 2 2 5 2" xfId="17848"/>
    <cellStyle name="20% - Accent2 2 2 2 2 5 2 2" xfId="46709"/>
    <cellStyle name="20% - Accent2 2 2 2 2 5 3" xfId="42375"/>
    <cellStyle name="20% - Accent2 2 2 2 2 6" xfId="15168"/>
    <cellStyle name="20% - Accent2 2 2 2 2 6 2" xfId="44029"/>
    <cellStyle name="20% - Accent2 2 2 2 2 7" xfId="29393"/>
    <cellStyle name="20% - Accent2 2 2 2 3" xfId="840"/>
    <cellStyle name="20% - Accent2 2 2 2 3 2" xfId="3727"/>
    <cellStyle name="20% - Accent2 2 2 2 3 2 2" xfId="9768"/>
    <cellStyle name="20% - Accent2 2 2 2 3 2 2 2" xfId="26815"/>
    <cellStyle name="20% - Accent2 2 2 2 3 2 2 2 2" xfId="55676"/>
    <cellStyle name="20% - Accent2 2 2 2 3 2 2 3" xfId="38629"/>
    <cellStyle name="20% - Accent2 2 2 2 3 2 3" xfId="20837"/>
    <cellStyle name="20% - Accent2 2 2 2 3 2 3 2" xfId="49698"/>
    <cellStyle name="20% - Accent2 2 2 2 3 2 4" xfId="32588"/>
    <cellStyle name="20% - Accent2 2 2 2 3 3" xfId="6882"/>
    <cellStyle name="20% - Accent2 2 2 2 3 3 2" xfId="23929"/>
    <cellStyle name="20% - Accent2 2 2 2 3 3 2 2" xfId="52790"/>
    <cellStyle name="20% - Accent2 2 2 2 3 3 3" xfId="35743"/>
    <cellStyle name="20% - Accent2 2 2 2 3 4" xfId="11900"/>
    <cellStyle name="20% - Accent2 2 2 2 3 4 2" xfId="18157"/>
    <cellStyle name="20% - Accent2 2 2 2 3 4 2 2" xfId="47018"/>
    <cellStyle name="20% - Accent2 2 2 2 3 4 3" xfId="40761"/>
    <cellStyle name="20% - Accent2 2 2 2 3 5" xfId="15477"/>
    <cellStyle name="20% - Accent2 2 2 2 3 5 2" xfId="44338"/>
    <cellStyle name="20% - Accent2 2 2 2 3 6" xfId="29702"/>
    <cellStyle name="20% - Accent2 2 2 2 4" xfId="1046"/>
    <cellStyle name="20% - Accent2 2 2 2 4 2" xfId="3933"/>
    <cellStyle name="20% - Accent2 2 2 2 4 2 2" xfId="9974"/>
    <cellStyle name="20% - Accent2 2 2 2 4 2 2 2" xfId="27021"/>
    <cellStyle name="20% - Accent2 2 2 2 4 2 2 2 2" xfId="55882"/>
    <cellStyle name="20% - Accent2 2 2 2 4 2 2 3" xfId="38835"/>
    <cellStyle name="20% - Accent2 2 2 2 4 2 3" xfId="21043"/>
    <cellStyle name="20% - Accent2 2 2 2 4 2 3 2" xfId="49904"/>
    <cellStyle name="20% - Accent2 2 2 2 4 2 4" xfId="32794"/>
    <cellStyle name="20% - Accent2 2 2 2 4 3" xfId="7088"/>
    <cellStyle name="20% - Accent2 2 2 2 4 3 2" xfId="24135"/>
    <cellStyle name="20% - Accent2 2 2 2 4 3 2 2" xfId="52996"/>
    <cellStyle name="20% - Accent2 2 2 2 4 3 3" xfId="35949"/>
    <cellStyle name="20% - Accent2 2 2 2 4 4" xfId="13501"/>
    <cellStyle name="20% - Accent2 2 2 2 4 4 2" xfId="18363"/>
    <cellStyle name="20% - Accent2 2 2 2 4 4 2 2" xfId="47224"/>
    <cellStyle name="20% - Accent2 2 2 2 4 4 3" xfId="42362"/>
    <cellStyle name="20% - Accent2 2 2 2 4 5" xfId="15683"/>
    <cellStyle name="20% - Accent2 2 2 2 4 5 2" xfId="44544"/>
    <cellStyle name="20% - Accent2 2 2 2 4 6" xfId="29908"/>
    <cellStyle name="20% - Accent2 2 2 2 5" xfId="1252"/>
    <cellStyle name="20% - Accent2 2 2 2 5 2" xfId="4139"/>
    <cellStyle name="20% - Accent2 2 2 2 5 2 2" xfId="10180"/>
    <cellStyle name="20% - Accent2 2 2 2 5 2 2 2" xfId="27227"/>
    <cellStyle name="20% - Accent2 2 2 2 5 2 2 2 2" xfId="56088"/>
    <cellStyle name="20% - Accent2 2 2 2 5 2 2 3" xfId="39041"/>
    <cellStyle name="20% - Accent2 2 2 2 5 2 3" xfId="21249"/>
    <cellStyle name="20% - Accent2 2 2 2 5 2 3 2" xfId="50110"/>
    <cellStyle name="20% - Accent2 2 2 2 5 2 4" xfId="33000"/>
    <cellStyle name="20% - Accent2 2 2 2 5 3" xfId="7294"/>
    <cellStyle name="20% - Accent2 2 2 2 5 3 2" xfId="24341"/>
    <cellStyle name="20% - Accent2 2 2 2 5 3 2 2" xfId="53202"/>
    <cellStyle name="20% - Accent2 2 2 2 5 3 3" xfId="36155"/>
    <cellStyle name="20% - Accent2 2 2 2 5 4" xfId="13313"/>
    <cellStyle name="20% - Accent2 2 2 2 5 4 2" xfId="18569"/>
    <cellStyle name="20% - Accent2 2 2 2 5 4 2 2" xfId="47430"/>
    <cellStyle name="20% - Accent2 2 2 2 5 4 3" xfId="42174"/>
    <cellStyle name="20% - Accent2 2 2 2 5 5" xfId="15889"/>
    <cellStyle name="20% - Accent2 2 2 2 5 5 2" xfId="44750"/>
    <cellStyle name="20% - Accent2 2 2 2 5 6" xfId="30114"/>
    <cellStyle name="20% - Accent2 2 2 2 6" xfId="1458"/>
    <cellStyle name="20% - Accent2 2 2 2 6 2" xfId="4345"/>
    <cellStyle name="20% - Accent2 2 2 2 6 2 2" xfId="10386"/>
    <cellStyle name="20% - Accent2 2 2 2 6 2 2 2" xfId="27433"/>
    <cellStyle name="20% - Accent2 2 2 2 6 2 2 2 2" xfId="56294"/>
    <cellStyle name="20% - Accent2 2 2 2 6 2 2 3" xfId="39247"/>
    <cellStyle name="20% - Accent2 2 2 2 6 2 3" xfId="21455"/>
    <cellStyle name="20% - Accent2 2 2 2 6 2 3 2" xfId="50316"/>
    <cellStyle name="20% - Accent2 2 2 2 6 2 4" xfId="33206"/>
    <cellStyle name="20% - Accent2 2 2 2 6 3" xfId="7500"/>
    <cellStyle name="20% - Accent2 2 2 2 6 3 2" xfId="24547"/>
    <cellStyle name="20% - Accent2 2 2 2 6 3 2 2" xfId="53408"/>
    <cellStyle name="20% - Accent2 2 2 2 6 3 3" xfId="36361"/>
    <cellStyle name="20% - Accent2 2 2 2 6 4" xfId="12848"/>
    <cellStyle name="20% - Accent2 2 2 2 6 4 2" xfId="18775"/>
    <cellStyle name="20% - Accent2 2 2 2 6 4 2 2" xfId="47636"/>
    <cellStyle name="20% - Accent2 2 2 2 6 4 3" xfId="41709"/>
    <cellStyle name="20% - Accent2 2 2 2 6 5" xfId="16095"/>
    <cellStyle name="20% - Accent2 2 2 2 6 5 2" xfId="44956"/>
    <cellStyle name="20% - Accent2 2 2 2 6 6" xfId="30320"/>
    <cellStyle name="20% - Accent2 2 2 2 7" xfId="1664"/>
    <cellStyle name="20% - Accent2 2 2 2 7 2" xfId="4551"/>
    <cellStyle name="20% - Accent2 2 2 2 7 2 2" xfId="10592"/>
    <cellStyle name="20% - Accent2 2 2 2 7 2 2 2" xfId="27639"/>
    <cellStyle name="20% - Accent2 2 2 2 7 2 2 2 2" xfId="56500"/>
    <cellStyle name="20% - Accent2 2 2 2 7 2 2 3" xfId="39453"/>
    <cellStyle name="20% - Accent2 2 2 2 7 2 3" xfId="21661"/>
    <cellStyle name="20% - Accent2 2 2 2 7 2 3 2" xfId="50522"/>
    <cellStyle name="20% - Accent2 2 2 2 7 2 4" xfId="33412"/>
    <cellStyle name="20% - Accent2 2 2 2 7 3" xfId="7706"/>
    <cellStyle name="20% - Accent2 2 2 2 7 3 2" xfId="24753"/>
    <cellStyle name="20% - Accent2 2 2 2 7 3 2 2" xfId="53614"/>
    <cellStyle name="20% - Accent2 2 2 2 7 3 3" xfId="36567"/>
    <cellStyle name="20% - Accent2 2 2 2 7 4" xfId="14097"/>
    <cellStyle name="20% - Accent2 2 2 2 7 4 2" xfId="18981"/>
    <cellStyle name="20% - Accent2 2 2 2 7 4 2 2" xfId="47842"/>
    <cellStyle name="20% - Accent2 2 2 2 7 4 3" xfId="42958"/>
    <cellStyle name="20% - Accent2 2 2 2 7 5" xfId="16301"/>
    <cellStyle name="20% - Accent2 2 2 2 7 5 2" xfId="45162"/>
    <cellStyle name="20% - Accent2 2 2 2 7 6" xfId="30526"/>
    <cellStyle name="20% - Accent2 2 2 2 8" xfId="1870"/>
    <cellStyle name="20% - Accent2 2 2 2 8 2" xfId="4757"/>
    <cellStyle name="20% - Accent2 2 2 2 8 2 2" xfId="10798"/>
    <cellStyle name="20% - Accent2 2 2 2 8 2 2 2" xfId="27845"/>
    <cellStyle name="20% - Accent2 2 2 2 8 2 2 2 2" xfId="56706"/>
    <cellStyle name="20% - Accent2 2 2 2 8 2 2 3" xfId="39659"/>
    <cellStyle name="20% - Accent2 2 2 2 8 2 3" xfId="21867"/>
    <cellStyle name="20% - Accent2 2 2 2 8 2 3 2" xfId="50728"/>
    <cellStyle name="20% - Accent2 2 2 2 8 2 4" xfId="33618"/>
    <cellStyle name="20% - Accent2 2 2 2 8 3" xfId="7912"/>
    <cellStyle name="20% - Accent2 2 2 2 8 3 2" xfId="24959"/>
    <cellStyle name="20% - Accent2 2 2 2 8 3 2 2" xfId="53820"/>
    <cellStyle name="20% - Accent2 2 2 2 8 3 3" xfId="36773"/>
    <cellStyle name="20% - Accent2 2 2 2 8 4" xfId="12142"/>
    <cellStyle name="20% - Accent2 2 2 2 8 4 2" xfId="19187"/>
    <cellStyle name="20% - Accent2 2 2 2 8 4 2 2" xfId="48048"/>
    <cellStyle name="20% - Accent2 2 2 2 8 4 3" xfId="41003"/>
    <cellStyle name="20% - Accent2 2 2 2 8 5" xfId="16507"/>
    <cellStyle name="20% - Accent2 2 2 2 8 5 2" xfId="45368"/>
    <cellStyle name="20% - Accent2 2 2 2 8 6" xfId="30732"/>
    <cellStyle name="20% - Accent2 2 2 2 9" xfId="2076"/>
    <cellStyle name="20% - Accent2 2 2 2 9 2" xfId="4963"/>
    <cellStyle name="20% - Accent2 2 2 2 9 2 2" xfId="11004"/>
    <cellStyle name="20% - Accent2 2 2 2 9 2 2 2" xfId="28051"/>
    <cellStyle name="20% - Accent2 2 2 2 9 2 2 2 2" xfId="56912"/>
    <cellStyle name="20% - Accent2 2 2 2 9 2 2 3" xfId="39865"/>
    <cellStyle name="20% - Accent2 2 2 2 9 2 3" xfId="22073"/>
    <cellStyle name="20% - Accent2 2 2 2 9 2 3 2" xfId="50934"/>
    <cellStyle name="20% - Accent2 2 2 2 9 2 4" xfId="33824"/>
    <cellStyle name="20% - Accent2 2 2 2 9 3" xfId="8118"/>
    <cellStyle name="20% - Accent2 2 2 2 9 3 2" xfId="25165"/>
    <cellStyle name="20% - Accent2 2 2 2 9 3 2 2" xfId="54026"/>
    <cellStyle name="20% - Accent2 2 2 2 9 3 3" xfId="36979"/>
    <cellStyle name="20% - Accent2 2 2 2 9 4" xfId="12923"/>
    <cellStyle name="20% - Accent2 2 2 2 9 4 2" xfId="19393"/>
    <cellStyle name="20% - Accent2 2 2 2 9 4 2 2" xfId="48254"/>
    <cellStyle name="20% - Accent2 2 2 2 9 4 3" xfId="41784"/>
    <cellStyle name="20% - Accent2 2 2 2 9 5" xfId="16713"/>
    <cellStyle name="20% - Accent2 2 2 2 9 5 2" xfId="45574"/>
    <cellStyle name="20% - Accent2 2 2 2 9 6" xfId="30938"/>
    <cellStyle name="20% - Accent2 2 2 20" xfId="28981"/>
    <cellStyle name="20% - Accent2 2 2 3" xfId="222"/>
    <cellStyle name="20% - Accent2 2 2 3 2" xfId="634"/>
    <cellStyle name="20% - Accent2 2 2 3 2 2" xfId="3521"/>
    <cellStyle name="20% - Accent2 2 2 3 2 2 2" xfId="9562"/>
    <cellStyle name="20% - Accent2 2 2 3 2 2 2 2" xfId="26609"/>
    <cellStyle name="20% - Accent2 2 2 3 2 2 2 2 2" xfId="55470"/>
    <cellStyle name="20% - Accent2 2 2 3 2 2 2 3" xfId="38423"/>
    <cellStyle name="20% - Accent2 2 2 3 2 2 3" xfId="20631"/>
    <cellStyle name="20% - Accent2 2 2 3 2 2 3 2" xfId="49492"/>
    <cellStyle name="20% - Accent2 2 2 3 2 2 4" xfId="32382"/>
    <cellStyle name="20% - Accent2 2 2 3 2 3" xfId="6676"/>
    <cellStyle name="20% - Accent2 2 2 3 2 3 2" xfId="23723"/>
    <cellStyle name="20% - Accent2 2 2 3 2 3 2 2" xfId="52584"/>
    <cellStyle name="20% - Accent2 2 2 3 2 3 3" xfId="35537"/>
    <cellStyle name="20% - Accent2 2 2 3 2 4" xfId="14328"/>
    <cellStyle name="20% - Accent2 2 2 3 2 4 2" xfId="17951"/>
    <cellStyle name="20% - Accent2 2 2 3 2 4 2 2" xfId="46812"/>
    <cellStyle name="20% - Accent2 2 2 3 2 4 3" xfId="43189"/>
    <cellStyle name="20% - Accent2 2 2 3 2 5" xfId="15271"/>
    <cellStyle name="20% - Accent2 2 2 3 2 5 2" xfId="44132"/>
    <cellStyle name="20% - Accent2 2 2 3 2 6" xfId="29496"/>
    <cellStyle name="20% - Accent2 2 2 3 3" xfId="2179"/>
    <cellStyle name="20% - Accent2 2 2 3 3 2" xfId="5066"/>
    <cellStyle name="20% - Accent2 2 2 3 3 2 2" xfId="11107"/>
    <cellStyle name="20% - Accent2 2 2 3 3 2 2 2" xfId="28154"/>
    <cellStyle name="20% - Accent2 2 2 3 3 2 2 2 2" xfId="57015"/>
    <cellStyle name="20% - Accent2 2 2 3 3 2 2 3" xfId="39968"/>
    <cellStyle name="20% - Accent2 2 2 3 3 2 3" xfId="22176"/>
    <cellStyle name="20% - Accent2 2 2 3 3 2 3 2" xfId="51037"/>
    <cellStyle name="20% - Accent2 2 2 3 3 2 4" xfId="33927"/>
    <cellStyle name="20% - Accent2 2 2 3 3 3" xfId="8221"/>
    <cellStyle name="20% - Accent2 2 2 3 3 3 2" xfId="25268"/>
    <cellStyle name="20% - Accent2 2 2 3 3 3 2 2" xfId="54129"/>
    <cellStyle name="20% - Accent2 2 2 3 3 3 3" xfId="37082"/>
    <cellStyle name="20% - Accent2 2 2 3 3 4" xfId="14272"/>
    <cellStyle name="20% - Accent2 2 2 3 3 4 2" xfId="19496"/>
    <cellStyle name="20% - Accent2 2 2 3 3 4 2 2" xfId="48357"/>
    <cellStyle name="20% - Accent2 2 2 3 3 4 3" xfId="43133"/>
    <cellStyle name="20% - Accent2 2 2 3 3 5" xfId="16816"/>
    <cellStyle name="20% - Accent2 2 2 3 3 5 2" xfId="45677"/>
    <cellStyle name="20% - Accent2 2 2 3 3 6" xfId="31041"/>
    <cellStyle name="20% - Accent2 2 2 3 4" xfId="3109"/>
    <cellStyle name="20% - Accent2 2 2 3 4 2" xfId="9150"/>
    <cellStyle name="20% - Accent2 2 2 3 4 2 2" xfId="26197"/>
    <cellStyle name="20% - Accent2 2 2 3 4 2 2 2" xfId="55058"/>
    <cellStyle name="20% - Accent2 2 2 3 4 2 3" xfId="38011"/>
    <cellStyle name="20% - Accent2 2 2 3 4 3" xfId="20219"/>
    <cellStyle name="20% - Accent2 2 2 3 4 3 2" xfId="49080"/>
    <cellStyle name="20% - Accent2 2 2 3 4 4" xfId="31970"/>
    <cellStyle name="20% - Accent2 2 2 3 5" xfId="6264"/>
    <cellStyle name="20% - Accent2 2 2 3 5 2" xfId="23311"/>
    <cellStyle name="20% - Accent2 2 2 3 5 2 2" xfId="52172"/>
    <cellStyle name="20% - Accent2 2 2 3 5 3" xfId="35125"/>
    <cellStyle name="20% - Accent2 2 2 3 6" xfId="13049"/>
    <cellStyle name="20% - Accent2 2 2 3 6 2" xfId="17642"/>
    <cellStyle name="20% - Accent2 2 2 3 6 2 2" xfId="46503"/>
    <cellStyle name="20% - Accent2 2 2 3 6 3" xfId="41910"/>
    <cellStyle name="20% - Accent2 2 2 3 7" xfId="14859"/>
    <cellStyle name="20% - Accent2 2 2 3 7 2" xfId="43720"/>
    <cellStyle name="20% - Accent2 2 2 3 8" xfId="29084"/>
    <cellStyle name="20% - Accent2 2 2 4" xfId="428"/>
    <cellStyle name="20% - Accent2 2 2 4 2" xfId="3315"/>
    <cellStyle name="20% - Accent2 2 2 4 2 2" xfId="9356"/>
    <cellStyle name="20% - Accent2 2 2 4 2 2 2" xfId="26403"/>
    <cellStyle name="20% - Accent2 2 2 4 2 2 2 2" xfId="55264"/>
    <cellStyle name="20% - Accent2 2 2 4 2 2 3" xfId="38217"/>
    <cellStyle name="20% - Accent2 2 2 4 2 3" xfId="20425"/>
    <cellStyle name="20% - Accent2 2 2 4 2 3 2" xfId="49286"/>
    <cellStyle name="20% - Accent2 2 2 4 2 4" xfId="32176"/>
    <cellStyle name="20% - Accent2 2 2 4 3" xfId="6470"/>
    <cellStyle name="20% - Accent2 2 2 4 3 2" xfId="23517"/>
    <cellStyle name="20% - Accent2 2 2 4 3 2 2" xfId="52378"/>
    <cellStyle name="20% - Accent2 2 2 4 3 3" xfId="35331"/>
    <cellStyle name="20% - Accent2 2 2 4 4" xfId="12728"/>
    <cellStyle name="20% - Accent2 2 2 4 4 2" xfId="17745"/>
    <cellStyle name="20% - Accent2 2 2 4 4 2 2" xfId="46606"/>
    <cellStyle name="20% - Accent2 2 2 4 4 3" xfId="41589"/>
    <cellStyle name="20% - Accent2 2 2 4 5" xfId="15065"/>
    <cellStyle name="20% - Accent2 2 2 4 5 2" xfId="43926"/>
    <cellStyle name="20% - Accent2 2 2 4 6" xfId="29290"/>
    <cellStyle name="20% - Accent2 2 2 5" xfId="737"/>
    <cellStyle name="20% - Accent2 2 2 5 2" xfId="3624"/>
    <cellStyle name="20% - Accent2 2 2 5 2 2" xfId="9665"/>
    <cellStyle name="20% - Accent2 2 2 5 2 2 2" xfId="26712"/>
    <cellStyle name="20% - Accent2 2 2 5 2 2 2 2" xfId="55573"/>
    <cellStyle name="20% - Accent2 2 2 5 2 2 3" xfId="38526"/>
    <cellStyle name="20% - Accent2 2 2 5 2 3" xfId="20734"/>
    <cellStyle name="20% - Accent2 2 2 5 2 3 2" xfId="49595"/>
    <cellStyle name="20% - Accent2 2 2 5 2 4" xfId="32485"/>
    <cellStyle name="20% - Accent2 2 2 5 3" xfId="6779"/>
    <cellStyle name="20% - Accent2 2 2 5 3 2" xfId="23826"/>
    <cellStyle name="20% - Accent2 2 2 5 3 2 2" xfId="52687"/>
    <cellStyle name="20% - Accent2 2 2 5 3 3" xfId="35640"/>
    <cellStyle name="20% - Accent2 2 2 5 4" xfId="13115"/>
    <cellStyle name="20% - Accent2 2 2 5 4 2" xfId="18054"/>
    <cellStyle name="20% - Accent2 2 2 5 4 2 2" xfId="46915"/>
    <cellStyle name="20% - Accent2 2 2 5 4 3" xfId="41976"/>
    <cellStyle name="20% - Accent2 2 2 5 5" xfId="15374"/>
    <cellStyle name="20% - Accent2 2 2 5 5 2" xfId="44235"/>
    <cellStyle name="20% - Accent2 2 2 5 6" xfId="29599"/>
    <cellStyle name="20% - Accent2 2 2 6" xfId="943"/>
    <cellStyle name="20% - Accent2 2 2 6 2" xfId="3830"/>
    <cellStyle name="20% - Accent2 2 2 6 2 2" xfId="9871"/>
    <cellStyle name="20% - Accent2 2 2 6 2 2 2" xfId="26918"/>
    <cellStyle name="20% - Accent2 2 2 6 2 2 2 2" xfId="55779"/>
    <cellStyle name="20% - Accent2 2 2 6 2 2 3" xfId="38732"/>
    <cellStyle name="20% - Accent2 2 2 6 2 3" xfId="20940"/>
    <cellStyle name="20% - Accent2 2 2 6 2 3 2" xfId="49801"/>
    <cellStyle name="20% - Accent2 2 2 6 2 4" xfId="32691"/>
    <cellStyle name="20% - Accent2 2 2 6 3" xfId="6985"/>
    <cellStyle name="20% - Accent2 2 2 6 3 2" xfId="24032"/>
    <cellStyle name="20% - Accent2 2 2 6 3 2 2" xfId="52893"/>
    <cellStyle name="20% - Accent2 2 2 6 3 3" xfId="35846"/>
    <cellStyle name="20% - Accent2 2 2 6 4" xfId="13083"/>
    <cellStyle name="20% - Accent2 2 2 6 4 2" xfId="18260"/>
    <cellStyle name="20% - Accent2 2 2 6 4 2 2" xfId="47121"/>
    <cellStyle name="20% - Accent2 2 2 6 4 3" xfId="41944"/>
    <cellStyle name="20% - Accent2 2 2 6 5" xfId="15580"/>
    <cellStyle name="20% - Accent2 2 2 6 5 2" xfId="44441"/>
    <cellStyle name="20% - Accent2 2 2 6 6" xfId="29805"/>
    <cellStyle name="20% - Accent2 2 2 7" xfId="1149"/>
    <cellStyle name="20% - Accent2 2 2 7 2" xfId="4036"/>
    <cellStyle name="20% - Accent2 2 2 7 2 2" xfId="10077"/>
    <cellStyle name="20% - Accent2 2 2 7 2 2 2" xfId="27124"/>
    <cellStyle name="20% - Accent2 2 2 7 2 2 2 2" xfId="55985"/>
    <cellStyle name="20% - Accent2 2 2 7 2 2 3" xfId="38938"/>
    <cellStyle name="20% - Accent2 2 2 7 2 3" xfId="21146"/>
    <cellStyle name="20% - Accent2 2 2 7 2 3 2" xfId="50007"/>
    <cellStyle name="20% - Accent2 2 2 7 2 4" xfId="32897"/>
    <cellStyle name="20% - Accent2 2 2 7 3" xfId="7191"/>
    <cellStyle name="20% - Accent2 2 2 7 3 2" xfId="24238"/>
    <cellStyle name="20% - Accent2 2 2 7 3 2 2" xfId="53099"/>
    <cellStyle name="20% - Accent2 2 2 7 3 3" xfId="36052"/>
    <cellStyle name="20% - Accent2 2 2 7 4" xfId="14211"/>
    <cellStyle name="20% - Accent2 2 2 7 4 2" xfId="18466"/>
    <cellStyle name="20% - Accent2 2 2 7 4 2 2" xfId="47327"/>
    <cellStyle name="20% - Accent2 2 2 7 4 3" xfId="43072"/>
    <cellStyle name="20% - Accent2 2 2 7 5" xfId="15786"/>
    <cellStyle name="20% - Accent2 2 2 7 5 2" xfId="44647"/>
    <cellStyle name="20% - Accent2 2 2 7 6" xfId="30011"/>
    <cellStyle name="20% - Accent2 2 2 8" xfId="1355"/>
    <cellStyle name="20% - Accent2 2 2 8 2" xfId="4242"/>
    <cellStyle name="20% - Accent2 2 2 8 2 2" xfId="10283"/>
    <cellStyle name="20% - Accent2 2 2 8 2 2 2" xfId="27330"/>
    <cellStyle name="20% - Accent2 2 2 8 2 2 2 2" xfId="56191"/>
    <cellStyle name="20% - Accent2 2 2 8 2 2 3" xfId="39144"/>
    <cellStyle name="20% - Accent2 2 2 8 2 3" xfId="21352"/>
    <cellStyle name="20% - Accent2 2 2 8 2 3 2" xfId="50213"/>
    <cellStyle name="20% - Accent2 2 2 8 2 4" xfId="33103"/>
    <cellStyle name="20% - Accent2 2 2 8 3" xfId="7397"/>
    <cellStyle name="20% - Accent2 2 2 8 3 2" xfId="24444"/>
    <cellStyle name="20% - Accent2 2 2 8 3 2 2" xfId="53305"/>
    <cellStyle name="20% - Accent2 2 2 8 3 3" xfId="36258"/>
    <cellStyle name="20% - Accent2 2 2 8 4" xfId="14236"/>
    <cellStyle name="20% - Accent2 2 2 8 4 2" xfId="18672"/>
    <cellStyle name="20% - Accent2 2 2 8 4 2 2" xfId="47533"/>
    <cellStyle name="20% - Accent2 2 2 8 4 3" xfId="43097"/>
    <cellStyle name="20% - Accent2 2 2 8 5" xfId="15992"/>
    <cellStyle name="20% - Accent2 2 2 8 5 2" xfId="44853"/>
    <cellStyle name="20% - Accent2 2 2 8 6" xfId="30217"/>
    <cellStyle name="20% - Accent2 2 2 9" xfId="1561"/>
    <cellStyle name="20% - Accent2 2 2 9 2" xfId="4448"/>
    <cellStyle name="20% - Accent2 2 2 9 2 2" xfId="10489"/>
    <cellStyle name="20% - Accent2 2 2 9 2 2 2" xfId="27536"/>
    <cellStyle name="20% - Accent2 2 2 9 2 2 2 2" xfId="56397"/>
    <cellStyle name="20% - Accent2 2 2 9 2 2 3" xfId="39350"/>
    <cellStyle name="20% - Accent2 2 2 9 2 3" xfId="21558"/>
    <cellStyle name="20% - Accent2 2 2 9 2 3 2" xfId="50419"/>
    <cellStyle name="20% - Accent2 2 2 9 2 4" xfId="33309"/>
    <cellStyle name="20% - Accent2 2 2 9 3" xfId="7603"/>
    <cellStyle name="20% - Accent2 2 2 9 3 2" xfId="24650"/>
    <cellStyle name="20% - Accent2 2 2 9 3 2 2" xfId="53511"/>
    <cellStyle name="20% - Accent2 2 2 9 3 3" xfId="36464"/>
    <cellStyle name="20% - Accent2 2 2 9 4" xfId="12026"/>
    <cellStyle name="20% - Accent2 2 2 9 4 2" xfId="18878"/>
    <cellStyle name="20% - Accent2 2 2 9 4 2 2" xfId="47739"/>
    <cellStyle name="20% - Accent2 2 2 9 4 3" xfId="40887"/>
    <cellStyle name="20% - Accent2 2 2 9 5" xfId="16198"/>
    <cellStyle name="20% - Accent2 2 2 9 5 2" xfId="45059"/>
    <cellStyle name="20% - Accent2 2 2 9 6" xfId="30423"/>
    <cellStyle name="20% - Accent2 2 20" xfId="6135"/>
    <cellStyle name="20% - Accent2 2 20 2" xfId="23182"/>
    <cellStyle name="20% - Accent2 2 20 2 2" xfId="52043"/>
    <cellStyle name="20% - Accent2 2 20 3" xfId="34996"/>
    <cellStyle name="20% - Accent2 2 21" xfId="14524"/>
    <cellStyle name="20% - Accent2 2 21 2" xfId="43385"/>
    <cellStyle name="20% - Accent2 2 22" xfId="28955"/>
    <cellStyle name="20% - Accent2 2 3" xfId="145"/>
    <cellStyle name="20% - Accent2 2 3 10" xfId="1793"/>
    <cellStyle name="20% - Accent2 2 3 10 2" xfId="4680"/>
    <cellStyle name="20% - Accent2 2 3 10 2 2" xfId="10721"/>
    <cellStyle name="20% - Accent2 2 3 10 2 2 2" xfId="27768"/>
    <cellStyle name="20% - Accent2 2 3 10 2 2 2 2" xfId="56629"/>
    <cellStyle name="20% - Accent2 2 3 10 2 2 3" xfId="39582"/>
    <cellStyle name="20% - Accent2 2 3 10 2 3" xfId="21790"/>
    <cellStyle name="20% - Accent2 2 3 10 2 3 2" xfId="50651"/>
    <cellStyle name="20% - Accent2 2 3 10 2 4" xfId="33541"/>
    <cellStyle name="20% - Accent2 2 3 10 3" xfId="7835"/>
    <cellStyle name="20% - Accent2 2 3 10 3 2" xfId="24882"/>
    <cellStyle name="20% - Accent2 2 3 10 3 2 2" xfId="53743"/>
    <cellStyle name="20% - Accent2 2 3 10 3 3" xfId="36696"/>
    <cellStyle name="20% - Accent2 2 3 10 4" xfId="14102"/>
    <cellStyle name="20% - Accent2 2 3 10 4 2" xfId="19110"/>
    <cellStyle name="20% - Accent2 2 3 10 4 2 2" xfId="47971"/>
    <cellStyle name="20% - Accent2 2 3 10 4 3" xfId="42963"/>
    <cellStyle name="20% - Accent2 2 3 10 5" xfId="16430"/>
    <cellStyle name="20% - Accent2 2 3 10 5 2" xfId="45291"/>
    <cellStyle name="20% - Accent2 2 3 10 6" xfId="30655"/>
    <cellStyle name="20% - Accent2 2 3 11" xfId="1999"/>
    <cellStyle name="20% - Accent2 2 3 11 2" xfId="4886"/>
    <cellStyle name="20% - Accent2 2 3 11 2 2" xfId="10927"/>
    <cellStyle name="20% - Accent2 2 3 11 2 2 2" xfId="27974"/>
    <cellStyle name="20% - Accent2 2 3 11 2 2 2 2" xfId="56835"/>
    <cellStyle name="20% - Accent2 2 3 11 2 2 3" xfId="39788"/>
    <cellStyle name="20% - Accent2 2 3 11 2 3" xfId="21996"/>
    <cellStyle name="20% - Accent2 2 3 11 2 3 2" xfId="50857"/>
    <cellStyle name="20% - Accent2 2 3 11 2 4" xfId="33747"/>
    <cellStyle name="20% - Accent2 2 3 11 3" xfId="8041"/>
    <cellStyle name="20% - Accent2 2 3 11 3 2" xfId="25088"/>
    <cellStyle name="20% - Accent2 2 3 11 3 2 2" xfId="53949"/>
    <cellStyle name="20% - Accent2 2 3 11 3 3" xfId="36902"/>
    <cellStyle name="20% - Accent2 2 3 11 4" xfId="11933"/>
    <cellStyle name="20% - Accent2 2 3 11 4 2" xfId="19316"/>
    <cellStyle name="20% - Accent2 2 3 11 4 2 2" xfId="48177"/>
    <cellStyle name="20% - Accent2 2 3 11 4 3" xfId="40794"/>
    <cellStyle name="20% - Accent2 2 3 11 5" xfId="16636"/>
    <cellStyle name="20% - Accent2 2 3 11 5 2" xfId="45497"/>
    <cellStyle name="20% - Accent2 2 3 11 6" xfId="30861"/>
    <cellStyle name="20% - Accent2 2 3 12" xfId="2411"/>
    <cellStyle name="20% - Accent2 2 3 12 2" xfId="5298"/>
    <cellStyle name="20% - Accent2 2 3 12 2 2" xfId="11339"/>
    <cellStyle name="20% - Accent2 2 3 12 2 2 2" xfId="28386"/>
    <cellStyle name="20% - Accent2 2 3 12 2 2 2 2" xfId="57247"/>
    <cellStyle name="20% - Accent2 2 3 12 2 2 3" xfId="40200"/>
    <cellStyle name="20% - Accent2 2 3 12 2 3" xfId="22408"/>
    <cellStyle name="20% - Accent2 2 3 12 2 3 2" xfId="51269"/>
    <cellStyle name="20% - Accent2 2 3 12 2 4" xfId="34159"/>
    <cellStyle name="20% - Accent2 2 3 12 3" xfId="8453"/>
    <cellStyle name="20% - Accent2 2 3 12 3 2" xfId="25500"/>
    <cellStyle name="20% - Accent2 2 3 12 3 2 2" xfId="54361"/>
    <cellStyle name="20% - Accent2 2 3 12 3 3" xfId="37314"/>
    <cellStyle name="20% - Accent2 2 3 12 4" xfId="12017"/>
    <cellStyle name="20% - Accent2 2 3 12 4 2" xfId="19728"/>
    <cellStyle name="20% - Accent2 2 3 12 4 2 2" xfId="48589"/>
    <cellStyle name="20% - Accent2 2 3 12 4 3" xfId="40878"/>
    <cellStyle name="20% - Accent2 2 3 12 5" xfId="17048"/>
    <cellStyle name="20% - Accent2 2 3 12 5 2" xfId="45909"/>
    <cellStyle name="20% - Accent2 2 3 12 6" xfId="31273"/>
    <cellStyle name="20% - Accent2 2 3 13" xfId="2620"/>
    <cellStyle name="20% - Accent2 2 3 13 2" xfId="5506"/>
    <cellStyle name="20% - Accent2 2 3 13 2 2" xfId="11547"/>
    <cellStyle name="20% - Accent2 2 3 13 2 2 2" xfId="28594"/>
    <cellStyle name="20% - Accent2 2 3 13 2 2 2 2" xfId="57455"/>
    <cellStyle name="20% - Accent2 2 3 13 2 2 3" xfId="40408"/>
    <cellStyle name="20% - Accent2 2 3 13 2 3" xfId="22616"/>
    <cellStyle name="20% - Accent2 2 3 13 2 3 2" xfId="51477"/>
    <cellStyle name="20% - Accent2 2 3 13 2 4" xfId="34367"/>
    <cellStyle name="20% - Accent2 2 3 13 3" xfId="8661"/>
    <cellStyle name="20% - Accent2 2 3 13 3 2" xfId="25708"/>
    <cellStyle name="20% - Accent2 2 3 13 3 2 2" xfId="54569"/>
    <cellStyle name="20% - Accent2 2 3 13 3 3" xfId="37522"/>
    <cellStyle name="20% - Accent2 2 3 13 4" xfId="14046"/>
    <cellStyle name="20% - Accent2 2 3 13 4 2" xfId="19936"/>
    <cellStyle name="20% - Accent2 2 3 13 4 2 2" xfId="48797"/>
    <cellStyle name="20% - Accent2 2 3 13 4 3" xfId="42907"/>
    <cellStyle name="20% - Accent2 2 3 13 5" xfId="17256"/>
    <cellStyle name="20% - Accent2 2 3 13 5 2" xfId="46117"/>
    <cellStyle name="20% - Accent2 2 3 13 6" xfId="31481"/>
    <cellStyle name="20% - Accent2 2 3 14" xfId="3032"/>
    <cellStyle name="20% - Accent2 2 3 14 2" xfId="9073"/>
    <cellStyle name="20% - Accent2 2 3 14 2 2" xfId="26120"/>
    <cellStyle name="20% - Accent2 2 3 14 2 2 2" xfId="54981"/>
    <cellStyle name="20% - Accent2 2 3 14 2 3" xfId="37934"/>
    <cellStyle name="20% - Accent2 2 3 14 3" xfId="14387"/>
    <cellStyle name="20% - Accent2 2 3 14 3 2" xfId="20142"/>
    <cellStyle name="20% - Accent2 2 3 14 3 2 2" xfId="49003"/>
    <cellStyle name="20% - Accent2 2 3 14 3 3" xfId="43248"/>
    <cellStyle name="20% - Accent2 2 3 14 4" xfId="14782"/>
    <cellStyle name="20% - Accent2 2 3 14 4 2" xfId="43643"/>
    <cellStyle name="20% - Accent2 2 3 14 5" xfId="31893"/>
    <cellStyle name="20% - Accent2 2 3 15" xfId="2826"/>
    <cellStyle name="20% - Accent2 2 3 15 2" xfId="8867"/>
    <cellStyle name="20% - Accent2 2 3 15 2 2" xfId="25914"/>
    <cellStyle name="20% - Accent2 2 3 15 2 2 2" xfId="54775"/>
    <cellStyle name="20% - Accent2 2 3 15 2 3" xfId="37728"/>
    <cellStyle name="20% - Accent2 2 3 15 3" xfId="17462"/>
    <cellStyle name="20% - Accent2 2 3 15 3 2" xfId="46323"/>
    <cellStyle name="20% - Accent2 2 3 15 4" xfId="31687"/>
    <cellStyle name="20% - Accent2 2 3 16" xfId="5712"/>
    <cellStyle name="20% - Accent2 2 3 16 2" xfId="11753"/>
    <cellStyle name="20% - Accent2 2 3 16 2 2" xfId="28800"/>
    <cellStyle name="20% - Accent2 2 3 16 2 2 2" xfId="57661"/>
    <cellStyle name="20% - Accent2 2 3 16 2 3" xfId="40614"/>
    <cellStyle name="20% - Accent2 2 3 16 3" xfId="22822"/>
    <cellStyle name="20% - Accent2 2 3 16 3 2" xfId="51683"/>
    <cellStyle name="20% - Accent2 2 3 16 4" xfId="34573"/>
    <cellStyle name="20% - Accent2 2 3 17" xfId="5929"/>
    <cellStyle name="20% - Accent2 2 3 17 2" xfId="23028"/>
    <cellStyle name="20% - Accent2 2 3 17 2 2" xfId="51889"/>
    <cellStyle name="20% - Accent2 2 3 17 3" xfId="34790"/>
    <cellStyle name="20% - Accent2 2 3 18" xfId="6187"/>
    <cellStyle name="20% - Accent2 2 3 18 2" xfId="23234"/>
    <cellStyle name="20% - Accent2 2 3 18 2 2" xfId="52095"/>
    <cellStyle name="20% - Accent2 2 3 18 3" xfId="35048"/>
    <cellStyle name="20% - Accent2 2 3 19" xfId="14576"/>
    <cellStyle name="20% - Accent2 2 3 19 2" xfId="43437"/>
    <cellStyle name="20% - Accent2 2 3 2" xfId="351"/>
    <cellStyle name="20% - Accent2 2 3 2 10" xfId="2514"/>
    <cellStyle name="20% - Accent2 2 3 2 10 2" xfId="5401"/>
    <cellStyle name="20% - Accent2 2 3 2 10 2 2" xfId="11442"/>
    <cellStyle name="20% - Accent2 2 3 2 10 2 2 2" xfId="28489"/>
    <cellStyle name="20% - Accent2 2 3 2 10 2 2 2 2" xfId="57350"/>
    <cellStyle name="20% - Accent2 2 3 2 10 2 2 3" xfId="40303"/>
    <cellStyle name="20% - Accent2 2 3 2 10 2 3" xfId="22511"/>
    <cellStyle name="20% - Accent2 2 3 2 10 2 3 2" xfId="51372"/>
    <cellStyle name="20% - Accent2 2 3 2 10 2 4" xfId="34262"/>
    <cellStyle name="20% - Accent2 2 3 2 10 3" xfId="8556"/>
    <cellStyle name="20% - Accent2 2 3 2 10 3 2" xfId="25603"/>
    <cellStyle name="20% - Accent2 2 3 2 10 3 2 2" xfId="54464"/>
    <cellStyle name="20% - Accent2 2 3 2 10 3 3" xfId="37417"/>
    <cellStyle name="20% - Accent2 2 3 2 10 4" xfId="12131"/>
    <cellStyle name="20% - Accent2 2 3 2 10 4 2" xfId="19831"/>
    <cellStyle name="20% - Accent2 2 3 2 10 4 2 2" xfId="48692"/>
    <cellStyle name="20% - Accent2 2 3 2 10 4 3" xfId="40992"/>
    <cellStyle name="20% - Accent2 2 3 2 10 5" xfId="17151"/>
    <cellStyle name="20% - Accent2 2 3 2 10 5 2" xfId="46012"/>
    <cellStyle name="20% - Accent2 2 3 2 10 6" xfId="31376"/>
    <cellStyle name="20% - Accent2 2 3 2 11" xfId="2723"/>
    <cellStyle name="20% - Accent2 2 3 2 11 2" xfId="5609"/>
    <cellStyle name="20% - Accent2 2 3 2 11 2 2" xfId="11650"/>
    <cellStyle name="20% - Accent2 2 3 2 11 2 2 2" xfId="28697"/>
    <cellStyle name="20% - Accent2 2 3 2 11 2 2 2 2" xfId="57558"/>
    <cellStyle name="20% - Accent2 2 3 2 11 2 2 3" xfId="40511"/>
    <cellStyle name="20% - Accent2 2 3 2 11 2 3" xfId="22719"/>
    <cellStyle name="20% - Accent2 2 3 2 11 2 3 2" xfId="51580"/>
    <cellStyle name="20% - Accent2 2 3 2 11 2 4" xfId="34470"/>
    <cellStyle name="20% - Accent2 2 3 2 11 3" xfId="8764"/>
    <cellStyle name="20% - Accent2 2 3 2 11 3 2" xfId="25811"/>
    <cellStyle name="20% - Accent2 2 3 2 11 3 2 2" xfId="54672"/>
    <cellStyle name="20% - Accent2 2 3 2 11 3 3" xfId="37625"/>
    <cellStyle name="20% - Accent2 2 3 2 11 4" xfId="13278"/>
    <cellStyle name="20% - Accent2 2 3 2 11 4 2" xfId="20039"/>
    <cellStyle name="20% - Accent2 2 3 2 11 4 2 2" xfId="48900"/>
    <cellStyle name="20% - Accent2 2 3 2 11 4 3" xfId="42139"/>
    <cellStyle name="20% - Accent2 2 3 2 11 5" xfId="17359"/>
    <cellStyle name="20% - Accent2 2 3 2 11 5 2" xfId="46220"/>
    <cellStyle name="20% - Accent2 2 3 2 11 6" xfId="31584"/>
    <cellStyle name="20% - Accent2 2 3 2 12" xfId="3238"/>
    <cellStyle name="20% - Accent2 2 3 2 12 2" xfId="9279"/>
    <cellStyle name="20% - Accent2 2 3 2 12 2 2" xfId="26326"/>
    <cellStyle name="20% - Accent2 2 3 2 12 2 2 2" xfId="55187"/>
    <cellStyle name="20% - Accent2 2 3 2 12 2 3" xfId="38140"/>
    <cellStyle name="20% - Accent2 2 3 2 12 3" xfId="12500"/>
    <cellStyle name="20% - Accent2 2 3 2 12 3 2" xfId="20348"/>
    <cellStyle name="20% - Accent2 2 3 2 12 3 2 2" xfId="49209"/>
    <cellStyle name="20% - Accent2 2 3 2 12 3 3" xfId="41361"/>
    <cellStyle name="20% - Accent2 2 3 2 12 4" xfId="14988"/>
    <cellStyle name="20% - Accent2 2 3 2 12 4 2" xfId="43849"/>
    <cellStyle name="20% - Accent2 2 3 2 12 5" xfId="32099"/>
    <cellStyle name="20% - Accent2 2 3 2 13" xfId="2929"/>
    <cellStyle name="20% - Accent2 2 3 2 13 2" xfId="8970"/>
    <cellStyle name="20% - Accent2 2 3 2 13 2 2" xfId="26017"/>
    <cellStyle name="20% - Accent2 2 3 2 13 2 2 2" xfId="54878"/>
    <cellStyle name="20% - Accent2 2 3 2 13 2 3" xfId="37831"/>
    <cellStyle name="20% - Accent2 2 3 2 13 3" xfId="17565"/>
    <cellStyle name="20% - Accent2 2 3 2 13 3 2" xfId="46426"/>
    <cellStyle name="20% - Accent2 2 3 2 13 4" xfId="31790"/>
    <cellStyle name="20% - Accent2 2 3 2 14" xfId="5815"/>
    <cellStyle name="20% - Accent2 2 3 2 14 2" xfId="11856"/>
    <cellStyle name="20% - Accent2 2 3 2 14 2 2" xfId="28903"/>
    <cellStyle name="20% - Accent2 2 3 2 14 2 2 2" xfId="57764"/>
    <cellStyle name="20% - Accent2 2 3 2 14 2 3" xfId="40717"/>
    <cellStyle name="20% - Accent2 2 3 2 14 3" xfId="22925"/>
    <cellStyle name="20% - Accent2 2 3 2 14 3 2" xfId="51786"/>
    <cellStyle name="20% - Accent2 2 3 2 14 4" xfId="34676"/>
    <cellStyle name="20% - Accent2 2 3 2 15" xfId="6032"/>
    <cellStyle name="20% - Accent2 2 3 2 15 2" xfId="23131"/>
    <cellStyle name="20% - Accent2 2 3 2 15 2 2" xfId="51992"/>
    <cellStyle name="20% - Accent2 2 3 2 15 3" xfId="34893"/>
    <cellStyle name="20% - Accent2 2 3 2 16" xfId="6393"/>
    <cellStyle name="20% - Accent2 2 3 2 16 2" xfId="23440"/>
    <cellStyle name="20% - Accent2 2 3 2 16 2 2" xfId="52301"/>
    <cellStyle name="20% - Accent2 2 3 2 16 3" xfId="35254"/>
    <cellStyle name="20% - Accent2 2 3 2 17" xfId="14679"/>
    <cellStyle name="20% - Accent2 2 3 2 17 2" xfId="43540"/>
    <cellStyle name="20% - Accent2 2 3 2 18" xfId="29213"/>
    <cellStyle name="20% - Accent2 2 3 2 2" xfId="557"/>
    <cellStyle name="20% - Accent2 2 3 2 2 2" xfId="2308"/>
    <cellStyle name="20% - Accent2 2 3 2 2 2 2" xfId="5195"/>
    <cellStyle name="20% - Accent2 2 3 2 2 2 2 2" xfId="11236"/>
    <cellStyle name="20% - Accent2 2 3 2 2 2 2 2 2" xfId="28283"/>
    <cellStyle name="20% - Accent2 2 3 2 2 2 2 2 2 2" xfId="57144"/>
    <cellStyle name="20% - Accent2 2 3 2 2 2 2 2 3" xfId="40097"/>
    <cellStyle name="20% - Accent2 2 3 2 2 2 2 3" xfId="22305"/>
    <cellStyle name="20% - Accent2 2 3 2 2 2 2 3 2" xfId="51166"/>
    <cellStyle name="20% - Accent2 2 3 2 2 2 2 4" xfId="34056"/>
    <cellStyle name="20% - Accent2 2 3 2 2 2 3" xfId="8350"/>
    <cellStyle name="20% - Accent2 2 3 2 2 2 3 2" xfId="25397"/>
    <cellStyle name="20% - Accent2 2 3 2 2 2 3 2 2" xfId="54258"/>
    <cellStyle name="20% - Accent2 2 3 2 2 2 3 3" xfId="37211"/>
    <cellStyle name="20% - Accent2 2 3 2 2 2 4" xfId="12221"/>
    <cellStyle name="20% - Accent2 2 3 2 2 2 4 2" xfId="19625"/>
    <cellStyle name="20% - Accent2 2 3 2 2 2 4 2 2" xfId="48486"/>
    <cellStyle name="20% - Accent2 2 3 2 2 2 4 3" xfId="41082"/>
    <cellStyle name="20% - Accent2 2 3 2 2 2 5" xfId="16945"/>
    <cellStyle name="20% - Accent2 2 3 2 2 2 5 2" xfId="45806"/>
    <cellStyle name="20% - Accent2 2 3 2 2 2 6" xfId="31170"/>
    <cellStyle name="20% - Accent2 2 3 2 2 3" xfId="3444"/>
    <cellStyle name="20% - Accent2 2 3 2 2 3 2" xfId="9485"/>
    <cellStyle name="20% - Accent2 2 3 2 2 3 2 2" xfId="26532"/>
    <cellStyle name="20% - Accent2 2 3 2 2 3 2 2 2" xfId="55393"/>
    <cellStyle name="20% - Accent2 2 3 2 2 3 2 3" xfId="38346"/>
    <cellStyle name="20% - Accent2 2 3 2 2 3 3" xfId="20554"/>
    <cellStyle name="20% - Accent2 2 3 2 2 3 3 2" xfId="49415"/>
    <cellStyle name="20% - Accent2 2 3 2 2 3 4" xfId="32305"/>
    <cellStyle name="20% - Accent2 2 3 2 2 4" xfId="6599"/>
    <cellStyle name="20% - Accent2 2 3 2 2 4 2" xfId="23646"/>
    <cellStyle name="20% - Accent2 2 3 2 2 4 2 2" xfId="52507"/>
    <cellStyle name="20% - Accent2 2 3 2 2 4 3" xfId="35460"/>
    <cellStyle name="20% - Accent2 2 3 2 2 5" xfId="13405"/>
    <cellStyle name="20% - Accent2 2 3 2 2 5 2" xfId="17874"/>
    <cellStyle name="20% - Accent2 2 3 2 2 5 2 2" xfId="46735"/>
    <cellStyle name="20% - Accent2 2 3 2 2 5 3" xfId="42266"/>
    <cellStyle name="20% - Accent2 2 3 2 2 6" xfId="15194"/>
    <cellStyle name="20% - Accent2 2 3 2 2 6 2" xfId="44055"/>
    <cellStyle name="20% - Accent2 2 3 2 2 7" xfId="29419"/>
    <cellStyle name="20% - Accent2 2 3 2 3" xfId="866"/>
    <cellStyle name="20% - Accent2 2 3 2 3 2" xfId="3753"/>
    <cellStyle name="20% - Accent2 2 3 2 3 2 2" xfId="9794"/>
    <cellStyle name="20% - Accent2 2 3 2 3 2 2 2" xfId="26841"/>
    <cellStyle name="20% - Accent2 2 3 2 3 2 2 2 2" xfId="55702"/>
    <cellStyle name="20% - Accent2 2 3 2 3 2 2 3" xfId="38655"/>
    <cellStyle name="20% - Accent2 2 3 2 3 2 3" xfId="20863"/>
    <cellStyle name="20% - Accent2 2 3 2 3 2 3 2" xfId="49724"/>
    <cellStyle name="20% - Accent2 2 3 2 3 2 4" xfId="32614"/>
    <cellStyle name="20% - Accent2 2 3 2 3 3" xfId="6908"/>
    <cellStyle name="20% - Accent2 2 3 2 3 3 2" xfId="23955"/>
    <cellStyle name="20% - Accent2 2 3 2 3 3 2 2" xfId="52816"/>
    <cellStyle name="20% - Accent2 2 3 2 3 3 3" xfId="35769"/>
    <cellStyle name="20% - Accent2 2 3 2 3 4" xfId="14352"/>
    <cellStyle name="20% - Accent2 2 3 2 3 4 2" xfId="18183"/>
    <cellStyle name="20% - Accent2 2 3 2 3 4 2 2" xfId="47044"/>
    <cellStyle name="20% - Accent2 2 3 2 3 4 3" xfId="43213"/>
    <cellStyle name="20% - Accent2 2 3 2 3 5" xfId="15503"/>
    <cellStyle name="20% - Accent2 2 3 2 3 5 2" xfId="44364"/>
    <cellStyle name="20% - Accent2 2 3 2 3 6" xfId="29728"/>
    <cellStyle name="20% - Accent2 2 3 2 4" xfId="1072"/>
    <cellStyle name="20% - Accent2 2 3 2 4 2" xfId="3959"/>
    <cellStyle name="20% - Accent2 2 3 2 4 2 2" xfId="10000"/>
    <cellStyle name="20% - Accent2 2 3 2 4 2 2 2" xfId="27047"/>
    <cellStyle name="20% - Accent2 2 3 2 4 2 2 2 2" xfId="55908"/>
    <cellStyle name="20% - Accent2 2 3 2 4 2 2 3" xfId="38861"/>
    <cellStyle name="20% - Accent2 2 3 2 4 2 3" xfId="21069"/>
    <cellStyle name="20% - Accent2 2 3 2 4 2 3 2" xfId="49930"/>
    <cellStyle name="20% - Accent2 2 3 2 4 2 4" xfId="32820"/>
    <cellStyle name="20% - Accent2 2 3 2 4 3" xfId="7114"/>
    <cellStyle name="20% - Accent2 2 3 2 4 3 2" xfId="24161"/>
    <cellStyle name="20% - Accent2 2 3 2 4 3 2 2" xfId="53022"/>
    <cellStyle name="20% - Accent2 2 3 2 4 3 3" xfId="35975"/>
    <cellStyle name="20% - Accent2 2 3 2 4 4" xfId="12276"/>
    <cellStyle name="20% - Accent2 2 3 2 4 4 2" xfId="18389"/>
    <cellStyle name="20% - Accent2 2 3 2 4 4 2 2" xfId="47250"/>
    <cellStyle name="20% - Accent2 2 3 2 4 4 3" xfId="41137"/>
    <cellStyle name="20% - Accent2 2 3 2 4 5" xfId="15709"/>
    <cellStyle name="20% - Accent2 2 3 2 4 5 2" xfId="44570"/>
    <cellStyle name="20% - Accent2 2 3 2 4 6" xfId="29934"/>
    <cellStyle name="20% - Accent2 2 3 2 5" xfId="1278"/>
    <cellStyle name="20% - Accent2 2 3 2 5 2" xfId="4165"/>
    <cellStyle name="20% - Accent2 2 3 2 5 2 2" xfId="10206"/>
    <cellStyle name="20% - Accent2 2 3 2 5 2 2 2" xfId="27253"/>
    <cellStyle name="20% - Accent2 2 3 2 5 2 2 2 2" xfId="56114"/>
    <cellStyle name="20% - Accent2 2 3 2 5 2 2 3" xfId="39067"/>
    <cellStyle name="20% - Accent2 2 3 2 5 2 3" xfId="21275"/>
    <cellStyle name="20% - Accent2 2 3 2 5 2 3 2" xfId="50136"/>
    <cellStyle name="20% - Accent2 2 3 2 5 2 4" xfId="33026"/>
    <cellStyle name="20% - Accent2 2 3 2 5 3" xfId="7320"/>
    <cellStyle name="20% - Accent2 2 3 2 5 3 2" xfId="24367"/>
    <cellStyle name="20% - Accent2 2 3 2 5 3 2 2" xfId="53228"/>
    <cellStyle name="20% - Accent2 2 3 2 5 3 3" xfId="36181"/>
    <cellStyle name="20% - Accent2 2 3 2 5 4" xfId="12657"/>
    <cellStyle name="20% - Accent2 2 3 2 5 4 2" xfId="18595"/>
    <cellStyle name="20% - Accent2 2 3 2 5 4 2 2" xfId="47456"/>
    <cellStyle name="20% - Accent2 2 3 2 5 4 3" xfId="41518"/>
    <cellStyle name="20% - Accent2 2 3 2 5 5" xfId="15915"/>
    <cellStyle name="20% - Accent2 2 3 2 5 5 2" xfId="44776"/>
    <cellStyle name="20% - Accent2 2 3 2 5 6" xfId="30140"/>
    <cellStyle name="20% - Accent2 2 3 2 6" xfId="1484"/>
    <cellStyle name="20% - Accent2 2 3 2 6 2" xfId="4371"/>
    <cellStyle name="20% - Accent2 2 3 2 6 2 2" xfId="10412"/>
    <cellStyle name="20% - Accent2 2 3 2 6 2 2 2" xfId="27459"/>
    <cellStyle name="20% - Accent2 2 3 2 6 2 2 2 2" xfId="56320"/>
    <cellStyle name="20% - Accent2 2 3 2 6 2 2 3" xfId="39273"/>
    <cellStyle name="20% - Accent2 2 3 2 6 2 3" xfId="21481"/>
    <cellStyle name="20% - Accent2 2 3 2 6 2 3 2" xfId="50342"/>
    <cellStyle name="20% - Accent2 2 3 2 6 2 4" xfId="33232"/>
    <cellStyle name="20% - Accent2 2 3 2 6 3" xfId="7526"/>
    <cellStyle name="20% - Accent2 2 3 2 6 3 2" xfId="24573"/>
    <cellStyle name="20% - Accent2 2 3 2 6 3 2 2" xfId="53434"/>
    <cellStyle name="20% - Accent2 2 3 2 6 3 3" xfId="36387"/>
    <cellStyle name="20% - Accent2 2 3 2 6 4" xfId="13669"/>
    <cellStyle name="20% - Accent2 2 3 2 6 4 2" xfId="18801"/>
    <cellStyle name="20% - Accent2 2 3 2 6 4 2 2" xfId="47662"/>
    <cellStyle name="20% - Accent2 2 3 2 6 4 3" xfId="42530"/>
    <cellStyle name="20% - Accent2 2 3 2 6 5" xfId="16121"/>
    <cellStyle name="20% - Accent2 2 3 2 6 5 2" xfId="44982"/>
    <cellStyle name="20% - Accent2 2 3 2 6 6" xfId="30346"/>
    <cellStyle name="20% - Accent2 2 3 2 7" xfId="1690"/>
    <cellStyle name="20% - Accent2 2 3 2 7 2" xfId="4577"/>
    <cellStyle name="20% - Accent2 2 3 2 7 2 2" xfId="10618"/>
    <cellStyle name="20% - Accent2 2 3 2 7 2 2 2" xfId="27665"/>
    <cellStyle name="20% - Accent2 2 3 2 7 2 2 2 2" xfId="56526"/>
    <cellStyle name="20% - Accent2 2 3 2 7 2 2 3" xfId="39479"/>
    <cellStyle name="20% - Accent2 2 3 2 7 2 3" xfId="21687"/>
    <cellStyle name="20% - Accent2 2 3 2 7 2 3 2" xfId="50548"/>
    <cellStyle name="20% - Accent2 2 3 2 7 2 4" xfId="33438"/>
    <cellStyle name="20% - Accent2 2 3 2 7 3" xfId="7732"/>
    <cellStyle name="20% - Accent2 2 3 2 7 3 2" xfId="24779"/>
    <cellStyle name="20% - Accent2 2 3 2 7 3 2 2" xfId="53640"/>
    <cellStyle name="20% - Accent2 2 3 2 7 3 3" xfId="36593"/>
    <cellStyle name="20% - Accent2 2 3 2 7 4" xfId="14478"/>
    <cellStyle name="20% - Accent2 2 3 2 7 4 2" xfId="19007"/>
    <cellStyle name="20% - Accent2 2 3 2 7 4 2 2" xfId="47868"/>
    <cellStyle name="20% - Accent2 2 3 2 7 4 3" xfId="43339"/>
    <cellStyle name="20% - Accent2 2 3 2 7 5" xfId="16327"/>
    <cellStyle name="20% - Accent2 2 3 2 7 5 2" xfId="45188"/>
    <cellStyle name="20% - Accent2 2 3 2 7 6" xfId="30552"/>
    <cellStyle name="20% - Accent2 2 3 2 8" xfId="1896"/>
    <cellStyle name="20% - Accent2 2 3 2 8 2" xfId="4783"/>
    <cellStyle name="20% - Accent2 2 3 2 8 2 2" xfId="10824"/>
    <cellStyle name="20% - Accent2 2 3 2 8 2 2 2" xfId="27871"/>
    <cellStyle name="20% - Accent2 2 3 2 8 2 2 2 2" xfId="56732"/>
    <cellStyle name="20% - Accent2 2 3 2 8 2 2 3" xfId="39685"/>
    <cellStyle name="20% - Accent2 2 3 2 8 2 3" xfId="21893"/>
    <cellStyle name="20% - Accent2 2 3 2 8 2 3 2" xfId="50754"/>
    <cellStyle name="20% - Accent2 2 3 2 8 2 4" xfId="33644"/>
    <cellStyle name="20% - Accent2 2 3 2 8 3" xfId="7938"/>
    <cellStyle name="20% - Accent2 2 3 2 8 3 2" xfId="24985"/>
    <cellStyle name="20% - Accent2 2 3 2 8 3 2 2" xfId="53846"/>
    <cellStyle name="20% - Accent2 2 3 2 8 3 3" xfId="36799"/>
    <cellStyle name="20% - Accent2 2 3 2 8 4" xfId="13325"/>
    <cellStyle name="20% - Accent2 2 3 2 8 4 2" xfId="19213"/>
    <cellStyle name="20% - Accent2 2 3 2 8 4 2 2" xfId="48074"/>
    <cellStyle name="20% - Accent2 2 3 2 8 4 3" xfId="42186"/>
    <cellStyle name="20% - Accent2 2 3 2 8 5" xfId="16533"/>
    <cellStyle name="20% - Accent2 2 3 2 8 5 2" xfId="45394"/>
    <cellStyle name="20% - Accent2 2 3 2 8 6" xfId="30758"/>
    <cellStyle name="20% - Accent2 2 3 2 9" xfId="2102"/>
    <cellStyle name="20% - Accent2 2 3 2 9 2" xfId="4989"/>
    <cellStyle name="20% - Accent2 2 3 2 9 2 2" xfId="11030"/>
    <cellStyle name="20% - Accent2 2 3 2 9 2 2 2" xfId="28077"/>
    <cellStyle name="20% - Accent2 2 3 2 9 2 2 2 2" xfId="56938"/>
    <cellStyle name="20% - Accent2 2 3 2 9 2 2 3" xfId="39891"/>
    <cellStyle name="20% - Accent2 2 3 2 9 2 3" xfId="22099"/>
    <cellStyle name="20% - Accent2 2 3 2 9 2 3 2" xfId="50960"/>
    <cellStyle name="20% - Accent2 2 3 2 9 2 4" xfId="33850"/>
    <cellStyle name="20% - Accent2 2 3 2 9 3" xfId="8144"/>
    <cellStyle name="20% - Accent2 2 3 2 9 3 2" xfId="25191"/>
    <cellStyle name="20% - Accent2 2 3 2 9 3 2 2" xfId="54052"/>
    <cellStyle name="20% - Accent2 2 3 2 9 3 3" xfId="37005"/>
    <cellStyle name="20% - Accent2 2 3 2 9 4" xfId="12271"/>
    <cellStyle name="20% - Accent2 2 3 2 9 4 2" xfId="19419"/>
    <cellStyle name="20% - Accent2 2 3 2 9 4 2 2" xfId="48280"/>
    <cellStyle name="20% - Accent2 2 3 2 9 4 3" xfId="41132"/>
    <cellStyle name="20% - Accent2 2 3 2 9 5" xfId="16739"/>
    <cellStyle name="20% - Accent2 2 3 2 9 5 2" xfId="45600"/>
    <cellStyle name="20% - Accent2 2 3 2 9 6" xfId="30964"/>
    <cellStyle name="20% - Accent2 2 3 20" xfId="29007"/>
    <cellStyle name="20% - Accent2 2 3 3" xfId="248"/>
    <cellStyle name="20% - Accent2 2 3 3 2" xfId="660"/>
    <cellStyle name="20% - Accent2 2 3 3 2 2" xfId="3547"/>
    <cellStyle name="20% - Accent2 2 3 3 2 2 2" xfId="9588"/>
    <cellStyle name="20% - Accent2 2 3 3 2 2 2 2" xfId="26635"/>
    <cellStyle name="20% - Accent2 2 3 3 2 2 2 2 2" xfId="55496"/>
    <cellStyle name="20% - Accent2 2 3 3 2 2 2 3" xfId="38449"/>
    <cellStyle name="20% - Accent2 2 3 3 2 2 3" xfId="20657"/>
    <cellStyle name="20% - Accent2 2 3 3 2 2 3 2" xfId="49518"/>
    <cellStyle name="20% - Accent2 2 3 3 2 2 4" xfId="32408"/>
    <cellStyle name="20% - Accent2 2 3 3 2 3" xfId="6702"/>
    <cellStyle name="20% - Accent2 2 3 3 2 3 2" xfId="23749"/>
    <cellStyle name="20% - Accent2 2 3 3 2 3 2 2" xfId="52610"/>
    <cellStyle name="20% - Accent2 2 3 3 2 3 3" xfId="35563"/>
    <cellStyle name="20% - Accent2 2 3 3 2 4" xfId="13756"/>
    <cellStyle name="20% - Accent2 2 3 3 2 4 2" xfId="17977"/>
    <cellStyle name="20% - Accent2 2 3 3 2 4 2 2" xfId="46838"/>
    <cellStyle name="20% - Accent2 2 3 3 2 4 3" xfId="42617"/>
    <cellStyle name="20% - Accent2 2 3 3 2 5" xfId="15297"/>
    <cellStyle name="20% - Accent2 2 3 3 2 5 2" xfId="44158"/>
    <cellStyle name="20% - Accent2 2 3 3 2 6" xfId="29522"/>
    <cellStyle name="20% - Accent2 2 3 3 3" xfId="2205"/>
    <cellStyle name="20% - Accent2 2 3 3 3 2" xfId="5092"/>
    <cellStyle name="20% - Accent2 2 3 3 3 2 2" xfId="11133"/>
    <cellStyle name="20% - Accent2 2 3 3 3 2 2 2" xfId="28180"/>
    <cellStyle name="20% - Accent2 2 3 3 3 2 2 2 2" xfId="57041"/>
    <cellStyle name="20% - Accent2 2 3 3 3 2 2 3" xfId="39994"/>
    <cellStyle name="20% - Accent2 2 3 3 3 2 3" xfId="22202"/>
    <cellStyle name="20% - Accent2 2 3 3 3 2 3 2" xfId="51063"/>
    <cellStyle name="20% - Accent2 2 3 3 3 2 4" xfId="33953"/>
    <cellStyle name="20% - Accent2 2 3 3 3 3" xfId="8247"/>
    <cellStyle name="20% - Accent2 2 3 3 3 3 2" xfId="25294"/>
    <cellStyle name="20% - Accent2 2 3 3 3 3 2 2" xfId="54155"/>
    <cellStyle name="20% - Accent2 2 3 3 3 3 3" xfId="37108"/>
    <cellStyle name="20% - Accent2 2 3 3 3 4" xfId="13342"/>
    <cellStyle name="20% - Accent2 2 3 3 3 4 2" xfId="19522"/>
    <cellStyle name="20% - Accent2 2 3 3 3 4 2 2" xfId="48383"/>
    <cellStyle name="20% - Accent2 2 3 3 3 4 3" xfId="42203"/>
    <cellStyle name="20% - Accent2 2 3 3 3 5" xfId="16842"/>
    <cellStyle name="20% - Accent2 2 3 3 3 5 2" xfId="45703"/>
    <cellStyle name="20% - Accent2 2 3 3 3 6" xfId="31067"/>
    <cellStyle name="20% - Accent2 2 3 3 4" xfId="3135"/>
    <cellStyle name="20% - Accent2 2 3 3 4 2" xfId="9176"/>
    <cellStyle name="20% - Accent2 2 3 3 4 2 2" xfId="26223"/>
    <cellStyle name="20% - Accent2 2 3 3 4 2 2 2" xfId="55084"/>
    <cellStyle name="20% - Accent2 2 3 3 4 2 3" xfId="38037"/>
    <cellStyle name="20% - Accent2 2 3 3 4 3" xfId="20245"/>
    <cellStyle name="20% - Accent2 2 3 3 4 3 2" xfId="49106"/>
    <cellStyle name="20% - Accent2 2 3 3 4 4" xfId="31996"/>
    <cellStyle name="20% - Accent2 2 3 3 5" xfId="6290"/>
    <cellStyle name="20% - Accent2 2 3 3 5 2" xfId="23337"/>
    <cellStyle name="20% - Accent2 2 3 3 5 2 2" xfId="52198"/>
    <cellStyle name="20% - Accent2 2 3 3 5 3" xfId="35151"/>
    <cellStyle name="20% - Accent2 2 3 3 6" xfId="13649"/>
    <cellStyle name="20% - Accent2 2 3 3 6 2" xfId="17668"/>
    <cellStyle name="20% - Accent2 2 3 3 6 2 2" xfId="46529"/>
    <cellStyle name="20% - Accent2 2 3 3 6 3" xfId="42510"/>
    <cellStyle name="20% - Accent2 2 3 3 7" xfId="14885"/>
    <cellStyle name="20% - Accent2 2 3 3 7 2" xfId="43746"/>
    <cellStyle name="20% - Accent2 2 3 3 8" xfId="29110"/>
    <cellStyle name="20% - Accent2 2 3 4" xfId="454"/>
    <cellStyle name="20% - Accent2 2 3 4 2" xfId="3341"/>
    <cellStyle name="20% - Accent2 2 3 4 2 2" xfId="9382"/>
    <cellStyle name="20% - Accent2 2 3 4 2 2 2" xfId="26429"/>
    <cellStyle name="20% - Accent2 2 3 4 2 2 2 2" xfId="55290"/>
    <cellStyle name="20% - Accent2 2 3 4 2 2 3" xfId="38243"/>
    <cellStyle name="20% - Accent2 2 3 4 2 3" xfId="20451"/>
    <cellStyle name="20% - Accent2 2 3 4 2 3 2" xfId="49312"/>
    <cellStyle name="20% - Accent2 2 3 4 2 4" xfId="32202"/>
    <cellStyle name="20% - Accent2 2 3 4 3" xfId="6496"/>
    <cellStyle name="20% - Accent2 2 3 4 3 2" xfId="23543"/>
    <cellStyle name="20% - Accent2 2 3 4 3 2 2" xfId="52404"/>
    <cellStyle name="20% - Accent2 2 3 4 3 3" xfId="35357"/>
    <cellStyle name="20% - Accent2 2 3 4 4" xfId="13263"/>
    <cellStyle name="20% - Accent2 2 3 4 4 2" xfId="17771"/>
    <cellStyle name="20% - Accent2 2 3 4 4 2 2" xfId="46632"/>
    <cellStyle name="20% - Accent2 2 3 4 4 3" xfId="42124"/>
    <cellStyle name="20% - Accent2 2 3 4 5" xfId="15091"/>
    <cellStyle name="20% - Accent2 2 3 4 5 2" xfId="43952"/>
    <cellStyle name="20% - Accent2 2 3 4 6" xfId="29316"/>
    <cellStyle name="20% - Accent2 2 3 5" xfId="763"/>
    <cellStyle name="20% - Accent2 2 3 5 2" xfId="3650"/>
    <cellStyle name="20% - Accent2 2 3 5 2 2" xfId="9691"/>
    <cellStyle name="20% - Accent2 2 3 5 2 2 2" xfId="26738"/>
    <cellStyle name="20% - Accent2 2 3 5 2 2 2 2" xfId="55599"/>
    <cellStyle name="20% - Accent2 2 3 5 2 2 3" xfId="38552"/>
    <cellStyle name="20% - Accent2 2 3 5 2 3" xfId="20760"/>
    <cellStyle name="20% - Accent2 2 3 5 2 3 2" xfId="49621"/>
    <cellStyle name="20% - Accent2 2 3 5 2 4" xfId="32511"/>
    <cellStyle name="20% - Accent2 2 3 5 3" xfId="6805"/>
    <cellStyle name="20% - Accent2 2 3 5 3 2" xfId="23852"/>
    <cellStyle name="20% - Accent2 2 3 5 3 2 2" xfId="52713"/>
    <cellStyle name="20% - Accent2 2 3 5 3 3" xfId="35666"/>
    <cellStyle name="20% - Accent2 2 3 5 4" xfId="12146"/>
    <cellStyle name="20% - Accent2 2 3 5 4 2" xfId="18080"/>
    <cellStyle name="20% - Accent2 2 3 5 4 2 2" xfId="46941"/>
    <cellStyle name="20% - Accent2 2 3 5 4 3" xfId="41007"/>
    <cellStyle name="20% - Accent2 2 3 5 5" xfId="15400"/>
    <cellStyle name="20% - Accent2 2 3 5 5 2" xfId="44261"/>
    <cellStyle name="20% - Accent2 2 3 5 6" xfId="29625"/>
    <cellStyle name="20% - Accent2 2 3 6" xfId="969"/>
    <cellStyle name="20% - Accent2 2 3 6 2" xfId="3856"/>
    <cellStyle name="20% - Accent2 2 3 6 2 2" xfId="9897"/>
    <cellStyle name="20% - Accent2 2 3 6 2 2 2" xfId="26944"/>
    <cellStyle name="20% - Accent2 2 3 6 2 2 2 2" xfId="55805"/>
    <cellStyle name="20% - Accent2 2 3 6 2 2 3" xfId="38758"/>
    <cellStyle name="20% - Accent2 2 3 6 2 3" xfId="20966"/>
    <cellStyle name="20% - Accent2 2 3 6 2 3 2" xfId="49827"/>
    <cellStyle name="20% - Accent2 2 3 6 2 4" xfId="32717"/>
    <cellStyle name="20% - Accent2 2 3 6 3" xfId="7011"/>
    <cellStyle name="20% - Accent2 2 3 6 3 2" xfId="24058"/>
    <cellStyle name="20% - Accent2 2 3 6 3 2 2" xfId="52919"/>
    <cellStyle name="20% - Accent2 2 3 6 3 3" xfId="35872"/>
    <cellStyle name="20% - Accent2 2 3 6 4" xfId="14253"/>
    <cellStyle name="20% - Accent2 2 3 6 4 2" xfId="18286"/>
    <cellStyle name="20% - Accent2 2 3 6 4 2 2" xfId="47147"/>
    <cellStyle name="20% - Accent2 2 3 6 4 3" xfId="43114"/>
    <cellStyle name="20% - Accent2 2 3 6 5" xfId="15606"/>
    <cellStyle name="20% - Accent2 2 3 6 5 2" xfId="44467"/>
    <cellStyle name="20% - Accent2 2 3 6 6" xfId="29831"/>
    <cellStyle name="20% - Accent2 2 3 7" xfId="1175"/>
    <cellStyle name="20% - Accent2 2 3 7 2" xfId="4062"/>
    <cellStyle name="20% - Accent2 2 3 7 2 2" xfId="10103"/>
    <cellStyle name="20% - Accent2 2 3 7 2 2 2" xfId="27150"/>
    <cellStyle name="20% - Accent2 2 3 7 2 2 2 2" xfId="56011"/>
    <cellStyle name="20% - Accent2 2 3 7 2 2 3" xfId="38964"/>
    <cellStyle name="20% - Accent2 2 3 7 2 3" xfId="21172"/>
    <cellStyle name="20% - Accent2 2 3 7 2 3 2" xfId="50033"/>
    <cellStyle name="20% - Accent2 2 3 7 2 4" xfId="32923"/>
    <cellStyle name="20% - Accent2 2 3 7 3" xfId="7217"/>
    <cellStyle name="20% - Accent2 2 3 7 3 2" xfId="24264"/>
    <cellStyle name="20% - Accent2 2 3 7 3 2 2" xfId="53125"/>
    <cellStyle name="20% - Accent2 2 3 7 3 3" xfId="36078"/>
    <cellStyle name="20% - Accent2 2 3 7 4" xfId="14032"/>
    <cellStyle name="20% - Accent2 2 3 7 4 2" xfId="18492"/>
    <cellStyle name="20% - Accent2 2 3 7 4 2 2" xfId="47353"/>
    <cellStyle name="20% - Accent2 2 3 7 4 3" xfId="42893"/>
    <cellStyle name="20% - Accent2 2 3 7 5" xfId="15812"/>
    <cellStyle name="20% - Accent2 2 3 7 5 2" xfId="44673"/>
    <cellStyle name="20% - Accent2 2 3 7 6" xfId="30037"/>
    <cellStyle name="20% - Accent2 2 3 8" xfId="1381"/>
    <cellStyle name="20% - Accent2 2 3 8 2" xfId="4268"/>
    <cellStyle name="20% - Accent2 2 3 8 2 2" xfId="10309"/>
    <cellStyle name="20% - Accent2 2 3 8 2 2 2" xfId="27356"/>
    <cellStyle name="20% - Accent2 2 3 8 2 2 2 2" xfId="56217"/>
    <cellStyle name="20% - Accent2 2 3 8 2 2 3" xfId="39170"/>
    <cellStyle name="20% - Accent2 2 3 8 2 3" xfId="21378"/>
    <cellStyle name="20% - Accent2 2 3 8 2 3 2" xfId="50239"/>
    <cellStyle name="20% - Accent2 2 3 8 2 4" xfId="33129"/>
    <cellStyle name="20% - Accent2 2 3 8 3" xfId="7423"/>
    <cellStyle name="20% - Accent2 2 3 8 3 2" xfId="24470"/>
    <cellStyle name="20% - Accent2 2 3 8 3 2 2" xfId="53331"/>
    <cellStyle name="20% - Accent2 2 3 8 3 3" xfId="36284"/>
    <cellStyle name="20% - Accent2 2 3 8 4" xfId="13824"/>
    <cellStyle name="20% - Accent2 2 3 8 4 2" xfId="18698"/>
    <cellStyle name="20% - Accent2 2 3 8 4 2 2" xfId="47559"/>
    <cellStyle name="20% - Accent2 2 3 8 4 3" xfId="42685"/>
    <cellStyle name="20% - Accent2 2 3 8 5" xfId="16018"/>
    <cellStyle name="20% - Accent2 2 3 8 5 2" xfId="44879"/>
    <cellStyle name="20% - Accent2 2 3 8 6" xfId="30243"/>
    <cellStyle name="20% - Accent2 2 3 9" xfId="1587"/>
    <cellStyle name="20% - Accent2 2 3 9 2" xfId="4474"/>
    <cellStyle name="20% - Accent2 2 3 9 2 2" xfId="10515"/>
    <cellStyle name="20% - Accent2 2 3 9 2 2 2" xfId="27562"/>
    <cellStyle name="20% - Accent2 2 3 9 2 2 2 2" xfId="56423"/>
    <cellStyle name="20% - Accent2 2 3 9 2 2 3" xfId="39376"/>
    <cellStyle name="20% - Accent2 2 3 9 2 3" xfId="21584"/>
    <cellStyle name="20% - Accent2 2 3 9 2 3 2" xfId="50445"/>
    <cellStyle name="20% - Accent2 2 3 9 2 4" xfId="33335"/>
    <cellStyle name="20% - Accent2 2 3 9 3" xfId="7629"/>
    <cellStyle name="20% - Accent2 2 3 9 3 2" xfId="24676"/>
    <cellStyle name="20% - Accent2 2 3 9 3 2 2" xfId="53537"/>
    <cellStyle name="20% - Accent2 2 3 9 3 3" xfId="36490"/>
    <cellStyle name="20% - Accent2 2 3 9 4" xfId="13366"/>
    <cellStyle name="20% - Accent2 2 3 9 4 2" xfId="18904"/>
    <cellStyle name="20% - Accent2 2 3 9 4 2 2" xfId="47765"/>
    <cellStyle name="20% - Accent2 2 3 9 4 3" xfId="42227"/>
    <cellStyle name="20% - Accent2 2 3 9 5" xfId="16224"/>
    <cellStyle name="20% - Accent2 2 3 9 5 2" xfId="45085"/>
    <cellStyle name="20% - Accent2 2 3 9 6" xfId="30449"/>
    <cellStyle name="20% - Accent2 2 4" xfId="299"/>
    <cellStyle name="20% - Accent2 2 4 10" xfId="2462"/>
    <cellStyle name="20% - Accent2 2 4 10 2" xfId="5349"/>
    <cellStyle name="20% - Accent2 2 4 10 2 2" xfId="11390"/>
    <cellStyle name="20% - Accent2 2 4 10 2 2 2" xfId="28437"/>
    <cellStyle name="20% - Accent2 2 4 10 2 2 2 2" xfId="57298"/>
    <cellStyle name="20% - Accent2 2 4 10 2 2 3" xfId="40251"/>
    <cellStyle name="20% - Accent2 2 4 10 2 3" xfId="22459"/>
    <cellStyle name="20% - Accent2 2 4 10 2 3 2" xfId="51320"/>
    <cellStyle name="20% - Accent2 2 4 10 2 4" xfId="34210"/>
    <cellStyle name="20% - Accent2 2 4 10 3" xfId="8504"/>
    <cellStyle name="20% - Accent2 2 4 10 3 2" xfId="25551"/>
    <cellStyle name="20% - Accent2 2 4 10 3 2 2" xfId="54412"/>
    <cellStyle name="20% - Accent2 2 4 10 3 3" xfId="37365"/>
    <cellStyle name="20% - Accent2 2 4 10 4" xfId="13436"/>
    <cellStyle name="20% - Accent2 2 4 10 4 2" xfId="19779"/>
    <cellStyle name="20% - Accent2 2 4 10 4 2 2" xfId="48640"/>
    <cellStyle name="20% - Accent2 2 4 10 4 3" xfId="42297"/>
    <cellStyle name="20% - Accent2 2 4 10 5" xfId="17099"/>
    <cellStyle name="20% - Accent2 2 4 10 5 2" xfId="45960"/>
    <cellStyle name="20% - Accent2 2 4 10 6" xfId="31324"/>
    <cellStyle name="20% - Accent2 2 4 11" xfId="2671"/>
    <cellStyle name="20% - Accent2 2 4 11 2" xfId="5557"/>
    <cellStyle name="20% - Accent2 2 4 11 2 2" xfId="11598"/>
    <cellStyle name="20% - Accent2 2 4 11 2 2 2" xfId="28645"/>
    <cellStyle name="20% - Accent2 2 4 11 2 2 2 2" xfId="57506"/>
    <cellStyle name="20% - Accent2 2 4 11 2 2 3" xfId="40459"/>
    <cellStyle name="20% - Accent2 2 4 11 2 3" xfId="22667"/>
    <cellStyle name="20% - Accent2 2 4 11 2 3 2" xfId="51528"/>
    <cellStyle name="20% - Accent2 2 4 11 2 4" xfId="34418"/>
    <cellStyle name="20% - Accent2 2 4 11 3" xfId="8712"/>
    <cellStyle name="20% - Accent2 2 4 11 3 2" xfId="25759"/>
    <cellStyle name="20% - Accent2 2 4 11 3 2 2" xfId="54620"/>
    <cellStyle name="20% - Accent2 2 4 11 3 3" xfId="37573"/>
    <cellStyle name="20% - Accent2 2 4 11 4" xfId="12161"/>
    <cellStyle name="20% - Accent2 2 4 11 4 2" xfId="19987"/>
    <cellStyle name="20% - Accent2 2 4 11 4 2 2" xfId="48848"/>
    <cellStyle name="20% - Accent2 2 4 11 4 3" xfId="41022"/>
    <cellStyle name="20% - Accent2 2 4 11 5" xfId="17307"/>
    <cellStyle name="20% - Accent2 2 4 11 5 2" xfId="46168"/>
    <cellStyle name="20% - Accent2 2 4 11 6" xfId="31532"/>
    <cellStyle name="20% - Accent2 2 4 12" xfId="3186"/>
    <cellStyle name="20% - Accent2 2 4 12 2" xfId="9227"/>
    <cellStyle name="20% - Accent2 2 4 12 2 2" xfId="26274"/>
    <cellStyle name="20% - Accent2 2 4 12 2 2 2" xfId="55135"/>
    <cellStyle name="20% - Accent2 2 4 12 2 3" xfId="38088"/>
    <cellStyle name="20% - Accent2 2 4 12 3" xfId="6073"/>
    <cellStyle name="20% - Accent2 2 4 12 3 2" xfId="20296"/>
    <cellStyle name="20% - Accent2 2 4 12 3 2 2" xfId="49157"/>
    <cellStyle name="20% - Accent2 2 4 12 3 3" xfId="34934"/>
    <cellStyle name="20% - Accent2 2 4 12 4" xfId="14936"/>
    <cellStyle name="20% - Accent2 2 4 12 4 2" xfId="43797"/>
    <cellStyle name="20% - Accent2 2 4 12 5" xfId="32047"/>
    <cellStyle name="20% - Accent2 2 4 13" xfId="2877"/>
    <cellStyle name="20% - Accent2 2 4 13 2" xfId="8918"/>
    <cellStyle name="20% - Accent2 2 4 13 2 2" xfId="25965"/>
    <cellStyle name="20% - Accent2 2 4 13 2 2 2" xfId="54826"/>
    <cellStyle name="20% - Accent2 2 4 13 2 3" xfId="37779"/>
    <cellStyle name="20% - Accent2 2 4 13 3" xfId="17513"/>
    <cellStyle name="20% - Accent2 2 4 13 3 2" xfId="46374"/>
    <cellStyle name="20% - Accent2 2 4 13 4" xfId="31738"/>
    <cellStyle name="20% - Accent2 2 4 14" xfId="5763"/>
    <cellStyle name="20% - Accent2 2 4 14 2" xfId="11804"/>
    <cellStyle name="20% - Accent2 2 4 14 2 2" xfId="28851"/>
    <cellStyle name="20% - Accent2 2 4 14 2 2 2" xfId="57712"/>
    <cellStyle name="20% - Accent2 2 4 14 2 3" xfId="40665"/>
    <cellStyle name="20% - Accent2 2 4 14 3" xfId="22873"/>
    <cellStyle name="20% - Accent2 2 4 14 3 2" xfId="51734"/>
    <cellStyle name="20% - Accent2 2 4 14 4" xfId="34624"/>
    <cellStyle name="20% - Accent2 2 4 15" xfId="5980"/>
    <cellStyle name="20% - Accent2 2 4 15 2" xfId="23079"/>
    <cellStyle name="20% - Accent2 2 4 15 2 2" xfId="51940"/>
    <cellStyle name="20% - Accent2 2 4 15 3" xfId="34841"/>
    <cellStyle name="20% - Accent2 2 4 16" xfId="6341"/>
    <cellStyle name="20% - Accent2 2 4 16 2" xfId="23388"/>
    <cellStyle name="20% - Accent2 2 4 16 2 2" xfId="52249"/>
    <cellStyle name="20% - Accent2 2 4 16 3" xfId="35202"/>
    <cellStyle name="20% - Accent2 2 4 17" xfId="14627"/>
    <cellStyle name="20% - Accent2 2 4 17 2" xfId="43488"/>
    <cellStyle name="20% - Accent2 2 4 18" xfId="29161"/>
    <cellStyle name="20% - Accent2 2 4 2" xfId="505"/>
    <cellStyle name="20% - Accent2 2 4 2 2" xfId="2256"/>
    <cellStyle name="20% - Accent2 2 4 2 2 2" xfId="5143"/>
    <cellStyle name="20% - Accent2 2 4 2 2 2 2" xfId="11184"/>
    <cellStyle name="20% - Accent2 2 4 2 2 2 2 2" xfId="28231"/>
    <cellStyle name="20% - Accent2 2 4 2 2 2 2 2 2" xfId="57092"/>
    <cellStyle name="20% - Accent2 2 4 2 2 2 2 3" xfId="40045"/>
    <cellStyle name="20% - Accent2 2 4 2 2 2 3" xfId="22253"/>
    <cellStyle name="20% - Accent2 2 4 2 2 2 3 2" xfId="51114"/>
    <cellStyle name="20% - Accent2 2 4 2 2 2 4" xfId="34004"/>
    <cellStyle name="20% - Accent2 2 4 2 2 3" xfId="8298"/>
    <cellStyle name="20% - Accent2 2 4 2 2 3 2" xfId="25345"/>
    <cellStyle name="20% - Accent2 2 4 2 2 3 2 2" xfId="54206"/>
    <cellStyle name="20% - Accent2 2 4 2 2 3 3" xfId="37159"/>
    <cellStyle name="20% - Accent2 2 4 2 2 4" xfId="13158"/>
    <cellStyle name="20% - Accent2 2 4 2 2 4 2" xfId="19573"/>
    <cellStyle name="20% - Accent2 2 4 2 2 4 2 2" xfId="48434"/>
    <cellStyle name="20% - Accent2 2 4 2 2 4 3" xfId="42019"/>
    <cellStyle name="20% - Accent2 2 4 2 2 5" xfId="16893"/>
    <cellStyle name="20% - Accent2 2 4 2 2 5 2" xfId="45754"/>
    <cellStyle name="20% - Accent2 2 4 2 2 6" xfId="31118"/>
    <cellStyle name="20% - Accent2 2 4 2 3" xfId="3392"/>
    <cellStyle name="20% - Accent2 2 4 2 3 2" xfId="9433"/>
    <cellStyle name="20% - Accent2 2 4 2 3 2 2" xfId="26480"/>
    <cellStyle name="20% - Accent2 2 4 2 3 2 2 2" xfId="55341"/>
    <cellStyle name="20% - Accent2 2 4 2 3 2 3" xfId="38294"/>
    <cellStyle name="20% - Accent2 2 4 2 3 3" xfId="20502"/>
    <cellStyle name="20% - Accent2 2 4 2 3 3 2" xfId="49363"/>
    <cellStyle name="20% - Accent2 2 4 2 3 4" xfId="32253"/>
    <cellStyle name="20% - Accent2 2 4 2 4" xfId="6547"/>
    <cellStyle name="20% - Accent2 2 4 2 4 2" xfId="23594"/>
    <cellStyle name="20% - Accent2 2 4 2 4 2 2" xfId="52455"/>
    <cellStyle name="20% - Accent2 2 4 2 4 3" xfId="35408"/>
    <cellStyle name="20% - Accent2 2 4 2 5" xfId="13185"/>
    <cellStyle name="20% - Accent2 2 4 2 5 2" xfId="17822"/>
    <cellStyle name="20% - Accent2 2 4 2 5 2 2" xfId="46683"/>
    <cellStyle name="20% - Accent2 2 4 2 5 3" xfId="42046"/>
    <cellStyle name="20% - Accent2 2 4 2 6" xfId="15142"/>
    <cellStyle name="20% - Accent2 2 4 2 6 2" xfId="44003"/>
    <cellStyle name="20% - Accent2 2 4 2 7" xfId="29367"/>
    <cellStyle name="20% - Accent2 2 4 3" xfId="814"/>
    <cellStyle name="20% - Accent2 2 4 3 2" xfId="3701"/>
    <cellStyle name="20% - Accent2 2 4 3 2 2" xfId="9742"/>
    <cellStyle name="20% - Accent2 2 4 3 2 2 2" xfId="26789"/>
    <cellStyle name="20% - Accent2 2 4 3 2 2 2 2" xfId="55650"/>
    <cellStyle name="20% - Accent2 2 4 3 2 2 3" xfId="38603"/>
    <cellStyle name="20% - Accent2 2 4 3 2 3" xfId="20811"/>
    <cellStyle name="20% - Accent2 2 4 3 2 3 2" xfId="49672"/>
    <cellStyle name="20% - Accent2 2 4 3 2 4" xfId="32562"/>
    <cellStyle name="20% - Accent2 2 4 3 3" xfId="6856"/>
    <cellStyle name="20% - Accent2 2 4 3 3 2" xfId="23903"/>
    <cellStyle name="20% - Accent2 2 4 3 3 2 2" xfId="52764"/>
    <cellStyle name="20% - Accent2 2 4 3 3 3" xfId="35717"/>
    <cellStyle name="20% - Accent2 2 4 3 4" xfId="13292"/>
    <cellStyle name="20% - Accent2 2 4 3 4 2" xfId="18131"/>
    <cellStyle name="20% - Accent2 2 4 3 4 2 2" xfId="46992"/>
    <cellStyle name="20% - Accent2 2 4 3 4 3" xfId="42153"/>
    <cellStyle name="20% - Accent2 2 4 3 5" xfId="15451"/>
    <cellStyle name="20% - Accent2 2 4 3 5 2" xfId="44312"/>
    <cellStyle name="20% - Accent2 2 4 3 6" xfId="29676"/>
    <cellStyle name="20% - Accent2 2 4 4" xfId="1020"/>
    <cellStyle name="20% - Accent2 2 4 4 2" xfId="3907"/>
    <cellStyle name="20% - Accent2 2 4 4 2 2" xfId="9948"/>
    <cellStyle name="20% - Accent2 2 4 4 2 2 2" xfId="26995"/>
    <cellStyle name="20% - Accent2 2 4 4 2 2 2 2" xfId="55856"/>
    <cellStyle name="20% - Accent2 2 4 4 2 2 3" xfId="38809"/>
    <cellStyle name="20% - Accent2 2 4 4 2 3" xfId="21017"/>
    <cellStyle name="20% - Accent2 2 4 4 2 3 2" xfId="49878"/>
    <cellStyle name="20% - Accent2 2 4 4 2 4" xfId="32768"/>
    <cellStyle name="20% - Accent2 2 4 4 3" xfId="7062"/>
    <cellStyle name="20% - Accent2 2 4 4 3 2" xfId="24109"/>
    <cellStyle name="20% - Accent2 2 4 4 3 2 2" xfId="52970"/>
    <cellStyle name="20% - Accent2 2 4 4 3 3" xfId="35923"/>
    <cellStyle name="20% - Accent2 2 4 4 4" xfId="13277"/>
    <cellStyle name="20% - Accent2 2 4 4 4 2" xfId="18337"/>
    <cellStyle name="20% - Accent2 2 4 4 4 2 2" xfId="47198"/>
    <cellStyle name="20% - Accent2 2 4 4 4 3" xfId="42138"/>
    <cellStyle name="20% - Accent2 2 4 4 5" xfId="15657"/>
    <cellStyle name="20% - Accent2 2 4 4 5 2" xfId="44518"/>
    <cellStyle name="20% - Accent2 2 4 4 6" xfId="29882"/>
    <cellStyle name="20% - Accent2 2 4 5" xfId="1226"/>
    <cellStyle name="20% - Accent2 2 4 5 2" xfId="4113"/>
    <cellStyle name="20% - Accent2 2 4 5 2 2" xfId="10154"/>
    <cellStyle name="20% - Accent2 2 4 5 2 2 2" xfId="27201"/>
    <cellStyle name="20% - Accent2 2 4 5 2 2 2 2" xfId="56062"/>
    <cellStyle name="20% - Accent2 2 4 5 2 2 3" xfId="39015"/>
    <cellStyle name="20% - Accent2 2 4 5 2 3" xfId="21223"/>
    <cellStyle name="20% - Accent2 2 4 5 2 3 2" xfId="50084"/>
    <cellStyle name="20% - Accent2 2 4 5 2 4" xfId="32974"/>
    <cellStyle name="20% - Accent2 2 4 5 3" xfId="7268"/>
    <cellStyle name="20% - Accent2 2 4 5 3 2" xfId="24315"/>
    <cellStyle name="20% - Accent2 2 4 5 3 2 2" xfId="53176"/>
    <cellStyle name="20% - Accent2 2 4 5 3 3" xfId="36129"/>
    <cellStyle name="20% - Accent2 2 4 5 4" xfId="13954"/>
    <cellStyle name="20% - Accent2 2 4 5 4 2" xfId="18543"/>
    <cellStyle name="20% - Accent2 2 4 5 4 2 2" xfId="47404"/>
    <cellStyle name="20% - Accent2 2 4 5 4 3" xfId="42815"/>
    <cellStyle name="20% - Accent2 2 4 5 5" xfId="15863"/>
    <cellStyle name="20% - Accent2 2 4 5 5 2" xfId="44724"/>
    <cellStyle name="20% - Accent2 2 4 5 6" xfId="30088"/>
    <cellStyle name="20% - Accent2 2 4 6" xfId="1432"/>
    <cellStyle name="20% - Accent2 2 4 6 2" xfId="4319"/>
    <cellStyle name="20% - Accent2 2 4 6 2 2" xfId="10360"/>
    <cellStyle name="20% - Accent2 2 4 6 2 2 2" xfId="27407"/>
    <cellStyle name="20% - Accent2 2 4 6 2 2 2 2" xfId="56268"/>
    <cellStyle name="20% - Accent2 2 4 6 2 2 3" xfId="39221"/>
    <cellStyle name="20% - Accent2 2 4 6 2 3" xfId="21429"/>
    <cellStyle name="20% - Accent2 2 4 6 2 3 2" xfId="50290"/>
    <cellStyle name="20% - Accent2 2 4 6 2 4" xfId="33180"/>
    <cellStyle name="20% - Accent2 2 4 6 3" xfId="7474"/>
    <cellStyle name="20% - Accent2 2 4 6 3 2" xfId="24521"/>
    <cellStyle name="20% - Accent2 2 4 6 3 2 2" xfId="53382"/>
    <cellStyle name="20% - Accent2 2 4 6 3 3" xfId="36335"/>
    <cellStyle name="20% - Accent2 2 4 6 4" xfId="12842"/>
    <cellStyle name="20% - Accent2 2 4 6 4 2" xfId="18749"/>
    <cellStyle name="20% - Accent2 2 4 6 4 2 2" xfId="47610"/>
    <cellStyle name="20% - Accent2 2 4 6 4 3" xfId="41703"/>
    <cellStyle name="20% - Accent2 2 4 6 5" xfId="16069"/>
    <cellStyle name="20% - Accent2 2 4 6 5 2" xfId="44930"/>
    <cellStyle name="20% - Accent2 2 4 6 6" xfId="30294"/>
    <cellStyle name="20% - Accent2 2 4 7" xfId="1638"/>
    <cellStyle name="20% - Accent2 2 4 7 2" xfId="4525"/>
    <cellStyle name="20% - Accent2 2 4 7 2 2" xfId="10566"/>
    <cellStyle name="20% - Accent2 2 4 7 2 2 2" xfId="27613"/>
    <cellStyle name="20% - Accent2 2 4 7 2 2 2 2" xfId="56474"/>
    <cellStyle name="20% - Accent2 2 4 7 2 2 3" xfId="39427"/>
    <cellStyle name="20% - Accent2 2 4 7 2 3" xfId="21635"/>
    <cellStyle name="20% - Accent2 2 4 7 2 3 2" xfId="50496"/>
    <cellStyle name="20% - Accent2 2 4 7 2 4" xfId="33386"/>
    <cellStyle name="20% - Accent2 2 4 7 3" xfId="7680"/>
    <cellStyle name="20% - Accent2 2 4 7 3 2" xfId="24727"/>
    <cellStyle name="20% - Accent2 2 4 7 3 2 2" xfId="53588"/>
    <cellStyle name="20% - Accent2 2 4 7 3 3" xfId="36541"/>
    <cellStyle name="20% - Accent2 2 4 7 4" xfId="13432"/>
    <cellStyle name="20% - Accent2 2 4 7 4 2" xfId="18955"/>
    <cellStyle name="20% - Accent2 2 4 7 4 2 2" xfId="47816"/>
    <cellStyle name="20% - Accent2 2 4 7 4 3" xfId="42293"/>
    <cellStyle name="20% - Accent2 2 4 7 5" xfId="16275"/>
    <cellStyle name="20% - Accent2 2 4 7 5 2" xfId="45136"/>
    <cellStyle name="20% - Accent2 2 4 7 6" xfId="30500"/>
    <cellStyle name="20% - Accent2 2 4 8" xfId="1844"/>
    <cellStyle name="20% - Accent2 2 4 8 2" xfId="4731"/>
    <cellStyle name="20% - Accent2 2 4 8 2 2" xfId="10772"/>
    <cellStyle name="20% - Accent2 2 4 8 2 2 2" xfId="27819"/>
    <cellStyle name="20% - Accent2 2 4 8 2 2 2 2" xfId="56680"/>
    <cellStyle name="20% - Accent2 2 4 8 2 2 3" xfId="39633"/>
    <cellStyle name="20% - Accent2 2 4 8 2 3" xfId="21841"/>
    <cellStyle name="20% - Accent2 2 4 8 2 3 2" xfId="50702"/>
    <cellStyle name="20% - Accent2 2 4 8 2 4" xfId="33592"/>
    <cellStyle name="20% - Accent2 2 4 8 3" xfId="7886"/>
    <cellStyle name="20% - Accent2 2 4 8 3 2" xfId="24933"/>
    <cellStyle name="20% - Accent2 2 4 8 3 2 2" xfId="53794"/>
    <cellStyle name="20% - Accent2 2 4 8 3 3" xfId="36747"/>
    <cellStyle name="20% - Accent2 2 4 8 4" xfId="12706"/>
    <cellStyle name="20% - Accent2 2 4 8 4 2" xfId="19161"/>
    <cellStyle name="20% - Accent2 2 4 8 4 2 2" xfId="48022"/>
    <cellStyle name="20% - Accent2 2 4 8 4 3" xfId="41567"/>
    <cellStyle name="20% - Accent2 2 4 8 5" xfId="16481"/>
    <cellStyle name="20% - Accent2 2 4 8 5 2" xfId="45342"/>
    <cellStyle name="20% - Accent2 2 4 8 6" xfId="30706"/>
    <cellStyle name="20% - Accent2 2 4 9" xfId="2050"/>
    <cellStyle name="20% - Accent2 2 4 9 2" xfId="4937"/>
    <cellStyle name="20% - Accent2 2 4 9 2 2" xfId="10978"/>
    <cellStyle name="20% - Accent2 2 4 9 2 2 2" xfId="28025"/>
    <cellStyle name="20% - Accent2 2 4 9 2 2 2 2" xfId="56886"/>
    <cellStyle name="20% - Accent2 2 4 9 2 2 3" xfId="39839"/>
    <cellStyle name="20% - Accent2 2 4 9 2 3" xfId="22047"/>
    <cellStyle name="20% - Accent2 2 4 9 2 3 2" xfId="50908"/>
    <cellStyle name="20% - Accent2 2 4 9 2 4" xfId="33798"/>
    <cellStyle name="20% - Accent2 2 4 9 3" xfId="8092"/>
    <cellStyle name="20% - Accent2 2 4 9 3 2" xfId="25139"/>
    <cellStyle name="20% - Accent2 2 4 9 3 2 2" xfId="54000"/>
    <cellStyle name="20% - Accent2 2 4 9 3 3" xfId="36953"/>
    <cellStyle name="20% - Accent2 2 4 9 4" xfId="12589"/>
    <cellStyle name="20% - Accent2 2 4 9 4 2" xfId="19367"/>
    <cellStyle name="20% - Accent2 2 4 9 4 2 2" xfId="48228"/>
    <cellStyle name="20% - Accent2 2 4 9 4 3" xfId="41450"/>
    <cellStyle name="20% - Accent2 2 4 9 5" xfId="16687"/>
    <cellStyle name="20% - Accent2 2 4 9 5 2" xfId="45548"/>
    <cellStyle name="20% - Accent2 2 4 9 6" xfId="30912"/>
    <cellStyle name="20% - Accent2 2 5" xfId="196"/>
    <cellStyle name="20% - Accent2 2 5 2" xfId="608"/>
    <cellStyle name="20% - Accent2 2 5 2 2" xfId="3495"/>
    <cellStyle name="20% - Accent2 2 5 2 2 2" xfId="9536"/>
    <cellStyle name="20% - Accent2 2 5 2 2 2 2" xfId="26583"/>
    <cellStyle name="20% - Accent2 2 5 2 2 2 2 2" xfId="55444"/>
    <cellStyle name="20% - Accent2 2 5 2 2 2 3" xfId="38397"/>
    <cellStyle name="20% - Accent2 2 5 2 2 3" xfId="20605"/>
    <cellStyle name="20% - Accent2 2 5 2 2 3 2" xfId="49466"/>
    <cellStyle name="20% - Accent2 2 5 2 2 4" xfId="32356"/>
    <cellStyle name="20% - Accent2 2 5 2 3" xfId="6650"/>
    <cellStyle name="20% - Accent2 2 5 2 3 2" xfId="23697"/>
    <cellStyle name="20% - Accent2 2 5 2 3 2 2" xfId="52558"/>
    <cellStyle name="20% - Accent2 2 5 2 3 3" xfId="35511"/>
    <cellStyle name="20% - Accent2 2 5 2 4" xfId="13948"/>
    <cellStyle name="20% - Accent2 2 5 2 4 2" xfId="17925"/>
    <cellStyle name="20% - Accent2 2 5 2 4 2 2" xfId="46786"/>
    <cellStyle name="20% - Accent2 2 5 2 4 3" xfId="42809"/>
    <cellStyle name="20% - Accent2 2 5 2 5" xfId="15245"/>
    <cellStyle name="20% - Accent2 2 5 2 5 2" xfId="44106"/>
    <cellStyle name="20% - Accent2 2 5 2 6" xfId="29470"/>
    <cellStyle name="20% - Accent2 2 5 3" xfId="2153"/>
    <cellStyle name="20% - Accent2 2 5 3 2" xfId="5040"/>
    <cellStyle name="20% - Accent2 2 5 3 2 2" xfId="11081"/>
    <cellStyle name="20% - Accent2 2 5 3 2 2 2" xfId="28128"/>
    <cellStyle name="20% - Accent2 2 5 3 2 2 2 2" xfId="56989"/>
    <cellStyle name="20% - Accent2 2 5 3 2 2 3" xfId="39942"/>
    <cellStyle name="20% - Accent2 2 5 3 2 3" xfId="22150"/>
    <cellStyle name="20% - Accent2 2 5 3 2 3 2" xfId="51011"/>
    <cellStyle name="20% - Accent2 2 5 3 2 4" xfId="33901"/>
    <cellStyle name="20% - Accent2 2 5 3 3" xfId="8195"/>
    <cellStyle name="20% - Accent2 2 5 3 3 2" xfId="25242"/>
    <cellStyle name="20% - Accent2 2 5 3 3 2 2" xfId="54103"/>
    <cellStyle name="20% - Accent2 2 5 3 3 3" xfId="37056"/>
    <cellStyle name="20% - Accent2 2 5 3 4" xfId="12024"/>
    <cellStyle name="20% - Accent2 2 5 3 4 2" xfId="19470"/>
    <cellStyle name="20% - Accent2 2 5 3 4 2 2" xfId="48331"/>
    <cellStyle name="20% - Accent2 2 5 3 4 3" xfId="40885"/>
    <cellStyle name="20% - Accent2 2 5 3 5" xfId="16790"/>
    <cellStyle name="20% - Accent2 2 5 3 5 2" xfId="45651"/>
    <cellStyle name="20% - Accent2 2 5 3 6" xfId="31015"/>
    <cellStyle name="20% - Accent2 2 5 4" xfId="3083"/>
    <cellStyle name="20% - Accent2 2 5 4 2" xfId="9124"/>
    <cellStyle name="20% - Accent2 2 5 4 2 2" xfId="26171"/>
    <cellStyle name="20% - Accent2 2 5 4 2 2 2" xfId="55032"/>
    <cellStyle name="20% - Accent2 2 5 4 2 3" xfId="37985"/>
    <cellStyle name="20% - Accent2 2 5 4 3" xfId="20193"/>
    <cellStyle name="20% - Accent2 2 5 4 3 2" xfId="49054"/>
    <cellStyle name="20% - Accent2 2 5 4 4" xfId="31944"/>
    <cellStyle name="20% - Accent2 2 5 5" xfId="6238"/>
    <cellStyle name="20% - Accent2 2 5 5 2" xfId="23285"/>
    <cellStyle name="20% - Accent2 2 5 5 2 2" xfId="52146"/>
    <cellStyle name="20% - Accent2 2 5 5 3" xfId="35099"/>
    <cellStyle name="20% - Accent2 2 5 6" xfId="13854"/>
    <cellStyle name="20% - Accent2 2 5 6 2" xfId="17616"/>
    <cellStyle name="20% - Accent2 2 5 6 2 2" xfId="46477"/>
    <cellStyle name="20% - Accent2 2 5 6 3" xfId="42715"/>
    <cellStyle name="20% - Accent2 2 5 7" xfId="14833"/>
    <cellStyle name="20% - Accent2 2 5 7 2" xfId="43694"/>
    <cellStyle name="20% - Accent2 2 5 8" xfId="29058"/>
    <cellStyle name="20% - Accent2 2 6" xfId="402"/>
    <cellStyle name="20% - Accent2 2 6 2" xfId="3289"/>
    <cellStyle name="20% - Accent2 2 6 2 2" xfId="9330"/>
    <cellStyle name="20% - Accent2 2 6 2 2 2" xfId="26377"/>
    <cellStyle name="20% - Accent2 2 6 2 2 2 2" xfId="55238"/>
    <cellStyle name="20% - Accent2 2 6 2 2 3" xfId="38191"/>
    <cellStyle name="20% - Accent2 2 6 2 3" xfId="20399"/>
    <cellStyle name="20% - Accent2 2 6 2 3 2" xfId="49260"/>
    <cellStyle name="20% - Accent2 2 6 2 4" xfId="32150"/>
    <cellStyle name="20% - Accent2 2 6 3" xfId="6444"/>
    <cellStyle name="20% - Accent2 2 6 3 2" xfId="23491"/>
    <cellStyle name="20% - Accent2 2 6 3 2 2" xfId="52352"/>
    <cellStyle name="20% - Accent2 2 6 3 3" xfId="35305"/>
    <cellStyle name="20% - Accent2 2 6 4" xfId="12671"/>
    <cellStyle name="20% - Accent2 2 6 4 2" xfId="17719"/>
    <cellStyle name="20% - Accent2 2 6 4 2 2" xfId="46580"/>
    <cellStyle name="20% - Accent2 2 6 4 3" xfId="41532"/>
    <cellStyle name="20% - Accent2 2 6 5" xfId="15039"/>
    <cellStyle name="20% - Accent2 2 6 5 2" xfId="43900"/>
    <cellStyle name="20% - Accent2 2 6 6" xfId="29264"/>
    <cellStyle name="20% - Accent2 2 7" xfId="711"/>
    <cellStyle name="20% - Accent2 2 7 2" xfId="3598"/>
    <cellStyle name="20% - Accent2 2 7 2 2" xfId="9639"/>
    <cellStyle name="20% - Accent2 2 7 2 2 2" xfId="26686"/>
    <cellStyle name="20% - Accent2 2 7 2 2 2 2" xfId="55547"/>
    <cellStyle name="20% - Accent2 2 7 2 2 3" xfId="38500"/>
    <cellStyle name="20% - Accent2 2 7 2 3" xfId="20708"/>
    <cellStyle name="20% - Accent2 2 7 2 3 2" xfId="49569"/>
    <cellStyle name="20% - Accent2 2 7 2 4" xfId="32459"/>
    <cellStyle name="20% - Accent2 2 7 3" xfId="6753"/>
    <cellStyle name="20% - Accent2 2 7 3 2" xfId="23800"/>
    <cellStyle name="20% - Accent2 2 7 3 2 2" xfId="52661"/>
    <cellStyle name="20% - Accent2 2 7 3 3" xfId="35614"/>
    <cellStyle name="20% - Accent2 2 7 4" xfId="12460"/>
    <cellStyle name="20% - Accent2 2 7 4 2" xfId="18028"/>
    <cellStyle name="20% - Accent2 2 7 4 2 2" xfId="46889"/>
    <cellStyle name="20% - Accent2 2 7 4 3" xfId="41321"/>
    <cellStyle name="20% - Accent2 2 7 5" xfId="15348"/>
    <cellStyle name="20% - Accent2 2 7 5 2" xfId="44209"/>
    <cellStyle name="20% - Accent2 2 7 6" xfId="29573"/>
    <cellStyle name="20% - Accent2 2 8" xfId="917"/>
    <cellStyle name="20% - Accent2 2 8 2" xfId="3804"/>
    <cellStyle name="20% - Accent2 2 8 2 2" xfId="9845"/>
    <cellStyle name="20% - Accent2 2 8 2 2 2" xfId="26892"/>
    <cellStyle name="20% - Accent2 2 8 2 2 2 2" xfId="55753"/>
    <cellStyle name="20% - Accent2 2 8 2 2 3" xfId="38706"/>
    <cellStyle name="20% - Accent2 2 8 2 3" xfId="20914"/>
    <cellStyle name="20% - Accent2 2 8 2 3 2" xfId="49775"/>
    <cellStyle name="20% - Accent2 2 8 2 4" xfId="32665"/>
    <cellStyle name="20% - Accent2 2 8 3" xfId="6959"/>
    <cellStyle name="20% - Accent2 2 8 3 2" xfId="24006"/>
    <cellStyle name="20% - Accent2 2 8 3 2 2" xfId="52867"/>
    <cellStyle name="20% - Accent2 2 8 3 3" xfId="35820"/>
    <cellStyle name="20% - Accent2 2 8 4" xfId="12852"/>
    <cellStyle name="20% - Accent2 2 8 4 2" xfId="18234"/>
    <cellStyle name="20% - Accent2 2 8 4 2 2" xfId="47095"/>
    <cellStyle name="20% - Accent2 2 8 4 3" xfId="41713"/>
    <cellStyle name="20% - Accent2 2 8 5" xfId="15554"/>
    <cellStyle name="20% - Accent2 2 8 5 2" xfId="44415"/>
    <cellStyle name="20% - Accent2 2 8 6" xfId="29779"/>
    <cellStyle name="20% - Accent2 2 9" xfId="1123"/>
    <cellStyle name="20% - Accent2 2 9 2" xfId="4010"/>
    <cellStyle name="20% - Accent2 2 9 2 2" xfId="10051"/>
    <cellStyle name="20% - Accent2 2 9 2 2 2" xfId="27098"/>
    <cellStyle name="20% - Accent2 2 9 2 2 2 2" xfId="55959"/>
    <cellStyle name="20% - Accent2 2 9 2 2 3" xfId="38912"/>
    <cellStyle name="20% - Accent2 2 9 2 3" xfId="21120"/>
    <cellStyle name="20% - Accent2 2 9 2 3 2" xfId="49981"/>
    <cellStyle name="20% - Accent2 2 9 2 4" xfId="32871"/>
    <cellStyle name="20% - Accent2 2 9 3" xfId="7165"/>
    <cellStyle name="20% - Accent2 2 9 3 2" xfId="24212"/>
    <cellStyle name="20% - Accent2 2 9 3 2 2" xfId="53073"/>
    <cellStyle name="20% - Accent2 2 9 3 3" xfId="36026"/>
    <cellStyle name="20% - Accent2 2 9 4" xfId="11981"/>
    <cellStyle name="20% - Accent2 2 9 4 2" xfId="18440"/>
    <cellStyle name="20% - Accent2 2 9 4 2 2" xfId="47301"/>
    <cellStyle name="20% - Accent2 2 9 4 3" xfId="40842"/>
    <cellStyle name="20% - Accent2 2 9 5" xfId="15760"/>
    <cellStyle name="20% - Accent2 2 9 5 2" xfId="44621"/>
    <cellStyle name="20% - Accent2 2 9 6" xfId="29985"/>
    <cellStyle name="20% - Accent2 20" xfId="5862"/>
    <cellStyle name="20% - Accent2 20 2" xfId="22962"/>
    <cellStyle name="20% - Accent2 20 2 2" xfId="51823"/>
    <cellStyle name="20% - Accent2 20 3" xfId="34723"/>
    <cellStyle name="20% - Accent2 21" xfId="6121"/>
    <cellStyle name="20% - Accent2 21 2" xfId="23168"/>
    <cellStyle name="20% - Accent2 21 2 2" xfId="52029"/>
    <cellStyle name="20% - Accent2 21 3" xfId="34982"/>
    <cellStyle name="20% - Accent2 22" xfId="14510"/>
    <cellStyle name="20% - Accent2 22 2" xfId="43371"/>
    <cellStyle name="20% - Accent2 23" xfId="28941"/>
    <cellStyle name="20% - Accent2 3" xfId="106"/>
    <cellStyle name="20% - Accent2 3 10" xfId="1754"/>
    <cellStyle name="20% - Accent2 3 10 2" xfId="4641"/>
    <cellStyle name="20% - Accent2 3 10 2 2" xfId="10682"/>
    <cellStyle name="20% - Accent2 3 10 2 2 2" xfId="27729"/>
    <cellStyle name="20% - Accent2 3 10 2 2 2 2" xfId="56590"/>
    <cellStyle name="20% - Accent2 3 10 2 2 3" xfId="39543"/>
    <cellStyle name="20% - Accent2 3 10 2 3" xfId="21751"/>
    <cellStyle name="20% - Accent2 3 10 2 3 2" xfId="50612"/>
    <cellStyle name="20% - Accent2 3 10 2 4" xfId="33502"/>
    <cellStyle name="20% - Accent2 3 10 3" xfId="7796"/>
    <cellStyle name="20% - Accent2 3 10 3 2" xfId="24843"/>
    <cellStyle name="20% - Accent2 3 10 3 2 2" xfId="53704"/>
    <cellStyle name="20% - Accent2 3 10 3 3" xfId="36657"/>
    <cellStyle name="20% - Accent2 3 10 4" xfId="13450"/>
    <cellStyle name="20% - Accent2 3 10 4 2" xfId="19071"/>
    <cellStyle name="20% - Accent2 3 10 4 2 2" xfId="47932"/>
    <cellStyle name="20% - Accent2 3 10 4 3" xfId="42311"/>
    <cellStyle name="20% - Accent2 3 10 5" xfId="16391"/>
    <cellStyle name="20% - Accent2 3 10 5 2" xfId="45252"/>
    <cellStyle name="20% - Accent2 3 10 6" xfId="30616"/>
    <cellStyle name="20% - Accent2 3 11" xfId="1960"/>
    <cellStyle name="20% - Accent2 3 11 2" xfId="4847"/>
    <cellStyle name="20% - Accent2 3 11 2 2" xfId="10888"/>
    <cellStyle name="20% - Accent2 3 11 2 2 2" xfId="27935"/>
    <cellStyle name="20% - Accent2 3 11 2 2 2 2" xfId="56796"/>
    <cellStyle name="20% - Accent2 3 11 2 2 3" xfId="39749"/>
    <cellStyle name="20% - Accent2 3 11 2 3" xfId="21957"/>
    <cellStyle name="20% - Accent2 3 11 2 3 2" xfId="50818"/>
    <cellStyle name="20% - Accent2 3 11 2 4" xfId="33708"/>
    <cellStyle name="20% - Accent2 3 11 3" xfId="8002"/>
    <cellStyle name="20% - Accent2 3 11 3 2" xfId="25049"/>
    <cellStyle name="20% - Accent2 3 11 3 2 2" xfId="53910"/>
    <cellStyle name="20% - Accent2 3 11 3 3" xfId="36863"/>
    <cellStyle name="20% - Accent2 3 11 4" xfId="12124"/>
    <cellStyle name="20% - Accent2 3 11 4 2" xfId="19277"/>
    <cellStyle name="20% - Accent2 3 11 4 2 2" xfId="48138"/>
    <cellStyle name="20% - Accent2 3 11 4 3" xfId="40985"/>
    <cellStyle name="20% - Accent2 3 11 5" xfId="16597"/>
    <cellStyle name="20% - Accent2 3 11 5 2" xfId="45458"/>
    <cellStyle name="20% - Accent2 3 11 6" xfId="30822"/>
    <cellStyle name="20% - Accent2 3 12" xfId="2372"/>
    <cellStyle name="20% - Accent2 3 12 2" xfId="5259"/>
    <cellStyle name="20% - Accent2 3 12 2 2" xfId="11300"/>
    <cellStyle name="20% - Accent2 3 12 2 2 2" xfId="28347"/>
    <cellStyle name="20% - Accent2 3 12 2 2 2 2" xfId="57208"/>
    <cellStyle name="20% - Accent2 3 12 2 2 3" xfId="40161"/>
    <cellStyle name="20% - Accent2 3 12 2 3" xfId="22369"/>
    <cellStyle name="20% - Accent2 3 12 2 3 2" xfId="51230"/>
    <cellStyle name="20% - Accent2 3 12 2 4" xfId="34120"/>
    <cellStyle name="20% - Accent2 3 12 3" xfId="8414"/>
    <cellStyle name="20% - Accent2 3 12 3 2" xfId="25461"/>
    <cellStyle name="20% - Accent2 3 12 3 2 2" xfId="54322"/>
    <cellStyle name="20% - Accent2 3 12 3 3" xfId="37275"/>
    <cellStyle name="20% - Accent2 3 12 4" xfId="11896"/>
    <cellStyle name="20% - Accent2 3 12 4 2" xfId="19689"/>
    <cellStyle name="20% - Accent2 3 12 4 2 2" xfId="48550"/>
    <cellStyle name="20% - Accent2 3 12 4 3" xfId="40757"/>
    <cellStyle name="20% - Accent2 3 12 5" xfId="17009"/>
    <cellStyle name="20% - Accent2 3 12 5 2" xfId="45870"/>
    <cellStyle name="20% - Accent2 3 12 6" xfId="31234"/>
    <cellStyle name="20% - Accent2 3 13" xfId="2581"/>
    <cellStyle name="20% - Accent2 3 13 2" xfId="5467"/>
    <cellStyle name="20% - Accent2 3 13 2 2" xfId="11508"/>
    <cellStyle name="20% - Accent2 3 13 2 2 2" xfId="28555"/>
    <cellStyle name="20% - Accent2 3 13 2 2 2 2" xfId="57416"/>
    <cellStyle name="20% - Accent2 3 13 2 2 3" xfId="40369"/>
    <cellStyle name="20% - Accent2 3 13 2 3" xfId="22577"/>
    <cellStyle name="20% - Accent2 3 13 2 3 2" xfId="51438"/>
    <cellStyle name="20% - Accent2 3 13 2 4" xfId="34328"/>
    <cellStyle name="20% - Accent2 3 13 3" xfId="8622"/>
    <cellStyle name="20% - Accent2 3 13 3 2" xfId="25669"/>
    <cellStyle name="20% - Accent2 3 13 3 2 2" xfId="54530"/>
    <cellStyle name="20% - Accent2 3 13 3 3" xfId="37483"/>
    <cellStyle name="20% - Accent2 3 13 4" xfId="11957"/>
    <cellStyle name="20% - Accent2 3 13 4 2" xfId="19897"/>
    <cellStyle name="20% - Accent2 3 13 4 2 2" xfId="48758"/>
    <cellStyle name="20% - Accent2 3 13 4 3" xfId="40818"/>
    <cellStyle name="20% - Accent2 3 13 5" xfId="17217"/>
    <cellStyle name="20% - Accent2 3 13 5 2" xfId="46078"/>
    <cellStyle name="20% - Accent2 3 13 6" xfId="31442"/>
    <cellStyle name="20% - Accent2 3 14" xfId="2993"/>
    <cellStyle name="20% - Accent2 3 14 2" xfId="9034"/>
    <cellStyle name="20% - Accent2 3 14 2 2" xfId="26081"/>
    <cellStyle name="20% - Accent2 3 14 2 2 2" xfId="54942"/>
    <cellStyle name="20% - Accent2 3 14 2 3" xfId="37895"/>
    <cellStyle name="20% - Accent2 3 14 3" xfId="13698"/>
    <cellStyle name="20% - Accent2 3 14 3 2" xfId="20103"/>
    <cellStyle name="20% - Accent2 3 14 3 2 2" xfId="48964"/>
    <cellStyle name="20% - Accent2 3 14 3 3" xfId="42559"/>
    <cellStyle name="20% - Accent2 3 14 4" xfId="14743"/>
    <cellStyle name="20% - Accent2 3 14 4 2" xfId="43604"/>
    <cellStyle name="20% - Accent2 3 14 5" xfId="31854"/>
    <cellStyle name="20% - Accent2 3 15" xfId="2787"/>
    <cellStyle name="20% - Accent2 3 15 2" xfId="8828"/>
    <cellStyle name="20% - Accent2 3 15 2 2" xfId="25875"/>
    <cellStyle name="20% - Accent2 3 15 2 2 2" xfId="54736"/>
    <cellStyle name="20% - Accent2 3 15 2 3" xfId="37689"/>
    <cellStyle name="20% - Accent2 3 15 3" xfId="17423"/>
    <cellStyle name="20% - Accent2 3 15 3 2" xfId="46284"/>
    <cellStyle name="20% - Accent2 3 15 4" xfId="31648"/>
    <cellStyle name="20% - Accent2 3 16" xfId="5673"/>
    <cellStyle name="20% - Accent2 3 16 2" xfId="11714"/>
    <cellStyle name="20% - Accent2 3 16 2 2" xfId="28761"/>
    <cellStyle name="20% - Accent2 3 16 2 2 2" xfId="57622"/>
    <cellStyle name="20% - Accent2 3 16 2 3" xfId="40575"/>
    <cellStyle name="20% - Accent2 3 16 3" xfId="22783"/>
    <cellStyle name="20% - Accent2 3 16 3 2" xfId="51644"/>
    <cellStyle name="20% - Accent2 3 16 4" xfId="34534"/>
    <cellStyle name="20% - Accent2 3 17" xfId="5890"/>
    <cellStyle name="20% - Accent2 3 17 2" xfId="22989"/>
    <cellStyle name="20% - Accent2 3 17 2 2" xfId="51850"/>
    <cellStyle name="20% - Accent2 3 17 3" xfId="34751"/>
    <cellStyle name="20% - Accent2 3 18" xfId="6148"/>
    <cellStyle name="20% - Accent2 3 18 2" xfId="23195"/>
    <cellStyle name="20% - Accent2 3 18 2 2" xfId="52056"/>
    <cellStyle name="20% - Accent2 3 18 3" xfId="35009"/>
    <cellStyle name="20% - Accent2 3 19" xfId="14537"/>
    <cellStyle name="20% - Accent2 3 19 2" xfId="43398"/>
    <cellStyle name="20% - Accent2 3 2" xfId="312"/>
    <cellStyle name="20% - Accent2 3 2 10" xfId="2475"/>
    <cellStyle name="20% - Accent2 3 2 10 2" xfId="5362"/>
    <cellStyle name="20% - Accent2 3 2 10 2 2" xfId="11403"/>
    <cellStyle name="20% - Accent2 3 2 10 2 2 2" xfId="28450"/>
    <cellStyle name="20% - Accent2 3 2 10 2 2 2 2" xfId="57311"/>
    <cellStyle name="20% - Accent2 3 2 10 2 2 3" xfId="40264"/>
    <cellStyle name="20% - Accent2 3 2 10 2 3" xfId="22472"/>
    <cellStyle name="20% - Accent2 3 2 10 2 3 2" xfId="51333"/>
    <cellStyle name="20% - Accent2 3 2 10 2 4" xfId="34223"/>
    <cellStyle name="20% - Accent2 3 2 10 3" xfId="8517"/>
    <cellStyle name="20% - Accent2 3 2 10 3 2" xfId="25564"/>
    <cellStyle name="20% - Accent2 3 2 10 3 2 2" xfId="54425"/>
    <cellStyle name="20% - Accent2 3 2 10 3 3" xfId="37378"/>
    <cellStyle name="20% - Accent2 3 2 10 4" xfId="13988"/>
    <cellStyle name="20% - Accent2 3 2 10 4 2" xfId="19792"/>
    <cellStyle name="20% - Accent2 3 2 10 4 2 2" xfId="48653"/>
    <cellStyle name="20% - Accent2 3 2 10 4 3" xfId="42849"/>
    <cellStyle name="20% - Accent2 3 2 10 5" xfId="17112"/>
    <cellStyle name="20% - Accent2 3 2 10 5 2" xfId="45973"/>
    <cellStyle name="20% - Accent2 3 2 10 6" xfId="31337"/>
    <cellStyle name="20% - Accent2 3 2 11" xfId="2684"/>
    <cellStyle name="20% - Accent2 3 2 11 2" xfId="5570"/>
    <cellStyle name="20% - Accent2 3 2 11 2 2" xfId="11611"/>
    <cellStyle name="20% - Accent2 3 2 11 2 2 2" xfId="28658"/>
    <cellStyle name="20% - Accent2 3 2 11 2 2 2 2" xfId="57519"/>
    <cellStyle name="20% - Accent2 3 2 11 2 2 3" xfId="40472"/>
    <cellStyle name="20% - Accent2 3 2 11 2 3" xfId="22680"/>
    <cellStyle name="20% - Accent2 3 2 11 2 3 2" xfId="51541"/>
    <cellStyle name="20% - Accent2 3 2 11 2 4" xfId="34431"/>
    <cellStyle name="20% - Accent2 3 2 11 3" xfId="8725"/>
    <cellStyle name="20% - Accent2 3 2 11 3 2" xfId="25772"/>
    <cellStyle name="20% - Accent2 3 2 11 3 2 2" xfId="54633"/>
    <cellStyle name="20% - Accent2 3 2 11 3 3" xfId="37586"/>
    <cellStyle name="20% - Accent2 3 2 11 4" xfId="13937"/>
    <cellStyle name="20% - Accent2 3 2 11 4 2" xfId="20000"/>
    <cellStyle name="20% - Accent2 3 2 11 4 2 2" xfId="48861"/>
    <cellStyle name="20% - Accent2 3 2 11 4 3" xfId="42798"/>
    <cellStyle name="20% - Accent2 3 2 11 5" xfId="17320"/>
    <cellStyle name="20% - Accent2 3 2 11 5 2" xfId="46181"/>
    <cellStyle name="20% - Accent2 3 2 11 6" xfId="31545"/>
    <cellStyle name="20% - Accent2 3 2 12" xfId="3199"/>
    <cellStyle name="20% - Accent2 3 2 12 2" xfId="9240"/>
    <cellStyle name="20% - Accent2 3 2 12 2 2" xfId="26287"/>
    <cellStyle name="20% - Accent2 3 2 12 2 2 2" xfId="55148"/>
    <cellStyle name="20% - Accent2 3 2 12 2 3" xfId="38101"/>
    <cellStyle name="20% - Accent2 3 2 12 3" xfId="13296"/>
    <cellStyle name="20% - Accent2 3 2 12 3 2" xfId="20309"/>
    <cellStyle name="20% - Accent2 3 2 12 3 2 2" xfId="49170"/>
    <cellStyle name="20% - Accent2 3 2 12 3 3" xfId="42157"/>
    <cellStyle name="20% - Accent2 3 2 12 4" xfId="14949"/>
    <cellStyle name="20% - Accent2 3 2 12 4 2" xfId="43810"/>
    <cellStyle name="20% - Accent2 3 2 12 5" xfId="32060"/>
    <cellStyle name="20% - Accent2 3 2 13" xfId="2890"/>
    <cellStyle name="20% - Accent2 3 2 13 2" xfId="8931"/>
    <cellStyle name="20% - Accent2 3 2 13 2 2" xfId="25978"/>
    <cellStyle name="20% - Accent2 3 2 13 2 2 2" xfId="54839"/>
    <cellStyle name="20% - Accent2 3 2 13 2 3" xfId="37792"/>
    <cellStyle name="20% - Accent2 3 2 13 3" xfId="17526"/>
    <cellStyle name="20% - Accent2 3 2 13 3 2" xfId="46387"/>
    <cellStyle name="20% - Accent2 3 2 13 4" xfId="31751"/>
    <cellStyle name="20% - Accent2 3 2 14" xfId="5776"/>
    <cellStyle name="20% - Accent2 3 2 14 2" xfId="11817"/>
    <cellStyle name="20% - Accent2 3 2 14 2 2" xfId="28864"/>
    <cellStyle name="20% - Accent2 3 2 14 2 2 2" xfId="57725"/>
    <cellStyle name="20% - Accent2 3 2 14 2 3" xfId="40678"/>
    <cellStyle name="20% - Accent2 3 2 14 3" xfId="22886"/>
    <cellStyle name="20% - Accent2 3 2 14 3 2" xfId="51747"/>
    <cellStyle name="20% - Accent2 3 2 14 4" xfId="34637"/>
    <cellStyle name="20% - Accent2 3 2 15" xfId="5993"/>
    <cellStyle name="20% - Accent2 3 2 15 2" xfId="23092"/>
    <cellStyle name="20% - Accent2 3 2 15 2 2" xfId="51953"/>
    <cellStyle name="20% - Accent2 3 2 15 3" xfId="34854"/>
    <cellStyle name="20% - Accent2 3 2 16" xfId="6354"/>
    <cellStyle name="20% - Accent2 3 2 16 2" xfId="23401"/>
    <cellStyle name="20% - Accent2 3 2 16 2 2" xfId="52262"/>
    <cellStyle name="20% - Accent2 3 2 16 3" xfId="35215"/>
    <cellStyle name="20% - Accent2 3 2 17" xfId="14640"/>
    <cellStyle name="20% - Accent2 3 2 17 2" xfId="43501"/>
    <cellStyle name="20% - Accent2 3 2 18" xfId="29174"/>
    <cellStyle name="20% - Accent2 3 2 2" xfId="518"/>
    <cellStyle name="20% - Accent2 3 2 2 2" xfId="2269"/>
    <cellStyle name="20% - Accent2 3 2 2 2 2" xfId="5156"/>
    <cellStyle name="20% - Accent2 3 2 2 2 2 2" xfId="11197"/>
    <cellStyle name="20% - Accent2 3 2 2 2 2 2 2" xfId="28244"/>
    <cellStyle name="20% - Accent2 3 2 2 2 2 2 2 2" xfId="57105"/>
    <cellStyle name="20% - Accent2 3 2 2 2 2 2 3" xfId="40058"/>
    <cellStyle name="20% - Accent2 3 2 2 2 2 3" xfId="22266"/>
    <cellStyle name="20% - Accent2 3 2 2 2 2 3 2" xfId="51127"/>
    <cellStyle name="20% - Accent2 3 2 2 2 2 4" xfId="34017"/>
    <cellStyle name="20% - Accent2 3 2 2 2 3" xfId="8311"/>
    <cellStyle name="20% - Accent2 3 2 2 2 3 2" xfId="25358"/>
    <cellStyle name="20% - Accent2 3 2 2 2 3 2 2" xfId="54219"/>
    <cellStyle name="20% - Accent2 3 2 2 2 3 3" xfId="37172"/>
    <cellStyle name="20% - Accent2 3 2 2 2 4" xfId="13157"/>
    <cellStyle name="20% - Accent2 3 2 2 2 4 2" xfId="19586"/>
    <cellStyle name="20% - Accent2 3 2 2 2 4 2 2" xfId="48447"/>
    <cellStyle name="20% - Accent2 3 2 2 2 4 3" xfId="42018"/>
    <cellStyle name="20% - Accent2 3 2 2 2 5" xfId="16906"/>
    <cellStyle name="20% - Accent2 3 2 2 2 5 2" xfId="45767"/>
    <cellStyle name="20% - Accent2 3 2 2 2 6" xfId="31131"/>
    <cellStyle name="20% - Accent2 3 2 2 3" xfId="3405"/>
    <cellStyle name="20% - Accent2 3 2 2 3 2" xfId="9446"/>
    <cellStyle name="20% - Accent2 3 2 2 3 2 2" xfId="26493"/>
    <cellStyle name="20% - Accent2 3 2 2 3 2 2 2" xfId="55354"/>
    <cellStyle name="20% - Accent2 3 2 2 3 2 3" xfId="38307"/>
    <cellStyle name="20% - Accent2 3 2 2 3 3" xfId="20515"/>
    <cellStyle name="20% - Accent2 3 2 2 3 3 2" xfId="49376"/>
    <cellStyle name="20% - Accent2 3 2 2 3 4" xfId="32266"/>
    <cellStyle name="20% - Accent2 3 2 2 4" xfId="6560"/>
    <cellStyle name="20% - Accent2 3 2 2 4 2" xfId="23607"/>
    <cellStyle name="20% - Accent2 3 2 2 4 2 2" xfId="52468"/>
    <cellStyle name="20% - Accent2 3 2 2 4 3" xfId="35421"/>
    <cellStyle name="20% - Accent2 3 2 2 5" xfId="12721"/>
    <cellStyle name="20% - Accent2 3 2 2 5 2" xfId="17835"/>
    <cellStyle name="20% - Accent2 3 2 2 5 2 2" xfId="46696"/>
    <cellStyle name="20% - Accent2 3 2 2 5 3" xfId="41582"/>
    <cellStyle name="20% - Accent2 3 2 2 6" xfId="15155"/>
    <cellStyle name="20% - Accent2 3 2 2 6 2" xfId="44016"/>
    <cellStyle name="20% - Accent2 3 2 2 7" xfId="29380"/>
    <cellStyle name="20% - Accent2 3 2 3" xfId="827"/>
    <cellStyle name="20% - Accent2 3 2 3 2" xfId="3714"/>
    <cellStyle name="20% - Accent2 3 2 3 2 2" xfId="9755"/>
    <cellStyle name="20% - Accent2 3 2 3 2 2 2" xfId="26802"/>
    <cellStyle name="20% - Accent2 3 2 3 2 2 2 2" xfId="55663"/>
    <cellStyle name="20% - Accent2 3 2 3 2 2 3" xfId="38616"/>
    <cellStyle name="20% - Accent2 3 2 3 2 3" xfId="20824"/>
    <cellStyle name="20% - Accent2 3 2 3 2 3 2" xfId="49685"/>
    <cellStyle name="20% - Accent2 3 2 3 2 4" xfId="32575"/>
    <cellStyle name="20% - Accent2 3 2 3 3" xfId="6869"/>
    <cellStyle name="20% - Accent2 3 2 3 3 2" xfId="23916"/>
    <cellStyle name="20% - Accent2 3 2 3 3 2 2" xfId="52777"/>
    <cellStyle name="20% - Accent2 3 2 3 3 3" xfId="35730"/>
    <cellStyle name="20% - Accent2 3 2 3 4" xfId="12411"/>
    <cellStyle name="20% - Accent2 3 2 3 4 2" xfId="18144"/>
    <cellStyle name="20% - Accent2 3 2 3 4 2 2" xfId="47005"/>
    <cellStyle name="20% - Accent2 3 2 3 4 3" xfId="41272"/>
    <cellStyle name="20% - Accent2 3 2 3 5" xfId="15464"/>
    <cellStyle name="20% - Accent2 3 2 3 5 2" xfId="44325"/>
    <cellStyle name="20% - Accent2 3 2 3 6" xfId="29689"/>
    <cellStyle name="20% - Accent2 3 2 4" xfId="1033"/>
    <cellStyle name="20% - Accent2 3 2 4 2" xfId="3920"/>
    <cellStyle name="20% - Accent2 3 2 4 2 2" xfId="9961"/>
    <cellStyle name="20% - Accent2 3 2 4 2 2 2" xfId="27008"/>
    <cellStyle name="20% - Accent2 3 2 4 2 2 2 2" xfId="55869"/>
    <cellStyle name="20% - Accent2 3 2 4 2 2 3" xfId="38822"/>
    <cellStyle name="20% - Accent2 3 2 4 2 3" xfId="21030"/>
    <cellStyle name="20% - Accent2 3 2 4 2 3 2" xfId="49891"/>
    <cellStyle name="20% - Accent2 3 2 4 2 4" xfId="32781"/>
    <cellStyle name="20% - Accent2 3 2 4 3" xfId="7075"/>
    <cellStyle name="20% - Accent2 3 2 4 3 2" xfId="24122"/>
    <cellStyle name="20% - Accent2 3 2 4 3 2 2" xfId="52983"/>
    <cellStyle name="20% - Accent2 3 2 4 3 3" xfId="35936"/>
    <cellStyle name="20% - Accent2 3 2 4 4" xfId="14016"/>
    <cellStyle name="20% - Accent2 3 2 4 4 2" xfId="18350"/>
    <cellStyle name="20% - Accent2 3 2 4 4 2 2" xfId="47211"/>
    <cellStyle name="20% - Accent2 3 2 4 4 3" xfId="42877"/>
    <cellStyle name="20% - Accent2 3 2 4 5" xfId="15670"/>
    <cellStyle name="20% - Accent2 3 2 4 5 2" xfId="44531"/>
    <cellStyle name="20% - Accent2 3 2 4 6" xfId="29895"/>
    <cellStyle name="20% - Accent2 3 2 5" xfId="1239"/>
    <cellStyle name="20% - Accent2 3 2 5 2" xfId="4126"/>
    <cellStyle name="20% - Accent2 3 2 5 2 2" xfId="10167"/>
    <cellStyle name="20% - Accent2 3 2 5 2 2 2" xfId="27214"/>
    <cellStyle name="20% - Accent2 3 2 5 2 2 2 2" xfId="56075"/>
    <cellStyle name="20% - Accent2 3 2 5 2 2 3" xfId="39028"/>
    <cellStyle name="20% - Accent2 3 2 5 2 3" xfId="21236"/>
    <cellStyle name="20% - Accent2 3 2 5 2 3 2" xfId="50097"/>
    <cellStyle name="20% - Accent2 3 2 5 2 4" xfId="32987"/>
    <cellStyle name="20% - Accent2 3 2 5 3" xfId="7281"/>
    <cellStyle name="20% - Accent2 3 2 5 3 2" xfId="24328"/>
    <cellStyle name="20% - Accent2 3 2 5 3 2 2" xfId="53189"/>
    <cellStyle name="20% - Accent2 3 2 5 3 3" xfId="36142"/>
    <cellStyle name="20% - Accent2 3 2 5 4" xfId="14088"/>
    <cellStyle name="20% - Accent2 3 2 5 4 2" xfId="18556"/>
    <cellStyle name="20% - Accent2 3 2 5 4 2 2" xfId="47417"/>
    <cellStyle name="20% - Accent2 3 2 5 4 3" xfId="42949"/>
    <cellStyle name="20% - Accent2 3 2 5 5" xfId="15876"/>
    <cellStyle name="20% - Accent2 3 2 5 5 2" xfId="44737"/>
    <cellStyle name="20% - Accent2 3 2 5 6" xfId="30101"/>
    <cellStyle name="20% - Accent2 3 2 6" xfId="1445"/>
    <cellStyle name="20% - Accent2 3 2 6 2" xfId="4332"/>
    <cellStyle name="20% - Accent2 3 2 6 2 2" xfId="10373"/>
    <cellStyle name="20% - Accent2 3 2 6 2 2 2" xfId="27420"/>
    <cellStyle name="20% - Accent2 3 2 6 2 2 2 2" xfId="56281"/>
    <cellStyle name="20% - Accent2 3 2 6 2 2 3" xfId="39234"/>
    <cellStyle name="20% - Accent2 3 2 6 2 3" xfId="21442"/>
    <cellStyle name="20% - Accent2 3 2 6 2 3 2" xfId="50303"/>
    <cellStyle name="20% - Accent2 3 2 6 2 4" xfId="33193"/>
    <cellStyle name="20% - Accent2 3 2 6 3" xfId="7487"/>
    <cellStyle name="20% - Accent2 3 2 6 3 2" xfId="24534"/>
    <cellStyle name="20% - Accent2 3 2 6 3 2 2" xfId="53395"/>
    <cellStyle name="20% - Accent2 3 2 6 3 3" xfId="36348"/>
    <cellStyle name="20% - Accent2 3 2 6 4" xfId="14188"/>
    <cellStyle name="20% - Accent2 3 2 6 4 2" xfId="18762"/>
    <cellStyle name="20% - Accent2 3 2 6 4 2 2" xfId="47623"/>
    <cellStyle name="20% - Accent2 3 2 6 4 3" xfId="43049"/>
    <cellStyle name="20% - Accent2 3 2 6 5" xfId="16082"/>
    <cellStyle name="20% - Accent2 3 2 6 5 2" xfId="44943"/>
    <cellStyle name="20% - Accent2 3 2 6 6" xfId="30307"/>
    <cellStyle name="20% - Accent2 3 2 7" xfId="1651"/>
    <cellStyle name="20% - Accent2 3 2 7 2" xfId="4538"/>
    <cellStyle name="20% - Accent2 3 2 7 2 2" xfId="10579"/>
    <cellStyle name="20% - Accent2 3 2 7 2 2 2" xfId="27626"/>
    <cellStyle name="20% - Accent2 3 2 7 2 2 2 2" xfId="56487"/>
    <cellStyle name="20% - Accent2 3 2 7 2 2 3" xfId="39440"/>
    <cellStyle name="20% - Accent2 3 2 7 2 3" xfId="21648"/>
    <cellStyle name="20% - Accent2 3 2 7 2 3 2" xfId="50509"/>
    <cellStyle name="20% - Accent2 3 2 7 2 4" xfId="33399"/>
    <cellStyle name="20% - Accent2 3 2 7 3" xfId="7693"/>
    <cellStyle name="20% - Accent2 3 2 7 3 2" xfId="24740"/>
    <cellStyle name="20% - Accent2 3 2 7 3 2 2" xfId="53601"/>
    <cellStyle name="20% - Accent2 3 2 7 3 3" xfId="36554"/>
    <cellStyle name="20% - Accent2 3 2 7 4" xfId="13903"/>
    <cellStyle name="20% - Accent2 3 2 7 4 2" xfId="18968"/>
    <cellStyle name="20% - Accent2 3 2 7 4 2 2" xfId="47829"/>
    <cellStyle name="20% - Accent2 3 2 7 4 3" xfId="42764"/>
    <cellStyle name="20% - Accent2 3 2 7 5" xfId="16288"/>
    <cellStyle name="20% - Accent2 3 2 7 5 2" xfId="45149"/>
    <cellStyle name="20% - Accent2 3 2 7 6" xfId="30513"/>
    <cellStyle name="20% - Accent2 3 2 8" xfId="1857"/>
    <cellStyle name="20% - Accent2 3 2 8 2" xfId="4744"/>
    <cellStyle name="20% - Accent2 3 2 8 2 2" xfId="10785"/>
    <cellStyle name="20% - Accent2 3 2 8 2 2 2" xfId="27832"/>
    <cellStyle name="20% - Accent2 3 2 8 2 2 2 2" xfId="56693"/>
    <cellStyle name="20% - Accent2 3 2 8 2 2 3" xfId="39646"/>
    <cellStyle name="20% - Accent2 3 2 8 2 3" xfId="21854"/>
    <cellStyle name="20% - Accent2 3 2 8 2 3 2" xfId="50715"/>
    <cellStyle name="20% - Accent2 3 2 8 2 4" xfId="33605"/>
    <cellStyle name="20% - Accent2 3 2 8 3" xfId="7899"/>
    <cellStyle name="20% - Accent2 3 2 8 3 2" xfId="24946"/>
    <cellStyle name="20% - Accent2 3 2 8 3 2 2" xfId="53807"/>
    <cellStyle name="20% - Accent2 3 2 8 3 3" xfId="36760"/>
    <cellStyle name="20% - Accent2 3 2 8 4" xfId="13576"/>
    <cellStyle name="20% - Accent2 3 2 8 4 2" xfId="19174"/>
    <cellStyle name="20% - Accent2 3 2 8 4 2 2" xfId="48035"/>
    <cellStyle name="20% - Accent2 3 2 8 4 3" xfId="42437"/>
    <cellStyle name="20% - Accent2 3 2 8 5" xfId="16494"/>
    <cellStyle name="20% - Accent2 3 2 8 5 2" xfId="45355"/>
    <cellStyle name="20% - Accent2 3 2 8 6" xfId="30719"/>
    <cellStyle name="20% - Accent2 3 2 9" xfId="2063"/>
    <cellStyle name="20% - Accent2 3 2 9 2" xfId="4950"/>
    <cellStyle name="20% - Accent2 3 2 9 2 2" xfId="10991"/>
    <cellStyle name="20% - Accent2 3 2 9 2 2 2" xfId="28038"/>
    <cellStyle name="20% - Accent2 3 2 9 2 2 2 2" xfId="56899"/>
    <cellStyle name="20% - Accent2 3 2 9 2 2 3" xfId="39852"/>
    <cellStyle name="20% - Accent2 3 2 9 2 3" xfId="22060"/>
    <cellStyle name="20% - Accent2 3 2 9 2 3 2" xfId="50921"/>
    <cellStyle name="20% - Accent2 3 2 9 2 4" xfId="33811"/>
    <cellStyle name="20% - Accent2 3 2 9 3" xfId="8105"/>
    <cellStyle name="20% - Accent2 3 2 9 3 2" xfId="25152"/>
    <cellStyle name="20% - Accent2 3 2 9 3 2 2" xfId="54013"/>
    <cellStyle name="20% - Accent2 3 2 9 3 3" xfId="36966"/>
    <cellStyle name="20% - Accent2 3 2 9 4" xfId="13971"/>
    <cellStyle name="20% - Accent2 3 2 9 4 2" xfId="19380"/>
    <cellStyle name="20% - Accent2 3 2 9 4 2 2" xfId="48241"/>
    <cellStyle name="20% - Accent2 3 2 9 4 3" xfId="42832"/>
    <cellStyle name="20% - Accent2 3 2 9 5" xfId="16700"/>
    <cellStyle name="20% - Accent2 3 2 9 5 2" xfId="45561"/>
    <cellStyle name="20% - Accent2 3 2 9 6" xfId="30925"/>
    <cellStyle name="20% - Accent2 3 20" xfId="28968"/>
    <cellStyle name="20% - Accent2 3 3" xfId="209"/>
    <cellStyle name="20% - Accent2 3 3 2" xfId="621"/>
    <cellStyle name="20% - Accent2 3 3 2 2" xfId="3508"/>
    <cellStyle name="20% - Accent2 3 3 2 2 2" xfId="9549"/>
    <cellStyle name="20% - Accent2 3 3 2 2 2 2" xfId="26596"/>
    <cellStyle name="20% - Accent2 3 3 2 2 2 2 2" xfId="55457"/>
    <cellStyle name="20% - Accent2 3 3 2 2 2 3" xfId="38410"/>
    <cellStyle name="20% - Accent2 3 3 2 2 3" xfId="20618"/>
    <cellStyle name="20% - Accent2 3 3 2 2 3 2" xfId="49479"/>
    <cellStyle name="20% - Accent2 3 3 2 2 4" xfId="32369"/>
    <cellStyle name="20% - Accent2 3 3 2 3" xfId="6663"/>
    <cellStyle name="20% - Accent2 3 3 2 3 2" xfId="23710"/>
    <cellStyle name="20% - Accent2 3 3 2 3 2 2" xfId="52571"/>
    <cellStyle name="20% - Accent2 3 3 2 3 3" xfId="35524"/>
    <cellStyle name="20% - Accent2 3 3 2 4" xfId="13461"/>
    <cellStyle name="20% - Accent2 3 3 2 4 2" xfId="17938"/>
    <cellStyle name="20% - Accent2 3 3 2 4 2 2" xfId="46799"/>
    <cellStyle name="20% - Accent2 3 3 2 4 3" xfId="42322"/>
    <cellStyle name="20% - Accent2 3 3 2 5" xfId="15258"/>
    <cellStyle name="20% - Accent2 3 3 2 5 2" xfId="44119"/>
    <cellStyle name="20% - Accent2 3 3 2 6" xfId="29483"/>
    <cellStyle name="20% - Accent2 3 3 3" xfId="2166"/>
    <cellStyle name="20% - Accent2 3 3 3 2" xfId="5053"/>
    <cellStyle name="20% - Accent2 3 3 3 2 2" xfId="11094"/>
    <cellStyle name="20% - Accent2 3 3 3 2 2 2" xfId="28141"/>
    <cellStyle name="20% - Accent2 3 3 3 2 2 2 2" xfId="57002"/>
    <cellStyle name="20% - Accent2 3 3 3 2 2 3" xfId="39955"/>
    <cellStyle name="20% - Accent2 3 3 3 2 3" xfId="22163"/>
    <cellStyle name="20% - Accent2 3 3 3 2 3 2" xfId="51024"/>
    <cellStyle name="20% - Accent2 3 3 3 2 4" xfId="33914"/>
    <cellStyle name="20% - Accent2 3 3 3 3" xfId="8208"/>
    <cellStyle name="20% - Accent2 3 3 3 3 2" xfId="25255"/>
    <cellStyle name="20% - Accent2 3 3 3 3 2 2" xfId="54116"/>
    <cellStyle name="20% - Accent2 3 3 3 3 3" xfId="37069"/>
    <cellStyle name="20% - Accent2 3 3 3 4" xfId="12107"/>
    <cellStyle name="20% - Accent2 3 3 3 4 2" xfId="19483"/>
    <cellStyle name="20% - Accent2 3 3 3 4 2 2" xfId="48344"/>
    <cellStyle name="20% - Accent2 3 3 3 4 3" xfId="40968"/>
    <cellStyle name="20% - Accent2 3 3 3 5" xfId="16803"/>
    <cellStyle name="20% - Accent2 3 3 3 5 2" xfId="45664"/>
    <cellStyle name="20% - Accent2 3 3 3 6" xfId="31028"/>
    <cellStyle name="20% - Accent2 3 3 4" xfId="3096"/>
    <cellStyle name="20% - Accent2 3 3 4 2" xfId="9137"/>
    <cellStyle name="20% - Accent2 3 3 4 2 2" xfId="26184"/>
    <cellStyle name="20% - Accent2 3 3 4 2 2 2" xfId="55045"/>
    <cellStyle name="20% - Accent2 3 3 4 2 3" xfId="37998"/>
    <cellStyle name="20% - Accent2 3 3 4 3" xfId="20206"/>
    <cellStyle name="20% - Accent2 3 3 4 3 2" xfId="49067"/>
    <cellStyle name="20% - Accent2 3 3 4 4" xfId="31957"/>
    <cellStyle name="20% - Accent2 3 3 5" xfId="6251"/>
    <cellStyle name="20% - Accent2 3 3 5 2" xfId="23298"/>
    <cellStyle name="20% - Accent2 3 3 5 2 2" xfId="52159"/>
    <cellStyle name="20% - Accent2 3 3 5 3" xfId="35112"/>
    <cellStyle name="20% - Accent2 3 3 6" xfId="12949"/>
    <cellStyle name="20% - Accent2 3 3 6 2" xfId="17629"/>
    <cellStyle name="20% - Accent2 3 3 6 2 2" xfId="46490"/>
    <cellStyle name="20% - Accent2 3 3 6 3" xfId="41810"/>
    <cellStyle name="20% - Accent2 3 3 7" xfId="14846"/>
    <cellStyle name="20% - Accent2 3 3 7 2" xfId="43707"/>
    <cellStyle name="20% - Accent2 3 3 8" xfId="29071"/>
    <cellStyle name="20% - Accent2 3 4" xfId="415"/>
    <cellStyle name="20% - Accent2 3 4 2" xfId="3302"/>
    <cellStyle name="20% - Accent2 3 4 2 2" xfId="9343"/>
    <cellStyle name="20% - Accent2 3 4 2 2 2" xfId="26390"/>
    <cellStyle name="20% - Accent2 3 4 2 2 2 2" xfId="55251"/>
    <cellStyle name="20% - Accent2 3 4 2 2 3" xfId="38204"/>
    <cellStyle name="20% - Accent2 3 4 2 3" xfId="20412"/>
    <cellStyle name="20% - Accent2 3 4 2 3 2" xfId="49273"/>
    <cellStyle name="20% - Accent2 3 4 2 4" xfId="32163"/>
    <cellStyle name="20% - Accent2 3 4 3" xfId="6457"/>
    <cellStyle name="20% - Accent2 3 4 3 2" xfId="23504"/>
    <cellStyle name="20% - Accent2 3 4 3 2 2" xfId="52365"/>
    <cellStyle name="20% - Accent2 3 4 3 3" xfId="35318"/>
    <cellStyle name="20% - Accent2 3 4 4" xfId="12722"/>
    <cellStyle name="20% - Accent2 3 4 4 2" xfId="17732"/>
    <cellStyle name="20% - Accent2 3 4 4 2 2" xfId="46593"/>
    <cellStyle name="20% - Accent2 3 4 4 3" xfId="41583"/>
    <cellStyle name="20% - Accent2 3 4 5" xfId="15052"/>
    <cellStyle name="20% - Accent2 3 4 5 2" xfId="43913"/>
    <cellStyle name="20% - Accent2 3 4 6" xfId="29277"/>
    <cellStyle name="20% - Accent2 3 5" xfId="724"/>
    <cellStyle name="20% - Accent2 3 5 2" xfId="3611"/>
    <cellStyle name="20% - Accent2 3 5 2 2" xfId="9652"/>
    <cellStyle name="20% - Accent2 3 5 2 2 2" xfId="26699"/>
    <cellStyle name="20% - Accent2 3 5 2 2 2 2" xfId="55560"/>
    <cellStyle name="20% - Accent2 3 5 2 2 3" xfId="38513"/>
    <cellStyle name="20% - Accent2 3 5 2 3" xfId="20721"/>
    <cellStyle name="20% - Accent2 3 5 2 3 2" xfId="49582"/>
    <cellStyle name="20% - Accent2 3 5 2 4" xfId="32472"/>
    <cellStyle name="20% - Accent2 3 5 3" xfId="6766"/>
    <cellStyle name="20% - Accent2 3 5 3 2" xfId="23813"/>
    <cellStyle name="20% - Accent2 3 5 3 2 2" xfId="52674"/>
    <cellStyle name="20% - Accent2 3 5 3 3" xfId="35627"/>
    <cellStyle name="20% - Accent2 3 5 4" xfId="13499"/>
    <cellStyle name="20% - Accent2 3 5 4 2" xfId="18041"/>
    <cellStyle name="20% - Accent2 3 5 4 2 2" xfId="46902"/>
    <cellStyle name="20% - Accent2 3 5 4 3" xfId="42360"/>
    <cellStyle name="20% - Accent2 3 5 5" xfId="15361"/>
    <cellStyle name="20% - Accent2 3 5 5 2" xfId="44222"/>
    <cellStyle name="20% - Accent2 3 5 6" xfId="29586"/>
    <cellStyle name="20% - Accent2 3 6" xfId="930"/>
    <cellStyle name="20% - Accent2 3 6 2" xfId="3817"/>
    <cellStyle name="20% - Accent2 3 6 2 2" xfId="9858"/>
    <cellStyle name="20% - Accent2 3 6 2 2 2" xfId="26905"/>
    <cellStyle name="20% - Accent2 3 6 2 2 2 2" xfId="55766"/>
    <cellStyle name="20% - Accent2 3 6 2 2 3" xfId="38719"/>
    <cellStyle name="20% - Accent2 3 6 2 3" xfId="20927"/>
    <cellStyle name="20% - Accent2 3 6 2 3 2" xfId="49788"/>
    <cellStyle name="20% - Accent2 3 6 2 4" xfId="32678"/>
    <cellStyle name="20% - Accent2 3 6 3" xfId="6972"/>
    <cellStyle name="20% - Accent2 3 6 3 2" xfId="24019"/>
    <cellStyle name="20% - Accent2 3 6 3 2 2" xfId="52880"/>
    <cellStyle name="20% - Accent2 3 6 3 3" xfId="35833"/>
    <cellStyle name="20% - Accent2 3 6 4" xfId="12906"/>
    <cellStyle name="20% - Accent2 3 6 4 2" xfId="18247"/>
    <cellStyle name="20% - Accent2 3 6 4 2 2" xfId="47108"/>
    <cellStyle name="20% - Accent2 3 6 4 3" xfId="41767"/>
    <cellStyle name="20% - Accent2 3 6 5" xfId="15567"/>
    <cellStyle name="20% - Accent2 3 6 5 2" xfId="44428"/>
    <cellStyle name="20% - Accent2 3 6 6" xfId="29792"/>
    <cellStyle name="20% - Accent2 3 7" xfId="1136"/>
    <cellStyle name="20% - Accent2 3 7 2" xfId="4023"/>
    <cellStyle name="20% - Accent2 3 7 2 2" xfId="10064"/>
    <cellStyle name="20% - Accent2 3 7 2 2 2" xfId="27111"/>
    <cellStyle name="20% - Accent2 3 7 2 2 2 2" xfId="55972"/>
    <cellStyle name="20% - Accent2 3 7 2 2 3" xfId="38925"/>
    <cellStyle name="20% - Accent2 3 7 2 3" xfId="21133"/>
    <cellStyle name="20% - Accent2 3 7 2 3 2" xfId="49994"/>
    <cellStyle name="20% - Accent2 3 7 2 4" xfId="32884"/>
    <cellStyle name="20% - Accent2 3 7 3" xfId="7178"/>
    <cellStyle name="20% - Accent2 3 7 3 2" xfId="24225"/>
    <cellStyle name="20% - Accent2 3 7 3 2 2" xfId="53086"/>
    <cellStyle name="20% - Accent2 3 7 3 3" xfId="36039"/>
    <cellStyle name="20% - Accent2 3 7 4" xfId="13977"/>
    <cellStyle name="20% - Accent2 3 7 4 2" xfId="18453"/>
    <cellStyle name="20% - Accent2 3 7 4 2 2" xfId="47314"/>
    <cellStyle name="20% - Accent2 3 7 4 3" xfId="42838"/>
    <cellStyle name="20% - Accent2 3 7 5" xfId="15773"/>
    <cellStyle name="20% - Accent2 3 7 5 2" xfId="44634"/>
    <cellStyle name="20% - Accent2 3 7 6" xfId="29998"/>
    <cellStyle name="20% - Accent2 3 8" xfId="1342"/>
    <cellStyle name="20% - Accent2 3 8 2" xfId="4229"/>
    <cellStyle name="20% - Accent2 3 8 2 2" xfId="10270"/>
    <cellStyle name="20% - Accent2 3 8 2 2 2" xfId="27317"/>
    <cellStyle name="20% - Accent2 3 8 2 2 2 2" xfId="56178"/>
    <cellStyle name="20% - Accent2 3 8 2 2 3" xfId="39131"/>
    <cellStyle name="20% - Accent2 3 8 2 3" xfId="21339"/>
    <cellStyle name="20% - Accent2 3 8 2 3 2" xfId="50200"/>
    <cellStyle name="20% - Accent2 3 8 2 4" xfId="33090"/>
    <cellStyle name="20% - Accent2 3 8 3" xfId="7384"/>
    <cellStyle name="20% - Accent2 3 8 3 2" xfId="24431"/>
    <cellStyle name="20% - Accent2 3 8 3 2 2" xfId="53292"/>
    <cellStyle name="20% - Accent2 3 8 3 3" xfId="36245"/>
    <cellStyle name="20% - Accent2 3 8 4" xfId="13341"/>
    <cellStyle name="20% - Accent2 3 8 4 2" xfId="18659"/>
    <cellStyle name="20% - Accent2 3 8 4 2 2" xfId="47520"/>
    <cellStyle name="20% - Accent2 3 8 4 3" xfId="42202"/>
    <cellStyle name="20% - Accent2 3 8 5" xfId="15979"/>
    <cellStyle name="20% - Accent2 3 8 5 2" xfId="44840"/>
    <cellStyle name="20% - Accent2 3 8 6" xfId="30204"/>
    <cellStyle name="20% - Accent2 3 9" xfId="1548"/>
    <cellStyle name="20% - Accent2 3 9 2" xfId="4435"/>
    <cellStyle name="20% - Accent2 3 9 2 2" xfId="10476"/>
    <cellStyle name="20% - Accent2 3 9 2 2 2" xfId="27523"/>
    <cellStyle name="20% - Accent2 3 9 2 2 2 2" xfId="56384"/>
    <cellStyle name="20% - Accent2 3 9 2 2 3" xfId="39337"/>
    <cellStyle name="20% - Accent2 3 9 2 3" xfId="21545"/>
    <cellStyle name="20% - Accent2 3 9 2 3 2" xfId="50406"/>
    <cellStyle name="20% - Accent2 3 9 2 4" xfId="33296"/>
    <cellStyle name="20% - Accent2 3 9 3" xfId="7590"/>
    <cellStyle name="20% - Accent2 3 9 3 2" xfId="24637"/>
    <cellStyle name="20% - Accent2 3 9 3 2 2" xfId="53498"/>
    <cellStyle name="20% - Accent2 3 9 3 3" xfId="36451"/>
    <cellStyle name="20% - Accent2 3 9 4" xfId="14370"/>
    <cellStyle name="20% - Accent2 3 9 4 2" xfId="18865"/>
    <cellStyle name="20% - Accent2 3 9 4 2 2" xfId="47726"/>
    <cellStyle name="20% - Accent2 3 9 4 3" xfId="43231"/>
    <cellStyle name="20% - Accent2 3 9 5" xfId="16185"/>
    <cellStyle name="20% - Accent2 3 9 5 2" xfId="45046"/>
    <cellStyle name="20% - Accent2 3 9 6" xfId="30410"/>
    <cellStyle name="20% - Accent2 4" xfId="132"/>
    <cellStyle name="20% - Accent2 4 10" xfId="1780"/>
    <cellStyle name="20% - Accent2 4 10 2" xfId="4667"/>
    <cellStyle name="20% - Accent2 4 10 2 2" xfId="10708"/>
    <cellStyle name="20% - Accent2 4 10 2 2 2" xfId="27755"/>
    <cellStyle name="20% - Accent2 4 10 2 2 2 2" xfId="56616"/>
    <cellStyle name="20% - Accent2 4 10 2 2 3" xfId="39569"/>
    <cellStyle name="20% - Accent2 4 10 2 3" xfId="21777"/>
    <cellStyle name="20% - Accent2 4 10 2 3 2" xfId="50638"/>
    <cellStyle name="20% - Accent2 4 10 2 4" xfId="33528"/>
    <cellStyle name="20% - Accent2 4 10 3" xfId="7822"/>
    <cellStyle name="20% - Accent2 4 10 3 2" xfId="24869"/>
    <cellStyle name="20% - Accent2 4 10 3 2 2" xfId="53730"/>
    <cellStyle name="20% - Accent2 4 10 3 3" xfId="36683"/>
    <cellStyle name="20% - Accent2 4 10 4" xfId="12847"/>
    <cellStyle name="20% - Accent2 4 10 4 2" xfId="19097"/>
    <cellStyle name="20% - Accent2 4 10 4 2 2" xfId="47958"/>
    <cellStyle name="20% - Accent2 4 10 4 3" xfId="41708"/>
    <cellStyle name="20% - Accent2 4 10 5" xfId="16417"/>
    <cellStyle name="20% - Accent2 4 10 5 2" xfId="45278"/>
    <cellStyle name="20% - Accent2 4 10 6" xfId="30642"/>
    <cellStyle name="20% - Accent2 4 11" xfId="1986"/>
    <cellStyle name="20% - Accent2 4 11 2" xfId="4873"/>
    <cellStyle name="20% - Accent2 4 11 2 2" xfId="10914"/>
    <cellStyle name="20% - Accent2 4 11 2 2 2" xfId="27961"/>
    <cellStyle name="20% - Accent2 4 11 2 2 2 2" xfId="56822"/>
    <cellStyle name="20% - Accent2 4 11 2 2 3" xfId="39775"/>
    <cellStyle name="20% - Accent2 4 11 2 3" xfId="21983"/>
    <cellStyle name="20% - Accent2 4 11 2 3 2" xfId="50844"/>
    <cellStyle name="20% - Accent2 4 11 2 4" xfId="33734"/>
    <cellStyle name="20% - Accent2 4 11 3" xfId="8028"/>
    <cellStyle name="20% - Accent2 4 11 3 2" xfId="25075"/>
    <cellStyle name="20% - Accent2 4 11 3 2 2" xfId="53936"/>
    <cellStyle name="20% - Accent2 4 11 3 3" xfId="36889"/>
    <cellStyle name="20% - Accent2 4 11 4" xfId="12341"/>
    <cellStyle name="20% - Accent2 4 11 4 2" xfId="19303"/>
    <cellStyle name="20% - Accent2 4 11 4 2 2" xfId="48164"/>
    <cellStyle name="20% - Accent2 4 11 4 3" xfId="41202"/>
    <cellStyle name="20% - Accent2 4 11 5" xfId="16623"/>
    <cellStyle name="20% - Accent2 4 11 5 2" xfId="45484"/>
    <cellStyle name="20% - Accent2 4 11 6" xfId="30848"/>
    <cellStyle name="20% - Accent2 4 12" xfId="2398"/>
    <cellStyle name="20% - Accent2 4 12 2" xfId="5285"/>
    <cellStyle name="20% - Accent2 4 12 2 2" xfId="11326"/>
    <cellStyle name="20% - Accent2 4 12 2 2 2" xfId="28373"/>
    <cellStyle name="20% - Accent2 4 12 2 2 2 2" xfId="57234"/>
    <cellStyle name="20% - Accent2 4 12 2 2 3" xfId="40187"/>
    <cellStyle name="20% - Accent2 4 12 2 3" xfId="22395"/>
    <cellStyle name="20% - Accent2 4 12 2 3 2" xfId="51256"/>
    <cellStyle name="20% - Accent2 4 12 2 4" xfId="34146"/>
    <cellStyle name="20% - Accent2 4 12 3" xfId="8440"/>
    <cellStyle name="20% - Accent2 4 12 3 2" xfId="25487"/>
    <cellStyle name="20% - Accent2 4 12 3 2 2" xfId="54348"/>
    <cellStyle name="20% - Accent2 4 12 3 3" xfId="37301"/>
    <cellStyle name="20% - Accent2 4 12 4" xfId="12134"/>
    <cellStyle name="20% - Accent2 4 12 4 2" xfId="19715"/>
    <cellStyle name="20% - Accent2 4 12 4 2 2" xfId="48576"/>
    <cellStyle name="20% - Accent2 4 12 4 3" xfId="40995"/>
    <cellStyle name="20% - Accent2 4 12 5" xfId="17035"/>
    <cellStyle name="20% - Accent2 4 12 5 2" xfId="45896"/>
    <cellStyle name="20% - Accent2 4 12 6" xfId="31260"/>
    <cellStyle name="20% - Accent2 4 13" xfId="2607"/>
    <cellStyle name="20% - Accent2 4 13 2" xfId="5493"/>
    <cellStyle name="20% - Accent2 4 13 2 2" xfId="11534"/>
    <cellStyle name="20% - Accent2 4 13 2 2 2" xfId="28581"/>
    <cellStyle name="20% - Accent2 4 13 2 2 2 2" xfId="57442"/>
    <cellStyle name="20% - Accent2 4 13 2 2 3" xfId="40395"/>
    <cellStyle name="20% - Accent2 4 13 2 3" xfId="22603"/>
    <cellStyle name="20% - Accent2 4 13 2 3 2" xfId="51464"/>
    <cellStyle name="20% - Accent2 4 13 2 4" xfId="34354"/>
    <cellStyle name="20% - Accent2 4 13 3" xfId="8648"/>
    <cellStyle name="20% - Accent2 4 13 3 2" xfId="25695"/>
    <cellStyle name="20% - Accent2 4 13 3 2 2" xfId="54556"/>
    <cellStyle name="20% - Accent2 4 13 3 3" xfId="37509"/>
    <cellStyle name="20% - Accent2 4 13 4" xfId="13180"/>
    <cellStyle name="20% - Accent2 4 13 4 2" xfId="19923"/>
    <cellStyle name="20% - Accent2 4 13 4 2 2" xfId="48784"/>
    <cellStyle name="20% - Accent2 4 13 4 3" xfId="42041"/>
    <cellStyle name="20% - Accent2 4 13 5" xfId="17243"/>
    <cellStyle name="20% - Accent2 4 13 5 2" xfId="46104"/>
    <cellStyle name="20% - Accent2 4 13 6" xfId="31468"/>
    <cellStyle name="20% - Accent2 4 14" xfId="3019"/>
    <cellStyle name="20% - Accent2 4 14 2" xfId="9060"/>
    <cellStyle name="20% - Accent2 4 14 2 2" xfId="26107"/>
    <cellStyle name="20% - Accent2 4 14 2 2 2" xfId="54968"/>
    <cellStyle name="20% - Accent2 4 14 2 3" xfId="37921"/>
    <cellStyle name="20% - Accent2 4 14 3" xfId="13732"/>
    <cellStyle name="20% - Accent2 4 14 3 2" xfId="20129"/>
    <cellStyle name="20% - Accent2 4 14 3 2 2" xfId="48990"/>
    <cellStyle name="20% - Accent2 4 14 3 3" xfId="42593"/>
    <cellStyle name="20% - Accent2 4 14 4" xfId="14769"/>
    <cellStyle name="20% - Accent2 4 14 4 2" xfId="43630"/>
    <cellStyle name="20% - Accent2 4 14 5" xfId="31880"/>
    <cellStyle name="20% - Accent2 4 15" xfId="2813"/>
    <cellStyle name="20% - Accent2 4 15 2" xfId="8854"/>
    <cellStyle name="20% - Accent2 4 15 2 2" xfId="25901"/>
    <cellStyle name="20% - Accent2 4 15 2 2 2" xfId="54762"/>
    <cellStyle name="20% - Accent2 4 15 2 3" xfId="37715"/>
    <cellStyle name="20% - Accent2 4 15 3" xfId="17449"/>
    <cellStyle name="20% - Accent2 4 15 3 2" xfId="46310"/>
    <cellStyle name="20% - Accent2 4 15 4" xfId="31674"/>
    <cellStyle name="20% - Accent2 4 16" xfId="5699"/>
    <cellStyle name="20% - Accent2 4 16 2" xfId="11740"/>
    <cellStyle name="20% - Accent2 4 16 2 2" xfId="28787"/>
    <cellStyle name="20% - Accent2 4 16 2 2 2" xfId="57648"/>
    <cellStyle name="20% - Accent2 4 16 2 3" xfId="40601"/>
    <cellStyle name="20% - Accent2 4 16 3" xfId="22809"/>
    <cellStyle name="20% - Accent2 4 16 3 2" xfId="51670"/>
    <cellStyle name="20% - Accent2 4 16 4" xfId="34560"/>
    <cellStyle name="20% - Accent2 4 17" xfId="5916"/>
    <cellStyle name="20% - Accent2 4 17 2" xfId="23015"/>
    <cellStyle name="20% - Accent2 4 17 2 2" xfId="51876"/>
    <cellStyle name="20% - Accent2 4 17 3" xfId="34777"/>
    <cellStyle name="20% - Accent2 4 18" xfId="6174"/>
    <cellStyle name="20% - Accent2 4 18 2" xfId="23221"/>
    <cellStyle name="20% - Accent2 4 18 2 2" xfId="52082"/>
    <cellStyle name="20% - Accent2 4 18 3" xfId="35035"/>
    <cellStyle name="20% - Accent2 4 19" xfId="14563"/>
    <cellStyle name="20% - Accent2 4 19 2" xfId="43424"/>
    <cellStyle name="20% - Accent2 4 2" xfId="338"/>
    <cellStyle name="20% - Accent2 4 2 10" xfId="2501"/>
    <cellStyle name="20% - Accent2 4 2 10 2" xfId="5388"/>
    <cellStyle name="20% - Accent2 4 2 10 2 2" xfId="11429"/>
    <cellStyle name="20% - Accent2 4 2 10 2 2 2" xfId="28476"/>
    <cellStyle name="20% - Accent2 4 2 10 2 2 2 2" xfId="57337"/>
    <cellStyle name="20% - Accent2 4 2 10 2 2 3" xfId="40290"/>
    <cellStyle name="20% - Accent2 4 2 10 2 3" xfId="22498"/>
    <cellStyle name="20% - Accent2 4 2 10 2 3 2" xfId="51359"/>
    <cellStyle name="20% - Accent2 4 2 10 2 4" xfId="34249"/>
    <cellStyle name="20% - Accent2 4 2 10 3" xfId="8543"/>
    <cellStyle name="20% - Accent2 4 2 10 3 2" xfId="25590"/>
    <cellStyle name="20% - Accent2 4 2 10 3 2 2" xfId="54451"/>
    <cellStyle name="20% - Accent2 4 2 10 3 3" xfId="37404"/>
    <cellStyle name="20% - Accent2 4 2 10 4" xfId="12511"/>
    <cellStyle name="20% - Accent2 4 2 10 4 2" xfId="19818"/>
    <cellStyle name="20% - Accent2 4 2 10 4 2 2" xfId="48679"/>
    <cellStyle name="20% - Accent2 4 2 10 4 3" xfId="41372"/>
    <cellStyle name="20% - Accent2 4 2 10 5" xfId="17138"/>
    <cellStyle name="20% - Accent2 4 2 10 5 2" xfId="45999"/>
    <cellStyle name="20% - Accent2 4 2 10 6" xfId="31363"/>
    <cellStyle name="20% - Accent2 4 2 11" xfId="2710"/>
    <cellStyle name="20% - Accent2 4 2 11 2" xfId="5596"/>
    <cellStyle name="20% - Accent2 4 2 11 2 2" xfId="11637"/>
    <cellStyle name="20% - Accent2 4 2 11 2 2 2" xfId="28684"/>
    <cellStyle name="20% - Accent2 4 2 11 2 2 2 2" xfId="57545"/>
    <cellStyle name="20% - Accent2 4 2 11 2 2 3" xfId="40498"/>
    <cellStyle name="20% - Accent2 4 2 11 2 3" xfId="22706"/>
    <cellStyle name="20% - Accent2 4 2 11 2 3 2" xfId="51567"/>
    <cellStyle name="20% - Accent2 4 2 11 2 4" xfId="34457"/>
    <cellStyle name="20% - Accent2 4 2 11 3" xfId="8751"/>
    <cellStyle name="20% - Accent2 4 2 11 3 2" xfId="25798"/>
    <cellStyle name="20% - Accent2 4 2 11 3 2 2" xfId="54659"/>
    <cellStyle name="20% - Accent2 4 2 11 3 3" xfId="37612"/>
    <cellStyle name="20% - Accent2 4 2 11 4" xfId="13424"/>
    <cellStyle name="20% - Accent2 4 2 11 4 2" xfId="20026"/>
    <cellStyle name="20% - Accent2 4 2 11 4 2 2" xfId="48887"/>
    <cellStyle name="20% - Accent2 4 2 11 4 3" xfId="42285"/>
    <cellStyle name="20% - Accent2 4 2 11 5" xfId="17346"/>
    <cellStyle name="20% - Accent2 4 2 11 5 2" xfId="46207"/>
    <cellStyle name="20% - Accent2 4 2 11 6" xfId="31571"/>
    <cellStyle name="20% - Accent2 4 2 12" xfId="3225"/>
    <cellStyle name="20% - Accent2 4 2 12 2" xfId="9266"/>
    <cellStyle name="20% - Accent2 4 2 12 2 2" xfId="26313"/>
    <cellStyle name="20% - Accent2 4 2 12 2 2 2" xfId="55174"/>
    <cellStyle name="20% - Accent2 4 2 12 2 3" xfId="38127"/>
    <cellStyle name="20% - Accent2 4 2 12 3" xfId="13119"/>
    <cellStyle name="20% - Accent2 4 2 12 3 2" xfId="20335"/>
    <cellStyle name="20% - Accent2 4 2 12 3 2 2" xfId="49196"/>
    <cellStyle name="20% - Accent2 4 2 12 3 3" xfId="41980"/>
    <cellStyle name="20% - Accent2 4 2 12 4" xfId="14975"/>
    <cellStyle name="20% - Accent2 4 2 12 4 2" xfId="43836"/>
    <cellStyle name="20% - Accent2 4 2 12 5" xfId="32086"/>
    <cellStyle name="20% - Accent2 4 2 13" xfId="2916"/>
    <cellStyle name="20% - Accent2 4 2 13 2" xfId="8957"/>
    <cellStyle name="20% - Accent2 4 2 13 2 2" xfId="26004"/>
    <cellStyle name="20% - Accent2 4 2 13 2 2 2" xfId="54865"/>
    <cellStyle name="20% - Accent2 4 2 13 2 3" xfId="37818"/>
    <cellStyle name="20% - Accent2 4 2 13 3" xfId="17552"/>
    <cellStyle name="20% - Accent2 4 2 13 3 2" xfId="46413"/>
    <cellStyle name="20% - Accent2 4 2 13 4" xfId="31777"/>
    <cellStyle name="20% - Accent2 4 2 14" xfId="5802"/>
    <cellStyle name="20% - Accent2 4 2 14 2" xfId="11843"/>
    <cellStyle name="20% - Accent2 4 2 14 2 2" xfId="28890"/>
    <cellStyle name="20% - Accent2 4 2 14 2 2 2" xfId="57751"/>
    <cellStyle name="20% - Accent2 4 2 14 2 3" xfId="40704"/>
    <cellStyle name="20% - Accent2 4 2 14 3" xfId="22912"/>
    <cellStyle name="20% - Accent2 4 2 14 3 2" xfId="51773"/>
    <cellStyle name="20% - Accent2 4 2 14 4" xfId="34663"/>
    <cellStyle name="20% - Accent2 4 2 15" xfId="6019"/>
    <cellStyle name="20% - Accent2 4 2 15 2" xfId="23118"/>
    <cellStyle name="20% - Accent2 4 2 15 2 2" xfId="51979"/>
    <cellStyle name="20% - Accent2 4 2 15 3" xfId="34880"/>
    <cellStyle name="20% - Accent2 4 2 16" xfId="6380"/>
    <cellStyle name="20% - Accent2 4 2 16 2" xfId="23427"/>
    <cellStyle name="20% - Accent2 4 2 16 2 2" xfId="52288"/>
    <cellStyle name="20% - Accent2 4 2 16 3" xfId="35241"/>
    <cellStyle name="20% - Accent2 4 2 17" xfId="14666"/>
    <cellStyle name="20% - Accent2 4 2 17 2" xfId="43527"/>
    <cellStyle name="20% - Accent2 4 2 18" xfId="29200"/>
    <cellStyle name="20% - Accent2 4 2 2" xfId="544"/>
    <cellStyle name="20% - Accent2 4 2 2 2" xfId="2295"/>
    <cellStyle name="20% - Accent2 4 2 2 2 2" xfId="5182"/>
    <cellStyle name="20% - Accent2 4 2 2 2 2 2" xfId="11223"/>
    <cellStyle name="20% - Accent2 4 2 2 2 2 2 2" xfId="28270"/>
    <cellStyle name="20% - Accent2 4 2 2 2 2 2 2 2" xfId="57131"/>
    <cellStyle name="20% - Accent2 4 2 2 2 2 2 3" xfId="40084"/>
    <cellStyle name="20% - Accent2 4 2 2 2 2 3" xfId="22292"/>
    <cellStyle name="20% - Accent2 4 2 2 2 2 3 2" xfId="51153"/>
    <cellStyle name="20% - Accent2 4 2 2 2 2 4" xfId="34043"/>
    <cellStyle name="20% - Accent2 4 2 2 2 3" xfId="8337"/>
    <cellStyle name="20% - Accent2 4 2 2 2 3 2" xfId="25384"/>
    <cellStyle name="20% - Accent2 4 2 2 2 3 2 2" xfId="54245"/>
    <cellStyle name="20% - Accent2 4 2 2 2 3 3" xfId="37198"/>
    <cellStyle name="20% - Accent2 4 2 2 2 4" xfId="14209"/>
    <cellStyle name="20% - Accent2 4 2 2 2 4 2" xfId="19612"/>
    <cellStyle name="20% - Accent2 4 2 2 2 4 2 2" xfId="48473"/>
    <cellStyle name="20% - Accent2 4 2 2 2 4 3" xfId="43070"/>
    <cellStyle name="20% - Accent2 4 2 2 2 5" xfId="16932"/>
    <cellStyle name="20% - Accent2 4 2 2 2 5 2" xfId="45793"/>
    <cellStyle name="20% - Accent2 4 2 2 2 6" xfId="31157"/>
    <cellStyle name="20% - Accent2 4 2 2 3" xfId="3431"/>
    <cellStyle name="20% - Accent2 4 2 2 3 2" xfId="9472"/>
    <cellStyle name="20% - Accent2 4 2 2 3 2 2" xfId="26519"/>
    <cellStyle name="20% - Accent2 4 2 2 3 2 2 2" xfId="55380"/>
    <cellStyle name="20% - Accent2 4 2 2 3 2 3" xfId="38333"/>
    <cellStyle name="20% - Accent2 4 2 2 3 3" xfId="20541"/>
    <cellStyle name="20% - Accent2 4 2 2 3 3 2" xfId="49402"/>
    <cellStyle name="20% - Accent2 4 2 2 3 4" xfId="32292"/>
    <cellStyle name="20% - Accent2 4 2 2 4" xfId="6586"/>
    <cellStyle name="20% - Accent2 4 2 2 4 2" xfId="23633"/>
    <cellStyle name="20% - Accent2 4 2 2 4 2 2" xfId="52494"/>
    <cellStyle name="20% - Accent2 4 2 2 4 3" xfId="35447"/>
    <cellStyle name="20% - Accent2 4 2 2 5" xfId="14071"/>
    <cellStyle name="20% - Accent2 4 2 2 5 2" xfId="17861"/>
    <cellStyle name="20% - Accent2 4 2 2 5 2 2" xfId="46722"/>
    <cellStyle name="20% - Accent2 4 2 2 5 3" xfId="42932"/>
    <cellStyle name="20% - Accent2 4 2 2 6" xfId="15181"/>
    <cellStyle name="20% - Accent2 4 2 2 6 2" xfId="44042"/>
    <cellStyle name="20% - Accent2 4 2 2 7" xfId="29406"/>
    <cellStyle name="20% - Accent2 4 2 3" xfId="853"/>
    <cellStyle name="20% - Accent2 4 2 3 2" xfId="3740"/>
    <cellStyle name="20% - Accent2 4 2 3 2 2" xfId="9781"/>
    <cellStyle name="20% - Accent2 4 2 3 2 2 2" xfId="26828"/>
    <cellStyle name="20% - Accent2 4 2 3 2 2 2 2" xfId="55689"/>
    <cellStyle name="20% - Accent2 4 2 3 2 2 3" xfId="38642"/>
    <cellStyle name="20% - Accent2 4 2 3 2 3" xfId="20850"/>
    <cellStyle name="20% - Accent2 4 2 3 2 3 2" xfId="49711"/>
    <cellStyle name="20% - Accent2 4 2 3 2 4" xfId="32601"/>
    <cellStyle name="20% - Accent2 4 2 3 3" xfId="6895"/>
    <cellStyle name="20% - Accent2 4 2 3 3 2" xfId="23942"/>
    <cellStyle name="20% - Accent2 4 2 3 3 2 2" xfId="52803"/>
    <cellStyle name="20% - Accent2 4 2 3 3 3" xfId="35756"/>
    <cellStyle name="20% - Accent2 4 2 3 4" xfId="13587"/>
    <cellStyle name="20% - Accent2 4 2 3 4 2" xfId="18170"/>
    <cellStyle name="20% - Accent2 4 2 3 4 2 2" xfId="47031"/>
    <cellStyle name="20% - Accent2 4 2 3 4 3" xfId="42448"/>
    <cellStyle name="20% - Accent2 4 2 3 5" xfId="15490"/>
    <cellStyle name="20% - Accent2 4 2 3 5 2" xfId="44351"/>
    <cellStyle name="20% - Accent2 4 2 3 6" xfId="29715"/>
    <cellStyle name="20% - Accent2 4 2 4" xfId="1059"/>
    <cellStyle name="20% - Accent2 4 2 4 2" xfId="3946"/>
    <cellStyle name="20% - Accent2 4 2 4 2 2" xfId="9987"/>
    <cellStyle name="20% - Accent2 4 2 4 2 2 2" xfId="27034"/>
    <cellStyle name="20% - Accent2 4 2 4 2 2 2 2" xfId="55895"/>
    <cellStyle name="20% - Accent2 4 2 4 2 2 3" xfId="38848"/>
    <cellStyle name="20% - Accent2 4 2 4 2 3" xfId="21056"/>
    <cellStyle name="20% - Accent2 4 2 4 2 3 2" xfId="49917"/>
    <cellStyle name="20% - Accent2 4 2 4 2 4" xfId="32807"/>
    <cellStyle name="20% - Accent2 4 2 4 3" xfId="7101"/>
    <cellStyle name="20% - Accent2 4 2 4 3 2" xfId="24148"/>
    <cellStyle name="20% - Accent2 4 2 4 3 2 2" xfId="53009"/>
    <cellStyle name="20% - Accent2 4 2 4 3 3" xfId="35962"/>
    <cellStyle name="20% - Accent2 4 2 4 4" xfId="12958"/>
    <cellStyle name="20% - Accent2 4 2 4 4 2" xfId="18376"/>
    <cellStyle name="20% - Accent2 4 2 4 4 2 2" xfId="47237"/>
    <cellStyle name="20% - Accent2 4 2 4 4 3" xfId="41819"/>
    <cellStyle name="20% - Accent2 4 2 4 5" xfId="15696"/>
    <cellStyle name="20% - Accent2 4 2 4 5 2" xfId="44557"/>
    <cellStyle name="20% - Accent2 4 2 4 6" xfId="29921"/>
    <cellStyle name="20% - Accent2 4 2 5" xfId="1265"/>
    <cellStyle name="20% - Accent2 4 2 5 2" xfId="4152"/>
    <cellStyle name="20% - Accent2 4 2 5 2 2" xfId="10193"/>
    <cellStyle name="20% - Accent2 4 2 5 2 2 2" xfId="27240"/>
    <cellStyle name="20% - Accent2 4 2 5 2 2 2 2" xfId="56101"/>
    <cellStyle name="20% - Accent2 4 2 5 2 2 3" xfId="39054"/>
    <cellStyle name="20% - Accent2 4 2 5 2 3" xfId="21262"/>
    <cellStyle name="20% - Accent2 4 2 5 2 3 2" xfId="50123"/>
    <cellStyle name="20% - Accent2 4 2 5 2 4" xfId="33013"/>
    <cellStyle name="20% - Accent2 4 2 5 3" xfId="7307"/>
    <cellStyle name="20% - Accent2 4 2 5 3 2" xfId="24354"/>
    <cellStyle name="20% - Accent2 4 2 5 3 2 2" xfId="53215"/>
    <cellStyle name="20% - Accent2 4 2 5 3 3" xfId="36168"/>
    <cellStyle name="20% - Accent2 4 2 5 4" xfId="12426"/>
    <cellStyle name="20% - Accent2 4 2 5 4 2" xfId="18582"/>
    <cellStyle name="20% - Accent2 4 2 5 4 2 2" xfId="47443"/>
    <cellStyle name="20% - Accent2 4 2 5 4 3" xfId="41287"/>
    <cellStyle name="20% - Accent2 4 2 5 5" xfId="15902"/>
    <cellStyle name="20% - Accent2 4 2 5 5 2" xfId="44763"/>
    <cellStyle name="20% - Accent2 4 2 5 6" xfId="30127"/>
    <cellStyle name="20% - Accent2 4 2 6" xfId="1471"/>
    <cellStyle name="20% - Accent2 4 2 6 2" xfId="4358"/>
    <cellStyle name="20% - Accent2 4 2 6 2 2" xfId="10399"/>
    <cellStyle name="20% - Accent2 4 2 6 2 2 2" xfId="27446"/>
    <cellStyle name="20% - Accent2 4 2 6 2 2 2 2" xfId="56307"/>
    <cellStyle name="20% - Accent2 4 2 6 2 2 3" xfId="39260"/>
    <cellStyle name="20% - Accent2 4 2 6 2 3" xfId="21468"/>
    <cellStyle name="20% - Accent2 4 2 6 2 3 2" xfId="50329"/>
    <cellStyle name="20% - Accent2 4 2 6 2 4" xfId="33219"/>
    <cellStyle name="20% - Accent2 4 2 6 3" xfId="7513"/>
    <cellStyle name="20% - Accent2 4 2 6 3 2" xfId="24560"/>
    <cellStyle name="20% - Accent2 4 2 6 3 2 2" xfId="53421"/>
    <cellStyle name="20% - Accent2 4 2 6 3 3" xfId="36374"/>
    <cellStyle name="20% - Accent2 4 2 6 4" xfId="13589"/>
    <cellStyle name="20% - Accent2 4 2 6 4 2" xfId="18788"/>
    <cellStyle name="20% - Accent2 4 2 6 4 2 2" xfId="47649"/>
    <cellStyle name="20% - Accent2 4 2 6 4 3" xfId="42450"/>
    <cellStyle name="20% - Accent2 4 2 6 5" xfId="16108"/>
    <cellStyle name="20% - Accent2 4 2 6 5 2" xfId="44969"/>
    <cellStyle name="20% - Accent2 4 2 6 6" xfId="30333"/>
    <cellStyle name="20% - Accent2 4 2 7" xfId="1677"/>
    <cellStyle name="20% - Accent2 4 2 7 2" xfId="4564"/>
    <cellStyle name="20% - Accent2 4 2 7 2 2" xfId="10605"/>
    <cellStyle name="20% - Accent2 4 2 7 2 2 2" xfId="27652"/>
    <cellStyle name="20% - Accent2 4 2 7 2 2 2 2" xfId="56513"/>
    <cellStyle name="20% - Accent2 4 2 7 2 2 3" xfId="39466"/>
    <cellStyle name="20% - Accent2 4 2 7 2 3" xfId="21674"/>
    <cellStyle name="20% - Accent2 4 2 7 2 3 2" xfId="50535"/>
    <cellStyle name="20% - Accent2 4 2 7 2 4" xfId="33425"/>
    <cellStyle name="20% - Accent2 4 2 7 3" xfId="7719"/>
    <cellStyle name="20% - Accent2 4 2 7 3 2" xfId="24766"/>
    <cellStyle name="20% - Accent2 4 2 7 3 2 2" xfId="53627"/>
    <cellStyle name="20% - Accent2 4 2 7 3 3" xfId="36580"/>
    <cellStyle name="20% - Accent2 4 2 7 4" xfId="14037"/>
    <cellStyle name="20% - Accent2 4 2 7 4 2" xfId="18994"/>
    <cellStyle name="20% - Accent2 4 2 7 4 2 2" xfId="47855"/>
    <cellStyle name="20% - Accent2 4 2 7 4 3" xfId="42898"/>
    <cellStyle name="20% - Accent2 4 2 7 5" xfId="16314"/>
    <cellStyle name="20% - Accent2 4 2 7 5 2" xfId="45175"/>
    <cellStyle name="20% - Accent2 4 2 7 6" xfId="30539"/>
    <cellStyle name="20% - Accent2 4 2 8" xfId="1883"/>
    <cellStyle name="20% - Accent2 4 2 8 2" xfId="4770"/>
    <cellStyle name="20% - Accent2 4 2 8 2 2" xfId="10811"/>
    <cellStyle name="20% - Accent2 4 2 8 2 2 2" xfId="27858"/>
    <cellStyle name="20% - Accent2 4 2 8 2 2 2 2" xfId="56719"/>
    <cellStyle name="20% - Accent2 4 2 8 2 2 3" xfId="39672"/>
    <cellStyle name="20% - Accent2 4 2 8 2 3" xfId="21880"/>
    <cellStyle name="20% - Accent2 4 2 8 2 3 2" xfId="50741"/>
    <cellStyle name="20% - Accent2 4 2 8 2 4" xfId="33631"/>
    <cellStyle name="20% - Accent2 4 2 8 3" xfId="7925"/>
    <cellStyle name="20% - Accent2 4 2 8 3 2" xfId="24972"/>
    <cellStyle name="20% - Accent2 4 2 8 3 2 2" xfId="53833"/>
    <cellStyle name="20% - Accent2 4 2 8 3 3" xfId="36786"/>
    <cellStyle name="20% - Accent2 4 2 8 4" xfId="13530"/>
    <cellStyle name="20% - Accent2 4 2 8 4 2" xfId="19200"/>
    <cellStyle name="20% - Accent2 4 2 8 4 2 2" xfId="48061"/>
    <cellStyle name="20% - Accent2 4 2 8 4 3" xfId="42391"/>
    <cellStyle name="20% - Accent2 4 2 8 5" xfId="16520"/>
    <cellStyle name="20% - Accent2 4 2 8 5 2" xfId="45381"/>
    <cellStyle name="20% - Accent2 4 2 8 6" xfId="30745"/>
    <cellStyle name="20% - Accent2 4 2 9" xfId="2089"/>
    <cellStyle name="20% - Accent2 4 2 9 2" xfId="4976"/>
    <cellStyle name="20% - Accent2 4 2 9 2 2" xfId="11017"/>
    <cellStyle name="20% - Accent2 4 2 9 2 2 2" xfId="28064"/>
    <cellStyle name="20% - Accent2 4 2 9 2 2 2 2" xfId="56925"/>
    <cellStyle name="20% - Accent2 4 2 9 2 2 3" xfId="39878"/>
    <cellStyle name="20% - Accent2 4 2 9 2 3" xfId="22086"/>
    <cellStyle name="20% - Accent2 4 2 9 2 3 2" xfId="50947"/>
    <cellStyle name="20% - Accent2 4 2 9 2 4" xfId="33837"/>
    <cellStyle name="20% - Accent2 4 2 9 3" xfId="8131"/>
    <cellStyle name="20% - Accent2 4 2 9 3 2" xfId="25178"/>
    <cellStyle name="20% - Accent2 4 2 9 3 2 2" xfId="54039"/>
    <cellStyle name="20% - Accent2 4 2 9 3 3" xfId="36992"/>
    <cellStyle name="20% - Accent2 4 2 9 4" xfId="12114"/>
    <cellStyle name="20% - Accent2 4 2 9 4 2" xfId="19406"/>
    <cellStyle name="20% - Accent2 4 2 9 4 2 2" xfId="48267"/>
    <cellStyle name="20% - Accent2 4 2 9 4 3" xfId="40975"/>
    <cellStyle name="20% - Accent2 4 2 9 5" xfId="16726"/>
    <cellStyle name="20% - Accent2 4 2 9 5 2" xfId="45587"/>
    <cellStyle name="20% - Accent2 4 2 9 6" xfId="30951"/>
    <cellStyle name="20% - Accent2 4 20" xfId="28994"/>
    <cellStyle name="20% - Accent2 4 3" xfId="235"/>
    <cellStyle name="20% - Accent2 4 3 2" xfId="647"/>
    <cellStyle name="20% - Accent2 4 3 2 2" xfId="3534"/>
    <cellStyle name="20% - Accent2 4 3 2 2 2" xfId="9575"/>
    <cellStyle name="20% - Accent2 4 3 2 2 2 2" xfId="26622"/>
    <cellStyle name="20% - Accent2 4 3 2 2 2 2 2" xfId="55483"/>
    <cellStyle name="20% - Accent2 4 3 2 2 2 3" xfId="38436"/>
    <cellStyle name="20% - Accent2 4 3 2 2 3" xfId="20644"/>
    <cellStyle name="20% - Accent2 4 3 2 2 3 2" xfId="49505"/>
    <cellStyle name="20% - Accent2 4 3 2 2 4" xfId="32395"/>
    <cellStyle name="20% - Accent2 4 3 2 3" xfId="6689"/>
    <cellStyle name="20% - Accent2 4 3 2 3 2" xfId="23736"/>
    <cellStyle name="20% - Accent2 4 3 2 3 2 2" xfId="52597"/>
    <cellStyle name="20% - Accent2 4 3 2 3 3" xfId="35550"/>
    <cellStyle name="20% - Accent2 4 3 2 4" xfId="12741"/>
    <cellStyle name="20% - Accent2 4 3 2 4 2" xfId="17964"/>
    <cellStyle name="20% - Accent2 4 3 2 4 2 2" xfId="46825"/>
    <cellStyle name="20% - Accent2 4 3 2 4 3" xfId="41602"/>
    <cellStyle name="20% - Accent2 4 3 2 5" xfId="15284"/>
    <cellStyle name="20% - Accent2 4 3 2 5 2" xfId="44145"/>
    <cellStyle name="20% - Accent2 4 3 2 6" xfId="29509"/>
    <cellStyle name="20% - Accent2 4 3 3" xfId="2192"/>
    <cellStyle name="20% - Accent2 4 3 3 2" xfId="5079"/>
    <cellStyle name="20% - Accent2 4 3 3 2 2" xfId="11120"/>
    <cellStyle name="20% - Accent2 4 3 3 2 2 2" xfId="28167"/>
    <cellStyle name="20% - Accent2 4 3 3 2 2 2 2" xfId="57028"/>
    <cellStyle name="20% - Accent2 4 3 3 2 2 3" xfId="39981"/>
    <cellStyle name="20% - Accent2 4 3 3 2 3" xfId="22189"/>
    <cellStyle name="20% - Accent2 4 3 3 2 3 2" xfId="51050"/>
    <cellStyle name="20% - Accent2 4 3 3 2 4" xfId="33940"/>
    <cellStyle name="20% - Accent2 4 3 3 3" xfId="8234"/>
    <cellStyle name="20% - Accent2 4 3 3 3 2" xfId="25281"/>
    <cellStyle name="20% - Accent2 4 3 3 3 2 2" xfId="54142"/>
    <cellStyle name="20% - Accent2 4 3 3 3 3" xfId="37095"/>
    <cellStyle name="20% - Accent2 4 3 3 4" xfId="12876"/>
    <cellStyle name="20% - Accent2 4 3 3 4 2" xfId="19509"/>
    <cellStyle name="20% - Accent2 4 3 3 4 2 2" xfId="48370"/>
    <cellStyle name="20% - Accent2 4 3 3 4 3" xfId="41737"/>
    <cellStyle name="20% - Accent2 4 3 3 5" xfId="16829"/>
    <cellStyle name="20% - Accent2 4 3 3 5 2" xfId="45690"/>
    <cellStyle name="20% - Accent2 4 3 3 6" xfId="31054"/>
    <cellStyle name="20% - Accent2 4 3 4" xfId="3122"/>
    <cellStyle name="20% - Accent2 4 3 4 2" xfId="9163"/>
    <cellStyle name="20% - Accent2 4 3 4 2 2" xfId="26210"/>
    <cellStyle name="20% - Accent2 4 3 4 2 2 2" xfId="55071"/>
    <cellStyle name="20% - Accent2 4 3 4 2 3" xfId="38024"/>
    <cellStyle name="20% - Accent2 4 3 4 3" xfId="20232"/>
    <cellStyle name="20% - Accent2 4 3 4 3 2" xfId="49093"/>
    <cellStyle name="20% - Accent2 4 3 4 4" xfId="31983"/>
    <cellStyle name="20% - Accent2 4 3 5" xfId="6277"/>
    <cellStyle name="20% - Accent2 4 3 5 2" xfId="23324"/>
    <cellStyle name="20% - Accent2 4 3 5 2 2" xfId="52185"/>
    <cellStyle name="20% - Accent2 4 3 5 3" xfId="35138"/>
    <cellStyle name="20% - Accent2 4 3 6" xfId="12952"/>
    <cellStyle name="20% - Accent2 4 3 6 2" xfId="17655"/>
    <cellStyle name="20% - Accent2 4 3 6 2 2" xfId="46516"/>
    <cellStyle name="20% - Accent2 4 3 6 3" xfId="41813"/>
    <cellStyle name="20% - Accent2 4 3 7" xfId="14872"/>
    <cellStyle name="20% - Accent2 4 3 7 2" xfId="43733"/>
    <cellStyle name="20% - Accent2 4 3 8" xfId="29097"/>
    <cellStyle name="20% - Accent2 4 4" xfId="441"/>
    <cellStyle name="20% - Accent2 4 4 2" xfId="3328"/>
    <cellStyle name="20% - Accent2 4 4 2 2" xfId="9369"/>
    <cellStyle name="20% - Accent2 4 4 2 2 2" xfId="26416"/>
    <cellStyle name="20% - Accent2 4 4 2 2 2 2" xfId="55277"/>
    <cellStyle name="20% - Accent2 4 4 2 2 3" xfId="38230"/>
    <cellStyle name="20% - Accent2 4 4 2 3" xfId="20438"/>
    <cellStyle name="20% - Accent2 4 4 2 3 2" xfId="49299"/>
    <cellStyle name="20% - Accent2 4 4 2 4" xfId="32189"/>
    <cellStyle name="20% - Accent2 4 4 3" xfId="6483"/>
    <cellStyle name="20% - Accent2 4 4 3 2" xfId="23530"/>
    <cellStyle name="20% - Accent2 4 4 3 2 2" xfId="52391"/>
    <cellStyle name="20% - Accent2 4 4 3 3" xfId="35344"/>
    <cellStyle name="20% - Accent2 4 4 4" xfId="13337"/>
    <cellStyle name="20% - Accent2 4 4 4 2" xfId="17758"/>
    <cellStyle name="20% - Accent2 4 4 4 2 2" xfId="46619"/>
    <cellStyle name="20% - Accent2 4 4 4 3" xfId="42198"/>
    <cellStyle name="20% - Accent2 4 4 5" xfId="15078"/>
    <cellStyle name="20% - Accent2 4 4 5 2" xfId="43939"/>
    <cellStyle name="20% - Accent2 4 4 6" xfId="29303"/>
    <cellStyle name="20% - Accent2 4 5" xfId="750"/>
    <cellStyle name="20% - Accent2 4 5 2" xfId="3637"/>
    <cellStyle name="20% - Accent2 4 5 2 2" xfId="9678"/>
    <cellStyle name="20% - Accent2 4 5 2 2 2" xfId="26725"/>
    <cellStyle name="20% - Accent2 4 5 2 2 2 2" xfId="55586"/>
    <cellStyle name="20% - Accent2 4 5 2 2 3" xfId="38539"/>
    <cellStyle name="20% - Accent2 4 5 2 3" xfId="20747"/>
    <cellStyle name="20% - Accent2 4 5 2 3 2" xfId="49608"/>
    <cellStyle name="20% - Accent2 4 5 2 4" xfId="32498"/>
    <cellStyle name="20% - Accent2 4 5 3" xfId="6792"/>
    <cellStyle name="20% - Accent2 4 5 3 2" xfId="23839"/>
    <cellStyle name="20% - Accent2 4 5 3 2 2" xfId="52700"/>
    <cellStyle name="20% - Accent2 4 5 3 3" xfId="35653"/>
    <cellStyle name="20% - Accent2 4 5 4" xfId="13655"/>
    <cellStyle name="20% - Accent2 4 5 4 2" xfId="18067"/>
    <cellStyle name="20% - Accent2 4 5 4 2 2" xfId="46928"/>
    <cellStyle name="20% - Accent2 4 5 4 3" xfId="42516"/>
    <cellStyle name="20% - Accent2 4 5 5" xfId="15387"/>
    <cellStyle name="20% - Accent2 4 5 5 2" xfId="44248"/>
    <cellStyle name="20% - Accent2 4 5 6" xfId="29612"/>
    <cellStyle name="20% - Accent2 4 6" xfId="956"/>
    <cellStyle name="20% - Accent2 4 6 2" xfId="3843"/>
    <cellStyle name="20% - Accent2 4 6 2 2" xfId="9884"/>
    <cellStyle name="20% - Accent2 4 6 2 2 2" xfId="26931"/>
    <cellStyle name="20% - Accent2 4 6 2 2 2 2" xfId="55792"/>
    <cellStyle name="20% - Accent2 4 6 2 2 3" xfId="38745"/>
    <cellStyle name="20% - Accent2 4 6 2 3" xfId="20953"/>
    <cellStyle name="20% - Accent2 4 6 2 3 2" xfId="49814"/>
    <cellStyle name="20% - Accent2 4 6 2 4" xfId="32704"/>
    <cellStyle name="20% - Accent2 4 6 3" xfId="6998"/>
    <cellStyle name="20% - Accent2 4 6 3 2" xfId="24045"/>
    <cellStyle name="20% - Accent2 4 6 3 2 2" xfId="52906"/>
    <cellStyle name="20% - Accent2 4 6 3 3" xfId="35859"/>
    <cellStyle name="20% - Accent2 4 6 4" xfId="13280"/>
    <cellStyle name="20% - Accent2 4 6 4 2" xfId="18273"/>
    <cellStyle name="20% - Accent2 4 6 4 2 2" xfId="47134"/>
    <cellStyle name="20% - Accent2 4 6 4 3" xfId="42141"/>
    <cellStyle name="20% - Accent2 4 6 5" xfId="15593"/>
    <cellStyle name="20% - Accent2 4 6 5 2" xfId="44454"/>
    <cellStyle name="20% - Accent2 4 6 6" xfId="29818"/>
    <cellStyle name="20% - Accent2 4 7" xfId="1162"/>
    <cellStyle name="20% - Accent2 4 7 2" xfId="4049"/>
    <cellStyle name="20% - Accent2 4 7 2 2" xfId="10090"/>
    <cellStyle name="20% - Accent2 4 7 2 2 2" xfId="27137"/>
    <cellStyle name="20% - Accent2 4 7 2 2 2 2" xfId="55998"/>
    <cellStyle name="20% - Accent2 4 7 2 2 3" xfId="38951"/>
    <cellStyle name="20% - Accent2 4 7 2 3" xfId="21159"/>
    <cellStyle name="20% - Accent2 4 7 2 3 2" xfId="50020"/>
    <cellStyle name="20% - Accent2 4 7 2 4" xfId="32910"/>
    <cellStyle name="20% - Accent2 4 7 3" xfId="7204"/>
    <cellStyle name="20% - Accent2 4 7 3 2" xfId="24251"/>
    <cellStyle name="20% - Accent2 4 7 3 2 2" xfId="53112"/>
    <cellStyle name="20% - Accent2 4 7 3 3" xfId="36065"/>
    <cellStyle name="20% - Accent2 4 7 4" xfId="14110"/>
    <cellStyle name="20% - Accent2 4 7 4 2" xfId="18479"/>
    <cellStyle name="20% - Accent2 4 7 4 2 2" xfId="47340"/>
    <cellStyle name="20% - Accent2 4 7 4 3" xfId="42971"/>
    <cellStyle name="20% - Accent2 4 7 5" xfId="15799"/>
    <cellStyle name="20% - Accent2 4 7 5 2" xfId="44660"/>
    <cellStyle name="20% - Accent2 4 7 6" xfId="30024"/>
    <cellStyle name="20% - Accent2 4 8" xfId="1368"/>
    <cellStyle name="20% - Accent2 4 8 2" xfId="4255"/>
    <cellStyle name="20% - Accent2 4 8 2 2" xfId="10296"/>
    <cellStyle name="20% - Accent2 4 8 2 2 2" xfId="27343"/>
    <cellStyle name="20% - Accent2 4 8 2 2 2 2" xfId="56204"/>
    <cellStyle name="20% - Accent2 4 8 2 2 3" xfId="39157"/>
    <cellStyle name="20% - Accent2 4 8 2 3" xfId="21365"/>
    <cellStyle name="20% - Accent2 4 8 2 3 2" xfId="50226"/>
    <cellStyle name="20% - Accent2 4 8 2 4" xfId="33116"/>
    <cellStyle name="20% - Accent2 4 8 3" xfId="7410"/>
    <cellStyle name="20% - Accent2 4 8 3 2" xfId="24457"/>
    <cellStyle name="20% - Accent2 4 8 3 2 2" xfId="53318"/>
    <cellStyle name="20% - Accent2 4 8 3 3" xfId="36271"/>
    <cellStyle name="20% - Accent2 4 8 4" xfId="14222"/>
    <cellStyle name="20% - Accent2 4 8 4 2" xfId="18685"/>
    <cellStyle name="20% - Accent2 4 8 4 2 2" xfId="47546"/>
    <cellStyle name="20% - Accent2 4 8 4 3" xfId="43083"/>
    <cellStyle name="20% - Accent2 4 8 5" xfId="16005"/>
    <cellStyle name="20% - Accent2 4 8 5 2" xfId="44866"/>
    <cellStyle name="20% - Accent2 4 8 6" xfId="30230"/>
    <cellStyle name="20% - Accent2 4 9" xfId="1574"/>
    <cellStyle name="20% - Accent2 4 9 2" xfId="4461"/>
    <cellStyle name="20% - Accent2 4 9 2 2" xfId="10502"/>
    <cellStyle name="20% - Accent2 4 9 2 2 2" xfId="27549"/>
    <cellStyle name="20% - Accent2 4 9 2 2 2 2" xfId="56410"/>
    <cellStyle name="20% - Accent2 4 9 2 2 3" xfId="39363"/>
    <cellStyle name="20% - Accent2 4 9 2 3" xfId="21571"/>
    <cellStyle name="20% - Accent2 4 9 2 3 2" xfId="50432"/>
    <cellStyle name="20% - Accent2 4 9 2 4" xfId="33322"/>
    <cellStyle name="20% - Accent2 4 9 3" xfId="7616"/>
    <cellStyle name="20% - Accent2 4 9 3 2" xfId="24663"/>
    <cellStyle name="20% - Accent2 4 9 3 2 2" xfId="53524"/>
    <cellStyle name="20% - Accent2 4 9 3 3" xfId="36477"/>
    <cellStyle name="20% - Accent2 4 9 4" xfId="13617"/>
    <cellStyle name="20% - Accent2 4 9 4 2" xfId="18891"/>
    <cellStyle name="20% - Accent2 4 9 4 2 2" xfId="47752"/>
    <cellStyle name="20% - Accent2 4 9 4 3" xfId="42478"/>
    <cellStyle name="20% - Accent2 4 9 5" xfId="16211"/>
    <cellStyle name="20% - Accent2 4 9 5 2" xfId="45072"/>
    <cellStyle name="20% - Accent2 4 9 6" xfId="30436"/>
    <cellStyle name="20% - Accent2 5" xfId="285"/>
    <cellStyle name="20% - Accent2 5 10" xfId="2448"/>
    <cellStyle name="20% - Accent2 5 10 2" xfId="5335"/>
    <cellStyle name="20% - Accent2 5 10 2 2" xfId="11376"/>
    <cellStyle name="20% - Accent2 5 10 2 2 2" xfId="28423"/>
    <cellStyle name="20% - Accent2 5 10 2 2 2 2" xfId="57284"/>
    <cellStyle name="20% - Accent2 5 10 2 2 3" xfId="40237"/>
    <cellStyle name="20% - Accent2 5 10 2 3" xfId="22445"/>
    <cellStyle name="20% - Accent2 5 10 2 3 2" xfId="51306"/>
    <cellStyle name="20% - Accent2 5 10 2 4" xfId="34196"/>
    <cellStyle name="20% - Accent2 5 10 3" xfId="8490"/>
    <cellStyle name="20% - Accent2 5 10 3 2" xfId="25537"/>
    <cellStyle name="20% - Accent2 5 10 3 2 2" xfId="54398"/>
    <cellStyle name="20% - Accent2 5 10 3 3" xfId="37351"/>
    <cellStyle name="20% - Accent2 5 10 4" xfId="12896"/>
    <cellStyle name="20% - Accent2 5 10 4 2" xfId="19765"/>
    <cellStyle name="20% - Accent2 5 10 4 2 2" xfId="48626"/>
    <cellStyle name="20% - Accent2 5 10 4 3" xfId="41757"/>
    <cellStyle name="20% - Accent2 5 10 5" xfId="17085"/>
    <cellStyle name="20% - Accent2 5 10 5 2" xfId="45946"/>
    <cellStyle name="20% - Accent2 5 10 6" xfId="31310"/>
    <cellStyle name="20% - Accent2 5 11" xfId="2657"/>
    <cellStyle name="20% - Accent2 5 11 2" xfId="5543"/>
    <cellStyle name="20% - Accent2 5 11 2 2" xfId="11584"/>
    <cellStyle name="20% - Accent2 5 11 2 2 2" xfId="28631"/>
    <cellStyle name="20% - Accent2 5 11 2 2 2 2" xfId="57492"/>
    <cellStyle name="20% - Accent2 5 11 2 2 3" xfId="40445"/>
    <cellStyle name="20% - Accent2 5 11 2 3" xfId="22653"/>
    <cellStyle name="20% - Accent2 5 11 2 3 2" xfId="51514"/>
    <cellStyle name="20% - Accent2 5 11 2 4" xfId="34404"/>
    <cellStyle name="20% - Accent2 5 11 3" xfId="8698"/>
    <cellStyle name="20% - Accent2 5 11 3 2" xfId="25745"/>
    <cellStyle name="20% - Accent2 5 11 3 2 2" xfId="54606"/>
    <cellStyle name="20% - Accent2 5 11 3 3" xfId="37559"/>
    <cellStyle name="20% - Accent2 5 11 4" xfId="13212"/>
    <cellStyle name="20% - Accent2 5 11 4 2" xfId="19973"/>
    <cellStyle name="20% - Accent2 5 11 4 2 2" xfId="48834"/>
    <cellStyle name="20% - Accent2 5 11 4 3" xfId="42073"/>
    <cellStyle name="20% - Accent2 5 11 5" xfId="17293"/>
    <cellStyle name="20% - Accent2 5 11 5 2" xfId="46154"/>
    <cellStyle name="20% - Accent2 5 11 6" xfId="31518"/>
    <cellStyle name="20% - Accent2 5 12" xfId="3172"/>
    <cellStyle name="20% - Accent2 5 12 2" xfId="9213"/>
    <cellStyle name="20% - Accent2 5 12 2 2" xfId="26260"/>
    <cellStyle name="20% - Accent2 5 12 2 2 2" xfId="55121"/>
    <cellStyle name="20% - Accent2 5 12 2 3" xfId="38074"/>
    <cellStyle name="20% - Accent2 5 12 3" xfId="13855"/>
    <cellStyle name="20% - Accent2 5 12 3 2" xfId="20282"/>
    <cellStyle name="20% - Accent2 5 12 3 2 2" xfId="49143"/>
    <cellStyle name="20% - Accent2 5 12 3 3" xfId="42716"/>
    <cellStyle name="20% - Accent2 5 12 4" xfId="14922"/>
    <cellStyle name="20% - Accent2 5 12 4 2" xfId="43783"/>
    <cellStyle name="20% - Accent2 5 12 5" xfId="32033"/>
    <cellStyle name="20% - Accent2 5 13" xfId="2863"/>
    <cellStyle name="20% - Accent2 5 13 2" xfId="8904"/>
    <cellStyle name="20% - Accent2 5 13 2 2" xfId="25951"/>
    <cellStyle name="20% - Accent2 5 13 2 2 2" xfId="54812"/>
    <cellStyle name="20% - Accent2 5 13 2 3" xfId="37765"/>
    <cellStyle name="20% - Accent2 5 13 3" xfId="17499"/>
    <cellStyle name="20% - Accent2 5 13 3 2" xfId="46360"/>
    <cellStyle name="20% - Accent2 5 13 4" xfId="31724"/>
    <cellStyle name="20% - Accent2 5 14" xfId="5749"/>
    <cellStyle name="20% - Accent2 5 14 2" xfId="11790"/>
    <cellStyle name="20% - Accent2 5 14 2 2" xfId="28837"/>
    <cellStyle name="20% - Accent2 5 14 2 2 2" xfId="57698"/>
    <cellStyle name="20% - Accent2 5 14 2 3" xfId="40651"/>
    <cellStyle name="20% - Accent2 5 14 3" xfId="22859"/>
    <cellStyle name="20% - Accent2 5 14 3 2" xfId="51720"/>
    <cellStyle name="20% - Accent2 5 14 4" xfId="34610"/>
    <cellStyle name="20% - Accent2 5 15" xfId="5966"/>
    <cellStyle name="20% - Accent2 5 15 2" xfId="23065"/>
    <cellStyle name="20% - Accent2 5 15 2 2" xfId="51926"/>
    <cellStyle name="20% - Accent2 5 15 3" xfId="34827"/>
    <cellStyle name="20% - Accent2 5 16" xfId="6327"/>
    <cellStyle name="20% - Accent2 5 16 2" xfId="23374"/>
    <cellStyle name="20% - Accent2 5 16 2 2" xfId="52235"/>
    <cellStyle name="20% - Accent2 5 16 3" xfId="35188"/>
    <cellStyle name="20% - Accent2 5 17" xfId="14613"/>
    <cellStyle name="20% - Accent2 5 17 2" xfId="43474"/>
    <cellStyle name="20% - Accent2 5 18" xfId="29147"/>
    <cellStyle name="20% - Accent2 5 2" xfId="491"/>
    <cellStyle name="20% - Accent2 5 2 2" xfId="2242"/>
    <cellStyle name="20% - Accent2 5 2 2 2" xfId="5129"/>
    <cellStyle name="20% - Accent2 5 2 2 2 2" xfId="11170"/>
    <cellStyle name="20% - Accent2 5 2 2 2 2 2" xfId="28217"/>
    <cellStyle name="20% - Accent2 5 2 2 2 2 2 2" xfId="57078"/>
    <cellStyle name="20% - Accent2 5 2 2 2 2 3" xfId="40031"/>
    <cellStyle name="20% - Accent2 5 2 2 2 3" xfId="22239"/>
    <cellStyle name="20% - Accent2 5 2 2 2 3 2" xfId="51100"/>
    <cellStyle name="20% - Accent2 5 2 2 2 4" xfId="33990"/>
    <cellStyle name="20% - Accent2 5 2 2 3" xfId="8284"/>
    <cellStyle name="20% - Accent2 5 2 2 3 2" xfId="25331"/>
    <cellStyle name="20% - Accent2 5 2 2 3 2 2" xfId="54192"/>
    <cellStyle name="20% - Accent2 5 2 2 3 3" xfId="37145"/>
    <cellStyle name="20% - Accent2 5 2 2 4" xfId="13081"/>
    <cellStyle name="20% - Accent2 5 2 2 4 2" xfId="19559"/>
    <cellStyle name="20% - Accent2 5 2 2 4 2 2" xfId="48420"/>
    <cellStyle name="20% - Accent2 5 2 2 4 3" xfId="41942"/>
    <cellStyle name="20% - Accent2 5 2 2 5" xfId="16879"/>
    <cellStyle name="20% - Accent2 5 2 2 5 2" xfId="45740"/>
    <cellStyle name="20% - Accent2 5 2 2 6" xfId="31104"/>
    <cellStyle name="20% - Accent2 5 2 3" xfId="3378"/>
    <cellStyle name="20% - Accent2 5 2 3 2" xfId="9419"/>
    <cellStyle name="20% - Accent2 5 2 3 2 2" xfId="26466"/>
    <cellStyle name="20% - Accent2 5 2 3 2 2 2" xfId="55327"/>
    <cellStyle name="20% - Accent2 5 2 3 2 3" xfId="38280"/>
    <cellStyle name="20% - Accent2 5 2 3 3" xfId="20488"/>
    <cellStyle name="20% - Accent2 5 2 3 3 2" xfId="49349"/>
    <cellStyle name="20% - Accent2 5 2 3 4" xfId="32239"/>
    <cellStyle name="20% - Accent2 5 2 4" xfId="6533"/>
    <cellStyle name="20% - Accent2 5 2 4 2" xfId="23580"/>
    <cellStyle name="20% - Accent2 5 2 4 2 2" xfId="52441"/>
    <cellStyle name="20% - Accent2 5 2 4 3" xfId="35394"/>
    <cellStyle name="20% - Accent2 5 2 5" xfId="13127"/>
    <cellStyle name="20% - Accent2 5 2 5 2" xfId="17808"/>
    <cellStyle name="20% - Accent2 5 2 5 2 2" xfId="46669"/>
    <cellStyle name="20% - Accent2 5 2 5 3" xfId="41988"/>
    <cellStyle name="20% - Accent2 5 2 6" xfId="15128"/>
    <cellStyle name="20% - Accent2 5 2 6 2" xfId="43989"/>
    <cellStyle name="20% - Accent2 5 2 7" xfId="29353"/>
    <cellStyle name="20% - Accent2 5 3" xfId="800"/>
    <cellStyle name="20% - Accent2 5 3 2" xfId="3687"/>
    <cellStyle name="20% - Accent2 5 3 2 2" xfId="9728"/>
    <cellStyle name="20% - Accent2 5 3 2 2 2" xfId="26775"/>
    <cellStyle name="20% - Accent2 5 3 2 2 2 2" xfId="55636"/>
    <cellStyle name="20% - Accent2 5 3 2 2 3" xfId="38589"/>
    <cellStyle name="20% - Accent2 5 3 2 3" xfId="20797"/>
    <cellStyle name="20% - Accent2 5 3 2 3 2" xfId="49658"/>
    <cellStyle name="20% - Accent2 5 3 2 4" xfId="32548"/>
    <cellStyle name="20% - Accent2 5 3 3" xfId="6842"/>
    <cellStyle name="20% - Accent2 5 3 3 2" xfId="23889"/>
    <cellStyle name="20% - Accent2 5 3 3 2 2" xfId="52750"/>
    <cellStyle name="20% - Accent2 5 3 3 3" xfId="35703"/>
    <cellStyle name="20% - Accent2 5 3 4" xfId="12702"/>
    <cellStyle name="20% - Accent2 5 3 4 2" xfId="18117"/>
    <cellStyle name="20% - Accent2 5 3 4 2 2" xfId="46978"/>
    <cellStyle name="20% - Accent2 5 3 4 3" xfId="41563"/>
    <cellStyle name="20% - Accent2 5 3 5" xfId="15437"/>
    <cellStyle name="20% - Accent2 5 3 5 2" xfId="44298"/>
    <cellStyle name="20% - Accent2 5 3 6" xfId="29662"/>
    <cellStyle name="20% - Accent2 5 4" xfId="1006"/>
    <cellStyle name="20% - Accent2 5 4 2" xfId="3893"/>
    <cellStyle name="20% - Accent2 5 4 2 2" xfId="9934"/>
    <cellStyle name="20% - Accent2 5 4 2 2 2" xfId="26981"/>
    <cellStyle name="20% - Accent2 5 4 2 2 2 2" xfId="55842"/>
    <cellStyle name="20% - Accent2 5 4 2 2 3" xfId="38795"/>
    <cellStyle name="20% - Accent2 5 4 2 3" xfId="21003"/>
    <cellStyle name="20% - Accent2 5 4 2 3 2" xfId="49864"/>
    <cellStyle name="20% - Accent2 5 4 2 4" xfId="32754"/>
    <cellStyle name="20% - Accent2 5 4 3" xfId="7048"/>
    <cellStyle name="20% - Accent2 5 4 3 2" xfId="24095"/>
    <cellStyle name="20% - Accent2 5 4 3 2 2" xfId="52956"/>
    <cellStyle name="20% - Accent2 5 4 3 3" xfId="35909"/>
    <cellStyle name="20% - Accent2 5 4 4" xfId="12224"/>
    <cellStyle name="20% - Accent2 5 4 4 2" xfId="18323"/>
    <cellStyle name="20% - Accent2 5 4 4 2 2" xfId="47184"/>
    <cellStyle name="20% - Accent2 5 4 4 3" xfId="41085"/>
    <cellStyle name="20% - Accent2 5 4 5" xfId="15643"/>
    <cellStyle name="20% - Accent2 5 4 5 2" xfId="44504"/>
    <cellStyle name="20% - Accent2 5 4 6" xfId="29868"/>
    <cellStyle name="20% - Accent2 5 5" xfId="1212"/>
    <cellStyle name="20% - Accent2 5 5 2" xfId="4099"/>
    <cellStyle name="20% - Accent2 5 5 2 2" xfId="10140"/>
    <cellStyle name="20% - Accent2 5 5 2 2 2" xfId="27187"/>
    <cellStyle name="20% - Accent2 5 5 2 2 2 2" xfId="56048"/>
    <cellStyle name="20% - Accent2 5 5 2 2 3" xfId="39001"/>
    <cellStyle name="20% - Accent2 5 5 2 3" xfId="21209"/>
    <cellStyle name="20% - Accent2 5 5 2 3 2" xfId="50070"/>
    <cellStyle name="20% - Accent2 5 5 2 4" xfId="32960"/>
    <cellStyle name="20% - Accent2 5 5 3" xfId="7254"/>
    <cellStyle name="20% - Accent2 5 5 3 2" xfId="24301"/>
    <cellStyle name="20% - Accent2 5 5 3 2 2" xfId="53162"/>
    <cellStyle name="20% - Accent2 5 5 3 3" xfId="36115"/>
    <cellStyle name="20% - Accent2 5 5 4" xfId="13429"/>
    <cellStyle name="20% - Accent2 5 5 4 2" xfId="18529"/>
    <cellStyle name="20% - Accent2 5 5 4 2 2" xfId="47390"/>
    <cellStyle name="20% - Accent2 5 5 4 3" xfId="42290"/>
    <cellStyle name="20% - Accent2 5 5 5" xfId="15849"/>
    <cellStyle name="20% - Accent2 5 5 5 2" xfId="44710"/>
    <cellStyle name="20% - Accent2 5 5 6" xfId="30074"/>
    <cellStyle name="20% - Accent2 5 6" xfId="1418"/>
    <cellStyle name="20% - Accent2 5 6 2" xfId="4305"/>
    <cellStyle name="20% - Accent2 5 6 2 2" xfId="10346"/>
    <cellStyle name="20% - Accent2 5 6 2 2 2" xfId="27393"/>
    <cellStyle name="20% - Accent2 5 6 2 2 2 2" xfId="56254"/>
    <cellStyle name="20% - Accent2 5 6 2 2 3" xfId="39207"/>
    <cellStyle name="20% - Accent2 5 6 2 3" xfId="21415"/>
    <cellStyle name="20% - Accent2 5 6 2 3 2" xfId="50276"/>
    <cellStyle name="20% - Accent2 5 6 2 4" xfId="33166"/>
    <cellStyle name="20% - Accent2 5 6 3" xfId="7460"/>
    <cellStyle name="20% - Accent2 5 6 3 2" xfId="24507"/>
    <cellStyle name="20% - Accent2 5 6 3 2 2" xfId="53368"/>
    <cellStyle name="20% - Accent2 5 6 3 3" xfId="36321"/>
    <cellStyle name="20% - Accent2 5 6 4" xfId="13131"/>
    <cellStyle name="20% - Accent2 5 6 4 2" xfId="18735"/>
    <cellStyle name="20% - Accent2 5 6 4 2 2" xfId="47596"/>
    <cellStyle name="20% - Accent2 5 6 4 3" xfId="41992"/>
    <cellStyle name="20% - Accent2 5 6 5" xfId="16055"/>
    <cellStyle name="20% - Accent2 5 6 5 2" xfId="44916"/>
    <cellStyle name="20% - Accent2 5 6 6" xfId="30280"/>
    <cellStyle name="20% - Accent2 5 7" xfId="1624"/>
    <cellStyle name="20% - Accent2 5 7 2" xfId="4511"/>
    <cellStyle name="20% - Accent2 5 7 2 2" xfId="10552"/>
    <cellStyle name="20% - Accent2 5 7 2 2 2" xfId="27599"/>
    <cellStyle name="20% - Accent2 5 7 2 2 2 2" xfId="56460"/>
    <cellStyle name="20% - Accent2 5 7 2 2 3" xfId="39413"/>
    <cellStyle name="20% - Accent2 5 7 2 3" xfId="21621"/>
    <cellStyle name="20% - Accent2 5 7 2 3 2" xfId="50482"/>
    <cellStyle name="20% - Accent2 5 7 2 4" xfId="33372"/>
    <cellStyle name="20% - Accent2 5 7 3" xfId="7666"/>
    <cellStyle name="20% - Accent2 5 7 3 2" xfId="24713"/>
    <cellStyle name="20% - Accent2 5 7 3 2 2" xfId="53574"/>
    <cellStyle name="20% - Accent2 5 7 3 3" xfId="36527"/>
    <cellStyle name="20% - Accent2 5 7 4" xfId="13892"/>
    <cellStyle name="20% - Accent2 5 7 4 2" xfId="18941"/>
    <cellStyle name="20% - Accent2 5 7 4 2 2" xfId="47802"/>
    <cellStyle name="20% - Accent2 5 7 4 3" xfId="42753"/>
    <cellStyle name="20% - Accent2 5 7 5" xfId="16261"/>
    <cellStyle name="20% - Accent2 5 7 5 2" xfId="45122"/>
    <cellStyle name="20% - Accent2 5 7 6" xfId="30486"/>
    <cellStyle name="20% - Accent2 5 8" xfId="1830"/>
    <cellStyle name="20% - Accent2 5 8 2" xfId="4717"/>
    <cellStyle name="20% - Accent2 5 8 2 2" xfId="10758"/>
    <cellStyle name="20% - Accent2 5 8 2 2 2" xfId="27805"/>
    <cellStyle name="20% - Accent2 5 8 2 2 2 2" xfId="56666"/>
    <cellStyle name="20% - Accent2 5 8 2 2 3" xfId="39619"/>
    <cellStyle name="20% - Accent2 5 8 2 3" xfId="21827"/>
    <cellStyle name="20% - Accent2 5 8 2 3 2" xfId="50688"/>
    <cellStyle name="20% - Accent2 5 8 2 4" xfId="33578"/>
    <cellStyle name="20% - Accent2 5 8 3" xfId="7872"/>
    <cellStyle name="20% - Accent2 5 8 3 2" xfId="24919"/>
    <cellStyle name="20% - Accent2 5 8 3 2 2" xfId="53780"/>
    <cellStyle name="20% - Accent2 5 8 3 3" xfId="36733"/>
    <cellStyle name="20% - Accent2 5 8 4" xfId="12770"/>
    <cellStyle name="20% - Accent2 5 8 4 2" xfId="19147"/>
    <cellStyle name="20% - Accent2 5 8 4 2 2" xfId="48008"/>
    <cellStyle name="20% - Accent2 5 8 4 3" xfId="41631"/>
    <cellStyle name="20% - Accent2 5 8 5" xfId="16467"/>
    <cellStyle name="20% - Accent2 5 8 5 2" xfId="45328"/>
    <cellStyle name="20% - Accent2 5 8 6" xfId="30692"/>
    <cellStyle name="20% - Accent2 5 9" xfId="2036"/>
    <cellStyle name="20% - Accent2 5 9 2" xfId="4923"/>
    <cellStyle name="20% - Accent2 5 9 2 2" xfId="10964"/>
    <cellStyle name="20% - Accent2 5 9 2 2 2" xfId="28011"/>
    <cellStyle name="20% - Accent2 5 9 2 2 2 2" xfId="56872"/>
    <cellStyle name="20% - Accent2 5 9 2 2 3" xfId="39825"/>
    <cellStyle name="20% - Accent2 5 9 2 3" xfId="22033"/>
    <cellStyle name="20% - Accent2 5 9 2 3 2" xfId="50894"/>
    <cellStyle name="20% - Accent2 5 9 2 4" xfId="33784"/>
    <cellStyle name="20% - Accent2 5 9 3" xfId="8078"/>
    <cellStyle name="20% - Accent2 5 9 3 2" xfId="25125"/>
    <cellStyle name="20% - Accent2 5 9 3 2 2" xfId="53986"/>
    <cellStyle name="20% - Accent2 5 9 3 3" xfId="36939"/>
    <cellStyle name="20% - Accent2 5 9 4" xfId="12407"/>
    <cellStyle name="20% - Accent2 5 9 4 2" xfId="19353"/>
    <cellStyle name="20% - Accent2 5 9 4 2 2" xfId="48214"/>
    <cellStyle name="20% - Accent2 5 9 4 3" xfId="41268"/>
    <cellStyle name="20% - Accent2 5 9 5" xfId="16673"/>
    <cellStyle name="20% - Accent2 5 9 5 2" xfId="45534"/>
    <cellStyle name="20% - Accent2 5 9 6" xfId="30898"/>
    <cellStyle name="20% - Accent2 6" xfId="182"/>
    <cellStyle name="20% - Accent2 6 2" xfId="594"/>
    <cellStyle name="20% - Accent2 6 2 2" xfId="3481"/>
    <cellStyle name="20% - Accent2 6 2 2 2" xfId="9522"/>
    <cellStyle name="20% - Accent2 6 2 2 2 2" xfId="26569"/>
    <cellStyle name="20% - Accent2 6 2 2 2 2 2" xfId="55430"/>
    <cellStyle name="20% - Accent2 6 2 2 2 3" xfId="38383"/>
    <cellStyle name="20% - Accent2 6 2 2 3" xfId="20591"/>
    <cellStyle name="20% - Accent2 6 2 2 3 2" xfId="49452"/>
    <cellStyle name="20% - Accent2 6 2 2 4" xfId="32342"/>
    <cellStyle name="20% - Accent2 6 2 3" xfId="6636"/>
    <cellStyle name="20% - Accent2 6 2 3 2" xfId="23683"/>
    <cellStyle name="20% - Accent2 6 2 3 2 2" xfId="52544"/>
    <cellStyle name="20% - Accent2 6 2 3 3" xfId="35497"/>
    <cellStyle name="20% - Accent2 6 2 4" xfId="13938"/>
    <cellStyle name="20% - Accent2 6 2 4 2" xfId="17911"/>
    <cellStyle name="20% - Accent2 6 2 4 2 2" xfId="46772"/>
    <cellStyle name="20% - Accent2 6 2 4 3" xfId="42799"/>
    <cellStyle name="20% - Accent2 6 2 5" xfId="15231"/>
    <cellStyle name="20% - Accent2 6 2 5 2" xfId="44092"/>
    <cellStyle name="20% - Accent2 6 2 6" xfId="29456"/>
    <cellStyle name="20% - Accent2 6 3" xfId="2139"/>
    <cellStyle name="20% - Accent2 6 3 2" xfId="5026"/>
    <cellStyle name="20% - Accent2 6 3 2 2" xfId="11067"/>
    <cellStyle name="20% - Accent2 6 3 2 2 2" xfId="28114"/>
    <cellStyle name="20% - Accent2 6 3 2 2 2 2" xfId="56975"/>
    <cellStyle name="20% - Accent2 6 3 2 2 3" xfId="39928"/>
    <cellStyle name="20% - Accent2 6 3 2 3" xfId="22136"/>
    <cellStyle name="20% - Accent2 6 3 2 3 2" xfId="50997"/>
    <cellStyle name="20% - Accent2 6 3 2 4" xfId="33887"/>
    <cellStyle name="20% - Accent2 6 3 3" xfId="8181"/>
    <cellStyle name="20% - Accent2 6 3 3 2" xfId="25228"/>
    <cellStyle name="20% - Accent2 6 3 3 2 2" xfId="54089"/>
    <cellStyle name="20% - Accent2 6 3 3 3" xfId="37042"/>
    <cellStyle name="20% - Accent2 6 3 4" xfId="5857"/>
    <cellStyle name="20% - Accent2 6 3 4 2" xfId="19456"/>
    <cellStyle name="20% - Accent2 6 3 4 2 2" xfId="48317"/>
    <cellStyle name="20% - Accent2 6 3 4 3" xfId="34718"/>
    <cellStyle name="20% - Accent2 6 3 5" xfId="16776"/>
    <cellStyle name="20% - Accent2 6 3 5 2" xfId="45637"/>
    <cellStyle name="20% - Accent2 6 3 6" xfId="31001"/>
    <cellStyle name="20% - Accent2 6 4" xfId="3069"/>
    <cellStyle name="20% - Accent2 6 4 2" xfId="9110"/>
    <cellStyle name="20% - Accent2 6 4 2 2" xfId="26157"/>
    <cellStyle name="20% - Accent2 6 4 2 2 2" xfId="55018"/>
    <cellStyle name="20% - Accent2 6 4 2 3" xfId="37971"/>
    <cellStyle name="20% - Accent2 6 4 3" xfId="20179"/>
    <cellStyle name="20% - Accent2 6 4 3 2" xfId="49040"/>
    <cellStyle name="20% - Accent2 6 4 4" xfId="31930"/>
    <cellStyle name="20% - Accent2 6 5" xfId="6224"/>
    <cellStyle name="20% - Accent2 6 5 2" xfId="23271"/>
    <cellStyle name="20% - Accent2 6 5 2 2" xfId="52132"/>
    <cellStyle name="20% - Accent2 6 5 3" xfId="35085"/>
    <cellStyle name="20% - Accent2 6 6" xfId="12080"/>
    <cellStyle name="20% - Accent2 6 6 2" xfId="17602"/>
    <cellStyle name="20% - Accent2 6 6 2 2" xfId="46463"/>
    <cellStyle name="20% - Accent2 6 6 3" xfId="40941"/>
    <cellStyle name="20% - Accent2 6 7" xfId="14819"/>
    <cellStyle name="20% - Accent2 6 7 2" xfId="43680"/>
    <cellStyle name="20% - Accent2 6 8" xfId="29044"/>
    <cellStyle name="20% - Accent2 7" xfId="388"/>
    <cellStyle name="20% - Accent2 7 2" xfId="3275"/>
    <cellStyle name="20% - Accent2 7 2 2" xfId="9316"/>
    <cellStyle name="20% - Accent2 7 2 2 2" xfId="26363"/>
    <cellStyle name="20% - Accent2 7 2 2 2 2" xfId="55224"/>
    <cellStyle name="20% - Accent2 7 2 2 3" xfId="38177"/>
    <cellStyle name="20% - Accent2 7 2 3" xfId="20385"/>
    <cellStyle name="20% - Accent2 7 2 3 2" xfId="49246"/>
    <cellStyle name="20% - Accent2 7 2 4" xfId="32136"/>
    <cellStyle name="20% - Accent2 7 3" xfId="6430"/>
    <cellStyle name="20% - Accent2 7 3 2" xfId="23477"/>
    <cellStyle name="20% - Accent2 7 3 2 2" xfId="52338"/>
    <cellStyle name="20% - Accent2 7 3 3" xfId="35291"/>
    <cellStyle name="20% - Accent2 7 4" xfId="13311"/>
    <cellStyle name="20% - Accent2 7 4 2" xfId="17705"/>
    <cellStyle name="20% - Accent2 7 4 2 2" xfId="46566"/>
    <cellStyle name="20% - Accent2 7 4 3" xfId="42172"/>
    <cellStyle name="20% - Accent2 7 5" xfId="15025"/>
    <cellStyle name="20% - Accent2 7 5 2" xfId="43886"/>
    <cellStyle name="20% - Accent2 7 6" xfId="29250"/>
    <cellStyle name="20% - Accent2 8" xfId="697"/>
    <cellStyle name="20% - Accent2 8 2" xfId="3584"/>
    <cellStyle name="20% - Accent2 8 2 2" xfId="9625"/>
    <cellStyle name="20% - Accent2 8 2 2 2" xfId="26672"/>
    <cellStyle name="20% - Accent2 8 2 2 2 2" xfId="55533"/>
    <cellStyle name="20% - Accent2 8 2 2 3" xfId="38486"/>
    <cellStyle name="20% - Accent2 8 2 3" xfId="20694"/>
    <cellStyle name="20% - Accent2 8 2 3 2" xfId="49555"/>
    <cellStyle name="20% - Accent2 8 2 4" xfId="32445"/>
    <cellStyle name="20% - Accent2 8 3" xfId="6739"/>
    <cellStyle name="20% - Accent2 8 3 2" xfId="23786"/>
    <cellStyle name="20% - Accent2 8 3 2 2" xfId="52647"/>
    <cellStyle name="20% - Accent2 8 3 3" xfId="35600"/>
    <cellStyle name="20% - Accent2 8 4" xfId="14159"/>
    <cellStyle name="20% - Accent2 8 4 2" xfId="18014"/>
    <cellStyle name="20% - Accent2 8 4 2 2" xfId="46875"/>
    <cellStyle name="20% - Accent2 8 4 3" xfId="43020"/>
    <cellStyle name="20% - Accent2 8 5" xfId="15334"/>
    <cellStyle name="20% - Accent2 8 5 2" xfId="44195"/>
    <cellStyle name="20% - Accent2 8 6" xfId="29559"/>
    <cellStyle name="20% - Accent2 9" xfId="903"/>
    <cellStyle name="20% - Accent2 9 2" xfId="3790"/>
    <cellStyle name="20% - Accent2 9 2 2" xfId="9831"/>
    <cellStyle name="20% - Accent2 9 2 2 2" xfId="26878"/>
    <cellStyle name="20% - Accent2 9 2 2 2 2" xfId="55739"/>
    <cellStyle name="20% - Accent2 9 2 2 3" xfId="38692"/>
    <cellStyle name="20% - Accent2 9 2 3" xfId="20900"/>
    <cellStyle name="20% - Accent2 9 2 3 2" xfId="49761"/>
    <cellStyle name="20% - Accent2 9 2 4" xfId="32651"/>
    <cellStyle name="20% - Accent2 9 3" xfId="6945"/>
    <cellStyle name="20% - Accent2 9 3 2" xfId="23992"/>
    <cellStyle name="20% - Accent2 9 3 2 2" xfId="52853"/>
    <cellStyle name="20% - Accent2 9 3 3" xfId="35806"/>
    <cellStyle name="20% - Accent2 9 4" xfId="12369"/>
    <cellStyle name="20% - Accent2 9 4 2" xfId="18220"/>
    <cellStyle name="20% - Accent2 9 4 2 2" xfId="47081"/>
    <cellStyle name="20% - Accent2 9 4 3" xfId="41230"/>
    <cellStyle name="20% - Accent2 9 5" xfId="15540"/>
    <cellStyle name="20% - Accent2 9 5 2" xfId="44401"/>
    <cellStyle name="20% - Accent2 9 6" xfId="29765"/>
    <cellStyle name="20% - Accent3" xfId="74" builtinId="38" customBuiltin="1"/>
    <cellStyle name="20% - Accent3 10" xfId="1111"/>
    <cellStyle name="20% - Accent3 10 2" xfId="3998"/>
    <cellStyle name="20% - Accent3 10 2 2" xfId="10039"/>
    <cellStyle name="20% - Accent3 10 2 2 2" xfId="27086"/>
    <cellStyle name="20% - Accent3 10 2 2 2 2" xfId="55947"/>
    <cellStyle name="20% - Accent3 10 2 2 3" xfId="38900"/>
    <cellStyle name="20% - Accent3 10 2 3" xfId="21108"/>
    <cellStyle name="20% - Accent3 10 2 3 2" xfId="49969"/>
    <cellStyle name="20% - Accent3 10 2 4" xfId="32859"/>
    <cellStyle name="20% - Accent3 10 3" xfId="7153"/>
    <cellStyle name="20% - Accent3 10 3 2" xfId="24200"/>
    <cellStyle name="20% - Accent3 10 3 2 2" xfId="53061"/>
    <cellStyle name="20% - Accent3 10 3 3" xfId="36014"/>
    <cellStyle name="20% - Accent3 10 4" xfId="13223"/>
    <cellStyle name="20% - Accent3 10 4 2" xfId="18428"/>
    <cellStyle name="20% - Accent3 10 4 2 2" xfId="47289"/>
    <cellStyle name="20% - Accent3 10 4 3" xfId="42084"/>
    <cellStyle name="20% - Accent3 10 5" xfId="15748"/>
    <cellStyle name="20% - Accent3 10 5 2" xfId="44609"/>
    <cellStyle name="20% - Accent3 10 6" xfId="29973"/>
    <cellStyle name="20% - Accent3 11" xfId="1317"/>
    <cellStyle name="20% - Accent3 11 2" xfId="4204"/>
    <cellStyle name="20% - Accent3 11 2 2" xfId="10245"/>
    <cellStyle name="20% - Accent3 11 2 2 2" xfId="27292"/>
    <cellStyle name="20% - Accent3 11 2 2 2 2" xfId="56153"/>
    <cellStyle name="20% - Accent3 11 2 2 3" xfId="39106"/>
    <cellStyle name="20% - Accent3 11 2 3" xfId="21314"/>
    <cellStyle name="20% - Accent3 11 2 3 2" xfId="50175"/>
    <cellStyle name="20% - Accent3 11 2 4" xfId="33065"/>
    <cellStyle name="20% - Accent3 11 3" xfId="7359"/>
    <cellStyle name="20% - Accent3 11 3 2" xfId="24406"/>
    <cellStyle name="20% - Accent3 11 3 2 2" xfId="53267"/>
    <cellStyle name="20% - Accent3 11 3 3" xfId="36220"/>
    <cellStyle name="20% - Accent3 11 4" xfId="12285"/>
    <cellStyle name="20% - Accent3 11 4 2" xfId="18634"/>
    <cellStyle name="20% - Accent3 11 4 2 2" xfId="47495"/>
    <cellStyle name="20% - Accent3 11 4 3" xfId="41146"/>
    <cellStyle name="20% - Accent3 11 5" xfId="15954"/>
    <cellStyle name="20% - Accent3 11 5 2" xfId="44815"/>
    <cellStyle name="20% - Accent3 11 6" xfId="30179"/>
    <cellStyle name="20% - Accent3 12" xfId="1523"/>
    <cellStyle name="20% - Accent3 12 2" xfId="4410"/>
    <cellStyle name="20% - Accent3 12 2 2" xfId="10451"/>
    <cellStyle name="20% - Accent3 12 2 2 2" xfId="27498"/>
    <cellStyle name="20% - Accent3 12 2 2 2 2" xfId="56359"/>
    <cellStyle name="20% - Accent3 12 2 2 3" xfId="39312"/>
    <cellStyle name="20% - Accent3 12 2 3" xfId="21520"/>
    <cellStyle name="20% - Accent3 12 2 3 2" xfId="50381"/>
    <cellStyle name="20% - Accent3 12 2 4" xfId="33271"/>
    <cellStyle name="20% - Accent3 12 3" xfId="7565"/>
    <cellStyle name="20% - Accent3 12 3 2" xfId="24612"/>
    <cellStyle name="20% - Accent3 12 3 2 2" xfId="53473"/>
    <cellStyle name="20% - Accent3 12 3 3" xfId="36426"/>
    <cellStyle name="20% - Accent3 12 4" xfId="12069"/>
    <cellStyle name="20% - Accent3 12 4 2" xfId="18840"/>
    <cellStyle name="20% - Accent3 12 4 2 2" xfId="47701"/>
    <cellStyle name="20% - Accent3 12 4 3" xfId="40930"/>
    <cellStyle name="20% - Accent3 12 5" xfId="16160"/>
    <cellStyle name="20% - Accent3 12 5 2" xfId="45021"/>
    <cellStyle name="20% - Accent3 12 6" xfId="30385"/>
    <cellStyle name="20% - Accent3 13" xfId="1729"/>
    <cellStyle name="20% - Accent3 13 2" xfId="4616"/>
    <cellStyle name="20% - Accent3 13 2 2" xfId="10657"/>
    <cellStyle name="20% - Accent3 13 2 2 2" xfId="27704"/>
    <cellStyle name="20% - Accent3 13 2 2 2 2" xfId="56565"/>
    <cellStyle name="20% - Accent3 13 2 2 3" xfId="39518"/>
    <cellStyle name="20% - Accent3 13 2 3" xfId="21726"/>
    <cellStyle name="20% - Accent3 13 2 3 2" xfId="50587"/>
    <cellStyle name="20% - Accent3 13 2 4" xfId="33477"/>
    <cellStyle name="20% - Accent3 13 3" xfId="7771"/>
    <cellStyle name="20% - Accent3 13 3 2" xfId="24818"/>
    <cellStyle name="20% - Accent3 13 3 2 2" xfId="53679"/>
    <cellStyle name="20% - Accent3 13 3 3" xfId="36632"/>
    <cellStyle name="20% - Accent3 13 4" xfId="13984"/>
    <cellStyle name="20% - Accent3 13 4 2" xfId="19046"/>
    <cellStyle name="20% - Accent3 13 4 2 2" xfId="47907"/>
    <cellStyle name="20% - Accent3 13 4 3" xfId="42845"/>
    <cellStyle name="20% - Accent3 13 5" xfId="16366"/>
    <cellStyle name="20% - Accent3 13 5 2" xfId="45227"/>
    <cellStyle name="20% - Accent3 13 6" xfId="30591"/>
    <cellStyle name="20% - Accent3 14" xfId="1935"/>
    <cellStyle name="20% - Accent3 14 2" xfId="4822"/>
    <cellStyle name="20% - Accent3 14 2 2" xfId="10863"/>
    <cellStyle name="20% - Accent3 14 2 2 2" xfId="27910"/>
    <cellStyle name="20% - Accent3 14 2 2 2 2" xfId="56771"/>
    <cellStyle name="20% - Accent3 14 2 2 3" xfId="39724"/>
    <cellStyle name="20% - Accent3 14 2 3" xfId="21932"/>
    <cellStyle name="20% - Accent3 14 2 3 2" xfId="50793"/>
    <cellStyle name="20% - Accent3 14 2 4" xfId="33683"/>
    <cellStyle name="20% - Accent3 14 3" xfId="7977"/>
    <cellStyle name="20% - Accent3 14 3 2" xfId="25024"/>
    <cellStyle name="20% - Accent3 14 3 2 2" xfId="53885"/>
    <cellStyle name="20% - Accent3 14 3 3" xfId="36838"/>
    <cellStyle name="20% - Accent3 14 4" xfId="13859"/>
    <cellStyle name="20% - Accent3 14 4 2" xfId="19252"/>
    <cellStyle name="20% - Accent3 14 4 2 2" xfId="48113"/>
    <cellStyle name="20% - Accent3 14 4 3" xfId="42720"/>
    <cellStyle name="20% - Accent3 14 5" xfId="16572"/>
    <cellStyle name="20% - Accent3 14 5 2" xfId="45433"/>
    <cellStyle name="20% - Accent3 14 6" xfId="30797"/>
    <cellStyle name="20% - Accent3 15" xfId="2347"/>
    <cellStyle name="20% - Accent3 15 2" xfId="5234"/>
    <cellStyle name="20% - Accent3 15 2 2" xfId="11275"/>
    <cellStyle name="20% - Accent3 15 2 2 2" xfId="28322"/>
    <cellStyle name="20% - Accent3 15 2 2 2 2" xfId="57183"/>
    <cellStyle name="20% - Accent3 15 2 2 3" xfId="40136"/>
    <cellStyle name="20% - Accent3 15 2 3" xfId="22344"/>
    <cellStyle name="20% - Accent3 15 2 3 2" xfId="51205"/>
    <cellStyle name="20% - Accent3 15 2 4" xfId="34095"/>
    <cellStyle name="20% - Accent3 15 3" xfId="8389"/>
    <cellStyle name="20% - Accent3 15 3 2" xfId="25436"/>
    <cellStyle name="20% - Accent3 15 3 2 2" xfId="54297"/>
    <cellStyle name="20% - Accent3 15 3 3" xfId="37250"/>
    <cellStyle name="20% - Accent3 15 4" xfId="12158"/>
    <cellStyle name="20% - Accent3 15 4 2" xfId="19664"/>
    <cellStyle name="20% - Accent3 15 4 2 2" xfId="48525"/>
    <cellStyle name="20% - Accent3 15 4 3" xfId="41019"/>
    <cellStyle name="20% - Accent3 15 5" xfId="16984"/>
    <cellStyle name="20% - Accent3 15 5 2" xfId="45845"/>
    <cellStyle name="20% - Accent3 15 6" xfId="31209"/>
    <cellStyle name="20% - Accent3 16" xfId="2556"/>
    <cellStyle name="20% - Accent3 16 2" xfId="5442"/>
    <cellStyle name="20% - Accent3 16 2 2" xfId="11483"/>
    <cellStyle name="20% - Accent3 16 2 2 2" xfId="28530"/>
    <cellStyle name="20% - Accent3 16 2 2 2 2" xfId="57391"/>
    <cellStyle name="20% - Accent3 16 2 2 3" xfId="40344"/>
    <cellStyle name="20% - Accent3 16 2 3" xfId="22552"/>
    <cellStyle name="20% - Accent3 16 2 3 2" xfId="51413"/>
    <cellStyle name="20% - Accent3 16 2 4" xfId="34303"/>
    <cellStyle name="20% - Accent3 16 3" xfId="8597"/>
    <cellStyle name="20% - Accent3 16 3 2" xfId="25644"/>
    <cellStyle name="20% - Accent3 16 3 2 2" xfId="54505"/>
    <cellStyle name="20% - Accent3 16 3 3" xfId="37458"/>
    <cellStyle name="20% - Accent3 16 4" xfId="12964"/>
    <cellStyle name="20% - Accent3 16 4 2" xfId="19872"/>
    <cellStyle name="20% - Accent3 16 4 2 2" xfId="48733"/>
    <cellStyle name="20% - Accent3 16 4 3" xfId="41825"/>
    <cellStyle name="20% - Accent3 16 5" xfId="17192"/>
    <cellStyle name="20% - Accent3 16 5 2" xfId="46053"/>
    <cellStyle name="20% - Accent3 16 6" xfId="31417"/>
    <cellStyle name="20% - Accent3 17" xfId="2968"/>
    <cellStyle name="20% - Accent3 17 2" xfId="9009"/>
    <cellStyle name="20% - Accent3 17 2 2" xfId="26056"/>
    <cellStyle name="20% - Accent3 17 2 2 2" xfId="54917"/>
    <cellStyle name="20% - Accent3 17 2 3" xfId="37870"/>
    <cellStyle name="20% - Accent3 17 3" xfId="14163"/>
    <cellStyle name="20% - Accent3 17 3 2" xfId="20078"/>
    <cellStyle name="20% - Accent3 17 3 2 2" xfId="48939"/>
    <cellStyle name="20% - Accent3 17 3 3" xfId="43024"/>
    <cellStyle name="20% - Accent3 17 4" xfId="14718"/>
    <cellStyle name="20% - Accent3 17 4 2" xfId="43579"/>
    <cellStyle name="20% - Accent3 17 5" xfId="31829"/>
    <cellStyle name="20% - Accent3 18" xfId="2762"/>
    <cellStyle name="20% - Accent3 18 2" xfId="8803"/>
    <cellStyle name="20% - Accent3 18 2 2" xfId="25850"/>
    <cellStyle name="20% - Accent3 18 2 2 2" xfId="54711"/>
    <cellStyle name="20% - Accent3 18 2 3" xfId="37664"/>
    <cellStyle name="20% - Accent3 18 3" xfId="17398"/>
    <cellStyle name="20% - Accent3 18 3 2" xfId="46259"/>
    <cellStyle name="20% - Accent3 18 4" xfId="31623"/>
    <cellStyle name="20% - Accent3 19" xfId="5648"/>
    <cellStyle name="20% - Accent3 19 2" xfId="11689"/>
    <cellStyle name="20% - Accent3 19 2 2" xfId="28736"/>
    <cellStyle name="20% - Accent3 19 2 2 2" xfId="57597"/>
    <cellStyle name="20% - Accent3 19 2 3" xfId="40550"/>
    <cellStyle name="20% - Accent3 19 3" xfId="22758"/>
    <cellStyle name="20% - Accent3 19 3 2" xfId="51619"/>
    <cellStyle name="20% - Accent3 19 4" xfId="34509"/>
    <cellStyle name="20% - Accent3 2" xfId="95"/>
    <cellStyle name="20% - Accent3 2 10" xfId="1331"/>
    <cellStyle name="20% - Accent3 2 10 2" xfId="4218"/>
    <cellStyle name="20% - Accent3 2 10 2 2" xfId="10259"/>
    <cellStyle name="20% - Accent3 2 10 2 2 2" xfId="27306"/>
    <cellStyle name="20% - Accent3 2 10 2 2 2 2" xfId="56167"/>
    <cellStyle name="20% - Accent3 2 10 2 2 3" xfId="39120"/>
    <cellStyle name="20% - Accent3 2 10 2 3" xfId="21328"/>
    <cellStyle name="20% - Accent3 2 10 2 3 2" xfId="50189"/>
    <cellStyle name="20% - Accent3 2 10 2 4" xfId="33079"/>
    <cellStyle name="20% - Accent3 2 10 3" xfId="7373"/>
    <cellStyle name="20% - Accent3 2 10 3 2" xfId="24420"/>
    <cellStyle name="20% - Accent3 2 10 3 2 2" xfId="53281"/>
    <cellStyle name="20% - Accent3 2 10 3 3" xfId="36234"/>
    <cellStyle name="20% - Accent3 2 10 4" xfId="13635"/>
    <cellStyle name="20% - Accent3 2 10 4 2" xfId="18648"/>
    <cellStyle name="20% - Accent3 2 10 4 2 2" xfId="47509"/>
    <cellStyle name="20% - Accent3 2 10 4 3" xfId="42496"/>
    <cellStyle name="20% - Accent3 2 10 5" xfId="15968"/>
    <cellStyle name="20% - Accent3 2 10 5 2" xfId="44829"/>
    <cellStyle name="20% - Accent3 2 10 6" xfId="30193"/>
    <cellStyle name="20% - Accent3 2 11" xfId="1537"/>
    <cellStyle name="20% - Accent3 2 11 2" xfId="4424"/>
    <cellStyle name="20% - Accent3 2 11 2 2" xfId="10465"/>
    <cellStyle name="20% - Accent3 2 11 2 2 2" xfId="27512"/>
    <cellStyle name="20% - Accent3 2 11 2 2 2 2" xfId="56373"/>
    <cellStyle name="20% - Accent3 2 11 2 2 3" xfId="39326"/>
    <cellStyle name="20% - Accent3 2 11 2 3" xfId="21534"/>
    <cellStyle name="20% - Accent3 2 11 2 3 2" xfId="50395"/>
    <cellStyle name="20% - Accent3 2 11 2 4" xfId="33285"/>
    <cellStyle name="20% - Accent3 2 11 3" xfId="7579"/>
    <cellStyle name="20% - Accent3 2 11 3 2" xfId="24626"/>
    <cellStyle name="20% - Accent3 2 11 3 2 2" xfId="53487"/>
    <cellStyle name="20% - Accent3 2 11 3 3" xfId="36440"/>
    <cellStyle name="20% - Accent3 2 11 4" xfId="11984"/>
    <cellStyle name="20% - Accent3 2 11 4 2" xfId="18854"/>
    <cellStyle name="20% - Accent3 2 11 4 2 2" xfId="47715"/>
    <cellStyle name="20% - Accent3 2 11 4 3" xfId="40845"/>
    <cellStyle name="20% - Accent3 2 11 5" xfId="16174"/>
    <cellStyle name="20% - Accent3 2 11 5 2" xfId="45035"/>
    <cellStyle name="20% - Accent3 2 11 6" xfId="30399"/>
    <cellStyle name="20% - Accent3 2 12" xfId="1743"/>
    <cellStyle name="20% - Accent3 2 12 2" xfId="4630"/>
    <cellStyle name="20% - Accent3 2 12 2 2" xfId="10671"/>
    <cellStyle name="20% - Accent3 2 12 2 2 2" xfId="27718"/>
    <cellStyle name="20% - Accent3 2 12 2 2 2 2" xfId="56579"/>
    <cellStyle name="20% - Accent3 2 12 2 2 3" xfId="39532"/>
    <cellStyle name="20% - Accent3 2 12 2 3" xfId="21740"/>
    <cellStyle name="20% - Accent3 2 12 2 3 2" xfId="50601"/>
    <cellStyle name="20% - Accent3 2 12 2 4" xfId="33491"/>
    <cellStyle name="20% - Accent3 2 12 3" xfId="7785"/>
    <cellStyle name="20% - Accent3 2 12 3 2" xfId="24832"/>
    <cellStyle name="20% - Accent3 2 12 3 2 2" xfId="53693"/>
    <cellStyle name="20% - Accent3 2 12 3 3" xfId="36646"/>
    <cellStyle name="20% - Accent3 2 12 4" xfId="14356"/>
    <cellStyle name="20% - Accent3 2 12 4 2" xfId="19060"/>
    <cellStyle name="20% - Accent3 2 12 4 2 2" xfId="47921"/>
    <cellStyle name="20% - Accent3 2 12 4 3" xfId="43217"/>
    <cellStyle name="20% - Accent3 2 12 5" xfId="16380"/>
    <cellStyle name="20% - Accent3 2 12 5 2" xfId="45241"/>
    <cellStyle name="20% - Accent3 2 12 6" xfId="30605"/>
    <cellStyle name="20% - Accent3 2 13" xfId="1949"/>
    <cellStyle name="20% - Accent3 2 13 2" xfId="4836"/>
    <cellStyle name="20% - Accent3 2 13 2 2" xfId="10877"/>
    <cellStyle name="20% - Accent3 2 13 2 2 2" xfId="27924"/>
    <cellStyle name="20% - Accent3 2 13 2 2 2 2" xfId="56785"/>
    <cellStyle name="20% - Accent3 2 13 2 2 3" xfId="39738"/>
    <cellStyle name="20% - Accent3 2 13 2 3" xfId="21946"/>
    <cellStyle name="20% - Accent3 2 13 2 3 2" xfId="50807"/>
    <cellStyle name="20% - Accent3 2 13 2 4" xfId="33697"/>
    <cellStyle name="20% - Accent3 2 13 3" xfId="7991"/>
    <cellStyle name="20% - Accent3 2 13 3 2" xfId="25038"/>
    <cellStyle name="20% - Accent3 2 13 3 2 2" xfId="53899"/>
    <cellStyle name="20% - Accent3 2 13 3 3" xfId="36852"/>
    <cellStyle name="20% - Accent3 2 13 4" xfId="12947"/>
    <cellStyle name="20% - Accent3 2 13 4 2" xfId="19266"/>
    <cellStyle name="20% - Accent3 2 13 4 2 2" xfId="48127"/>
    <cellStyle name="20% - Accent3 2 13 4 3" xfId="41808"/>
    <cellStyle name="20% - Accent3 2 13 5" xfId="16586"/>
    <cellStyle name="20% - Accent3 2 13 5 2" xfId="45447"/>
    <cellStyle name="20% - Accent3 2 13 6" xfId="30811"/>
    <cellStyle name="20% - Accent3 2 14" xfId="2361"/>
    <cellStyle name="20% - Accent3 2 14 2" xfId="5248"/>
    <cellStyle name="20% - Accent3 2 14 2 2" xfId="11289"/>
    <cellStyle name="20% - Accent3 2 14 2 2 2" xfId="28336"/>
    <cellStyle name="20% - Accent3 2 14 2 2 2 2" xfId="57197"/>
    <cellStyle name="20% - Accent3 2 14 2 2 3" xfId="40150"/>
    <cellStyle name="20% - Accent3 2 14 2 3" xfId="22358"/>
    <cellStyle name="20% - Accent3 2 14 2 3 2" xfId="51219"/>
    <cellStyle name="20% - Accent3 2 14 2 4" xfId="34109"/>
    <cellStyle name="20% - Accent3 2 14 3" xfId="8403"/>
    <cellStyle name="20% - Accent3 2 14 3 2" xfId="25450"/>
    <cellStyle name="20% - Accent3 2 14 3 2 2" xfId="54311"/>
    <cellStyle name="20% - Accent3 2 14 3 3" xfId="37264"/>
    <cellStyle name="20% - Accent3 2 14 4" xfId="13549"/>
    <cellStyle name="20% - Accent3 2 14 4 2" xfId="19678"/>
    <cellStyle name="20% - Accent3 2 14 4 2 2" xfId="48539"/>
    <cellStyle name="20% - Accent3 2 14 4 3" xfId="42410"/>
    <cellStyle name="20% - Accent3 2 14 5" xfId="16998"/>
    <cellStyle name="20% - Accent3 2 14 5 2" xfId="45859"/>
    <cellStyle name="20% - Accent3 2 14 6" xfId="31223"/>
    <cellStyle name="20% - Accent3 2 15" xfId="2570"/>
    <cellStyle name="20% - Accent3 2 15 2" xfId="5456"/>
    <cellStyle name="20% - Accent3 2 15 2 2" xfId="11497"/>
    <cellStyle name="20% - Accent3 2 15 2 2 2" xfId="28544"/>
    <cellStyle name="20% - Accent3 2 15 2 2 2 2" xfId="57405"/>
    <cellStyle name="20% - Accent3 2 15 2 2 3" xfId="40358"/>
    <cellStyle name="20% - Accent3 2 15 2 3" xfId="22566"/>
    <cellStyle name="20% - Accent3 2 15 2 3 2" xfId="51427"/>
    <cellStyle name="20% - Accent3 2 15 2 4" xfId="34317"/>
    <cellStyle name="20% - Accent3 2 15 3" xfId="8611"/>
    <cellStyle name="20% - Accent3 2 15 3 2" xfId="25658"/>
    <cellStyle name="20% - Accent3 2 15 3 2 2" xfId="54519"/>
    <cellStyle name="20% - Accent3 2 15 3 3" xfId="37472"/>
    <cellStyle name="20% - Accent3 2 15 4" xfId="12708"/>
    <cellStyle name="20% - Accent3 2 15 4 2" xfId="19886"/>
    <cellStyle name="20% - Accent3 2 15 4 2 2" xfId="48747"/>
    <cellStyle name="20% - Accent3 2 15 4 3" xfId="41569"/>
    <cellStyle name="20% - Accent3 2 15 5" xfId="17206"/>
    <cellStyle name="20% - Accent3 2 15 5 2" xfId="46067"/>
    <cellStyle name="20% - Accent3 2 15 6" xfId="31431"/>
    <cellStyle name="20% - Accent3 2 16" xfId="2982"/>
    <cellStyle name="20% - Accent3 2 16 2" xfId="9023"/>
    <cellStyle name="20% - Accent3 2 16 2 2" xfId="26070"/>
    <cellStyle name="20% - Accent3 2 16 2 2 2" xfId="54931"/>
    <cellStyle name="20% - Accent3 2 16 2 3" xfId="37884"/>
    <cellStyle name="20% - Accent3 2 16 3" xfId="14237"/>
    <cellStyle name="20% - Accent3 2 16 3 2" xfId="20092"/>
    <cellStyle name="20% - Accent3 2 16 3 2 2" xfId="48953"/>
    <cellStyle name="20% - Accent3 2 16 3 3" xfId="43098"/>
    <cellStyle name="20% - Accent3 2 16 4" xfId="14732"/>
    <cellStyle name="20% - Accent3 2 16 4 2" xfId="43593"/>
    <cellStyle name="20% - Accent3 2 16 5" xfId="31843"/>
    <cellStyle name="20% - Accent3 2 17" xfId="2776"/>
    <cellStyle name="20% - Accent3 2 17 2" xfId="8817"/>
    <cellStyle name="20% - Accent3 2 17 2 2" xfId="25864"/>
    <cellStyle name="20% - Accent3 2 17 2 2 2" xfId="54725"/>
    <cellStyle name="20% - Accent3 2 17 2 3" xfId="37678"/>
    <cellStyle name="20% - Accent3 2 17 3" xfId="17412"/>
    <cellStyle name="20% - Accent3 2 17 3 2" xfId="46273"/>
    <cellStyle name="20% - Accent3 2 17 4" xfId="31637"/>
    <cellStyle name="20% - Accent3 2 18" xfId="5662"/>
    <cellStyle name="20% - Accent3 2 18 2" xfId="11703"/>
    <cellStyle name="20% - Accent3 2 18 2 2" xfId="28750"/>
    <cellStyle name="20% - Accent3 2 18 2 2 2" xfId="57611"/>
    <cellStyle name="20% - Accent3 2 18 2 3" xfId="40564"/>
    <cellStyle name="20% - Accent3 2 18 3" xfId="22772"/>
    <cellStyle name="20% - Accent3 2 18 3 2" xfId="51633"/>
    <cellStyle name="20% - Accent3 2 18 4" xfId="34523"/>
    <cellStyle name="20% - Accent3 2 19" xfId="5879"/>
    <cellStyle name="20% - Accent3 2 19 2" xfId="22978"/>
    <cellStyle name="20% - Accent3 2 19 2 2" xfId="51839"/>
    <cellStyle name="20% - Accent3 2 19 3" xfId="34740"/>
    <cellStyle name="20% - Accent3 2 2" xfId="121"/>
    <cellStyle name="20% - Accent3 2 2 10" xfId="1769"/>
    <cellStyle name="20% - Accent3 2 2 10 2" xfId="4656"/>
    <cellStyle name="20% - Accent3 2 2 10 2 2" xfId="10697"/>
    <cellStyle name="20% - Accent3 2 2 10 2 2 2" xfId="27744"/>
    <cellStyle name="20% - Accent3 2 2 10 2 2 2 2" xfId="56605"/>
    <cellStyle name="20% - Accent3 2 2 10 2 2 3" xfId="39558"/>
    <cellStyle name="20% - Accent3 2 2 10 2 3" xfId="21766"/>
    <cellStyle name="20% - Accent3 2 2 10 2 3 2" xfId="50627"/>
    <cellStyle name="20% - Accent3 2 2 10 2 4" xfId="33517"/>
    <cellStyle name="20% - Accent3 2 2 10 3" xfId="7811"/>
    <cellStyle name="20% - Accent3 2 2 10 3 2" xfId="24858"/>
    <cellStyle name="20% - Accent3 2 2 10 3 2 2" xfId="53719"/>
    <cellStyle name="20% - Accent3 2 2 10 3 3" xfId="36672"/>
    <cellStyle name="20% - Accent3 2 2 10 4" xfId="13579"/>
    <cellStyle name="20% - Accent3 2 2 10 4 2" xfId="19086"/>
    <cellStyle name="20% - Accent3 2 2 10 4 2 2" xfId="47947"/>
    <cellStyle name="20% - Accent3 2 2 10 4 3" xfId="42440"/>
    <cellStyle name="20% - Accent3 2 2 10 5" xfId="16406"/>
    <cellStyle name="20% - Accent3 2 2 10 5 2" xfId="45267"/>
    <cellStyle name="20% - Accent3 2 2 10 6" xfId="30631"/>
    <cellStyle name="20% - Accent3 2 2 11" xfId="1975"/>
    <cellStyle name="20% - Accent3 2 2 11 2" xfId="4862"/>
    <cellStyle name="20% - Accent3 2 2 11 2 2" xfId="10903"/>
    <cellStyle name="20% - Accent3 2 2 11 2 2 2" xfId="27950"/>
    <cellStyle name="20% - Accent3 2 2 11 2 2 2 2" xfId="56811"/>
    <cellStyle name="20% - Accent3 2 2 11 2 2 3" xfId="39764"/>
    <cellStyle name="20% - Accent3 2 2 11 2 3" xfId="21972"/>
    <cellStyle name="20% - Accent3 2 2 11 2 3 2" xfId="50833"/>
    <cellStyle name="20% - Accent3 2 2 11 2 4" xfId="33723"/>
    <cellStyle name="20% - Accent3 2 2 11 3" xfId="8017"/>
    <cellStyle name="20% - Accent3 2 2 11 3 2" xfId="25064"/>
    <cellStyle name="20% - Accent3 2 2 11 3 2 2" xfId="53925"/>
    <cellStyle name="20% - Accent3 2 2 11 3 3" xfId="36878"/>
    <cellStyle name="20% - Accent3 2 2 11 4" xfId="12605"/>
    <cellStyle name="20% - Accent3 2 2 11 4 2" xfId="19292"/>
    <cellStyle name="20% - Accent3 2 2 11 4 2 2" xfId="48153"/>
    <cellStyle name="20% - Accent3 2 2 11 4 3" xfId="41466"/>
    <cellStyle name="20% - Accent3 2 2 11 5" xfId="16612"/>
    <cellStyle name="20% - Accent3 2 2 11 5 2" xfId="45473"/>
    <cellStyle name="20% - Accent3 2 2 11 6" xfId="30837"/>
    <cellStyle name="20% - Accent3 2 2 12" xfId="2387"/>
    <cellStyle name="20% - Accent3 2 2 12 2" xfId="5274"/>
    <cellStyle name="20% - Accent3 2 2 12 2 2" xfId="11315"/>
    <cellStyle name="20% - Accent3 2 2 12 2 2 2" xfId="28362"/>
    <cellStyle name="20% - Accent3 2 2 12 2 2 2 2" xfId="57223"/>
    <cellStyle name="20% - Accent3 2 2 12 2 2 3" xfId="40176"/>
    <cellStyle name="20% - Accent3 2 2 12 2 3" xfId="22384"/>
    <cellStyle name="20% - Accent3 2 2 12 2 3 2" xfId="51245"/>
    <cellStyle name="20% - Accent3 2 2 12 2 4" xfId="34135"/>
    <cellStyle name="20% - Accent3 2 2 12 3" xfId="8429"/>
    <cellStyle name="20% - Accent3 2 2 12 3 2" xfId="25476"/>
    <cellStyle name="20% - Accent3 2 2 12 3 2 2" xfId="54337"/>
    <cellStyle name="20% - Accent3 2 2 12 3 3" xfId="37290"/>
    <cellStyle name="20% - Accent3 2 2 12 4" xfId="12244"/>
    <cellStyle name="20% - Accent3 2 2 12 4 2" xfId="19704"/>
    <cellStyle name="20% - Accent3 2 2 12 4 2 2" xfId="48565"/>
    <cellStyle name="20% - Accent3 2 2 12 4 3" xfId="41105"/>
    <cellStyle name="20% - Accent3 2 2 12 5" xfId="17024"/>
    <cellStyle name="20% - Accent3 2 2 12 5 2" xfId="45885"/>
    <cellStyle name="20% - Accent3 2 2 12 6" xfId="31249"/>
    <cellStyle name="20% - Accent3 2 2 13" xfId="2596"/>
    <cellStyle name="20% - Accent3 2 2 13 2" xfId="5482"/>
    <cellStyle name="20% - Accent3 2 2 13 2 2" xfId="11523"/>
    <cellStyle name="20% - Accent3 2 2 13 2 2 2" xfId="28570"/>
    <cellStyle name="20% - Accent3 2 2 13 2 2 2 2" xfId="57431"/>
    <cellStyle name="20% - Accent3 2 2 13 2 2 3" xfId="40384"/>
    <cellStyle name="20% - Accent3 2 2 13 2 3" xfId="22592"/>
    <cellStyle name="20% - Accent3 2 2 13 2 3 2" xfId="51453"/>
    <cellStyle name="20% - Accent3 2 2 13 2 4" xfId="34343"/>
    <cellStyle name="20% - Accent3 2 2 13 3" xfId="8637"/>
    <cellStyle name="20% - Accent3 2 2 13 3 2" xfId="25684"/>
    <cellStyle name="20% - Accent3 2 2 13 3 2 2" xfId="54545"/>
    <cellStyle name="20% - Accent3 2 2 13 3 3" xfId="37498"/>
    <cellStyle name="20% - Accent3 2 2 13 4" xfId="14106"/>
    <cellStyle name="20% - Accent3 2 2 13 4 2" xfId="19912"/>
    <cellStyle name="20% - Accent3 2 2 13 4 2 2" xfId="48773"/>
    <cellStyle name="20% - Accent3 2 2 13 4 3" xfId="42967"/>
    <cellStyle name="20% - Accent3 2 2 13 5" xfId="17232"/>
    <cellStyle name="20% - Accent3 2 2 13 5 2" xfId="46093"/>
    <cellStyle name="20% - Accent3 2 2 13 6" xfId="31457"/>
    <cellStyle name="20% - Accent3 2 2 14" xfId="3008"/>
    <cellStyle name="20% - Accent3 2 2 14 2" xfId="9049"/>
    <cellStyle name="20% - Accent3 2 2 14 2 2" xfId="26096"/>
    <cellStyle name="20% - Accent3 2 2 14 2 2 2" xfId="54957"/>
    <cellStyle name="20% - Accent3 2 2 14 2 3" xfId="37910"/>
    <cellStyle name="20% - Accent3 2 2 14 3" xfId="12695"/>
    <cellStyle name="20% - Accent3 2 2 14 3 2" xfId="20118"/>
    <cellStyle name="20% - Accent3 2 2 14 3 2 2" xfId="48979"/>
    <cellStyle name="20% - Accent3 2 2 14 3 3" xfId="41556"/>
    <cellStyle name="20% - Accent3 2 2 14 4" xfId="14758"/>
    <cellStyle name="20% - Accent3 2 2 14 4 2" xfId="43619"/>
    <cellStyle name="20% - Accent3 2 2 14 5" xfId="31869"/>
    <cellStyle name="20% - Accent3 2 2 15" xfId="2802"/>
    <cellStyle name="20% - Accent3 2 2 15 2" xfId="8843"/>
    <cellStyle name="20% - Accent3 2 2 15 2 2" xfId="25890"/>
    <cellStyle name="20% - Accent3 2 2 15 2 2 2" xfId="54751"/>
    <cellStyle name="20% - Accent3 2 2 15 2 3" xfId="37704"/>
    <cellStyle name="20% - Accent3 2 2 15 3" xfId="17438"/>
    <cellStyle name="20% - Accent3 2 2 15 3 2" xfId="46299"/>
    <cellStyle name="20% - Accent3 2 2 15 4" xfId="31663"/>
    <cellStyle name="20% - Accent3 2 2 16" xfId="5688"/>
    <cellStyle name="20% - Accent3 2 2 16 2" xfId="11729"/>
    <cellStyle name="20% - Accent3 2 2 16 2 2" xfId="28776"/>
    <cellStyle name="20% - Accent3 2 2 16 2 2 2" xfId="57637"/>
    <cellStyle name="20% - Accent3 2 2 16 2 3" xfId="40590"/>
    <cellStyle name="20% - Accent3 2 2 16 3" xfId="22798"/>
    <cellStyle name="20% - Accent3 2 2 16 3 2" xfId="51659"/>
    <cellStyle name="20% - Accent3 2 2 16 4" xfId="34549"/>
    <cellStyle name="20% - Accent3 2 2 17" xfId="5905"/>
    <cellStyle name="20% - Accent3 2 2 17 2" xfId="23004"/>
    <cellStyle name="20% - Accent3 2 2 17 2 2" xfId="51865"/>
    <cellStyle name="20% - Accent3 2 2 17 3" xfId="34766"/>
    <cellStyle name="20% - Accent3 2 2 18" xfId="6163"/>
    <cellStyle name="20% - Accent3 2 2 18 2" xfId="23210"/>
    <cellStyle name="20% - Accent3 2 2 18 2 2" xfId="52071"/>
    <cellStyle name="20% - Accent3 2 2 18 3" xfId="35024"/>
    <cellStyle name="20% - Accent3 2 2 19" xfId="14552"/>
    <cellStyle name="20% - Accent3 2 2 19 2" xfId="43413"/>
    <cellStyle name="20% - Accent3 2 2 2" xfId="327"/>
    <cellStyle name="20% - Accent3 2 2 2 10" xfId="2490"/>
    <cellStyle name="20% - Accent3 2 2 2 10 2" xfId="5377"/>
    <cellStyle name="20% - Accent3 2 2 2 10 2 2" xfId="11418"/>
    <cellStyle name="20% - Accent3 2 2 2 10 2 2 2" xfId="28465"/>
    <cellStyle name="20% - Accent3 2 2 2 10 2 2 2 2" xfId="57326"/>
    <cellStyle name="20% - Accent3 2 2 2 10 2 2 3" xfId="40279"/>
    <cellStyle name="20% - Accent3 2 2 2 10 2 3" xfId="22487"/>
    <cellStyle name="20% - Accent3 2 2 2 10 2 3 2" xfId="51348"/>
    <cellStyle name="20% - Accent3 2 2 2 10 2 4" xfId="34238"/>
    <cellStyle name="20% - Accent3 2 2 2 10 3" xfId="8532"/>
    <cellStyle name="20% - Accent3 2 2 2 10 3 2" xfId="25579"/>
    <cellStyle name="20% - Accent3 2 2 2 10 3 2 2" xfId="54440"/>
    <cellStyle name="20% - Accent3 2 2 2 10 3 3" xfId="37393"/>
    <cellStyle name="20% - Accent3 2 2 2 10 4" xfId="13242"/>
    <cellStyle name="20% - Accent3 2 2 2 10 4 2" xfId="19807"/>
    <cellStyle name="20% - Accent3 2 2 2 10 4 2 2" xfId="48668"/>
    <cellStyle name="20% - Accent3 2 2 2 10 4 3" xfId="42103"/>
    <cellStyle name="20% - Accent3 2 2 2 10 5" xfId="17127"/>
    <cellStyle name="20% - Accent3 2 2 2 10 5 2" xfId="45988"/>
    <cellStyle name="20% - Accent3 2 2 2 10 6" xfId="31352"/>
    <cellStyle name="20% - Accent3 2 2 2 11" xfId="2699"/>
    <cellStyle name="20% - Accent3 2 2 2 11 2" xfId="5585"/>
    <cellStyle name="20% - Accent3 2 2 2 11 2 2" xfId="11626"/>
    <cellStyle name="20% - Accent3 2 2 2 11 2 2 2" xfId="28673"/>
    <cellStyle name="20% - Accent3 2 2 2 11 2 2 2 2" xfId="57534"/>
    <cellStyle name="20% - Accent3 2 2 2 11 2 2 3" xfId="40487"/>
    <cellStyle name="20% - Accent3 2 2 2 11 2 3" xfId="22695"/>
    <cellStyle name="20% - Accent3 2 2 2 11 2 3 2" xfId="51556"/>
    <cellStyle name="20% - Accent3 2 2 2 11 2 4" xfId="34446"/>
    <cellStyle name="20% - Accent3 2 2 2 11 3" xfId="8740"/>
    <cellStyle name="20% - Accent3 2 2 2 11 3 2" xfId="25787"/>
    <cellStyle name="20% - Accent3 2 2 2 11 3 2 2" xfId="54648"/>
    <cellStyle name="20% - Accent3 2 2 2 11 3 3" xfId="37601"/>
    <cellStyle name="20% - Accent3 2 2 2 11 4" xfId="13813"/>
    <cellStyle name="20% - Accent3 2 2 2 11 4 2" xfId="20015"/>
    <cellStyle name="20% - Accent3 2 2 2 11 4 2 2" xfId="48876"/>
    <cellStyle name="20% - Accent3 2 2 2 11 4 3" xfId="42674"/>
    <cellStyle name="20% - Accent3 2 2 2 11 5" xfId="17335"/>
    <cellStyle name="20% - Accent3 2 2 2 11 5 2" xfId="46196"/>
    <cellStyle name="20% - Accent3 2 2 2 11 6" xfId="31560"/>
    <cellStyle name="20% - Accent3 2 2 2 12" xfId="3214"/>
    <cellStyle name="20% - Accent3 2 2 2 12 2" xfId="9255"/>
    <cellStyle name="20% - Accent3 2 2 2 12 2 2" xfId="26302"/>
    <cellStyle name="20% - Accent3 2 2 2 12 2 2 2" xfId="55163"/>
    <cellStyle name="20% - Accent3 2 2 2 12 2 3" xfId="38116"/>
    <cellStyle name="20% - Accent3 2 2 2 12 3" xfId="13666"/>
    <cellStyle name="20% - Accent3 2 2 2 12 3 2" xfId="20324"/>
    <cellStyle name="20% - Accent3 2 2 2 12 3 2 2" xfId="49185"/>
    <cellStyle name="20% - Accent3 2 2 2 12 3 3" xfId="42527"/>
    <cellStyle name="20% - Accent3 2 2 2 12 4" xfId="14964"/>
    <cellStyle name="20% - Accent3 2 2 2 12 4 2" xfId="43825"/>
    <cellStyle name="20% - Accent3 2 2 2 12 5" xfId="32075"/>
    <cellStyle name="20% - Accent3 2 2 2 13" xfId="2905"/>
    <cellStyle name="20% - Accent3 2 2 2 13 2" xfId="8946"/>
    <cellStyle name="20% - Accent3 2 2 2 13 2 2" xfId="25993"/>
    <cellStyle name="20% - Accent3 2 2 2 13 2 2 2" xfId="54854"/>
    <cellStyle name="20% - Accent3 2 2 2 13 2 3" xfId="37807"/>
    <cellStyle name="20% - Accent3 2 2 2 13 3" xfId="17541"/>
    <cellStyle name="20% - Accent3 2 2 2 13 3 2" xfId="46402"/>
    <cellStyle name="20% - Accent3 2 2 2 13 4" xfId="31766"/>
    <cellStyle name="20% - Accent3 2 2 2 14" xfId="5791"/>
    <cellStyle name="20% - Accent3 2 2 2 14 2" xfId="11832"/>
    <cellStyle name="20% - Accent3 2 2 2 14 2 2" xfId="28879"/>
    <cellStyle name="20% - Accent3 2 2 2 14 2 2 2" xfId="57740"/>
    <cellStyle name="20% - Accent3 2 2 2 14 2 3" xfId="40693"/>
    <cellStyle name="20% - Accent3 2 2 2 14 3" xfId="22901"/>
    <cellStyle name="20% - Accent3 2 2 2 14 3 2" xfId="51762"/>
    <cellStyle name="20% - Accent3 2 2 2 14 4" xfId="34652"/>
    <cellStyle name="20% - Accent3 2 2 2 15" xfId="6008"/>
    <cellStyle name="20% - Accent3 2 2 2 15 2" xfId="23107"/>
    <cellStyle name="20% - Accent3 2 2 2 15 2 2" xfId="51968"/>
    <cellStyle name="20% - Accent3 2 2 2 15 3" xfId="34869"/>
    <cellStyle name="20% - Accent3 2 2 2 16" xfId="6369"/>
    <cellStyle name="20% - Accent3 2 2 2 16 2" xfId="23416"/>
    <cellStyle name="20% - Accent3 2 2 2 16 2 2" xfId="52277"/>
    <cellStyle name="20% - Accent3 2 2 2 16 3" xfId="35230"/>
    <cellStyle name="20% - Accent3 2 2 2 17" xfId="14655"/>
    <cellStyle name="20% - Accent3 2 2 2 17 2" xfId="43516"/>
    <cellStyle name="20% - Accent3 2 2 2 18" xfId="29189"/>
    <cellStyle name="20% - Accent3 2 2 2 2" xfId="533"/>
    <cellStyle name="20% - Accent3 2 2 2 2 2" xfId="2284"/>
    <cellStyle name="20% - Accent3 2 2 2 2 2 2" xfId="5171"/>
    <cellStyle name="20% - Accent3 2 2 2 2 2 2 2" xfId="11212"/>
    <cellStyle name="20% - Accent3 2 2 2 2 2 2 2 2" xfId="28259"/>
    <cellStyle name="20% - Accent3 2 2 2 2 2 2 2 2 2" xfId="57120"/>
    <cellStyle name="20% - Accent3 2 2 2 2 2 2 2 3" xfId="40073"/>
    <cellStyle name="20% - Accent3 2 2 2 2 2 2 3" xfId="22281"/>
    <cellStyle name="20% - Accent3 2 2 2 2 2 2 3 2" xfId="51142"/>
    <cellStyle name="20% - Accent3 2 2 2 2 2 2 4" xfId="34032"/>
    <cellStyle name="20% - Accent3 2 2 2 2 2 3" xfId="8326"/>
    <cellStyle name="20% - Accent3 2 2 2 2 2 3 2" xfId="25373"/>
    <cellStyle name="20% - Accent3 2 2 2 2 2 3 2 2" xfId="54234"/>
    <cellStyle name="20% - Accent3 2 2 2 2 2 3 3" xfId="37187"/>
    <cellStyle name="20% - Accent3 2 2 2 2 2 4" xfId="12621"/>
    <cellStyle name="20% - Accent3 2 2 2 2 2 4 2" xfId="19601"/>
    <cellStyle name="20% - Accent3 2 2 2 2 2 4 2 2" xfId="48462"/>
    <cellStyle name="20% - Accent3 2 2 2 2 2 4 3" xfId="41482"/>
    <cellStyle name="20% - Accent3 2 2 2 2 2 5" xfId="16921"/>
    <cellStyle name="20% - Accent3 2 2 2 2 2 5 2" xfId="45782"/>
    <cellStyle name="20% - Accent3 2 2 2 2 2 6" xfId="31146"/>
    <cellStyle name="20% - Accent3 2 2 2 2 3" xfId="3420"/>
    <cellStyle name="20% - Accent3 2 2 2 2 3 2" xfId="9461"/>
    <cellStyle name="20% - Accent3 2 2 2 2 3 2 2" xfId="26508"/>
    <cellStyle name="20% - Accent3 2 2 2 2 3 2 2 2" xfId="55369"/>
    <cellStyle name="20% - Accent3 2 2 2 2 3 2 3" xfId="38322"/>
    <cellStyle name="20% - Accent3 2 2 2 2 3 3" xfId="20530"/>
    <cellStyle name="20% - Accent3 2 2 2 2 3 3 2" xfId="49391"/>
    <cellStyle name="20% - Accent3 2 2 2 2 3 4" xfId="32281"/>
    <cellStyle name="20% - Accent3 2 2 2 2 4" xfId="6575"/>
    <cellStyle name="20% - Accent3 2 2 2 2 4 2" xfId="23622"/>
    <cellStyle name="20% - Accent3 2 2 2 2 4 2 2" xfId="52483"/>
    <cellStyle name="20% - Accent3 2 2 2 2 4 3" xfId="35436"/>
    <cellStyle name="20% - Accent3 2 2 2 2 5" xfId="13509"/>
    <cellStyle name="20% - Accent3 2 2 2 2 5 2" xfId="17850"/>
    <cellStyle name="20% - Accent3 2 2 2 2 5 2 2" xfId="46711"/>
    <cellStyle name="20% - Accent3 2 2 2 2 5 3" xfId="42370"/>
    <cellStyle name="20% - Accent3 2 2 2 2 6" xfId="15170"/>
    <cellStyle name="20% - Accent3 2 2 2 2 6 2" xfId="44031"/>
    <cellStyle name="20% - Accent3 2 2 2 2 7" xfId="29395"/>
    <cellStyle name="20% - Accent3 2 2 2 3" xfId="842"/>
    <cellStyle name="20% - Accent3 2 2 2 3 2" xfId="3729"/>
    <cellStyle name="20% - Accent3 2 2 2 3 2 2" xfId="9770"/>
    <cellStyle name="20% - Accent3 2 2 2 3 2 2 2" xfId="26817"/>
    <cellStyle name="20% - Accent3 2 2 2 3 2 2 2 2" xfId="55678"/>
    <cellStyle name="20% - Accent3 2 2 2 3 2 2 3" xfId="38631"/>
    <cellStyle name="20% - Accent3 2 2 2 3 2 3" xfId="20839"/>
    <cellStyle name="20% - Accent3 2 2 2 3 2 3 2" xfId="49700"/>
    <cellStyle name="20% - Accent3 2 2 2 3 2 4" xfId="32590"/>
    <cellStyle name="20% - Accent3 2 2 2 3 3" xfId="6884"/>
    <cellStyle name="20% - Accent3 2 2 2 3 3 2" xfId="23931"/>
    <cellStyle name="20% - Accent3 2 2 2 3 3 2 2" xfId="52792"/>
    <cellStyle name="20% - Accent3 2 2 2 3 3 3" xfId="35745"/>
    <cellStyle name="20% - Accent3 2 2 2 3 4" xfId="12765"/>
    <cellStyle name="20% - Accent3 2 2 2 3 4 2" xfId="18159"/>
    <cellStyle name="20% - Accent3 2 2 2 3 4 2 2" xfId="47020"/>
    <cellStyle name="20% - Accent3 2 2 2 3 4 3" xfId="41626"/>
    <cellStyle name="20% - Accent3 2 2 2 3 5" xfId="15479"/>
    <cellStyle name="20% - Accent3 2 2 2 3 5 2" xfId="44340"/>
    <cellStyle name="20% - Accent3 2 2 2 3 6" xfId="29704"/>
    <cellStyle name="20% - Accent3 2 2 2 4" xfId="1048"/>
    <cellStyle name="20% - Accent3 2 2 2 4 2" xfId="3935"/>
    <cellStyle name="20% - Accent3 2 2 2 4 2 2" xfId="9976"/>
    <cellStyle name="20% - Accent3 2 2 2 4 2 2 2" xfId="27023"/>
    <cellStyle name="20% - Accent3 2 2 2 4 2 2 2 2" xfId="55884"/>
    <cellStyle name="20% - Accent3 2 2 2 4 2 2 3" xfId="38837"/>
    <cellStyle name="20% - Accent3 2 2 2 4 2 3" xfId="21045"/>
    <cellStyle name="20% - Accent3 2 2 2 4 2 3 2" xfId="49906"/>
    <cellStyle name="20% - Accent3 2 2 2 4 2 4" xfId="32796"/>
    <cellStyle name="20% - Accent3 2 2 2 4 3" xfId="7090"/>
    <cellStyle name="20% - Accent3 2 2 2 4 3 2" xfId="24137"/>
    <cellStyle name="20% - Accent3 2 2 2 4 3 2 2" xfId="52998"/>
    <cellStyle name="20% - Accent3 2 2 2 4 3 3" xfId="35951"/>
    <cellStyle name="20% - Accent3 2 2 2 4 4" xfId="13727"/>
    <cellStyle name="20% - Accent3 2 2 2 4 4 2" xfId="18365"/>
    <cellStyle name="20% - Accent3 2 2 2 4 4 2 2" xfId="47226"/>
    <cellStyle name="20% - Accent3 2 2 2 4 4 3" xfId="42588"/>
    <cellStyle name="20% - Accent3 2 2 2 4 5" xfId="15685"/>
    <cellStyle name="20% - Accent3 2 2 2 4 5 2" xfId="44546"/>
    <cellStyle name="20% - Accent3 2 2 2 4 6" xfId="29910"/>
    <cellStyle name="20% - Accent3 2 2 2 5" xfId="1254"/>
    <cellStyle name="20% - Accent3 2 2 2 5 2" xfId="4141"/>
    <cellStyle name="20% - Accent3 2 2 2 5 2 2" xfId="10182"/>
    <cellStyle name="20% - Accent3 2 2 2 5 2 2 2" xfId="27229"/>
    <cellStyle name="20% - Accent3 2 2 2 5 2 2 2 2" xfId="56090"/>
    <cellStyle name="20% - Accent3 2 2 2 5 2 2 3" xfId="39043"/>
    <cellStyle name="20% - Accent3 2 2 2 5 2 3" xfId="21251"/>
    <cellStyle name="20% - Accent3 2 2 2 5 2 3 2" xfId="50112"/>
    <cellStyle name="20% - Accent3 2 2 2 5 2 4" xfId="33002"/>
    <cellStyle name="20% - Accent3 2 2 2 5 3" xfId="7296"/>
    <cellStyle name="20% - Accent3 2 2 2 5 3 2" xfId="24343"/>
    <cellStyle name="20% - Accent3 2 2 2 5 3 2 2" xfId="53204"/>
    <cellStyle name="20% - Accent3 2 2 2 5 3 3" xfId="36157"/>
    <cellStyle name="20% - Accent3 2 2 2 5 4" xfId="12055"/>
    <cellStyle name="20% - Accent3 2 2 2 5 4 2" xfId="18571"/>
    <cellStyle name="20% - Accent3 2 2 2 5 4 2 2" xfId="47432"/>
    <cellStyle name="20% - Accent3 2 2 2 5 4 3" xfId="40916"/>
    <cellStyle name="20% - Accent3 2 2 2 5 5" xfId="15891"/>
    <cellStyle name="20% - Accent3 2 2 2 5 5 2" xfId="44752"/>
    <cellStyle name="20% - Accent3 2 2 2 5 6" xfId="30116"/>
    <cellStyle name="20% - Accent3 2 2 2 6" xfId="1460"/>
    <cellStyle name="20% - Accent3 2 2 2 6 2" xfId="4347"/>
    <cellStyle name="20% - Accent3 2 2 2 6 2 2" xfId="10388"/>
    <cellStyle name="20% - Accent3 2 2 2 6 2 2 2" xfId="27435"/>
    <cellStyle name="20% - Accent3 2 2 2 6 2 2 2 2" xfId="56296"/>
    <cellStyle name="20% - Accent3 2 2 2 6 2 2 3" xfId="39249"/>
    <cellStyle name="20% - Accent3 2 2 2 6 2 3" xfId="21457"/>
    <cellStyle name="20% - Accent3 2 2 2 6 2 3 2" xfId="50318"/>
    <cellStyle name="20% - Accent3 2 2 2 6 2 4" xfId="33208"/>
    <cellStyle name="20% - Accent3 2 2 2 6 3" xfId="7502"/>
    <cellStyle name="20% - Accent3 2 2 2 6 3 2" xfId="24549"/>
    <cellStyle name="20% - Accent3 2 2 2 6 3 2 2" xfId="53410"/>
    <cellStyle name="20% - Accent3 2 2 2 6 3 3" xfId="36363"/>
    <cellStyle name="20% - Accent3 2 2 2 6 4" xfId="13787"/>
    <cellStyle name="20% - Accent3 2 2 2 6 4 2" xfId="18777"/>
    <cellStyle name="20% - Accent3 2 2 2 6 4 2 2" xfId="47638"/>
    <cellStyle name="20% - Accent3 2 2 2 6 4 3" xfId="42648"/>
    <cellStyle name="20% - Accent3 2 2 2 6 5" xfId="16097"/>
    <cellStyle name="20% - Accent3 2 2 2 6 5 2" xfId="44958"/>
    <cellStyle name="20% - Accent3 2 2 2 6 6" xfId="30322"/>
    <cellStyle name="20% - Accent3 2 2 2 7" xfId="1666"/>
    <cellStyle name="20% - Accent3 2 2 2 7 2" xfId="4553"/>
    <cellStyle name="20% - Accent3 2 2 2 7 2 2" xfId="10594"/>
    <cellStyle name="20% - Accent3 2 2 2 7 2 2 2" xfId="27641"/>
    <cellStyle name="20% - Accent3 2 2 2 7 2 2 2 2" xfId="56502"/>
    <cellStyle name="20% - Accent3 2 2 2 7 2 2 3" xfId="39455"/>
    <cellStyle name="20% - Accent3 2 2 2 7 2 3" xfId="21663"/>
    <cellStyle name="20% - Accent3 2 2 2 7 2 3 2" xfId="50524"/>
    <cellStyle name="20% - Accent3 2 2 2 7 2 4" xfId="33414"/>
    <cellStyle name="20% - Accent3 2 2 2 7 3" xfId="7708"/>
    <cellStyle name="20% - Accent3 2 2 2 7 3 2" xfId="24755"/>
    <cellStyle name="20% - Accent3 2 2 2 7 3 2 2" xfId="53616"/>
    <cellStyle name="20% - Accent3 2 2 2 7 3 3" xfId="36569"/>
    <cellStyle name="20% - Accent3 2 2 2 7 4" xfId="13979"/>
    <cellStyle name="20% - Accent3 2 2 2 7 4 2" xfId="18983"/>
    <cellStyle name="20% - Accent3 2 2 2 7 4 2 2" xfId="47844"/>
    <cellStyle name="20% - Accent3 2 2 2 7 4 3" xfId="42840"/>
    <cellStyle name="20% - Accent3 2 2 2 7 5" xfId="16303"/>
    <cellStyle name="20% - Accent3 2 2 2 7 5 2" xfId="45164"/>
    <cellStyle name="20% - Accent3 2 2 2 7 6" xfId="30528"/>
    <cellStyle name="20% - Accent3 2 2 2 8" xfId="1872"/>
    <cellStyle name="20% - Accent3 2 2 2 8 2" xfId="4759"/>
    <cellStyle name="20% - Accent3 2 2 2 8 2 2" xfId="10800"/>
    <cellStyle name="20% - Accent3 2 2 2 8 2 2 2" xfId="27847"/>
    <cellStyle name="20% - Accent3 2 2 2 8 2 2 2 2" xfId="56708"/>
    <cellStyle name="20% - Accent3 2 2 2 8 2 2 3" xfId="39661"/>
    <cellStyle name="20% - Accent3 2 2 2 8 2 3" xfId="21869"/>
    <cellStyle name="20% - Accent3 2 2 2 8 2 3 2" xfId="50730"/>
    <cellStyle name="20% - Accent3 2 2 2 8 2 4" xfId="33620"/>
    <cellStyle name="20% - Accent3 2 2 2 8 3" xfId="7914"/>
    <cellStyle name="20% - Accent3 2 2 2 8 3 2" xfId="24961"/>
    <cellStyle name="20% - Accent3 2 2 2 8 3 2 2" xfId="53822"/>
    <cellStyle name="20% - Accent3 2 2 2 8 3 3" xfId="36775"/>
    <cellStyle name="20% - Accent3 2 2 2 8 4" xfId="12653"/>
    <cellStyle name="20% - Accent3 2 2 2 8 4 2" xfId="19189"/>
    <cellStyle name="20% - Accent3 2 2 2 8 4 2 2" xfId="48050"/>
    <cellStyle name="20% - Accent3 2 2 2 8 4 3" xfId="41514"/>
    <cellStyle name="20% - Accent3 2 2 2 8 5" xfId="16509"/>
    <cellStyle name="20% - Accent3 2 2 2 8 5 2" xfId="45370"/>
    <cellStyle name="20% - Accent3 2 2 2 8 6" xfId="30734"/>
    <cellStyle name="20% - Accent3 2 2 2 9" xfId="2078"/>
    <cellStyle name="20% - Accent3 2 2 2 9 2" xfId="4965"/>
    <cellStyle name="20% - Accent3 2 2 2 9 2 2" xfId="11006"/>
    <cellStyle name="20% - Accent3 2 2 2 9 2 2 2" xfId="28053"/>
    <cellStyle name="20% - Accent3 2 2 2 9 2 2 2 2" xfId="56914"/>
    <cellStyle name="20% - Accent3 2 2 2 9 2 2 3" xfId="39867"/>
    <cellStyle name="20% - Accent3 2 2 2 9 2 3" xfId="22075"/>
    <cellStyle name="20% - Accent3 2 2 2 9 2 3 2" xfId="50936"/>
    <cellStyle name="20% - Accent3 2 2 2 9 2 4" xfId="33826"/>
    <cellStyle name="20% - Accent3 2 2 2 9 3" xfId="8120"/>
    <cellStyle name="20% - Accent3 2 2 2 9 3 2" xfId="25167"/>
    <cellStyle name="20% - Accent3 2 2 2 9 3 2 2" xfId="54028"/>
    <cellStyle name="20% - Accent3 2 2 2 9 3 3" xfId="36981"/>
    <cellStyle name="20% - Accent3 2 2 2 9 4" xfId="12519"/>
    <cellStyle name="20% - Accent3 2 2 2 9 4 2" xfId="19395"/>
    <cellStyle name="20% - Accent3 2 2 2 9 4 2 2" xfId="48256"/>
    <cellStyle name="20% - Accent3 2 2 2 9 4 3" xfId="41380"/>
    <cellStyle name="20% - Accent3 2 2 2 9 5" xfId="16715"/>
    <cellStyle name="20% - Accent3 2 2 2 9 5 2" xfId="45576"/>
    <cellStyle name="20% - Accent3 2 2 2 9 6" xfId="30940"/>
    <cellStyle name="20% - Accent3 2 2 20" xfId="28983"/>
    <cellStyle name="20% - Accent3 2 2 3" xfId="224"/>
    <cellStyle name="20% - Accent3 2 2 3 2" xfId="636"/>
    <cellStyle name="20% - Accent3 2 2 3 2 2" xfId="3523"/>
    <cellStyle name="20% - Accent3 2 2 3 2 2 2" xfId="9564"/>
    <cellStyle name="20% - Accent3 2 2 3 2 2 2 2" xfId="26611"/>
    <cellStyle name="20% - Accent3 2 2 3 2 2 2 2 2" xfId="55472"/>
    <cellStyle name="20% - Accent3 2 2 3 2 2 2 3" xfId="38425"/>
    <cellStyle name="20% - Accent3 2 2 3 2 2 3" xfId="20633"/>
    <cellStyle name="20% - Accent3 2 2 3 2 2 3 2" xfId="49494"/>
    <cellStyle name="20% - Accent3 2 2 3 2 2 4" xfId="32384"/>
    <cellStyle name="20% - Accent3 2 2 3 2 3" xfId="6678"/>
    <cellStyle name="20% - Accent3 2 2 3 2 3 2" xfId="23725"/>
    <cellStyle name="20% - Accent3 2 2 3 2 3 2 2" xfId="52586"/>
    <cellStyle name="20% - Accent3 2 2 3 2 3 3" xfId="35539"/>
    <cellStyle name="20% - Accent3 2 2 3 2 4" xfId="12102"/>
    <cellStyle name="20% - Accent3 2 2 3 2 4 2" xfId="17953"/>
    <cellStyle name="20% - Accent3 2 2 3 2 4 2 2" xfId="46814"/>
    <cellStyle name="20% - Accent3 2 2 3 2 4 3" xfId="40963"/>
    <cellStyle name="20% - Accent3 2 2 3 2 5" xfId="15273"/>
    <cellStyle name="20% - Accent3 2 2 3 2 5 2" xfId="44134"/>
    <cellStyle name="20% - Accent3 2 2 3 2 6" xfId="29498"/>
    <cellStyle name="20% - Accent3 2 2 3 3" xfId="2181"/>
    <cellStyle name="20% - Accent3 2 2 3 3 2" xfId="5068"/>
    <cellStyle name="20% - Accent3 2 2 3 3 2 2" xfId="11109"/>
    <cellStyle name="20% - Accent3 2 2 3 3 2 2 2" xfId="28156"/>
    <cellStyle name="20% - Accent3 2 2 3 3 2 2 2 2" xfId="57017"/>
    <cellStyle name="20% - Accent3 2 2 3 3 2 2 3" xfId="39970"/>
    <cellStyle name="20% - Accent3 2 2 3 3 2 3" xfId="22178"/>
    <cellStyle name="20% - Accent3 2 2 3 3 2 3 2" xfId="51039"/>
    <cellStyle name="20% - Accent3 2 2 3 3 2 4" xfId="33929"/>
    <cellStyle name="20% - Accent3 2 2 3 3 3" xfId="8223"/>
    <cellStyle name="20% - Accent3 2 2 3 3 3 2" xfId="25270"/>
    <cellStyle name="20% - Accent3 2 2 3 3 3 2 2" xfId="54131"/>
    <cellStyle name="20% - Accent3 2 2 3 3 3 3" xfId="37084"/>
    <cellStyle name="20% - Accent3 2 2 3 3 4" xfId="13375"/>
    <cellStyle name="20% - Accent3 2 2 3 3 4 2" xfId="19498"/>
    <cellStyle name="20% - Accent3 2 2 3 3 4 2 2" xfId="48359"/>
    <cellStyle name="20% - Accent3 2 2 3 3 4 3" xfId="42236"/>
    <cellStyle name="20% - Accent3 2 2 3 3 5" xfId="16818"/>
    <cellStyle name="20% - Accent3 2 2 3 3 5 2" xfId="45679"/>
    <cellStyle name="20% - Accent3 2 2 3 3 6" xfId="31043"/>
    <cellStyle name="20% - Accent3 2 2 3 4" xfId="3111"/>
    <cellStyle name="20% - Accent3 2 2 3 4 2" xfId="9152"/>
    <cellStyle name="20% - Accent3 2 2 3 4 2 2" xfId="26199"/>
    <cellStyle name="20% - Accent3 2 2 3 4 2 2 2" xfId="55060"/>
    <cellStyle name="20% - Accent3 2 2 3 4 2 3" xfId="38013"/>
    <cellStyle name="20% - Accent3 2 2 3 4 3" xfId="20221"/>
    <cellStyle name="20% - Accent3 2 2 3 4 3 2" xfId="49082"/>
    <cellStyle name="20% - Accent3 2 2 3 4 4" xfId="31972"/>
    <cellStyle name="20% - Accent3 2 2 3 5" xfId="6266"/>
    <cellStyle name="20% - Accent3 2 2 3 5 2" xfId="23313"/>
    <cellStyle name="20% - Accent3 2 2 3 5 2 2" xfId="52174"/>
    <cellStyle name="20% - Accent3 2 2 3 5 3" xfId="35127"/>
    <cellStyle name="20% - Accent3 2 2 3 6" xfId="13073"/>
    <cellStyle name="20% - Accent3 2 2 3 6 2" xfId="17644"/>
    <cellStyle name="20% - Accent3 2 2 3 6 2 2" xfId="46505"/>
    <cellStyle name="20% - Accent3 2 2 3 6 3" xfId="41934"/>
    <cellStyle name="20% - Accent3 2 2 3 7" xfId="14861"/>
    <cellStyle name="20% - Accent3 2 2 3 7 2" xfId="43722"/>
    <cellStyle name="20% - Accent3 2 2 3 8" xfId="29086"/>
    <cellStyle name="20% - Accent3 2 2 4" xfId="430"/>
    <cellStyle name="20% - Accent3 2 2 4 2" xfId="3317"/>
    <cellStyle name="20% - Accent3 2 2 4 2 2" xfId="9358"/>
    <cellStyle name="20% - Accent3 2 2 4 2 2 2" xfId="26405"/>
    <cellStyle name="20% - Accent3 2 2 4 2 2 2 2" xfId="55266"/>
    <cellStyle name="20% - Accent3 2 2 4 2 2 3" xfId="38219"/>
    <cellStyle name="20% - Accent3 2 2 4 2 3" xfId="20427"/>
    <cellStyle name="20% - Accent3 2 2 4 2 3 2" xfId="49288"/>
    <cellStyle name="20% - Accent3 2 2 4 2 4" xfId="32178"/>
    <cellStyle name="20% - Accent3 2 2 4 3" xfId="6472"/>
    <cellStyle name="20% - Accent3 2 2 4 3 2" xfId="23519"/>
    <cellStyle name="20% - Accent3 2 2 4 3 2 2" xfId="52380"/>
    <cellStyle name="20% - Accent3 2 2 4 3 3" xfId="35333"/>
    <cellStyle name="20% - Accent3 2 2 4 4" xfId="14208"/>
    <cellStyle name="20% - Accent3 2 2 4 4 2" xfId="17747"/>
    <cellStyle name="20% - Accent3 2 2 4 4 2 2" xfId="46608"/>
    <cellStyle name="20% - Accent3 2 2 4 4 3" xfId="43069"/>
    <cellStyle name="20% - Accent3 2 2 4 5" xfId="15067"/>
    <cellStyle name="20% - Accent3 2 2 4 5 2" xfId="43928"/>
    <cellStyle name="20% - Accent3 2 2 4 6" xfId="29292"/>
    <cellStyle name="20% - Accent3 2 2 5" xfId="739"/>
    <cellStyle name="20% - Accent3 2 2 5 2" xfId="3626"/>
    <cellStyle name="20% - Accent3 2 2 5 2 2" xfId="9667"/>
    <cellStyle name="20% - Accent3 2 2 5 2 2 2" xfId="26714"/>
    <cellStyle name="20% - Accent3 2 2 5 2 2 2 2" xfId="55575"/>
    <cellStyle name="20% - Accent3 2 2 5 2 2 3" xfId="38528"/>
    <cellStyle name="20% - Accent3 2 2 5 2 3" xfId="20736"/>
    <cellStyle name="20% - Accent3 2 2 5 2 3 2" xfId="49597"/>
    <cellStyle name="20% - Accent3 2 2 5 2 4" xfId="32487"/>
    <cellStyle name="20% - Accent3 2 2 5 3" xfId="6781"/>
    <cellStyle name="20% - Accent3 2 2 5 3 2" xfId="23828"/>
    <cellStyle name="20% - Accent3 2 2 5 3 2 2" xfId="52689"/>
    <cellStyle name="20% - Accent3 2 2 5 3 3" xfId="35642"/>
    <cellStyle name="20% - Accent3 2 2 5 4" xfId="13430"/>
    <cellStyle name="20% - Accent3 2 2 5 4 2" xfId="18056"/>
    <cellStyle name="20% - Accent3 2 2 5 4 2 2" xfId="46917"/>
    <cellStyle name="20% - Accent3 2 2 5 4 3" xfId="42291"/>
    <cellStyle name="20% - Accent3 2 2 5 5" xfId="15376"/>
    <cellStyle name="20% - Accent3 2 2 5 5 2" xfId="44237"/>
    <cellStyle name="20% - Accent3 2 2 5 6" xfId="29601"/>
    <cellStyle name="20% - Accent3 2 2 6" xfId="945"/>
    <cellStyle name="20% - Accent3 2 2 6 2" xfId="3832"/>
    <cellStyle name="20% - Accent3 2 2 6 2 2" xfId="9873"/>
    <cellStyle name="20% - Accent3 2 2 6 2 2 2" xfId="26920"/>
    <cellStyle name="20% - Accent3 2 2 6 2 2 2 2" xfId="55781"/>
    <cellStyle name="20% - Accent3 2 2 6 2 2 3" xfId="38734"/>
    <cellStyle name="20% - Accent3 2 2 6 2 3" xfId="20942"/>
    <cellStyle name="20% - Accent3 2 2 6 2 3 2" xfId="49803"/>
    <cellStyle name="20% - Accent3 2 2 6 2 4" xfId="32693"/>
    <cellStyle name="20% - Accent3 2 2 6 3" xfId="6987"/>
    <cellStyle name="20% - Accent3 2 2 6 3 2" xfId="24034"/>
    <cellStyle name="20% - Accent3 2 2 6 3 2 2" xfId="52895"/>
    <cellStyle name="20% - Accent3 2 2 6 3 3" xfId="35848"/>
    <cellStyle name="20% - Accent3 2 2 6 4" xfId="6097"/>
    <cellStyle name="20% - Accent3 2 2 6 4 2" xfId="18262"/>
    <cellStyle name="20% - Accent3 2 2 6 4 2 2" xfId="47123"/>
    <cellStyle name="20% - Accent3 2 2 6 4 3" xfId="34958"/>
    <cellStyle name="20% - Accent3 2 2 6 5" xfId="15582"/>
    <cellStyle name="20% - Accent3 2 2 6 5 2" xfId="44443"/>
    <cellStyle name="20% - Accent3 2 2 6 6" xfId="29807"/>
    <cellStyle name="20% - Accent3 2 2 7" xfId="1151"/>
    <cellStyle name="20% - Accent3 2 2 7 2" xfId="4038"/>
    <cellStyle name="20% - Accent3 2 2 7 2 2" xfId="10079"/>
    <cellStyle name="20% - Accent3 2 2 7 2 2 2" xfId="27126"/>
    <cellStyle name="20% - Accent3 2 2 7 2 2 2 2" xfId="55987"/>
    <cellStyle name="20% - Accent3 2 2 7 2 2 3" xfId="38940"/>
    <cellStyle name="20% - Accent3 2 2 7 2 3" xfId="21148"/>
    <cellStyle name="20% - Accent3 2 2 7 2 3 2" xfId="50009"/>
    <cellStyle name="20% - Accent3 2 2 7 2 4" xfId="32899"/>
    <cellStyle name="20% - Accent3 2 2 7 3" xfId="7193"/>
    <cellStyle name="20% - Accent3 2 2 7 3 2" xfId="24240"/>
    <cellStyle name="20% - Accent3 2 2 7 3 2 2" xfId="53101"/>
    <cellStyle name="20% - Accent3 2 2 7 3 3" xfId="36054"/>
    <cellStyle name="20% - Accent3 2 2 7 4" xfId="13517"/>
    <cellStyle name="20% - Accent3 2 2 7 4 2" xfId="18468"/>
    <cellStyle name="20% - Accent3 2 2 7 4 2 2" xfId="47329"/>
    <cellStyle name="20% - Accent3 2 2 7 4 3" xfId="42378"/>
    <cellStyle name="20% - Accent3 2 2 7 5" xfId="15788"/>
    <cellStyle name="20% - Accent3 2 2 7 5 2" xfId="44649"/>
    <cellStyle name="20% - Accent3 2 2 7 6" xfId="30013"/>
    <cellStyle name="20% - Accent3 2 2 8" xfId="1357"/>
    <cellStyle name="20% - Accent3 2 2 8 2" xfId="4244"/>
    <cellStyle name="20% - Accent3 2 2 8 2 2" xfId="10285"/>
    <cellStyle name="20% - Accent3 2 2 8 2 2 2" xfId="27332"/>
    <cellStyle name="20% - Accent3 2 2 8 2 2 2 2" xfId="56193"/>
    <cellStyle name="20% - Accent3 2 2 8 2 2 3" xfId="39146"/>
    <cellStyle name="20% - Accent3 2 2 8 2 3" xfId="21354"/>
    <cellStyle name="20% - Accent3 2 2 8 2 3 2" xfId="50215"/>
    <cellStyle name="20% - Accent3 2 2 8 2 4" xfId="33105"/>
    <cellStyle name="20% - Accent3 2 2 8 3" xfId="7399"/>
    <cellStyle name="20% - Accent3 2 2 8 3 2" xfId="24446"/>
    <cellStyle name="20% - Accent3 2 2 8 3 2 2" xfId="53307"/>
    <cellStyle name="20% - Accent3 2 2 8 3 3" xfId="36260"/>
    <cellStyle name="20% - Accent3 2 2 8 4" xfId="13108"/>
    <cellStyle name="20% - Accent3 2 2 8 4 2" xfId="18674"/>
    <cellStyle name="20% - Accent3 2 2 8 4 2 2" xfId="47535"/>
    <cellStyle name="20% - Accent3 2 2 8 4 3" xfId="41969"/>
    <cellStyle name="20% - Accent3 2 2 8 5" xfId="15994"/>
    <cellStyle name="20% - Accent3 2 2 8 5 2" xfId="44855"/>
    <cellStyle name="20% - Accent3 2 2 8 6" xfId="30219"/>
    <cellStyle name="20% - Accent3 2 2 9" xfId="1563"/>
    <cellStyle name="20% - Accent3 2 2 9 2" xfId="4450"/>
    <cellStyle name="20% - Accent3 2 2 9 2 2" xfId="10491"/>
    <cellStyle name="20% - Accent3 2 2 9 2 2 2" xfId="27538"/>
    <cellStyle name="20% - Accent3 2 2 9 2 2 2 2" xfId="56399"/>
    <cellStyle name="20% - Accent3 2 2 9 2 2 3" xfId="39352"/>
    <cellStyle name="20% - Accent3 2 2 9 2 3" xfId="21560"/>
    <cellStyle name="20% - Accent3 2 2 9 2 3 2" xfId="50421"/>
    <cellStyle name="20% - Accent3 2 2 9 2 4" xfId="33311"/>
    <cellStyle name="20% - Accent3 2 2 9 3" xfId="7605"/>
    <cellStyle name="20% - Accent3 2 2 9 3 2" xfId="24652"/>
    <cellStyle name="20% - Accent3 2 2 9 3 2 2" xfId="53513"/>
    <cellStyle name="20% - Accent3 2 2 9 3 3" xfId="36466"/>
    <cellStyle name="20% - Accent3 2 2 9 4" xfId="6058"/>
    <cellStyle name="20% - Accent3 2 2 9 4 2" xfId="18880"/>
    <cellStyle name="20% - Accent3 2 2 9 4 2 2" xfId="47741"/>
    <cellStyle name="20% - Accent3 2 2 9 4 3" xfId="34919"/>
    <cellStyle name="20% - Accent3 2 2 9 5" xfId="16200"/>
    <cellStyle name="20% - Accent3 2 2 9 5 2" xfId="45061"/>
    <cellStyle name="20% - Accent3 2 2 9 6" xfId="30425"/>
    <cellStyle name="20% - Accent3 2 20" xfId="6137"/>
    <cellStyle name="20% - Accent3 2 20 2" xfId="23184"/>
    <cellStyle name="20% - Accent3 2 20 2 2" xfId="52045"/>
    <cellStyle name="20% - Accent3 2 20 3" xfId="34998"/>
    <cellStyle name="20% - Accent3 2 21" xfId="14526"/>
    <cellStyle name="20% - Accent3 2 21 2" xfId="43387"/>
    <cellStyle name="20% - Accent3 2 22" xfId="28957"/>
    <cellStyle name="20% - Accent3 2 3" xfId="147"/>
    <cellStyle name="20% - Accent3 2 3 10" xfId="1795"/>
    <cellStyle name="20% - Accent3 2 3 10 2" xfId="4682"/>
    <cellStyle name="20% - Accent3 2 3 10 2 2" xfId="10723"/>
    <cellStyle name="20% - Accent3 2 3 10 2 2 2" xfId="27770"/>
    <cellStyle name="20% - Accent3 2 3 10 2 2 2 2" xfId="56631"/>
    <cellStyle name="20% - Accent3 2 3 10 2 2 3" xfId="39584"/>
    <cellStyle name="20% - Accent3 2 3 10 2 3" xfId="21792"/>
    <cellStyle name="20% - Accent3 2 3 10 2 3 2" xfId="50653"/>
    <cellStyle name="20% - Accent3 2 3 10 2 4" xfId="33543"/>
    <cellStyle name="20% - Accent3 2 3 10 3" xfId="7837"/>
    <cellStyle name="20% - Accent3 2 3 10 3 2" xfId="24884"/>
    <cellStyle name="20% - Accent3 2 3 10 3 2 2" xfId="53745"/>
    <cellStyle name="20% - Accent3 2 3 10 3 3" xfId="36698"/>
    <cellStyle name="20% - Accent3 2 3 10 4" xfId="12631"/>
    <cellStyle name="20% - Accent3 2 3 10 4 2" xfId="19112"/>
    <cellStyle name="20% - Accent3 2 3 10 4 2 2" xfId="47973"/>
    <cellStyle name="20% - Accent3 2 3 10 4 3" xfId="41492"/>
    <cellStyle name="20% - Accent3 2 3 10 5" xfId="16432"/>
    <cellStyle name="20% - Accent3 2 3 10 5 2" xfId="45293"/>
    <cellStyle name="20% - Accent3 2 3 10 6" xfId="30657"/>
    <cellStyle name="20% - Accent3 2 3 11" xfId="2001"/>
    <cellStyle name="20% - Accent3 2 3 11 2" xfId="4888"/>
    <cellStyle name="20% - Accent3 2 3 11 2 2" xfId="10929"/>
    <cellStyle name="20% - Accent3 2 3 11 2 2 2" xfId="27976"/>
    <cellStyle name="20% - Accent3 2 3 11 2 2 2 2" xfId="56837"/>
    <cellStyle name="20% - Accent3 2 3 11 2 2 3" xfId="39790"/>
    <cellStyle name="20% - Accent3 2 3 11 2 3" xfId="21998"/>
    <cellStyle name="20% - Accent3 2 3 11 2 3 2" xfId="50859"/>
    <cellStyle name="20% - Accent3 2 3 11 2 4" xfId="33749"/>
    <cellStyle name="20% - Accent3 2 3 11 3" xfId="8043"/>
    <cellStyle name="20% - Accent3 2 3 11 3 2" xfId="25090"/>
    <cellStyle name="20% - Accent3 2 3 11 3 2 2" xfId="53951"/>
    <cellStyle name="20% - Accent3 2 3 11 3 3" xfId="36904"/>
    <cellStyle name="20% - Accent3 2 3 11 4" xfId="14263"/>
    <cellStyle name="20% - Accent3 2 3 11 4 2" xfId="19318"/>
    <cellStyle name="20% - Accent3 2 3 11 4 2 2" xfId="48179"/>
    <cellStyle name="20% - Accent3 2 3 11 4 3" xfId="43124"/>
    <cellStyle name="20% - Accent3 2 3 11 5" xfId="16638"/>
    <cellStyle name="20% - Accent3 2 3 11 5 2" xfId="45499"/>
    <cellStyle name="20% - Accent3 2 3 11 6" xfId="30863"/>
    <cellStyle name="20% - Accent3 2 3 12" xfId="2413"/>
    <cellStyle name="20% - Accent3 2 3 12 2" xfId="5300"/>
    <cellStyle name="20% - Accent3 2 3 12 2 2" xfId="11341"/>
    <cellStyle name="20% - Accent3 2 3 12 2 2 2" xfId="28388"/>
    <cellStyle name="20% - Accent3 2 3 12 2 2 2 2" xfId="57249"/>
    <cellStyle name="20% - Accent3 2 3 12 2 2 3" xfId="40202"/>
    <cellStyle name="20% - Accent3 2 3 12 2 3" xfId="22410"/>
    <cellStyle name="20% - Accent3 2 3 12 2 3 2" xfId="51271"/>
    <cellStyle name="20% - Accent3 2 3 12 2 4" xfId="34161"/>
    <cellStyle name="20% - Accent3 2 3 12 3" xfId="8455"/>
    <cellStyle name="20% - Accent3 2 3 12 3 2" xfId="25502"/>
    <cellStyle name="20% - Accent3 2 3 12 3 2 2" xfId="54363"/>
    <cellStyle name="20% - Accent3 2 3 12 3 3" xfId="37316"/>
    <cellStyle name="20% - Accent3 2 3 12 4" xfId="14023"/>
    <cellStyle name="20% - Accent3 2 3 12 4 2" xfId="19730"/>
    <cellStyle name="20% - Accent3 2 3 12 4 2 2" xfId="48591"/>
    <cellStyle name="20% - Accent3 2 3 12 4 3" xfId="42884"/>
    <cellStyle name="20% - Accent3 2 3 12 5" xfId="17050"/>
    <cellStyle name="20% - Accent3 2 3 12 5 2" xfId="45911"/>
    <cellStyle name="20% - Accent3 2 3 12 6" xfId="31275"/>
    <cellStyle name="20% - Accent3 2 3 13" xfId="2622"/>
    <cellStyle name="20% - Accent3 2 3 13 2" xfId="5508"/>
    <cellStyle name="20% - Accent3 2 3 13 2 2" xfId="11549"/>
    <cellStyle name="20% - Accent3 2 3 13 2 2 2" xfId="28596"/>
    <cellStyle name="20% - Accent3 2 3 13 2 2 2 2" xfId="57457"/>
    <cellStyle name="20% - Accent3 2 3 13 2 2 3" xfId="40410"/>
    <cellStyle name="20% - Accent3 2 3 13 2 3" xfId="22618"/>
    <cellStyle name="20% - Accent3 2 3 13 2 3 2" xfId="51479"/>
    <cellStyle name="20% - Accent3 2 3 13 2 4" xfId="34369"/>
    <cellStyle name="20% - Accent3 2 3 13 3" xfId="8663"/>
    <cellStyle name="20% - Accent3 2 3 13 3 2" xfId="25710"/>
    <cellStyle name="20% - Accent3 2 3 13 3 2 2" xfId="54571"/>
    <cellStyle name="20% - Accent3 2 3 13 3 3" xfId="37524"/>
    <cellStyle name="20% - Accent3 2 3 13 4" xfId="12147"/>
    <cellStyle name="20% - Accent3 2 3 13 4 2" xfId="19938"/>
    <cellStyle name="20% - Accent3 2 3 13 4 2 2" xfId="48799"/>
    <cellStyle name="20% - Accent3 2 3 13 4 3" xfId="41008"/>
    <cellStyle name="20% - Accent3 2 3 13 5" xfId="17258"/>
    <cellStyle name="20% - Accent3 2 3 13 5 2" xfId="46119"/>
    <cellStyle name="20% - Accent3 2 3 13 6" xfId="31483"/>
    <cellStyle name="20% - Accent3 2 3 14" xfId="3034"/>
    <cellStyle name="20% - Accent3 2 3 14 2" xfId="9075"/>
    <cellStyle name="20% - Accent3 2 3 14 2 2" xfId="26122"/>
    <cellStyle name="20% - Accent3 2 3 14 2 2 2" xfId="54983"/>
    <cellStyle name="20% - Accent3 2 3 14 2 3" xfId="37936"/>
    <cellStyle name="20% - Accent3 2 3 14 3" xfId="12783"/>
    <cellStyle name="20% - Accent3 2 3 14 3 2" xfId="20144"/>
    <cellStyle name="20% - Accent3 2 3 14 3 2 2" xfId="49005"/>
    <cellStyle name="20% - Accent3 2 3 14 3 3" xfId="41644"/>
    <cellStyle name="20% - Accent3 2 3 14 4" xfId="14784"/>
    <cellStyle name="20% - Accent3 2 3 14 4 2" xfId="43645"/>
    <cellStyle name="20% - Accent3 2 3 14 5" xfId="31895"/>
    <cellStyle name="20% - Accent3 2 3 15" xfId="2828"/>
    <cellStyle name="20% - Accent3 2 3 15 2" xfId="8869"/>
    <cellStyle name="20% - Accent3 2 3 15 2 2" xfId="25916"/>
    <cellStyle name="20% - Accent3 2 3 15 2 2 2" xfId="54777"/>
    <cellStyle name="20% - Accent3 2 3 15 2 3" xfId="37730"/>
    <cellStyle name="20% - Accent3 2 3 15 3" xfId="17464"/>
    <cellStyle name="20% - Accent3 2 3 15 3 2" xfId="46325"/>
    <cellStyle name="20% - Accent3 2 3 15 4" xfId="31689"/>
    <cellStyle name="20% - Accent3 2 3 16" xfId="5714"/>
    <cellStyle name="20% - Accent3 2 3 16 2" xfId="11755"/>
    <cellStyle name="20% - Accent3 2 3 16 2 2" xfId="28802"/>
    <cellStyle name="20% - Accent3 2 3 16 2 2 2" xfId="57663"/>
    <cellStyle name="20% - Accent3 2 3 16 2 3" xfId="40616"/>
    <cellStyle name="20% - Accent3 2 3 16 3" xfId="22824"/>
    <cellStyle name="20% - Accent3 2 3 16 3 2" xfId="51685"/>
    <cellStyle name="20% - Accent3 2 3 16 4" xfId="34575"/>
    <cellStyle name="20% - Accent3 2 3 17" xfId="5931"/>
    <cellStyle name="20% - Accent3 2 3 17 2" xfId="23030"/>
    <cellStyle name="20% - Accent3 2 3 17 2 2" xfId="51891"/>
    <cellStyle name="20% - Accent3 2 3 17 3" xfId="34792"/>
    <cellStyle name="20% - Accent3 2 3 18" xfId="6189"/>
    <cellStyle name="20% - Accent3 2 3 18 2" xfId="23236"/>
    <cellStyle name="20% - Accent3 2 3 18 2 2" xfId="52097"/>
    <cellStyle name="20% - Accent3 2 3 18 3" xfId="35050"/>
    <cellStyle name="20% - Accent3 2 3 19" xfId="14578"/>
    <cellStyle name="20% - Accent3 2 3 19 2" xfId="43439"/>
    <cellStyle name="20% - Accent3 2 3 2" xfId="353"/>
    <cellStyle name="20% - Accent3 2 3 2 10" xfId="2516"/>
    <cellStyle name="20% - Accent3 2 3 2 10 2" xfId="5403"/>
    <cellStyle name="20% - Accent3 2 3 2 10 2 2" xfId="11444"/>
    <cellStyle name="20% - Accent3 2 3 2 10 2 2 2" xfId="28491"/>
    <cellStyle name="20% - Accent3 2 3 2 10 2 2 2 2" xfId="57352"/>
    <cellStyle name="20% - Accent3 2 3 2 10 2 2 3" xfId="40305"/>
    <cellStyle name="20% - Accent3 2 3 2 10 2 3" xfId="22513"/>
    <cellStyle name="20% - Accent3 2 3 2 10 2 3 2" xfId="51374"/>
    <cellStyle name="20% - Accent3 2 3 2 10 2 4" xfId="34264"/>
    <cellStyle name="20% - Accent3 2 3 2 10 3" xfId="8558"/>
    <cellStyle name="20% - Accent3 2 3 2 10 3 2" xfId="25605"/>
    <cellStyle name="20% - Accent3 2 3 2 10 3 2 2" xfId="54466"/>
    <cellStyle name="20% - Accent3 2 3 2 10 3 3" xfId="37419"/>
    <cellStyle name="20% - Accent3 2 3 2 10 4" xfId="13207"/>
    <cellStyle name="20% - Accent3 2 3 2 10 4 2" xfId="19833"/>
    <cellStyle name="20% - Accent3 2 3 2 10 4 2 2" xfId="48694"/>
    <cellStyle name="20% - Accent3 2 3 2 10 4 3" xfId="42068"/>
    <cellStyle name="20% - Accent3 2 3 2 10 5" xfId="17153"/>
    <cellStyle name="20% - Accent3 2 3 2 10 5 2" xfId="46014"/>
    <cellStyle name="20% - Accent3 2 3 2 10 6" xfId="31378"/>
    <cellStyle name="20% - Accent3 2 3 2 11" xfId="2725"/>
    <cellStyle name="20% - Accent3 2 3 2 11 2" xfId="5611"/>
    <cellStyle name="20% - Accent3 2 3 2 11 2 2" xfId="11652"/>
    <cellStyle name="20% - Accent3 2 3 2 11 2 2 2" xfId="28699"/>
    <cellStyle name="20% - Accent3 2 3 2 11 2 2 2 2" xfId="57560"/>
    <cellStyle name="20% - Accent3 2 3 2 11 2 2 3" xfId="40513"/>
    <cellStyle name="20% - Accent3 2 3 2 11 2 3" xfId="22721"/>
    <cellStyle name="20% - Accent3 2 3 2 11 2 3 2" xfId="51582"/>
    <cellStyle name="20% - Accent3 2 3 2 11 2 4" xfId="34472"/>
    <cellStyle name="20% - Accent3 2 3 2 11 3" xfId="8766"/>
    <cellStyle name="20% - Accent3 2 3 2 11 3 2" xfId="25813"/>
    <cellStyle name="20% - Accent3 2 3 2 11 3 2 2" xfId="54674"/>
    <cellStyle name="20% - Accent3 2 3 2 11 3 3" xfId="37627"/>
    <cellStyle name="20% - Accent3 2 3 2 11 4" xfId="13621"/>
    <cellStyle name="20% - Accent3 2 3 2 11 4 2" xfId="20041"/>
    <cellStyle name="20% - Accent3 2 3 2 11 4 2 2" xfId="48902"/>
    <cellStyle name="20% - Accent3 2 3 2 11 4 3" xfId="42482"/>
    <cellStyle name="20% - Accent3 2 3 2 11 5" xfId="17361"/>
    <cellStyle name="20% - Accent3 2 3 2 11 5 2" xfId="46222"/>
    <cellStyle name="20% - Accent3 2 3 2 11 6" xfId="31586"/>
    <cellStyle name="20% - Accent3 2 3 2 12" xfId="3240"/>
    <cellStyle name="20% - Accent3 2 3 2 12 2" xfId="9281"/>
    <cellStyle name="20% - Accent3 2 3 2 12 2 2" xfId="26328"/>
    <cellStyle name="20% - Accent3 2 3 2 12 2 2 2" xfId="55189"/>
    <cellStyle name="20% - Accent3 2 3 2 12 2 3" xfId="38142"/>
    <cellStyle name="20% - Accent3 2 3 2 12 3" xfId="12853"/>
    <cellStyle name="20% - Accent3 2 3 2 12 3 2" xfId="20350"/>
    <cellStyle name="20% - Accent3 2 3 2 12 3 2 2" xfId="49211"/>
    <cellStyle name="20% - Accent3 2 3 2 12 3 3" xfId="41714"/>
    <cellStyle name="20% - Accent3 2 3 2 12 4" xfId="14990"/>
    <cellStyle name="20% - Accent3 2 3 2 12 4 2" xfId="43851"/>
    <cellStyle name="20% - Accent3 2 3 2 12 5" xfId="32101"/>
    <cellStyle name="20% - Accent3 2 3 2 13" xfId="2931"/>
    <cellStyle name="20% - Accent3 2 3 2 13 2" xfId="8972"/>
    <cellStyle name="20% - Accent3 2 3 2 13 2 2" xfId="26019"/>
    <cellStyle name="20% - Accent3 2 3 2 13 2 2 2" xfId="54880"/>
    <cellStyle name="20% - Accent3 2 3 2 13 2 3" xfId="37833"/>
    <cellStyle name="20% - Accent3 2 3 2 13 3" xfId="17567"/>
    <cellStyle name="20% - Accent3 2 3 2 13 3 2" xfId="46428"/>
    <cellStyle name="20% - Accent3 2 3 2 13 4" xfId="31792"/>
    <cellStyle name="20% - Accent3 2 3 2 14" xfId="5817"/>
    <cellStyle name="20% - Accent3 2 3 2 14 2" xfId="11858"/>
    <cellStyle name="20% - Accent3 2 3 2 14 2 2" xfId="28905"/>
    <cellStyle name="20% - Accent3 2 3 2 14 2 2 2" xfId="57766"/>
    <cellStyle name="20% - Accent3 2 3 2 14 2 3" xfId="40719"/>
    <cellStyle name="20% - Accent3 2 3 2 14 3" xfId="22927"/>
    <cellStyle name="20% - Accent3 2 3 2 14 3 2" xfId="51788"/>
    <cellStyle name="20% - Accent3 2 3 2 14 4" xfId="34678"/>
    <cellStyle name="20% - Accent3 2 3 2 15" xfId="6034"/>
    <cellStyle name="20% - Accent3 2 3 2 15 2" xfId="23133"/>
    <cellStyle name="20% - Accent3 2 3 2 15 2 2" xfId="51994"/>
    <cellStyle name="20% - Accent3 2 3 2 15 3" xfId="34895"/>
    <cellStyle name="20% - Accent3 2 3 2 16" xfId="6395"/>
    <cellStyle name="20% - Accent3 2 3 2 16 2" xfId="23442"/>
    <cellStyle name="20% - Accent3 2 3 2 16 2 2" xfId="52303"/>
    <cellStyle name="20% - Accent3 2 3 2 16 3" xfId="35256"/>
    <cellStyle name="20% - Accent3 2 3 2 17" xfId="14681"/>
    <cellStyle name="20% - Accent3 2 3 2 17 2" xfId="43542"/>
    <cellStyle name="20% - Accent3 2 3 2 18" xfId="29215"/>
    <cellStyle name="20% - Accent3 2 3 2 2" xfId="559"/>
    <cellStyle name="20% - Accent3 2 3 2 2 2" xfId="2310"/>
    <cellStyle name="20% - Accent3 2 3 2 2 2 2" xfId="5197"/>
    <cellStyle name="20% - Accent3 2 3 2 2 2 2 2" xfId="11238"/>
    <cellStyle name="20% - Accent3 2 3 2 2 2 2 2 2" xfId="28285"/>
    <cellStyle name="20% - Accent3 2 3 2 2 2 2 2 2 2" xfId="57146"/>
    <cellStyle name="20% - Accent3 2 3 2 2 2 2 2 3" xfId="40099"/>
    <cellStyle name="20% - Accent3 2 3 2 2 2 2 3" xfId="22307"/>
    <cellStyle name="20% - Accent3 2 3 2 2 2 2 3 2" xfId="51168"/>
    <cellStyle name="20% - Accent3 2 3 2 2 2 2 4" xfId="34058"/>
    <cellStyle name="20% - Accent3 2 3 2 2 2 3" xfId="8352"/>
    <cellStyle name="20% - Accent3 2 3 2 2 2 3 2" xfId="25399"/>
    <cellStyle name="20% - Accent3 2 3 2 2 2 3 2 2" xfId="54260"/>
    <cellStyle name="20% - Accent3 2 3 2 2 2 3 3" xfId="37213"/>
    <cellStyle name="20% - Accent3 2 3 2 2 2 4" xfId="13696"/>
    <cellStyle name="20% - Accent3 2 3 2 2 2 4 2" xfId="19627"/>
    <cellStyle name="20% - Accent3 2 3 2 2 2 4 2 2" xfId="48488"/>
    <cellStyle name="20% - Accent3 2 3 2 2 2 4 3" xfId="42557"/>
    <cellStyle name="20% - Accent3 2 3 2 2 2 5" xfId="16947"/>
    <cellStyle name="20% - Accent3 2 3 2 2 2 5 2" xfId="45808"/>
    <cellStyle name="20% - Accent3 2 3 2 2 2 6" xfId="31172"/>
    <cellStyle name="20% - Accent3 2 3 2 2 3" xfId="3446"/>
    <cellStyle name="20% - Accent3 2 3 2 2 3 2" xfId="9487"/>
    <cellStyle name="20% - Accent3 2 3 2 2 3 2 2" xfId="26534"/>
    <cellStyle name="20% - Accent3 2 3 2 2 3 2 2 2" xfId="55395"/>
    <cellStyle name="20% - Accent3 2 3 2 2 3 2 3" xfId="38348"/>
    <cellStyle name="20% - Accent3 2 3 2 2 3 3" xfId="20556"/>
    <cellStyle name="20% - Accent3 2 3 2 2 3 3 2" xfId="49417"/>
    <cellStyle name="20% - Accent3 2 3 2 2 3 4" xfId="32307"/>
    <cellStyle name="20% - Accent3 2 3 2 2 4" xfId="6601"/>
    <cellStyle name="20% - Accent3 2 3 2 2 4 2" xfId="23648"/>
    <cellStyle name="20% - Accent3 2 3 2 2 4 2 2" xfId="52509"/>
    <cellStyle name="20% - Accent3 2 3 2 2 4 3" xfId="35462"/>
    <cellStyle name="20% - Accent3 2 3 2 2 5" xfId="12103"/>
    <cellStyle name="20% - Accent3 2 3 2 2 5 2" xfId="17876"/>
    <cellStyle name="20% - Accent3 2 3 2 2 5 2 2" xfId="46737"/>
    <cellStyle name="20% - Accent3 2 3 2 2 5 3" xfId="40964"/>
    <cellStyle name="20% - Accent3 2 3 2 2 6" xfId="15196"/>
    <cellStyle name="20% - Accent3 2 3 2 2 6 2" xfId="44057"/>
    <cellStyle name="20% - Accent3 2 3 2 2 7" xfId="29421"/>
    <cellStyle name="20% - Accent3 2 3 2 3" xfId="868"/>
    <cellStyle name="20% - Accent3 2 3 2 3 2" xfId="3755"/>
    <cellStyle name="20% - Accent3 2 3 2 3 2 2" xfId="9796"/>
    <cellStyle name="20% - Accent3 2 3 2 3 2 2 2" xfId="26843"/>
    <cellStyle name="20% - Accent3 2 3 2 3 2 2 2 2" xfId="55704"/>
    <cellStyle name="20% - Accent3 2 3 2 3 2 2 3" xfId="38657"/>
    <cellStyle name="20% - Accent3 2 3 2 3 2 3" xfId="20865"/>
    <cellStyle name="20% - Accent3 2 3 2 3 2 3 2" xfId="49726"/>
    <cellStyle name="20% - Accent3 2 3 2 3 2 4" xfId="32616"/>
    <cellStyle name="20% - Accent3 2 3 2 3 3" xfId="6910"/>
    <cellStyle name="20% - Accent3 2 3 2 3 3 2" xfId="23957"/>
    <cellStyle name="20% - Accent3 2 3 2 3 3 2 2" xfId="52818"/>
    <cellStyle name="20% - Accent3 2 3 2 3 3 3" xfId="35771"/>
    <cellStyle name="20% - Accent3 2 3 2 3 4" xfId="12342"/>
    <cellStyle name="20% - Accent3 2 3 2 3 4 2" xfId="18185"/>
    <cellStyle name="20% - Accent3 2 3 2 3 4 2 2" xfId="47046"/>
    <cellStyle name="20% - Accent3 2 3 2 3 4 3" xfId="41203"/>
    <cellStyle name="20% - Accent3 2 3 2 3 5" xfId="15505"/>
    <cellStyle name="20% - Accent3 2 3 2 3 5 2" xfId="44366"/>
    <cellStyle name="20% - Accent3 2 3 2 3 6" xfId="29730"/>
    <cellStyle name="20% - Accent3 2 3 2 4" xfId="1074"/>
    <cellStyle name="20% - Accent3 2 3 2 4 2" xfId="3961"/>
    <cellStyle name="20% - Accent3 2 3 2 4 2 2" xfId="10002"/>
    <cellStyle name="20% - Accent3 2 3 2 4 2 2 2" xfId="27049"/>
    <cellStyle name="20% - Accent3 2 3 2 4 2 2 2 2" xfId="55910"/>
    <cellStyle name="20% - Accent3 2 3 2 4 2 2 3" xfId="38863"/>
    <cellStyle name="20% - Accent3 2 3 2 4 2 3" xfId="21071"/>
    <cellStyle name="20% - Accent3 2 3 2 4 2 3 2" xfId="49932"/>
    <cellStyle name="20% - Accent3 2 3 2 4 2 4" xfId="32822"/>
    <cellStyle name="20% - Accent3 2 3 2 4 3" xfId="7116"/>
    <cellStyle name="20% - Accent3 2 3 2 4 3 2" xfId="24163"/>
    <cellStyle name="20% - Accent3 2 3 2 4 3 2 2" xfId="53024"/>
    <cellStyle name="20% - Accent3 2 3 2 4 3 3" xfId="35977"/>
    <cellStyle name="20% - Accent3 2 3 2 4 4" xfId="12599"/>
    <cellStyle name="20% - Accent3 2 3 2 4 4 2" xfId="18391"/>
    <cellStyle name="20% - Accent3 2 3 2 4 4 2 2" xfId="47252"/>
    <cellStyle name="20% - Accent3 2 3 2 4 4 3" xfId="41460"/>
    <cellStyle name="20% - Accent3 2 3 2 4 5" xfId="15711"/>
    <cellStyle name="20% - Accent3 2 3 2 4 5 2" xfId="44572"/>
    <cellStyle name="20% - Accent3 2 3 2 4 6" xfId="29936"/>
    <cellStyle name="20% - Accent3 2 3 2 5" xfId="1280"/>
    <cellStyle name="20% - Accent3 2 3 2 5 2" xfId="4167"/>
    <cellStyle name="20% - Accent3 2 3 2 5 2 2" xfId="10208"/>
    <cellStyle name="20% - Accent3 2 3 2 5 2 2 2" xfId="27255"/>
    <cellStyle name="20% - Accent3 2 3 2 5 2 2 2 2" xfId="56116"/>
    <cellStyle name="20% - Accent3 2 3 2 5 2 2 3" xfId="39069"/>
    <cellStyle name="20% - Accent3 2 3 2 5 2 3" xfId="21277"/>
    <cellStyle name="20% - Accent3 2 3 2 5 2 3 2" xfId="50138"/>
    <cellStyle name="20% - Accent3 2 3 2 5 2 4" xfId="33028"/>
    <cellStyle name="20% - Accent3 2 3 2 5 3" xfId="7322"/>
    <cellStyle name="20% - Accent3 2 3 2 5 3 2" xfId="24369"/>
    <cellStyle name="20% - Accent3 2 3 2 5 3 2 2" xfId="53230"/>
    <cellStyle name="20% - Accent3 2 3 2 5 3 3" xfId="36183"/>
    <cellStyle name="20% - Accent3 2 3 2 5 4" xfId="12067"/>
    <cellStyle name="20% - Accent3 2 3 2 5 4 2" xfId="18597"/>
    <cellStyle name="20% - Accent3 2 3 2 5 4 2 2" xfId="47458"/>
    <cellStyle name="20% - Accent3 2 3 2 5 4 3" xfId="40928"/>
    <cellStyle name="20% - Accent3 2 3 2 5 5" xfId="15917"/>
    <cellStyle name="20% - Accent3 2 3 2 5 5 2" xfId="44778"/>
    <cellStyle name="20% - Accent3 2 3 2 5 6" xfId="30142"/>
    <cellStyle name="20% - Accent3 2 3 2 6" xfId="1486"/>
    <cellStyle name="20% - Accent3 2 3 2 6 2" xfId="4373"/>
    <cellStyle name="20% - Accent3 2 3 2 6 2 2" xfId="10414"/>
    <cellStyle name="20% - Accent3 2 3 2 6 2 2 2" xfId="27461"/>
    <cellStyle name="20% - Accent3 2 3 2 6 2 2 2 2" xfId="56322"/>
    <cellStyle name="20% - Accent3 2 3 2 6 2 2 3" xfId="39275"/>
    <cellStyle name="20% - Accent3 2 3 2 6 2 3" xfId="21483"/>
    <cellStyle name="20% - Accent3 2 3 2 6 2 3 2" xfId="50344"/>
    <cellStyle name="20% - Accent3 2 3 2 6 2 4" xfId="33234"/>
    <cellStyle name="20% - Accent3 2 3 2 6 3" xfId="7528"/>
    <cellStyle name="20% - Accent3 2 3 2 6 3 2" xfId="24575"/>
    <cellStyle name="20% - Accent3 2 3 2 6 3 2 2" xfId="53436"/>
    <cellStyle name="20% - Accent3 2 3 2 6 3 3" xfId="36389"/>
    <cellStyle name="20% - Accent3 2 3 2 6 4" xfId="12487"/>
    <cellStyle name="20% - Accent3 2 3 2 6 4 2" xfId="18803"/>
    <cellStyle name="20% - Accent3 2 3 2 6 4 2 2" xfId="47664"/>
    <cellStyle name="20% - Accent3 2 3 2 6 4 3" xfId="41348"/>
    <cellStyle name="20% - Accent3 2 3 2 6 5" xfId="16123"/>
    <cellStyle name="20% - Accent3 2 3 2 6 5 2" xfId="44984"/>
    <cellStyle name="20% - Accent3 2 3 2 6 6" xfId="30348"/>
    <cellStyle name="20% - Accent3 2 3 2 7" xfId="1692"/>
    <cellStyle name="20% - Accent3 2 3 2 7 2" xfId="4579"/>
    <cellStyle name="20% - Accent3 2 3 2 7 2 2" xfId="10620"/>
    <cellStyle name="20% - Accent3 2 3 2 7 2 2 2" xfId="27667"/>
    <cellStyle name="20% - Accent3 2 3 2 7 2 2 2 2" xfId="56528"/>
    <cellStyle name="20% - Accent3 2 3 2 7 2 2 3" xfId="39481"/>
    <cellStyle name="20% - Accent3 2 3 2 7 2 3" xfId="21689"/>
    <cellStyle name="20% - Accent3 2 3 2 7 2 3 2" xfId="50550"/>
    <cellStyle name="20% - Accent3 2 3 2 7 2 4" xfId="33440"/>
    <cellStyle name="20% - Accent3 2 3 2 7 3" xfId="7734"/>
    <cellStyle name="20% - Accent3 2 3 2 7 3 2" xfId="24781"/>
    <cellStyle name="20% - Accent3 2 3 2 7 3 2 2" xfId="53642"/>
    <cellStyle name="20% - Accent3 2 3 2 7 3 3" xfId="36595"/>
    <cellStyle name="20% - Accent3 2 3 2 7 4" xfId="6099"/>
    <cellStyle name="20% - Accent3 2 3 2 7 4 2" xfId="19009"/>
    <cellStyle name="20% - Accent3 2 3 2 7 4 2 2" xfId="47870"/>
    <cellStyle name="20% - Accent3 2 3 2 7 4 3" xfId="34960"/>
    <cellStyle name="20% - Accent3 2 3 2 7 5" xfId="16329"/>
    <cellStyle name="20% - Accent3 2 3 2 7 5 2" xfId="45190"/>
    <cellStyle name="20% - Accent3 2 3 2 7 6" xfId="30554"/>
    <cellStyle name="20% - Accent3 2 3 2 8" xfId="1898"/>
    <cellStyle name="20% - Accent3 2 3 2 8 2" xfId="4785"/>
    <cellStyle name="20% - Accent3 2 3 2 8 2 2" xfId="10826"/>
    <cellStyle name="20% - Accent3 2 3 2 8 2 2 2" xfId="27873"/>
    <cellStyle name="20% - Accent3 2 3 2 8 2 2 2 2" xfId="56734"/>
    <cellStyle name="20% - Accent3 2 3 2 8 2 2 3" xfId="39687"/>
    <cellStyle name="20% - Accent3 2 3 2 8 2 3" xfId="21895"/>
    <cellStyle name="20% - Accent3 2 3 2 8 2 3 2" xfId="50756"/>
    <cellStyle name="20% - Accent3 2 3 2 8 2 4" xfId="33646"/>
    <cellStyle name="20% - Accent3 2 3 2 8 3" xfId="7940"/>
    <cellStyle name="20% - Accent3 2 3 2 8 3 2" xfId="24987"/>
    <cellStyle name="20% - Accent3 2 3 2 8 3 2 2" xfId="53848"/>
    <cellStyle name="20% - Accent3 2 3 2 8 3 3" xfId="36801"/>
    <cellStyle name="20% - Accent3 2 3 2 8 4" xfId="14285"/>
    <cellStyle name="20% - Accent3 2 3 2 8 4 2" xfId="19215"/>
    <cellStyle name="20% - Accent3 2 3 2 8 4 2 2" xfId="48076"/>
    <cellStyle name="20% - Accent3 2 3 2 8 4 3" xfId="43146"/>
    <cellStyle name="20% - Accent3 2 3 2 8 5" xfId="16535"/>
    <cellStyle name="20% - Accent3 2 3 2 8 5 2" xfId="45396"/>
    <cellStyle name="20% - Accent3 2 3 2 8 6" xfId="30760"/>
    <cellStyle name="20% - Accent3 2 3 2 9" xfId="2104"/>
    <cellStyle name="20% - Accent3 2 3 2 9 2" xfId="4991"/>
    <cellStyle name="20% - Accent3 2 3 2 9 2 2" xfId="11032"/>
    <cellStyle name="20% - Accent3 2 3 2 9 2 2 2" xfId="28079"/>
    <cellStyle name="20% - Accent3 2 3 2 9 2 2 2 2" xfId="56940"/>
    <cellStyle name="20% - Accent3 2 3 2 9 2 2 3" xfId="39893"/>
    <cellStyle name="20% - Accent3 2 3 2 9 2 3" xfId="22101"/>
    <cellStyle name="20% - Accent3 2 3 2 9 2 3 2" xfId="50962"/>
    <cellStyle name="20% - Accent3 2 3 2 9 2 4" xfId="33852"/>
    <cellStyle name="20% - Accent3 2 3 2 9 3" xfId="8146"/>
    <cellStyle name="20% - Accent3 2 3 2 9 3 2" xfId="25193"/>
    <cellStyle name="20% - Accent3 2 3 2 9 3 2 2" xfId="54054"/>
    <cellStyle name="20% - Accent3 2 3 2 9 3 3" xfId="37007"/>
    <cellStyle name="20% - Accent3 2 3 2 9 4" xfId="14248"/>
    <cellStyle name="20% - Accent3 2 3 2 9 4 2" xfId="19421"/>
    <cellStyle name="20% - Accent3 2 3 2 9 4 2 2" xfId="48282"/>
    <cellStyle name="20% - Accent3 2 3 2 9 4 3" xfId="43109"/>
    <cellStyle name="20% - Accent3 2 3 2 9 5" xfId="16741"/>
    <cellStyle name="20% - Accent3 2 3 2 9 5 2" xfId="45602"/>
    <cellStyle name="20% - Accent3 2 3 2 9 6" xfId="30966"/>
    <cellStyle name="20% - Accent3 2 3 20" xfId="29009"/>
    <cellStyle name="20% - Accent3 2 3 3" xfId="250"/>
    <cellStyle name="20% - Accent3 2 3 3 2" xfId="662"/>
    <cellStyle name="20% - Accent3 2 3 3 2 2" xfId="3549"/>
    <cellStyle name="20% - Accent3 2 3 3 2 2 2" xfId="9590"/>
    <cellStyle name="20% - Accent3 2 3 3 2 2 2 2" xfId="26637"/>
    <cellStyle name="20% - Accent3 2 3 3 2 2 2 2 2" xfId="55498"/>
    <cellStyle name="20% - Accent3 2 3 3 2 2 2 3" xfId="38451"/>
    <cellStyle name="20% - Accent3 2 3 3 2 2 3" xfId="20659"/>
    <cellStyle name="20% - Accent3 2 3 3 2 2 3 2" xfId="49520"/>
    <cellStyle name="20% - Accent3 2 3 3 2 2 4" xfId="32410"/>
    <cellStyle name="20% - Accent3 2 3 3 2 3" xfId="6704"/>
    <cellStyle name="20% - Accent3 2 3 3 2 3 2" xfId="23751"/>
    <cellStyle name="20% - Accent3 2 3 3 2 3 2 2" xfId="52612"/>
    <cellStyle name="20% - Accent3 2 3 3 2 3 3" xfId="35565"/>
    <cellStyle name="20% - Accent3 2 3 3 2 4" xfId="13289"/>
    <cellStyle name="20% - Accent3 2 3 3 2 4 2" xfId="17979"/>
    <cellStyle name="20% - Accent3 2 3 3 2 4 2 2" xfId="46840"/>
    <cellStyle name="20% - Accent3 2 3 3 2 4 3" xfId="42150"/>
    <cellStyle name="20% - Accent3 2 3 3 2 5" xfId="15299"/>
    <cellStyle name="20% - Accent3 2 3 3 2 5 2" xfId="44160"/>
    <cellStyle name="20% - Accent3 2 3 3 2 6" xfId="29524"/>
    <cellStyle name="20% - Accent3 2 3 3 3" xfId="2207"/>
    <cellStyle name="20% - Accent3 2 3 3 3 2" xfId="5094"/>
    <cellStyle name="20% - Accent3 2 3 3 3 2 2" xfId="11135"/>
    <cellStyle name="20% - Accent3 2 3 3 3 2 2 2" xfId="28182"/>
    <cellStyle name="20% - Accent3 2 3 3 3 2 2 2 2" xfId="57043"/>
    <cellStyle name="20% - Accent3 2 3 3 3 2 2 3" xfId="39996"/>
    <cellStyle name="20% - Accent3 2 3 3 3 2 3" xfId="22204"/>
    <cellStyle name="20% - Accent3 2 3 3 3 2 3 2" xfId="51065"/>
    <cellStyle name="20% - Accent3 2 3 3 3 2 4" xfId="33955"/>
    <cellStyle name="20% - Accent3 2 3 3 3 3" xfId="8249"/>
    <cellStyle name="20% - Accent3 2 3 3 3 3 2" xfId="25296"/>
    <cellStyle name="20% - Accent3 2 3 3 3 3 2 2" xfId="54157"/>
    <cellStyle name="20% - Accent3 2 3 3 3 3 3" xfId="37110"/>
    <cellStyle name="20% - Accent3 2 3 3 3 4" xfId="13586"/>
    <cellStyle name="20% - Accent3 2 3 3 3 4 2" xfId="19524"/>
    <cellStyle name="20% - Accent3 2 3 3 3 4 2 2" xfId="48385"/>
    <cellStyle name="20% - Accent3 2 3 3 3 4 3" xfId="42447"/>
    <cellStyle name="20% - Accent3 2 3 3 3 5" xfId="16844"/>
    <cellStyle name="20% - Accent3 2 3 3 3 5 2" xfId="45705"/>
    <cellStyle name="20% - Accent3 2 3 3 3 6" xfId="31069"/>
    <cellStyle name="20% - Accent3 2 3 3 4" xfId="3137"/>
    <cellStyle name="20% - Accent3 2 3 3 4 2" xfId="9178"/>
    <cellStyle name="20% - Accent3 2 3 3 4 2 2" xfId="26225"/>
    <cellStyle name="20% - Accent3 2 3 3 4 2 2 2" xfId="55086"/>
    <cellStyle name="20% - Accent3 2 3 3 4 2 3" xfId="38039"/>
    <cellStyle name="20% - Accent3 2 3 3 4 3" xfId="20247"/>
    <cellStyle name="20% - Accent3 2 3 3 4 3 2" xfId="49108"/>
    <cellStyle name="20% - Accent3 2 3 3 4 4" xfId="31998"/>
    <cellStyle name="20% - Accent3 2 3 3 5" xfId="6292"/>
    <cellStyle name="20% - Accent3 2 3 3 5 2" xfId="23339"/>
    <cellStyle name="20% - Accent3 2 3 3 5 2 2" xfId="52200"/>
    <cellStyle name="20% - Accent3 2 3 3 5 3" xfId="35153"/>
    <cellStyle name="20% - Accent3 2 3 3 6" xfId="6065"/>
    <cellStyle name="20% - Accent3 2 3 3 6 2" xfId="17670"/>
    <cellStyle name="20% - Accent3 2 3 3 6 2 2" xfId="46531"/>
    <cellStyle name="20% - Accent3 2 3 3 6 3" xfId="34926"/>
    <cellStyle name="20% - Accent3 2 3 3 7" xfId="14887"/>
    <cellStyle name="20% - Accent3 2 3 3 7 2" xfId="43748"/>
    <cellStyle name="20% - Accent3 2 3 3 8" xfId="29112"/>
    <cellStyle name="20% - Accent3 2 3 4" xfId="456"/>
    <cellStyle name="20% - Accent3 2 3 4 2" xfId="3343"/>
    <cellStyle name="20% - Accent3 2 3 4 2 2" xfId="9384"/>
    <cellStyle name="20% - Accent3 2 3 4 2 2 2" xfId="26431"/>
    <cellStyle name="20% - Accent3 2 3 4 2 2 2 2" xfId="55292"/>
    <cellStyle name="20% - Accent3 2 3 4 2 2 3" xfId="38245"/>
    <cellStyle name="20% - Accent3 2 3 4 2 3" xfId="20453"/>
    <cellStyle name="20% - Accent3 2 3 4 2 3 2" xfId="49314"/>
    <cellStyle name="20% - Accent3 2 3 4 2 4" xfId="32204"/>
    <cellStyle name="20% - Accent3 2 3 4 3" xfId="6498"/>
    <cellStyle name="20% - Accent3 2 3 4 3 2" xfId="23545"/>
    <cellStyle name="20% - Accent3 2 3 4 3 2 2" xfId="52406"/>
    <cellStyle name="20% - Accent3 2 3 4 3 3" xfId="35359"/>
    <cellStyle name="20% - Accent3 2 3 4 4" xfId="12995"/>
    <cellStyle name="20% - Accent3 2 3 4 4 2" xfId="17773"/>
    <cellStyle name="20% - Accent3 2 3 4 4 2 2" xfId="46634"/>
    <cellStyle name="20% - Accent3 2 3 4 4 3" xfId="41856"/>
    <cellStyle name="20% - Accent3 2 3 4 5" xfId="15093"/>
    <cellStyle name="20% - Accent3 2 3 4 5 2" xfId="43954"/>
    <cellStyle name="20% - Accent3 2 3 4 6" xfId="29318"/>
    <cellStyle name="20% - Accent3 2 3 5" xfId="765"/>
    <cellStyle name="20% - Accent3 2 3 5 2" xfId="3652"/>
    <cellStyle name="20% - Accent3 2 3 5 2 2" xfId="9693"/>
    <cellStyle name="20% - Accent3 2 3 5 2 2 2" xfId="26740"/>
    <cellStyle name="20% - Accent3 2 3 5 2 2 2 2" xfId="55601"/>
    <cellStyle name="20% - Accent3 2 3 5 2 2 3" xfId="38554"/>
    <cellStyle name="20% - Accent3 2 3 5 2 3" xfId="20762"/>
    <cellStyle name="20% - Accent3 2 3 5 2 3 2" xfId="49623"/>
    <cellStyle name="20% - Accent3 2 3 5 2 4" xfId="32513"/>
    <cellStyle name="20% - Accent3 2 3 5 3" xfId="6807"/>
    <cellStyle name="20% - Accent3 2 3 5 3 2" xfId="23854"/>
    <cellStyle name="20% - Accent3 2 3 5 3 2 2" xfId="52715"/>
    <cellStyle name="20% - Accent3 2 3 5 3 3" xfId="35668"/>
    <cellStyle name="20% - Accent3 2 3 5 4" xfId="13087"/>
    <cellStyle name="20% - Accent3 2 3 5 4 2" xfId="18082"/>
    <cellStyle name="20% - Accent3 2 3 5 4 2 2" xfId="46943"/>
    <cellStyle name="20% - Accent3 2 3 5 4 3" xfId="41948"/>
    <cellStyle name="20% - Accent3 2 3 5 5" xfId="15402"/>
    <cellStyle name="20% - Accent3 2 3 5 5 2" xfId="44263"/>
    <cellStyle name="20% - Accent3 2 3 5 6" xfId="29627"/>
    <cellStyle name="20% - Accent3 2 3 6" xfId="971"/>
    <cellStyle name="20% - Accent3 2 3 6 2" xfId="3858"/>
    <cellStyle name="20% - Accent3 2 3 6 2 2" xfId="9899"/>
    <cellStyle name="20% - Accent3 2 3 6 2 2 2" xfId="26946"/>
    <cellStyle name="20% - Accent3 2 3 6 2 2 2 2" xfId="55807"/>
    <cellStyle name="20% - Accent3 2 3 6 2 2 3" xfId="38760"/>
    <cellStyle name="20% - Accent3 2 3 6 2 3" xfId="20968"/>
    <cellStyle name="20% - Accent3 2 3 6 2 3 2" xfId="49829"/>
    <cellStyle name="20% - Accent3 2 3 6 2 4" xfId="32719"/>
    <cellStyle name="20% - Accent3 2 3 6 3" xfId="7013"/>
    <cellStyle name="20% - Accent3 2 3 6 3 2" xfId="24060"/>
    <cellStyle name="20% - Accent3 2 3 6 3 2 2" xfId="52921"/>
    <cellStyle name="20% - Accent3 2 3 6 3 3" xfId="35874"/>
    <cellStyle name="20% - Accent3 2 3 6 4" xfId="13697"/>
    <cellStyle name="20% - Accent3 2 3 6 4 2" xfId="18288"/>
    <cellStyle name="20% - Accent3 2 3 6 4 2 2" xfId="47149"/>
    <cellStyle name="20% - Accent3 2 3 6 4 3" xfId="42558"/>
    <cellStyle name="20% - Accent3 2 3 6 5" xfId="15608"/>
    <cellStyle name="20% - Accent3 2 3 6 5 2" xfId="44469"/>
    <cellStyle name="20% - Accent3 2 3 6 6" xfId="29833"/>
    <cellStyle name="20% - Accent3 2 3 7" xfId="1177"/>
    <cellStyle name="20% - Accent3 2 3 7 2" xfId="4064"/>
    <cellStyle name="20% - Accent3 2 3 7 2 2" xfId="10105"/>
    <cellStyle name="20% - Accent3 2 3 7 2 2 2" xfId="27152"/>
    <cellStyle name="20% - Accent3 2 3 7 2 2 2 2" xfId="56013"/>
    <cellStyle name="20% - Accent3 2 3 7 2 2 3" xfId="38966"/>
    <cellStyle name="20% - Accent3 2 3 7 2 3" xfId="21174"/>
    <cellStyle name="20% - Accent3 2 3 7 2 3 2" xfId="50035"/>
    <cellStyle name="20% - Accent3 2 3 7 2 4" xfId="32925"/>
    <cellStyle name="20% - Accent3 2 3 7 3" xfId="7219"/>
    <cellStyle name="20% - Accent3 2 3 7 3 2" xfId="24266"/>
    <cellStyle name="20% - Accent3 2 3 7 3 2 2" xfId="53127"/>
    <cellStyle name="20% - Accent3 2 3 7 3 3" xfId="36080"/>
    <cellStyle name="20% - Accent3 2 3 7 4" xfId="13958"/>
    <cellStyle name="20% - Accent3 2 3 7 4 2" xfId="18494"/>
    <cellStyle name="20% - Accent3 2 3 7 4 2 2" xfId="47355"/>
    <cellStyle name="20% - Accent3 2 3 7 4 3" xfId="42819"/>
    <cellStyle name="20% - Accent3 2 3 7 5" xfId="15814"/>
    <cellStyle name="20% - Accent3 2 3 7 5 2" xfId="44675"/>
    <cellStyle name="20% - Accent3 2 3 7 6" xfId="30039"/>
    <cellStyle name="20% - Accent3 2 3 8" xfId="1383"/>
    <cellStyle name="20% - Accent3 2 3 8 2" xfId="4270"/>
    <cellStyle name="20% - Accent3 2 3 8 2 2" xfId="10311"/>
    <cellStyle name="20% - Accent3 2 3 8 2 2 2" xfId="27358"/>
    <cellStyle name="20% - Accent3 2 3 8 2 2 2 2" xfId="56219"/>
    <cellStyle name="20% - Accent3 2 3 8 2 2 3" xfId="39172"/>
    <cellStyle name="20% - Accent3 2 3 8 2 3" xfId="21380"/>
    <cellStyle name="20% - Accent3 2 3 8 2 3 2" xfId="50241"/>
    <cellStyle name="20% - Accent3 2 3 8 2 4" xfId="33131"/>
    <cellStyle name="20% - Accent3 2 3 8 3" xfId="7425"/>
    <cellStyle name="20% - Accent3 2 3 8 3 2" xfId="24472"/>
    <cellStyle name="20% - Accent3 2 3 8 3 2 2" xfId="53333"/>
    <cellStyle name="20% - Accent3 2 3 8 3 3" xfId="36286"/>
    <cellStyle name="20% - Accent3 2 3 8 4" xfId="12497"/>
    <cellStyle name="20% - Accent3 2 3 8 4 2" xfId="18700"/>
    <cellStyle name="20% - Accent3 2 3 8 4 2 2" xfId="47561"/>
    <cellStyle name="20% - Accent3 2 3 8 4 3" xfId="41358"/>
    <cellStyle name="20% - Accent3 2 3 8 5" xfId="16020"/>
    <cellStyle name="20% - Accent3 2 3 8 5 2" xfId="44881"/>
    <cellStyle name="20% - Accent3 2 3 8 6" xfId="30245"/>
    <cellStyle name="20% - Accent3 2 3 9" xfId="1589"/>
    <cellStyle name="20% - Accent3 2 3 9 2" xfId="4476"/>
    <cellStyle name="20% - Accent3 2 3 9 2 2" xfId="10517"/>
    <cellStyle name="20% - Accent3 2 3 9 2 2 2" xfId="27564"/>
    <cellStyle name="20% - Accent3 2 3 9 2 2 2 2" xfId="56425"/>
    <cellStyle name="20% - Accent3 2 3 9 2 2 3" xfId="39378"/>
    <cellStyle name="20% - Accent3 2 3 9 2 3" xfId="21586"/>
    <cellStyle name="20% - Accent3 2 3 9 2 3 2" xfId="50447"/>
    <cellStyle name="20% - Accent3 2 3 9 2 4" xfId="33337"/>
    <cellStyle name="20% - Accent3 2 3 9 3" xfId="7631"/>
    <cellStyle name="20% - Accent3 2 3 9 3 2" xfId="24678"/>
    <cellStyle name="20% - Accent3 2 3 9 3 2 2" xfId="53539"/>
    <cellStyle name="20% - Accent3 2 3 9 3 3" xfId="36492"/>
    <cellStyle name="20% - Accent3 2 3 9 4" xfId="13934"/>
    <cellStyle name="20% - Accent3 2 3 9 4 2" xfId="18906"/>
    <cellStyle name="20% - Accent3 2 3 9 4 2 2" xfId="47767"/>
    <cellStyle name="20% - Accent3 2 3 9 4 3" xfId="42795"/>
    <cellStyle name="20% - Accent3 2 3 9 5" xfId="16226"/>
    <cellStyle name="20% - Accent3 2 3 9 5 2" xfId="45087"/>
    <cellStyle name="20% - Accent3 2 3 9 6" xfId="30451"/>
    <cellStyle name="20% - Accent3 2 4" xfId="301"/>
    <cellStyle name="20% - Accent3 2 4 10" xfId="2464"/>
    <cellStyle name="20% - Accent3 2 4 10 2" xfId="5351"/>
    <cellStyle name="20% - Accent3 2 4 10 2 2" xfId="11392"/>
    <cellStyle name="20% - Accent3 2 4 10 2 2 2" xfId="28439"/>
    <cellStyle name="20% - Accent3 2 4 10 2 2 2 2" xfId="57300"/>
    <cellStyle name="20% - Accent3 2 4 10 2 2 3" xfId="40253"/>
    <cellStyle name="20% - Accent3 2 4 10 2 3" xfId="22461"/>
    <cellStyle name="20% - Accent3 2 4 10 2 3 2" xfId="51322"/>
    <cellStyle name="20% - Accent3 2 4 10 2 4" xfId="34212"/>
    <cellStyle name="20% - Accent3 2 4 10 3" xfId="8506"/>
    <cellStyle name="20% - Accent3 2 4 10 3 2" xfId="25553"/>
    <cellStyle name="20% - Accent3 2 4 10 3 2 2" xfId="54414"/>
    <cellStyle name="20% - Accent3 2 4 10 3 3" xfId="37367"/>
    <cellStyle name="20% - Accent3 2 4 10 4" xfId="14018"/>
    <cellStyle name="20% - Accent3 2 4 10 4 2" xfId="19781"/>
    <cellStyle name="20% - Accent3 2 4 10 4 2 2" xfId="48642"/>
    <cellStyle name="20% - Accent3 2 4 10 4 3" xfId="42879"/>
    <cellStyle name="20% - Accent3 2 4 10 5" xfId="17101"/>
    <cellStyle name="20% - Accent3 2 4 10 5 2" xfId="45962"/>
    <cellStyle name="20% - Accent3 2 4 10 6" xfId="31326"/>
    <cellStyle name="20% - Accent3 2 4 11" xfId="2673"/>
    <cellStyle name="20% - Accent3 2 4 11 2" xfId="5559"/>
    <cellStyle name="20% - Accent3 2 4 11 2 2" xfId="11600"/>
    <cellStyle name="20% - Accent3 2 4 11 2 2 2" xfId="28647"/>
    <cellStyle name="20% - Accent3 2 4 11 2 2 2 2" xfId="57508"/>
    <cellStyle name="20% - Accent3 2 4 11 2 2 3" xfId="40461"/>
    <cellStyle name="20% - Accent3 2 4 11 2 3" xfId="22669"/>
    <cellStyle name="20% - Accent3 2 4 11 2 3 2" xfId="51530"/>
    <cellStyle name="20% - Accent3 2 4 11 2 4" xfId="34420"/>
    <cellStyle name="20% - Accent3 2 4 11 3" xfId="8714"/>
    <cellStyle name="20% - Accent3 2 4 11 3 2" xfId="25761"/>
    <cellStyle name="20% - Accent3 2 4 11 3 2 2" xfId="54622"/>
    <cellStyle name="20% - Accent3 2 4 11 3 3" xfId="37575"/>
    <cellStyle name="20% - Accent3 2 4 11 4" xfId="14357"/>
    <cellStyle name="20% - Accent3 2 4 11 4 2" xfId="19989"/>
    <cellStyle name="20% - Accent3 2 4 11 4 2 2" xfId="48850"/>
    <cellStyle name="20% - Accent3 2 4 11 4 3" xfId="43218"/>
    <cellStyle name="20% - Accent3 2 4 11 5" xfId="17309"/>
    <cellStyle name="20% - Accent3 2 4 11 5 2" xfId="46170"/>
    <cellStyle name="20% - Accent3 2 4 11 6" xfId="31534"/>
    <cellStyle name="20% - Accent3 2 4 12" xfId="3188"/>
    <cellStyle name="20% - Accent3 2 4 12 2" xfId="9229"/>
    <cellStyle name="20% - Accent3 2 4 12 2 2" xfId="26276"/>
    <cellStyle name="20% - Accent3 2 4 12 2 2 2" xfId="55137"/>
    <cellStyle name="20% - Accent3 2 4 12 2 3" xfId="38090"/>
    <cellStyle name="20% - Accent3 2 4 12 3" xfId="14142"/>
    <cellStyle name="20% - Accent3 2 4 12 3 2" xfId="20298"/>
    <cellStyle name="20% - Accent3 2 4 12 3 2 2" xfId="49159"/>
    <cellStyle name="20% - Accent3 2 4 12 3 3" xfId="43003"/>
    <cellStyle name="20% - Accent3 2 4 12 4" xfId="14938"/>
    <cellStyle name="20% - Accent3 2 4 12 4 2" xfId="43799"/>
    <cellStyle name="20% - Accent3 2 4 12 5" xfId="32049"/>
    <cellStyle name="20% - Accent3 2 4 13" xfId="2879"/>
    <cellStyle name="20% - Accent3 2 4 13 2" xfId="8920"/>
    <cellStyle name="20% - Accent3 2 4 13 2 2" xfId="25967"/>
    <cellStyle name="20% - Accent3 2 4 13 2 2 2" xfId="54828"/>
    <cellStyle name="20% - Accent3 2 4 13 2 3" xfId="37781"/>
    <cellStyle name="20% - Accent3 2 4 13 3" xfId="17515"/>
    <cellStyle name="20% - Accent3 2 4 13 3 2" xfId="46376"/>
    <cellStyle name="20% - Accent3 2 4 13 4" xfId="31740"/>
    <cellStyle name="20% - Accent3 2 4 14" xfId="5765"/>
    <cellStyle name="20% - Accent3 2 4 14 2" xfId="11806"/>
    <cellStyle name="20% - Accent3 2 4 14 2 2" xfId="28853"/>
    <cellStyle name="20% - Accent3 2 4 14 2 2 2" xfId="57714"/>
    <cellStyle name="20% - Accent3 2 4 14 2 3" xfId="40667"/>
    <cellStyle name="20% - Accent3 2 4 14 3" xfId="22875"/>
    <cellStyle name="20% - Accent3 2 4 14 3 2" xfId="51736"/>
    <cellStyle name="20% - Accent3 2 4 14 4" xfId="34626"/>
    <cellStyle name="20% - Accent3 2 4 15" xfId="5982"/>
    <cellStyle name="20% - Accent3 2 4 15 2" xfId="23081"/>
    <cellStyle name="20% - Accent3 2 4 15 2 2" xfId="51942"/>
    <cellStyle name="20% - Accent3 2 4 15 3" xfId="34843"/>
    <cellStyle name="20% - Accent3 2 4 16" xfId="6343"/>
    <cellStyle name="20% - Accent3 2 4 16 2" xfId="23390"/>
    <cellStyle name="20% - Accent3 2 4 16 2 2" xfId="52251"/>
    <cellStyle name="20% - Accent3 2 4 16 3" xfId="35204"/>
    <cellStyle name="20% - Accent3 2 4 17" xfId="14629"/>
    <cellStyle name="20% - Accent3 2 4 17 2" xfId="43490"/>
    <cellStyle name="20% - Accent3 2 4 18" xfId="29163"/>
    <cellStyle name="20% - Accent3 2 4 2" xfId="507"/>
    <cellStyle name="20% - Accent3 2 4 2 2" xfId="2258"/>
    <cellStyle name="20% - Accent3 2 4 2 2 2" xfId="5145"/>
    <cellStyle name="20% - Accent3 2 4 2 2 2 2" xfId="11186"/>
    <cellStyle name="20% - Accent3 2 4 2 2 2 2 2" xfId="28233"/>
    <cellStyle name="20% - Accent3 2 4 2 2 2 2 2 2" xfId="57094"/>
    <cellStyle name="20% - Accent3 2 4 2 2 2 2 3" xfId="40047"/>
    <cellStyle name="20% - Accent3 2 4 2 2 2 3" xfId="22255"/>
    <cellStyle name="20% - Accent3 2 4 2 2 2 3 2" xfId="51116"/>
    <cellStyle name="20% - Accent3 2 4 2 2 2 4" xfId="34006"/>
    <cellStyle name="20% - Accent3 2 4 2 2 3" xfId="8300"/>
    <cellStyle name="20% - Accent3 2 4 2 2 3 2" xfId="25347"/>
    <cellStyle name="20% - Accent3 2 4 2 2 3 2 2" xfId="54208"/>
    <cellStyle name="20% - Accent3 2 4 2 2 3 3" xfId="37161"/>
    <cellStyle name="20% - Accent3 2 4 2 2 4" xfId="12472"/>
    <cellStyle name="20% - Accent3 2 4 2 2 4 2" xfId="19575"/>
    <cellStyle name="20% - Accent3 2 4 2 2 4 2 2" xfId="48436"/>
    <cellStyle name="20% - Accent3 2 4 2 2 4 3" xfId="41333"/>
    <cellStyle name="20% - Accent3 2 4 2 2 5" xfId="16895"/>
    <cellStyle name="20% - Accent3 2 4 2 2 5 2" xfId="45756"/>
    <cellStyle name="20% - Accent3 2 4 2 2 6" xfId="31120"/>
    <cellStyle name="20% - Accent3 2 4 2 3" xfId="3394"/>
    <cellStyle name="20% - Accent3 2 4 2 3 2" xfId="9435"/>
    <cellStyle name="20% - Accent3 2 4 2 3 2 2" xfId="26482"/>
    <cellStyle name="20% - Accent3 2 4 2 3 2 2 2" xfId="55343"/>
    <cellStyle name="20% - Accent3 2 4 2 3 2 3" xfId="38296"/>
    <cellStyle name="20% - Accent3 2 4 2 3 3" xfId="20504"/>
    <cellStyle name="20% - Accent3 2 4 2 3 3 2" xfId="49365"/>
    <cellStyle name="20% - Accent3 2 4 2 3 4" xfId="32255"/>
    <cellStyle name="20% - Accent3 2 4 2 4" xfId="6549"/>
    <cellStyle name="20% - Accent3 2 4 2 4 2" xfId="23596"/>
    <cellStyle name="20% - Accent3 2 4 2 4 2 2" xfId="52457"/>
    <cellStyle name="20% - Accent3 2 4 2 4 3" xfId="35410"/>
    <cellStyle name="20% - Accent3 2 4 2 5" xfId="12504"/>
    <cellStyle name="20% - Accent3 2 4 2 5 2" xfId="17824"/>
    <cellStyle name="20% - Accent3 2 4 2 5 2 2" xfId="46685"/>
    <cellStyle name="20% - Accent3 2 4 2 5 3" xfId="41365"/>
    <cellStyle name="20% - Accent3 2 4 2 6" xfId="15144"/>
    <cellStyle name="20% - Accent3 2 4 2 6 2" xfId="44005"/>
    <cellStyle name="20% - Accent3 2 4 2 7" xfId="29369"/>
    <cellStyle name="20% - Accent3 2 4 3" xfId="816"/>
    <cellStyle name="20% - Accent3 2 4 3 2" xfId="3703"/>
    <cellStyle name="20% - Accent3 2 4 3 2 2" xfId="9744"/>
    <cellStyle name="20% - Accent3 2 4 3 2 2 2" xfId="26791"/>
    <cellStyle name="20% - Accent3 2 4 3 2 2 2 2" xfId="55652"/>
    <cellStyle name="20% - Accent3 2 4 3 2 2 3" xfId="38605"/>
    <cellStyle name="20% - Accent3 2 4 3 2 3" xfId="20813"/>
    <cellStyle name="20% - Accent3 2 4 3 2 3 2" xfId="49674"/>
    <cellStyle name="20% - Accent3 2 4 3 2 4" xfId="32564"/>
    <cellStyle name="20% - Accent3 2 4 3 3" xfId="6858"/>
    <cellStyle name="20% - Accent3 2 4 3 3 2" xfId="23905"/>
    <cellStyle name="20% - Accent3 2 4 3 3 2 2" xfId="52766"/>
    <cellStyle name="20% - Accent3 2 4 3 3 3" xfId="35719"/>
    <cellStyle name="20% - Accent3 2 4 3 4" xfId="13519"/>
    <cellStyle name="20% - Accent3 2 4 3 4 2" xfId="18133"/>
    <cellStyle name="20% - Accent3 2 4 3 4 2 2" xfId="46994"/>
    <cellStyle name="20% - Accent3 2 4 3 4 3" xfId="42380"/>
    <cellStyle name="20% - Accent3 2 4 3 5" xfId="15453"/>
    <cellStyle name="20% - Accent3 2 4 3 5 2" xfId="44314"/>
    <cellStyle name="20% - Accent3 2 4 3 6" xfId="29678"/>
    <cellStyle name="20% - Accent3 2 4 4" xfId="1022"/>
    <cellStyle name="20% - Accent3 2 4 4 2" xfId="3909"/>
    <cellStyle name="20% - Accent3 2 4 4 2 2" xfId="9950"/>
    <cellStyle name="20% - Accent3 2 4 4 2 2 2" xfId="26997"/>
    <cellStyle name="20% - Accent3 2 4 4 2 2 2 2" xfId="55858"/>
    <cellStyle name="20% - Accent3 2 4 4 2 2 3" xfId="38811"/>
    <cellStyle name="20% - Accent3 2 4 4 2 3" xfId="21019"/>
    <cellStyle name="20% - Accent3 2 4 4 2 3 2" xfId="49880"/>
    <cellStyle name="20% - Accent3 2 4 4 2 4" xfId="32770"/>
    <cellStyle name="20% - Accent3 2 4 4 3" xfId="7064"/>
    <cellStyle name="20% - Accent3 2 4 4 3 2" xfId="24111"/>
    <cellStyle name="20% - Accent3 2 4 4 3 2 2" xfId="52972"/>
    <cellStyle name="20% - Accent3 2 4 4 3 3" xfId="35925"/>
    <cellStyle name="20% - Accent3 2 4 4 4" xfId="12062"/>
    <cellStyle name="20% - Accent3 2 4 4 4 2" xfId="18339"/>
    <cellStyle name="20% - Accent3 2 4 4 4 2 2" xfId="47200"/>
    <cellStyle name="20% - Accent3 2 4 4 4 3" xfId="40923"/>
    <cellStyle name="20% - Accent3 2 4 4 5" xfId="15659"/>
    <cellStyle name="20% - Accent3 2 4 4 5 2" xfId="44520"/>
    <cellStyle name="20% - Accent3 2 4 4 6" xfId="29884"/>
    <cellStyle name="20% - Accent3 2 4 5" xfId="1228"/>
    <cellStyle name="20% - Accent3 2 4 5 2" xfId="4115"/>
    <cellStyle name="20% - Accent3 2 4 5 2 2" xfId="10156"/>
    <cellStyle name="20% - Accent3 2 4 5 2 2 2" xfId="27203"/>
    <cellStyle name="20% - Accent3 2 4 5 2 2 2 2" xfId="56064"/>
    <cellStyle name="20% - Accent3 2 4 5 2 2 3" xfId="39017"/>
    <cellStyle name="20% - Accent3 2 4 5 2 3" xfId="21225"/>
    <cellStyle name="20% - Accent3 2 4 5 2 3 2" xfId="50086"/>
    <cellStyle name="20% - Accent3 2 4 5 2 4" xfId="32976"/>
    <cellStyle name="20% - Accent3 2 4 5 3" xfId="7270"/>
    <cellStyle name="20% - Accent3 2 4 5 3 2" xfId="24317"/>
    <cellStyle name="20% - Accent3 2 4 5 3 2 2" xfId="53178"/>
    <cellStyle name="20% - Accent3 2 4 5 3 3" xfId="36131"/>
    <cellStyle name="20% - Accent3 2 4 5 4" xfId="12688"/>
    <cellStyle name="20% - Accent3 2 4 5 4 2" xfId="18545"/>
    <cellStyle name="20% - Accent3 2 4 5 4 2 2" xfId="47406"/>
    <cellStyle name="20% - Accent3 2 4 5 4 3" xfId="41549"/>
    <cellStyle name="20% - Accent3 2 4 5 5" xfId="15865"/>
    <cellStyle name="20% - Accent3 2 4 5 5 2" xfId="44726"/>
    <cellStyle name="20% - Accent3 2 4 5 6" xfId="30090"/>
    <cellStyle name="20% - Accent3 2 4 6" xfId="1434"/>
    <cellStyle name="20% - Accent3 2 4 6 2" xfId="4321"/>
    <cellStyle name="20% - Accent3 2 4 6 2 2" xfId="10362"/>
    <cellStyle name="20% - Accent3 2 4 6 2 2 2" xfId="27409"/>
    <cellStyle name="20% - Accent3 2 4 6 2 2 2 2" xfId="56270"/>
    <cellStyle name="20% - Accent3 2 4 6 2 2 3" xfId="39223"/>
    <cellStyle name="20% - Accent3 2 4 6 2 3" xfId="21431"/>
    <cellStyle name="20% - Accent3 2 4 6 2 3 2" xfId="50292"/>
    <cellStyle name="20% - Accent3 2 4 6 2 4" xfId="33182"/>
    <cellStyle name="20% - Accent3 2 4 6 3" xfId="7476"/>
    <cellStyle name="20% - Accent3 2 4 6 3 2" xfId="24523"/>
    <cellStyle name="20% - Accent3 2 4 6 3 2 2" xfId="53384"/>
    <cellStyle name="20% - Accent3 2 4 6 3 3" xfId="36337"/>
    <cellStyle name="20% - Accent3 2 4 6 4" xfId="13076"/>
    <cellStyle name="20% - Accent3 2 4 6 4 2" xfId="18751"/>
    <cellStyle name="20% - Accent3 2 4 6 4 2 2" xfId="47612"/>
    <cellStyle name="20% - Accent3 2 4 6 4 3" xfId="41937"/>
    <cellStyle name="20% - Accent3 2 4 6 5" xfId="16071"/>
    <cellStyle name="20% - Accent3 2 4 6 5 2" xfId="44932"/>
    <cellStyle name="20% - Accent3 2 4 6 6" xfId="30296"/>
    <cellStyle name="20% - Accent3 2 4 7" xfId="1640"/>
    <cellStyle name="20% - Accent3 2 4 7 2" xfId="4527"/>
    <cellStyle name="20% - Accent3 2 4 7 2 2" xfId="10568"/>
    <cellStyle name="20% - Accent3 2 4 7 2 2 2" xfId="27615"/>
    <cellStyle name="20% - Accent3 2 4 7 2 2 2 2" xfId="56476"/>
    <cellStyle name="20% - Accent3 2 4 7 2 2 3" xfId="39429"/>
    <cellStyle name="20% - Accent3 2 4 7 2 3" xfId="21637"/>
    <cellStyle name="20% - Accent3 2 4 7 2 3 2" xfId="50498"/>
    <cellStyle name="20% - Accent3 2 4 7 2 4" xfId="33388"/>
    <cellStyle name="20% - Accent3 2 4 7 3" xfId="7682"/>
    <cellStyle name="20% - Accent3 2 4 7 3 2" xfId="24729"/>
    <cellStyle name="20% - Accent3 2 4 7 3 2 2" xfId="53590"/>
    <cellStyle name="20% - Accent3 2 4 7 3 3" xfId="36543"/>
    <cellStyle name="20% - Accent3 2 4 7 4" xfId="12043"/>
    <cellStyle name="20% - Accent3 2 4 7 4 2" xfId="18957"/>
    <cellStyle name="20% - Accent3 2 4 7 4 2 2" xfId="47818"/>
    <cellStyle name="20% - Accent3 2 4 7 4 3" xfId="40904"/>
    <cellStyle name="20% - Accent3 2 4 7 5" xfId="16277"/>
    <cellStyle name="20% - Accent3 2 4 7 5 2" xfId="45138"/>
    <cellStyle name="20% - Accent3 2 4 7 6" xfId="30502"/>
    <cellStyle name="20% - Accent3 2 4 8" xfId="1846"/>
    <cellStyle name="20% - Accent3 2 4 8 2" xfId="4733"/>
    <cellStyle name="20% - Accent3 2 4 8 2 2" xfId="10774"/>
    <cellStyle name="20% - Accent3 2 4 8 2 2 2" xfId="27821"/>
    <cellStyle name="20% - Accent3 2 4 8 2 2 2 2" xfId="56682"/>
    <cellStyle name="20% - Accent3 2 4 8 2 2 3" xfId="39635"/>
    <cellStyle name="20% - Accent3 2 4 8 2 3" xfId="21843"/>
    <cellStyle name="20% - Accent3 2 4 8 2 3 2" xfId="50704"/>
    <cellStyle name="20% - Accent3 2 4 8 2 4" xfId="33594"/>
    <cellStyle name="20% - Accent3 2 4 8 3" xfId="7888"/>
    <cellStyle name="20% - Accent3 2 4 8 3 2" xfId="24935"/>
    <cellStyle name="20% - Accent3 2 4 8 3 2 2" xfId="53796"/>
    <cellStyle name="20% - Accent3 2 4 8 3 3" xfId="36749"/>
    <cellStyle name="20% - Accent3 2 4 8 4" xfId="6094"/>
    <cellStyle name="20% - Accent3 2 4 8 4 2" xfId="19163"/>
    <cellStyle name="20% - Accent3 2 4 8 4 2 2" xfId="48024"/>
    <cellStyle name="20% - Accent3 2 4 8 4 3" xfId="34955"/>
    <cellStyle name="20% - Accent3 2 4 8 5" xfId="16483"/>
    <cellStyle name="20% - Accent3 2 4 8 5 2" xfId="45344"/>
    <cellStyle name="20% - Accent3 2 4 8 6" xfId="30708"/>
    <cellStyle name="20% - Accent3 2 4 9" xfId="2052"/>
    <cellStyle name="20% - Accent3 2 4 9 2" xfId="4939"/>
    <cellStyle name="20% - Accent3 2 4 9 2 2" xfId="10980"/>
    <cellStyle name="20% - Accent3 2 4 9 2 2 2" xfId="28027"/>
    <cellStyle name="20% - Accent3 2 4 9 2 2 2 2" xfId="56888"/>
    <cellStyle name="20% - Accent3 2 4 9 2 2 3" xfId="39841"/>
    <cellStyle name="20% - Accent3 2 4 9 2 3" xfId="22049"/>
    <cellStyle name="20% - Accent3 2 4 9 2 3 2" xfId="50910"/>
    <cellStyle name="20% - Accent3 2 4 9 2 4" xfId="33800"/>
    <cellStyle name="20% - Accent3 2 4 9 3" xfId="8094"/>
    <cellStyle name="20% - Accent3 2 4 9 3 2" xfId="25141"/>
    <cellStyle name="20% - Accent3 2 4 9 3 2 2" xfId="54002"/>
    <cellStyle name="20% - Accent3 2 4 9 3 3" xfId="36955"/>
    <cellStyle name="20% - Accent3 2 4 9 4" xfId="13781"/>
    <cellStyle name="20% - Accent3 2 4 9 4 2" xfId="19369"/>
    <cellStyle name="20% - Accent3 2 4 9 4 2 2" xfId="48230"/>
    <cellStyle name="20% - Accent3 2 4 9 4 3" xfId="42642"/>
    <cellStyle name="20% - Accent3 2 4 9 5" xfId="16689"/>
    <cellStyle name="20% - Accent3 2 4 9 5 2" xfId="45550"/>
    <cellStyle name="20% - Accent3 2 4 9 6" xfId="30914"/>
    <cellStyle name="20% - Accent3 2 5" xfId="198"/>
    <cellStyle name="20% - Accent3 2 5 2" xfId="610"/>
    <cellStyle name="20% - Accent3 2 5 2 2" xfId="3497"/>
    <cellStyle name="20% - Accent3 2 5 2 2 2" xfId="9538"/>
    <cellStyle name="20% - Accent3 2 5 2 2 2 2" xfId="26585"/>
    <cellStyle name="20% - Accent3 2 5 2 2 2 2 2" xfId="55446"/>
    <cellStyle name="20% - Accent3 2 5 2 2 2 3" xfId="38399"/>
    <cellStyle name="20% - Accent3 2 5 2 2 3" xfId="20607"/>
    <cellStyle name="20% - Accent3 2 5 2 2 3 2" xfId="49468"/>
    <cellStyle name="20% - Accent3 2 5 2 2 4" xfId="32358"/>
    <cellStyle name="20% - Accent3 2 5 2 3" xfId="6652"/>
    <cellStyle name="20% - Accent3 2 5 2 3 2" xfId="23699"/>
    <cellStyle name="20% - Accent3 2 5 2 3 2 2" xfId="52560"/>
    <cellStyle name="20% - Accent3 2 5 2 3 3" xfId="35513"/>
    <cellStyle name="20% - Accent3 2 5 2 4" xfId="12513"/>
    <cellStyle name="20% - Accent3 2 5 2 4 2" xfId="17927"/>
    <cellStyle name="20% - Accent3 2 5 2 4 2 2" xfId="46788"/>
    <cellStyle name="20% - Accent3 2 5 2 4 3" xfId="41374"/>
    <cellStyle name="20% - Accent3 2 5 2 5" xfId="15247"/>
    <cellStyle name="20% - Accent3 2 5 2 5 2" xfId="44108"/>
    <cellStyle name="20% - Accent3 2 5 2 6" xfId="29472"/>
    <cellStyle name="20% - Accent3 2 5 3" xfId="2155"/>
    <cellStyle name="20% - Accent3 2 5 3 2" xfId="5042"/>
    <cellStyle name="20% - Accent3 2 5 3 2 2" xfId="11083"/>
    <cellStyle name="20% - Accent3 2 5 3 2 2 2" xfId="28130"/>
    <cellStyle name="20% - Accent3 2 5 3 2 2 2 2" xfId="56991"/>
    <cellStyle name="20% - Accent3 2 5 3 2 2 3" xfId="39944"/>
    <cellStyle name="20% - Accent3 2 5 3 2 3" xfId="22152"/>
    <cellStyle name="20% - Accent3 2 5 3 2 3 2" xfId="51013"/>
    <cellStyle name="20% - Accent3 2 5 3 2 4" xfId="33903"/>
    <cellStyle name="20% - Accent3 2 5 3 3" xfId="8197"/>
    <cellStyle name="20% - Accent3 2 5 3 3 2" xfId="25244"/>
    <cellStyle name="20% - Accent3 2 5 3 3 2 2" xfId="54105"/>
    <cellStyle name="20% - Accent3 2 5 3 3 3" xfId="37058"/>
    <cellStyle name="20% - Accent3 2 5 3 4" xfId="14112"/>
    <cellStyle name="20% - Accent3 2 5 3 4 2" xfId="19472"/>
    <cellStyle name="20% - Accent3 2 5 3 4 2 2" xfId="48333"/>
    <cellStyle name="20% - Accent3 2 5 3 4 3" xfId="42973"/>
    <cellStyle name="20% - Accent3 2 5 3 5" xfId="16792"/>
    <cellStyle name="20% - Accent3 2 5 3 5 2" xfId="45653"/>
    <cellStyle name="20% - Accent3 2 5 3 6" xfId="31017"/>
    <cellStyle name="20% - Accent3 2 5 4" xfId="3085"/>
    <cellStyle name="20% - Accent3 2 5 4 2" xfId="9126"/>
    <cellStyle name="20% - Accent3 2 5 4 2 2" xfId="26173"/>
    <cellStyle name="20% - Accent3 2 5 4 2 2 2" xfId="55034"/>
    <cellStyle name="20% - Accent3 2 5 4 2 3" xfId="37987"/>
    <cellStyle name="20% - Accent3 2 5 4 3" xfId="20195"/>
    <cellStyle name="20% - Accent3 2 5 4 3 2" xfId="49056"/>
    <cellStyle name="20% - Accent3 2 5 4 4" xfId="31946"/>
    <cellStyle name="20% - Accent3 2 5 5" xfId="6240"/>
    <cellStyle name="20% - Accent3 2 5 5 2" xfId="23287"/>
    <cellStyle name="20% - Accent3 2 5 5 2 2" xfId="52148"/>
    <cellStyle name="20% - Accent3 2 5 5 3" xfId="35101"/>
    <cellStyle name="20% - Accent3 2 5 6" xfId="14194"/>
    <cellStyle name="20% - Accent3 2 5 6 2" xfId="17618"/>
    <cellStyle name="20% - Accent3 2 5 6 2 2" xfId="46479"/>
    <cellStyle name="20% - Accent3 2 5 6 3" xfId="43055"/>
    <cellStyle name="20% - Accent3 2 5 7" xfId="14835"/>
    <cellStyle name="20% - Accent3 2 5 7 2" xfId="43696"/>
    <cellStyle name="20% - Accent3 2 5 8" xfId="29060"/>
    <cellStyle name="20% - Accent3 2 6" xfId="404"/>
    <cellStyle name="20% - Accent3 2 6 2" xfId="3291"/>
    <cellStyle name="20% - Accent3 2 6 2 2" xfId="9332"/>
    <cellStyle name="20% - Accent3 2 6 2 2 2" xfId="26379"/>
    <cellStyle name="20% - Accent3 2 6 2 2 2 2" xfId="55240"/>
    <cellStyle name="20% - Accent3 2 6 2 2 3" xfId="38193"/>
    <cellStyle name="20% - Accent3 2 6 2 3" xfId="20401"/>
    <cellStyle name="20% - Accent3 2 6 2 3 2" xfId="49262"/>
    <cellStyle name="20% - Accent3 2 6 2 4" xfId="32152"/>
    <cellStyle name="20% - Accent3 2 6 3" xfId="6446"/>
    <cellStyle name="20% - Accent3 2 6 3 2" xfId="23493"/>
    <cellStyle name="20% - Accent3 2 6 3 2 2" xfId="52354"/>
    <cellStyle name="20% - Accent3 2 6 3 3" xfId="35307"/>
    <cellStyle name="20% - Accent3 2 6 4" xfId="12151"/>
    <cellStyle name="20% - Accent3 2 6 4 2" xfId="17721"/>
    <cellStyle name="20% - Accent3 2 6 4 2 2" xfId="46582"/>
    <cellStyle name="20% - Accent3 2 6 4 3" xfId="41012"/>
    <cellStyle name="20% - Accent3 2 6 5" xfId="15041"/>
    <cellStyle name="20% - Accent3 2 6 5 2" xfId="43902"/>
    <cellStyle name="20% - Accent3 2 6 6" xfId="29266"/>
    <cellStyle name="20% - Accent3 2 7" xfId="713"/>
    <cellStyle name="20% - Accent3 2 7 2" xfId="3600"/>
    <cellStyle name="20% - Accent3 2 7 2 2" xfId="9641"/>
    <cellStyle name="20% - Accent3 2 7 2 2 2" xfId="26688"/>
    <cellStyle name="20% - Accent3 2 7 2 2 2 2" xfId="55549"/>
    <cellStyle name="20% - Accent3 2 7 2 2 3" xfId="38502"/>
    <cellStyle name="20% - Accent3 2 7 2 3" xfId="20710"/>
    <cellStyle name="20% - Accent3 2 7 2 3 2" xfId="49571"/>
    <cellStyle name="20% - Accent3 2 7 2 4" xfId="32461"/>
    <cellStyle name="20% - Accent3 2 7 3" xfId="6755"/>
    <cellStyle name="20% - Accent3 2 7 3 2" xfId="23802"/>
    <cellStyle name="20% - Accent3 2 7 3 2 2" xfId="52663"/>
    <cellStyle name="20% - Accent3 2 7 3 3" xfId="35616"/>
    <cellStyle name="20% - Accent3 2 7 4" xfId="14203"/>
    <cellStyle name="20% - Accent3 2 7 4 2" xfId="18030"/>
    <cellStyle name="20% - Accent3 2 7 4 2 2" xfId="46891"/>
    <cellStyle name="20% - Accent3 2 7 4 3" xfId="43064"/>
    <cellStyle name="20% - Accent3 2 7 5" xfId="15350"/>
    <cellStyle name="20% - Accent3 2 7 5 2" xfId="44211"/>
    <cellStyle name="20% - Accent3 2 7 6" xfId="29575"/>
    <cellStyle name="20% - Accent3 2 8" xfId="919"/>
    <cellStyle name="20% - Accent3 2 8 2" xfId="3806"/>
    <cellStyle name="20% - Accent3 2 8 2 2" xfId="9847"/>
    <cellStyle name="20% - Accent3 2 8 2 2 2" xfId="26894"/>
    <cellStyle name="20% - Accent3 2 8 2 2 2 2" xfId="55755"/>
    <cellStyle name="20% - Accent3 2 8 2 2 3" xfId="38708"/>
    <cellStyle name="20% - Accent3 2 8 2 3" xfId="20916"/>
    <cellStyle name="20% - Accent3 2 8 2 3 2" xfId="49777"/>
    <cellStyle name="20% - Accent3 2 8 2 4" xfId="32667"/>
    <cellStyle name="20% - Accent3 2 8 3" xfId="6961"/>
    <cellStyle name="20% - Accent3 2 8 3 2" xfId="24008"/>
    <cellStyle name="20% - Accent3 2 8 3 2 2" xfId="52869"/>
    <cellStyle name="20% - Accent3 2 8 3 3" xfId="35822"/>
    <cellStyle name="20% - Accent3 2 8 4" xfId="13628"/>
    <cellStyle name="20% - Accent3 2 8 4 2" xfId="18236"/>
    <cellStyle name="20% - Accent3 2 8 4 2 2" xfId="47097"/>
    <cellStyle name="20% - Accent3 2 8 4 3" xfId="42489"/>
    <cellStyle name="20% - Accent3 2 8 5" xfId="15556"/>
    <cellStyle name="20% - Accent3 2 8 5 2" xfId="44417"/>
    <cellStyle name="20% - Accent3 2 8 6" xfId="29781"/>
    <cellStyle name="20% - Accent3 2 9" xfId="1125"/>
    <cellStyle name="20% - Accent3 2 9 2" xfId="4012"/>
    <cellStyle name="20% - Accent3 2 9 2 2" xfId="10053"/>
    <cellStyle name="20% - Accent3 2 9 2 2 2" xfId="27100"/>
    <cellStyle name="20% - Accent3 2 9 2 2 2 2" xfId="55961"/>
    <cellStyle name="20% - Accent3 2 9 2 2 3" xfId="38914"/>
    <cellStyle name="20% - Accent3 2 9 2 3" xfId="21122"/>
    <cellStyle name="20% - Accent3 2 9 2 3 2" xfId="49983"/>
    <cellStyle name="20% - Accent3 2 9 2 4" xfId="32873"/>
    <cellStyle name="20% - Accent3 2 9 3" xfId="7167"/>
    <cellStyle name="20% - Accent3 2 9 3 2" xfId="24214"/>
    <cellStyle name="20% - Accent3 2 9 3 2 2" xfId="53075"/>
    <cellStyle name="20% - Accent3 2 9 3 3" xfId="36028"/>
    <cellStyle name="20% - Accent3 2 9 4" xfId="12160"/>
    <cellStyle name="20% - Accent3 2 9 4 2" xfId="18442"/>
    <cellStyle name="20% - Accent3 2 9 4 2 2" xfId="47303"/>
    <cellStyle name="20% - Accent3 2 9 4 3" xfId="41021"/>
    <cellStyle name="20% - Accent3 2 9 5" xfId="15762"/>
    <cellStyle name="20% - Accent3 2 9 5 2" xfId="44623"/>
    <cellStyle name="20% - Accent3 2 9 6" xfId="29987"/>
    <cellStyle name="20% - Accent3 20" xfId="5864"/>
    <cellStyle name="20% - Accent3 20 2" xfId="22964"/>
    <cellStyle name="20% - Accent3 20 2 2" xfId="51825"/>
    <cellStyle name="20% - Accent3 20 3" xfId="34725"/>
    <cellStyle name="20% - Accent3 21" xfId="6123"/>
    <cellStyle name="20% - Accent3 21 2" xfId="23170"/>
    <cellStyle name="20% - Accent3 21 2 2" xfId="52031"/>
    <cellStyle name="20% - Accent3 21 3" xfId="34984"/>
    <cellStyle name="20% - Accent3 22" xfId="14512"/>
    <cellStyle name="20% - Accent3 22 2" xfId="43373"/>
    <cellStyle name="20% - Accent3 23" xfId="28943"/>
    <cellStyle name="20% - Accent3 3" xfId="108"/>
    <cellStyle name="20% - Accent3 3 10" xfId="1756"/>
    <cellStyle name="20% - Accent3 3 10 2" xfId="4643"/>
    <cellStyle name="20% - Accent3 3 10 2 2" xfId="10684"/>
    <cellStyle name="20% - Accent3 3 10 2 2 2" xfId="27731"/>
    <cellStyle name="20% - Accent3 3 10 2 2 2 2" xfId="56592"/>
    <cellStyle name="20% - Accent3 3 10 2 2 3" xfId="39545"/>
    <cellStyle name="20% - Accent3 3 10 2 3" xfId="21753"/>
    <cellStyle name="20% - Accent3 3 10 2 3 2" xfId="50614"/>
    <cellStyle name="20% - Accent3 3 10 2 4" xfId="33504"/>
    <cellStyle name="20% - Accent3 3 10 3" xfId="7798"/>
    <cellStyle name="20% - Accent3 3 10 3 2" xfId="24845"/>
    <cellStyle name="20% - Accent3 3 10 3 2 2" xfId="53706"/>
    <cellStyle name="20% - Accent3 3 10 3 3" xfId="36659"/>
    <cellStyle name="20% - Accent3 3 10 4" xfId="13662"/>
    <cellStyle name="20% - Accent3 3 10 4 2" xfId="19073"/>
    <cellStyle name="20% - Accent3 3 10 4 2 2" xfId="47934"/>
    <cellStyle name="20% - Accent3 3 10 4 3" xfId="42523"/>
    <cellStyle name="20% - Accent3 3 10 5" xfId="16393"/>
    <cellStyle name="20% - Accent3 3 10 5 2" xfId="45254"/>
    <cellStyle name="20% - Accent3 3 10 6" xfId="30618"/>
    <cellStyle name="20% - Accent3 3 11" xfId="1962"/>
    <cellStyle name="20% - Accent3 3 11 2" xfId="4849"/>
    <cellStyle name="20% - Accent3 3 11 2 2" xfId="10890"/>
    <cellStyle name="20% - Accent3 3 11 2 2 2" xfId="27937"/>
    <cellStyle name="20% - Accent3 3 11 2 2 2 2" xfId="56798"/>
    <cellStyle name="20% - Accent3 3 11 2 2 3" xfId="39751"/>
    <cellStyle name="20% - Accent3 3 11 2 3" xfId="21959"/>
    <cellStyle name="20% - Accent3 3 11 2 3 2" xfId="50820"/>
    <cellStyle name="20% - Accent3 3 11 2 4" xfId="33710"/>
    <cellStyle name="20% - Accent3 3 11 3" xfId="8004"/>
    <cellStyle name="20% - Accent3 3 11 3 2" xfId="25051"/>
    <cellStyle name="20% - Accent3 3 11 3 2 2" xfId="53912"/>
    <cellStyle name="20% - Accent3 3 11 3 3" xfId="36865"/>
    <cellStyle name="20% - Accent3 3 11 4" xfId="14122"/>
    <cellStyle name="20% - Accent3 3 11 4 2" xfId="19279"/>
    <cellStyle name="20% - Accent3 3 11 4 2 2" xfId="48140"/>
    <cellStyle name="20% - Accent3 3 11 4 3" xfId="42983"/>
    <cellStyle name="20% - Accent3 3 11 5" xfId="16599"/>
    <cellStyle name="20% - Accent3 3 11 5 2" xfId="45460"/>
    <cellStyle name="20% - Accent3 3 11 6" xfId="30824"/>
    <cellStyle name="20% - Accent3 3 12" xfId="2374"/>
    <cellStyle name="20% - Accent3 3 12 2" xfId="5261"/>
    <cellStyle name="20% - Accent3 3 12 2 2" xfId="11302"/>
    <cellStyle name="20% - Accent3 3 12 2 2 2" xfId="28349"/>
    <cellStyle name="20% - Accent3 3 12 2 2 2 2" xfId="57210"/>
    <cellStyle name="20% - Accent3 3 12 2 2 3" xfId="40163"/>
    <cellStyle name="20% - Accent3 3 12 2 3" xfId="22371"/>
    <cellStyle name="20% - Accent3 3 12 2 3 2" xfId="51232"/>
    <cellStyle name="20% - Accent3 3 12 2 4" xfId="34122"/>
    <cellStyle name="20% - Accent3 3 12 3" xfId="8416"/>
    <cellStyle name="20% - Accent3 3 12 3 2" xfId="25463"/>
    <cellStyle name="20% - Accent3 3 12 3 2 2" xfId="54324"/>
    <cellStyle name="20% - Accent3 3 12 3 3" xfId="37277"/>
    <cellStyle name="20% - Accent3 3 12 4" xfId="14436"/>
    <cellStyle name="20% - Accent3 3 12 4 2" xfId="19691"/>
    <cellStyle name="20% - Accent3 3 12 4 2 2" xfId="48552"/>
    <cellStyle name="20% - Accent3 3 12 4 3" xfId="43297"/>
    <cellStyle name="20% - Accent3 3 12 5" xfId="17011"/>
    <cellStyle name="20% - Accent3 3 12 5 2" xfId="45872"/>
    <cellStyle name="20% - Accent3 3 12 6" xfId="31236"/>
    <cellStyle name="20% - Accent3 3 13" xfId="2583"/>
    <cellStyle name="20% - Accent3 3 13 2" xfId="5469"/>
    <cellStyle name="20% - Accent3 3 13 2 2" xfId="11510"/>
    <cellStyle name="20% - Accent3 3 13 2 2 2" xfId="28557"/>
    <cellStyle name="20% - Accent3 3 13 2 2 2 2" xfId="57418"/>
    <cellStyle name="20% - Accent3 3 13 2 2 3" xfId="40371"/>
    <cellStyle name="20% - Accent3 3 13 2 3" xfId="22579"/>
    <cellStyle name="20% - Accent3 3 13 2 3 2" xfId="51440"/>
    <cellStyle name="20% - Accent3 3 13 2 4" xfId="34330"/>
    <cellStyle name="20% - Accent3 3 13 3" xfId="8624"/>
    <cellStyle name="20% - Accent3 3 13 3 2" xfId="25671"/>
    <cellStyle name="20% - Accent3 3 13 3 2 2" xfId="54532"/>
    <cellStyle name="20% - Accent3 3 13 3 3" xfId="37485"/>
    <cellStyle name="20% - Accent3 3 13 4" xfId="12374"/>
    <cellStyle name="20% - Accent3 3 13 4 2" xfId="19899"/>
    <cellStyle name="20% - Accent3 3 13 4 2 2" xfId="48760"/>
    <cellStyle name="20% - Accent3 3 13 4 3" xfId="41235"/>
    <cellStyle name="20% - Accent3 3 13 5" xfId="17219"/>
    <cellStyle name="20% - Accent3 3 13 5 2" xfId="46080"/>
    <cellStyle name="20% - Accent3 3 13 6" xfId="31444"/>
    <cellStyle name="20% - Accent3 3 14" xfId="2995"/>
    <cellStyle name="20% - Accent3 3 14 2" xfId="9036"/>
    <cellStyle name="20% - Accent3 3 14 2 2" xfId="26083"/>
    <cellStyle name="20% - Accent3 3 14 2 2 2" xfId="54944"/>
    <cellStyle name="20% - Accent3 3 14 2 3" xfId="37897"/>
    <cellStyle name="20% - Accent3 3 14 3" xfId="13871"/>
    <cellStyle name="20% - Accent3 3 14 3 2" xfId="20105"/>
    <cellStyle name="20% - Accent3 3 14 3 2 2" xfId="48966"/>
    <cellStyle name="20% - Accent3 3 14 3 3" xfId="42732"/>
    <cellStyle name="20% - Accent3 3 14 4" xfId="14745"/>
    <cellStyle name="20% - Accent3 3 14 4 2" xfId="43606"/>
    <cellStyle name="20% - Accent3 3 14 5" xfId="31856"/>
    <cellStyle name="20% - Accent3 3 15" xfId="2789"/>
    <cellStyle name="20% - Accent3 3 15 2" xfId="8830"/>
    <cellStyle name="20% - Accent3 3 15 2 2" xfId="25877"/>
    <cellStyle name="20% - Accent3 3 15 2 2 2" xfId="54738"/>
    <cellStyle name="20% - Accent3 3 15 2 3" xfId="37691"/>
    <cellStyle name="20% - Accent3 3 15 3" xfId="17425"/>
    <cellStyle name="20% - Accent3 3 15 3 2" xfId="46286"/>
    <cellStyle name="20% - Accent3 3 15 4" xfId="31650"/>
    <cellStyle name="20% - Accent3 3 16" xfId="5675"/>
    <cellStyle name="20% - Accent3 3 16 2" xfId="11716"/>
    <cellStyle name="20% - Accent3 3 16 2 2" xfId="28763"/>
    <cellStyle name="20% - Accent3 3 16 2 2 2" xfId="57624"/>
    <cellStyle name="20% - Accent3 3 16 2 3" xfId="40577"/>
    <cellStyle name="20% - Accent3 3 16 3" xfId="22785"/>
    <cellStyle name="20% - Accent3 3 16 3 2" xfId="51646"/>
    <cellStyle name="20% - Accent3 3 16 4" xfId="34536"/>
    <cellStyle name="20% - Accent3 3 17" xfId="5892"/>
    <cellStyle name="20% - Accent3 3 17 2" xfId="22991"/>
    <cellStyle name="20% - Accent3 3 17 2 2" xfId="51852"/>
    <cellStyle name="20% - Accent3 3 17 3" xfId="34753"/>
    <cellStyle name="20% - Accent3 3 18" xfId="6150"/>
    <cellStyle name="20% - Accent3 3 18 2" xfId="23197"/>
    <cellStyle name="20% - Accent3 3 18 2 2" xfId="52058"/>
    <cellStyle name="20% - Accent3 3 18 3" xfId="35011"/>
    <cellStyle name="20% - Accent3 3 19" xfId="14539"/>
    <cellStyle name="20% - Accent3 3 19 2" xfId="43400"/>
    <cellStyle name="20% - Accent3 3 2" xfId="314"/>
    <cellStyle name="20% - Accent3 3 2 10" xfId="2477"/>
    <cellStyle name="20% - Accent3 3 2 10 2" xfId="5364"/>
    <cellStyle name="20% - Accent3 3 2 10 2 2" xfId="11405"/>
    <cellStyle name="20% - Accent3 3 2 10 2 2 2" xfId="28452"/>
    <cellStyle name="20% - Accent3 3 2 10 2 2 2 2" xfId="57313"/>
    <cellStyle name="20% - Accent3 3 2 10 2 2 3" xfId="40266"/>
    <cellStyle name="20% - Accent3 3 2 10 2 3" xfId="22474"/>
    <cellStyle name="20% - Accent3 3 2 10 2 3 2" xfId="51335"/>
    <cellStyle name="20% - Accent3 3 2 10 2 4" xfId="34225"/>
    <cellStyle name="20% - Accent3 3 2 10 3" xfId="8519"/>
    <cellStyle name="20% - Accent3 3 2 10 3 2" xfId="25566"/>
    <cellStyle name="20% - Accent3 3 2 10 3 2 2" xfId="54427"/>
    <cellStyle name="20% - Accent3 3 2 10 3 3" xfId="37380"/>
    <cellStyle name="20% - Accent3 3 2 10 4" xfId="14484"/>
    <cellStyle name="20% - Accent3 3 2 10 4 2" xfId="19794"/>
    <cellStyle name="20% - Accent3 3 2 10 4 2 2" xfId="48655"/>
    <cellStyle name="20% - Accent3 3 2 10 4 3" xfId="43345"/>
    <cellStyle name="20% - Accent3 3 2 10 5" xfId="17114"/>
    <cellStyle name="20% - Accent3 3 2 10 5 2" xfId="45975"/>
    <cellStyle name="20% - Accent3 3 2 10 6" xfId="31339"/>
    <cellStyle name="20% - Accent3 3 2 11" xfId="2686"/>
    <cellStyle name="20% - Accent3 3 2 11 2" xfId="5572"/>
    <cellStyle name="20% - Accent3 3 2 11 2 2" xfId="11613"/>
    <cellStyle name="20% - Accent3 3 2 11 2 2 2" xfId="28660"/>
    <cellStyle name="20% - Accent3 3 2 11 2 2 2 2" xfId="57521"/>
    <cellStyle name="20% - Accent3 3 2 11 2 2 3" xfId="40474"/>
    <cellStyle name="20% - Accent3 3 2 11 2 3" xfId="22682"/>
    <cellStyle name="20% - Accent3 3 2 11 2 3 2" xfId="51543"/>
    <cellStyle name="20% - Accent3 3 2 11 2 4" xfId="34433"/>
    <cellStyle name="20% - Accent3 3 2 11 3" xfId="8727"/>
    <cellStyle name="20% - Accent3 3 2 11 3 2" xfId="25774"/>
    <cellStyle name="20% - Accent3 3 2 11 3 2 2" xfId="54635"/>
    <cellStyle name="20% - Accent3 3 2 11 3 3" xfId="37588"/>
    <cellStyle name="20% - Accent3 3 2 11 4" xfId="13463"/>
    <cellStyle name="20% - Accent3 3 2 11 4 2" xfId="20002"/>
    <cellStyle name="20% - Accent3 3 2 11 4 2 2" xfId="48863"/>
    <cellStyle name="20% - Accent3 3 2 11 4 3" xfId="42324"/>
    <cellStyle name="20% - Accent3 3 2 11 5" xfId="17322"/>
    <cellStyle name="20% - Accent3 3 2 11 5 2" xfId="46183"/>
    <cellStyle name="20% - Accent3 3 2 11 6" xfId="31547"/>
    <cellStyle name="20% - Accent3 3 2 12" xfId="3201"/>
    <cellStyle name="20% - Accent3 3 2 12 2" xfId="9242"/>
    <cellStyle name="20% - Accent3 3 2 12 2 2" xfId="26289"/>
    <cellStyle name="20% - Accent3 3 2 12 2 2 2" xfId="55150"/>
    <cellStyle name="20% - Accent3 3 2 12 2 3" xfId="38103"/>
    <cellStyle name="20% - Accent3 3 2 12 3" xfId="13240"/>
    <cellStyle name="20% - Accent3 3 2 12 3 2" xfId="20311"/>
    <cellStyle name="20% - Accent3 3 2 12 3 2 2" xfId="49172"/>
    <cellStyle name="20% - Accent3 3 2 12 3 3" xfId="42101"/>
    <cellStyle name="20% - Accent3 3 2 12 4" xfId="14951"/>
    <cellStyle name="20% - Accent3 3 2 12 4 2" xfId="43812"/>
    <cellStyle name="20% - Accent3 3 2 12 5" xfId="32062"/>
    <cellStyle name="20% - Accent3 3 2 13" xfId="2892"/>
    <cellStyle name="20% - Accent3 3 2 13 2" xfId="8933"/>
    <cellStyle name="20% - Accent3 3 2 13 2 2" xfId="25980"/>
    <cellStyle name="20% - Accent3 3 2 13 2 2 2" xfId="54841"/>
    <cellStyle name="20% - Accent3 3 2 13 2 3" xfId="37794"/>
    <cellStyle name="20% - Accent3 3 2 13 3" xfId="17528"/>
    <cellStyle name="20% - Accent3 3 2 13 3 2" xfId="46389"/>
    <cellStyle name="20% - Accent3 3 2 13 4" xfId="31753"/>
    <cellStyle name="20% - Accent3 3 2 14" xfId="5778"/>
    <cellStyle name="20% - Accent3 3 2 14 2" xfId="11819"/>
    <cellStyle name="20% - Accent3 3 2 14 2 2" xfId="28866"/>
    <cellStyle name="20% - Accent3 3 2 14 2 2 2" xfId="57727"/>
    <cellStyle name="20% - Accent3 3 2 14 2 3" xfId="40680"/>
    <cellStyle name="20% - Accent3 3 2 14 3" xfId="22888"/>
    <cellStyle name="20% - Accent3 3 2 14 3 2" xfId="51749"/>
    <cellStyle name="20% - Accent3 3 2 14 4" xfId="34639"/>
    <cellStyle name="20% - Accent3 3 2 15" xfId="5995"/>
    <cellStyle name="20% - Accent3 3 2 15 2" xfId="23094"/>
    <cellStyle name="20% - Accent3 3 2 15 2 2" xfId="51955"/>
    <cellStyle name="20% - Accent3 3 2 15 3" xfId="34856"/>
    <cellStyle name="20% - Accent3 3 2 16" xfId="6356"/>
    <cellStyle name="20% - Accent3 3 2 16 2" xfId="23403"/>
    <cellStyle name="20% - Accent3 3 2 16 2 2" xfId="52264"/>
    <cellStyle name="20% - Accent3 3 2 16 3" xfId="35217"/>
    <cellStyle name="20% - Accent3 3 2 17" xfId="14642"/>
    <cellStyle name="20% - Accent3 3 2 17 2" xfId="43503"/>
    <cellStyle name="20% - Accent3 3 2 18" xfId="29176"/>
    <cellStyle name="20% - Accent3 3 2 2" xfId="520"/>
    <cellStyle name="20% - Accent3 3 2 2 2" xfId="2271"/>
    <cellStyle name="20% - Accent3 3 2 2 2 2" xfId="5158"/>
    <cellStyle name="20% - Accent3 3 2 2 2 2 2" xfId="11199"/>
    <cellStyle name="20% - Accent3 3 2 2 2 2 2 2" xfId="28246"/>
    <cellStyle name="20% - Accent3 3 2 2 2 2 2 2 2" xfId="57107"/>
    <cellStyle name="20% - Accent3 3 2 2 2 2 2 3" xfId="40060"/>
    <cellStyle name="20% - Accent3 3 2 2 2 2 3" xfId="22268"/>
    <cellStyle name="20% - Accent3 3 2 2 2 2 3 2" xfId="51129"/>
    <cellStyle name="20% - Accent3 3 2 2 2 2 4" xfId="34019"/>
    <cellStyle name="20% - Accent3 3 2 2 2 3" xfId="8313"/>
    <cellStyle name="20% - Accent3 3 2 2 2 3 2" xfId="25360"/>
    <cellStyle name="20% - Accent3 3 2 2 2 3 2 2" xfId="54221"/>
    <cellStyle name="20% - Accent3 3 2 2 2 3 3" xfId="37174"/>
    <cellStyle name="20% - Accent3 3 2 2 2 4" xfId="11997"/>
    <cellStyle name="20% - Accent3 3 2 2 2 4 2" xfId="19588"/>
    <cellStyle name="20% - Accent3 3 2 2 2 4 2 2" xfId="48449"/>
    <cellStyle name="20% - Accent3 3 2 2 2 4 3" xfId="40858"/>
    <cellStyle name="20% - Accent3 3 2 2 2 5" xfId="16908"/>
    <cellStyle name="20% - Accent3 3 2 2 2 5 2" xfId="45769"/>
    <cellStyle name="20% - Accent3 3 2 2 2 6" xfId="31133"/>
    <cellStyle name="20% - Accent3 3 2 2 3" xfId="3407"/>
    <cellStyle name="20% - Accent3 3 2 2 3 2" xfId="9448"/>
    <cellStyle name="20% - Accent3 3 2 2 3 2 2" xfId="26495"/>
    <cellStyle name="20% - Accent3 3 2 2 3 2 2 2" xfId="55356"/>
    <cellStyle name="20% - Accent3 3 2 2 3 2 3" xfId="38309"/>
    <cellStyle name="20% - Accent3 3 2 2 3 3" xfId="20517"/>
    <cellStyle name="20% - Accent3 3 2 2 3 3 2" xfId="49378"/>
    <cellStyle name="20% - Accent3 3 2 2 3 4" xfId="32268"/>
    <cellStyle name="20% - Accent3 3 2 2 4" xfId="6562"/>
    <cellStyle name="20% - Accent3 3 2 2 4 2" xfId="23609"/>
    <cellStyle name="20% - Accent3 3 2 2 4 2 2" xfId="52470"/>
    <cellStyle name="20% - Accent3 3 2 2 4 3" xfId="35423"/>
    <cellStyle name="20% - Accent3 3 2 2 5" xfId="12052"/>
    <cellStyle name="20% - Accent3 3 2 2 5 2" xfId="17837"/>
    <cellStyle name="20% - Accent3 3 2 2 5 2 2" xfId="46698"/>
    <cellStyle name="20% - Accent3 3 2 2 5 3" xfId="40913"/>
    <cellStyle name="20% - Accent3 3 2 2 6" xfId="15157"/>
    <cellStyle name="20% - Accent3 3 2 2 6 2" xfId="44018"/>
    <cellStyle name="20% - Accent3 3 2 2 7" xfId="29382"/>
    <cellStyle name="20% - Accent3 3 2 3" xfId="829"/>
    <cellStyle name="20% - Accent3 3 2 3 2" xfId="3716"/>
    <cellStyle name="20% - Accent3 3 2 3 2 2" xfId="9757"/>
    <cellStyle name="20% - Accent3 3 2 3 2 2 2" xfId="26804"/>
    <cellStyle name="20% - Accent3 3 2 3 2 2 2 2" xfId="55665"/>
    <cellStyle name="20% - Accent3 3 2 3 2 2 3" xfId="38618"/>
    <cellStyle name="20% - Accent3 3 2 3 2 3" xfId="20826"/>
    <cellStyle name="20% - Accent3 3 2 3 2 3 2" xfId="49687"/>
    <cellStyle name="20% - Accent3 3 2 3 2 4" xfId="32577"/>
    <cellStyle name="20% - Accent3 3 2 3 3" xfId="6871"/>
    <cellStyle name="20% - Accent3 3 2 3 3 2" xfId="23918"/>
    <cellStyle name="20% - Accent3 3 2 3 3 2 2" xfId="52779"/>
    <cellStyle name="20% - Accent3 3 2 3 3 3" xfId="35732"/>
    <cellStyle name="20% - Accent3 3 2 3 4" xfId="12971"/>
    <cellStyle name="20% - Accent3 3 2 3 4 2" xfId="18146"/>
    <cellStyle name="20% - Accent3 3 2 3 4 2 2" xfId="47007"/>
    <cellStyle name="20% - Accent3 3 2 3 4 3" xfId="41832"/>
    <cellStyle name="20% - Accent3 3 2 3 5" xfId="15466"/>
    <cellStyle name="20% - Accent3 3 2 3 5 2" xfId="44327"/>
    <cellStyle name="20% - Accent3 3 2 3 6" xfId="29691"/>
    <cellStyle name="20% - Accent3 3 2 4" xfId="1035"/>
    <cellStyle name="20% - Accent3 3 2 4 2" xfId="3922"/>
    <cellStyle name="20% - Accent3 3 2 4 2 2" xfId="9963"/>
    <cellStyle name="20% - Accent3 3 2 4 2 2 2" xfId="27010"/>
    <cellStyle name="20% - Accent3 3 2 4 2 2 2 2" xfId="55871"/>
    <cellStyle name="20% - Accent3 3 2 4 2 2 3" xfId="38824"/>
    <cellStyle name="20% - Accent3 3 2 4 2 3" xfId="21032"/>
    <cellStyle name="20% - Accent3 3 2 4 2 3 2" xfId="49893"/>
    <cellStyle name="20% - Accent3 3 2 4 2 4" xfId="32783"/>
    <cellStyle name="20% - Accent3 3 2 4 3" xfId="7077"/>
    <cellStyle name="20% - Accent3 3 2 4 3 2" xfId="24124"/>
    <cellStyle name="20% - Accent3 3 2 4 3 2 2" xfId="52985"/>
    <cellStyle name="20% - Accent3 3 2 4 3 3" xfId="35938"/>
    <cellStyle name="20% - Accent3 3 2 4 4" xfId="14462"/>
    <cellStyle name="20% - Accent3 3 2 4 4 2" xfId="18352"/>
    <cellStyle name="20% - Accent3 3 2 4 4 2 2" xfId="47213"/>
    <cellStyle name="20% - Accent3 3 2 4 4 3" xfId="43323"/>
    <cellStyle name="20% - Accent3 3 2 4 5" xfId="15672"/>
    <cellStyle name="20% - Accent3 3 2 4 5 2" xfId="44533"/>
    <cellStyle name="20% - Accent3 3 2 4 6" xfId="29897"/>
    <cellStyle name="20% - Accent3 3 2 5" xfId="1241"/>
    <cellStyle name="20% - Accent3 3 2 5 2" xfId="4128"/>
    <cellStyle name="20% - Accent3 3 2 5 2 2" xfId="10169"/>
    <cellStyle name="20% - Accent3 3 2 5 2 2 2" xfId="27216"/>
    <cellStyle name="20% - Accent3 3 2 5 2 2 2 2" xfId="56077"/>
    <cellStyle name="20% - Accent3 3 2 5 2 2 3" xfId="39030"/>
    <cellStyle name="20% - Accent3 3 2 5 2 3" xfId="21238"/>
    <cellStyle name="20% - Accent3 3 2 5 2 3 2" xfId="50099"/>
    <cellStyle name="20% - Accent3 3 2 5 2 4" xfId="32989"/>
    <cellStyle name="20% - Accent3 3 2 5 3" xfId="7283"/>
    <cellStyle name="20% - Accent3 3 2 5 3 2" xfId="24330"/>
    <cellStyle name="20% - Accent3 3 2 5 3 2 2" xfId="53191"/>
    <cellStyle name="20% - Accent3 3 2 5 3 3" xfId="36144"/>
    <cellStyle name="20% - Accent3 3 2 5 4" xfId="12914"/>
    <cellStyle name="20% - Accent3 3 2 5 4 2" xfId="18558"/>
    <cellStyle name="20% - Accent3 3 2 5 4 2 2" xfId="47419"/>
    <cellStyle name="20% - Accent3 3 2 5 4 3" xfId="41775"/>
    <cellStyle name="20% - Accent3 3 2 5 5" xfId="15878"/>
    <cellStyle name="20% - Accent3 3 2 5 5 2" xfId="44739"/>
    <cellStyle name="20% - Accent3 3 2 5 6" xfId="30103"/>
    <cellStyle name="20% - Accent3 3 2 6" xfId="1447"/>
    <cellStyle name="20% - Accent3 3 2 6 2" xfId="4334"/>
    <cellStyle name="20% - Accent3 3 2 6 2 2" xfId="10375"/>
    <cellStyle name="20% - Accent3 3 2 6 2 2 2" xfId="27422"/>
    <cellStyle name="20% - Accent3 3 2 6 2 2 2 2" xfId="56283"/>
    <cellStyle name="20% - Accent3 3 2 6 2 2 3" xfId="39236"/>
    <cellStyle name="20% - Accent3 3 2 6 2 3" xfId="21444"/>
    <cellStyle name="20% - Accent3 3 2 6 2 3 2" xfId="50305"/>
    <cellStyle name="20% - Accent3 3 2 6 2 4" xfId="33195"/>
    <cellStyle name="20% - Accent3 3 2 6 3" xfId="7489"/>
    <cellStyle name="20% - Accent3 3 2 6 3 2" xfId="24536"/>
    <cellStyle name="20% - Accent3 3 2 6 3 2 2" xfId="53397"/>
    <cellStyle name="20% - Accent3 3 2 6 3 3" xfId="36350"/>
    <cellStyle name="20% - Accent3 3 2 6 4" xfId="13481"/>
    <cellStyle name="20% - Accent3 3 2 6 4 2" xfId="18764"/>
    <cellStyle name="20% - Accent3 3 2 6 4 2 2" xfId="47625"/>
    <cellStyle name="20% - Accent3 3 2 6 4 3" xfId="42342"/>
    <cellStyle name="20% - Accent3 3 2 6 5" xfId="16084"/>
    <cellStyle name="20% - Accent3 3 2 6 5 2" xfId="44945"/>
    <cellStyle name="20% - Accent3 3 2 6 6" xfId="30309"/>
    <cellStyle name="20% - Accent3 3 2 7" xfId="1653"/>
    <cellStyle name="20% - Accent3 3 2 7 2" xfId="4540"/>
    <cellStyle name="20% - Accent3 3 2 7 2 2" xfId="10581"/>
    <cellStyle name="20% - Accent3 3 2 7 2 2 2" xfId="27628"/>
    <cellStyle name="20% - Accent3 3 2 7 2 2 2 2" xfId="56489"/>
    <cellStyle name="20% - Accent3 3 2 7 2 2 3" xfId="39442"/>
    <cellStyle name="20% - Accent3 3 2 7 2 3" xfId="21650"/>
    <cellStyle name="20% - Accent3 3 2 7 2 3 2" xfId="50511"/>
    <cellStyle name="20% - Accent3 3 2 7 2 4" xfId="33401"/>
    <cellStyle name="20% - Accent3 3 2 7 3" xfId="7695"/>
    <cellStyle name="20% - Accent3 3 2 7 3 2" xfId="24742"/>
    <cellStyle name="20% - Accent3 3 2 7 3 2 2" xfId="53603"/>
    <cellStyle name="20% - Accent3 3 2 7 3 3" xfId="36556"/>
    <cellStyle name="20% - Accent3 3 2 7 4" xfId="13548"/>
    <cellStyle name="20% - Accent3 3 2 7 4 2" xfId="18970"/>
    <cellStyle name="20% - Accent3 3 2 7 4 2 2" xfId="47831"/>
    <cellStyle name="20% - Accent3 3 2 7 4 3" xfId="42409"/>
    <cellStyle name="20% - Accent3 3 2 7 5" xfId="16290"/>
    <cellStyle name="20% - Accent3 3 2 7 5 2" xfId="45151"/>
    <cellStyle name="20% - Accent3 3 2 7 6" xfId="30515"/>
    <cellStyle name="20% - Accent3 3 2 8" xfId="1859"/>
    <cellStyle name="20% - Accent3 3 2 8 2" xfId="4746"/>
    <cellStyle name="20% - Accent3 3 2 8 2 2" xfId="10787"/>
    <cellStyle name="20% - Accent3 3 2 8 2 2 2" xfId="27834"/>
    <cellStyle name="20% - Accent3 3 2 8 2 2 2 2" xfId="56695"/>
    <cellStyle name="20% - Accent3 3 2 8 2 2 3" xfId="39648"/>
    <cellStyle name="20% - Accent3 3 2 8 2 3" xfId="21856"/>
    <cellStyle name="20% - Accent3 3 2 8 2 3 2" xfId="50717"/>
    <cellStyle name="20% - Accent3 3 2 8 2 4" xfId="33607"/>
    <cellStyle name="20% - Accent3 3 2 8 3" xfId="7901"/>
    <cellStyle name="20% - Accent3 3 2 8 3 2" xfId="24948"/>
    <cellStyle name="20% - Accent3 3 2 8 3 2 2" xfId="53809"/>
    <cellStyle name="20% - Accent3 3 2 8 3 3" xfId="36762"/>
    <cellStyle name="20% - Accent3 3 2 8 4" xfId="13297"/>
    <cellStyle name="20% - Accent3 3 2 8 4 2" xfId="19176"/>
    <cellStyle name="20% - Accent3 3 2 8 4 2 2" xfId="48037"/>
    <cellStyle name="20% - Accent3 3 2 8 4 3" xfId="42158"/>
    <cellStyle name="20% - Accent3 3 2 8 5" xfId="16496"/>
    <cellStyle name="20% - Accent3 3 2 8 5 2" xfId="45357"/>
    <cellStyle name="20% - Accent3 3 2 8 6" xfId="30721"/>
    <cellStyle name="20% - Accent3 3 2 9" xfId="2065"/>
    <cellStyle name="20% - Accent3 3 2 9 2" xfId="4952"/>
    <cellStyle name="20% - Accent3 3 2 9 2 2" xfId="10993"/>
    <cellStyle name="20% - Accent3 3 2 9 2 2 2" xfId="28040"/>
    <cellStyle name="20% - Accent3 3 2 9 2 2 2 2" xfId="56901"/>
    <cellStyle name="20% - Accent3 3 2 9 2 2 3" xfId="39854"/>
    <cellStyle name="20% - Accent3 3 2 9 2 3" xfId="22062"/>
    <cellStyle name="20% - Accent3 3 2 9 2 3 2" xfId="50923"/>
    <cellStyle name="20% - Accent3 3 2 9 2 4" xfId="33813"/>
    <cellStyle name="20% - Accent3 3 2 9 3" xfId="8107"/>
    <cellStyle name="20% - Accent3 3 2 9 3 2" xfId="25154"/>
    <cellStyle name="20% - Accent3 3 2 9 3 2 2" xfId="54015"/>
    <cellStyle name="20% - Accent3 3 2 9 3 3" xfId="36968"/>
    <cellStyle name="20% - Accent3 3 2 9 4" xfId="12931"/>
    <cellStyle name="20% - Accent3 3 2 9 4 2" xfId="19382"/>
    <cellStyle name="20% - Accent3 3 2 9 4 2 2" xfId="48243"/>
    <cellStyle name="20% - Accent3 3 2 9 4 3" xfId="41792"/>
    <cellStyle name="20% - Accent3 3 2 9 5" xfId="16702"/>
    <cellStyle name="20% - Accent3 3 2 9 5 2" xfId="45563"/>
    <cellStyle name="20% - Accent3 3 2 9 6" xfId="30927"/>
    <cellStyle name="20% - Accent3 3 20" xfId="28970"/>
    <cellStyle name="20% - Accent3 3 3" xfId="211"/>
    <cellStyle name="20% - Accent3 3 3 2" xfId="623"/>
    <cellStyle name="20% - Accent3 3 3 2 2" xfId="3510"/>
    <cellStyle name="20% - Accent3 3 3 2 2 2" xfId="9551"/>
    <cellStyle name="20% - Accent3 3 3 2 2 2 2" xfId="26598"/>
    <cellStyle name="20% - Accent3 3 3 2 2 2 2 2" xfId="55459"/>
    <cellStyle name="20% - Accent3 3 3 2 2 2 3" xfId="38412"/>
    <cellStyle name="20% - Accent3 3 3 2 2 3" xfId="20620"/>
    <cellStyle name="20% - Accent3 3 3 2 2 3 2" xfId="49481"/>
    <cellStyle name="20% - Accent3 3 3 2 2 4" xfId="32371"/>
    <cellStyle name="20% - Accent3 3 3 2 3" xfId="6665"/>
    <cellStyle name="20% - Accent3 3 3 2 3 2" xfId="23712"/>
    <cellStyle name="20% - Accent3 3 3 2 3 2 2" xfId="52573"/>
    <cellStyle name="20% - Accent3 3 3 2 3 3" xfId="35526"/>
    <cellStyle name="20% - Accent3 3 3 2 4" xfId="11987"/>
    <cellStyle name="20% - Accent3 3 3 2 4 2" xfId="17940"/>
    <cellStyle name="20% - Accent3 3 3 2 4 2 2" xfId="46801"/>
    <cellStyle name="20% - Accent3 3 3 2 4 3" xfId="40848"/>
    <cellStyle name="20% - Accent3 3 3 2 5" xfId="15260"/>
    <cellStyle name="20% - Accent3 3 3 2 5 2" xfId="44121"/>
    <cellStyle name="20% - Accent3 3 3 2 6" xfId="29485"/>
    <cellStyle name="20% - Accent3 3 3 3" xfId="2168"/>
    <cellStyle name="20% - Accent3 3 3 3 2" xfId="5055"/>
    <cellStyle name="20% - Accent3 3 3 3 2 2" xfId="11096"/>
    <cellStyle name="20% - Accent3 3 3 3 2 2 2" xfId="28143"/>
    <cellStyle name="20% - Accent3 3 3 3 2 2 2 2" xfId="57004"/>
    <cellStyle name="20% - Accent3 3 3 3 2 2 3" xfId="39957"/>
    <cellStyle name="20% - Accent3 3 3 3 2 3" xfId="22165"/>
    <cellStyle name="20% - Accent3 3 3 3 2 3 2" xfId="51026"/>
    <cellStyle name="20% - Accent3 3 3 3 2 4" xfId="33916"/>
    <cellStyle name="20% - Accent3 3 3 3 3" xfId="8210"/>
    <cellStyle name="20% - Accent3 3 3 3 3 2" xfId="25257"/>
    <cellStyle name="20% - Accent3 3 3 3 3 2 2" xfId="54118"/>
    <cellStyle name="20% - Accent3 3 3 3 3 3" xfId="37071"/>
    <cellStyle name="20% - Accent3 3 3 3 4" xfId="12389"/>
    <cellStyle name="20% - Accent3 3 3 3 4 2" xfId="19485"/>
    <cellStyle name="20% - Accent3 3 3 3 4 2 2" xfId="48346"/>
    <cellStyle name="20% - Accent3 3 3 3 4 3" xfId="41250"/>
    <cellStyle name="20% - Accent3 3 3 3 5" xfId="16805"/>
    <cellStyle name="20% - Accent3 3 3 3 5 2" xfId="45666"/>
    <cellStyle name="20% - Accent3 3 3 3 6" xfId="31030"/>
    <cellStyle name="20% - Accent3 3 3 4" xfId="3098"/>
    <cellStyle name="20% - Accent3 3 3 4 2" xfId="9139"/>
    <cellStyle name="20% - Accent3 3 3 4 2 2" xfId="26186"/>
    <cellStyle name="20% - Accent3 3 3 4 2 2 2" xfId="55047"/>
    <cellStyle name="20% - Accent3 3 3 4 2 3" xfId="38000"/>
    <cellStyle name="20% - Accent3 3 3 4 3" xfId="20208"/>
    <cellStyle name="20% - Accent3 3 3 4 3 2" xfId="49069"/>
    <cellStyle name="20% - Accent3 3 3 4 4" xfId="31959"/>
    <cellStyle name="20% - Accent3 3 3 5" xfId="6253"/>
    <cellStyle name="20% - Accent3 3 3 5 2" xfId="23300"/>
    <cellStyle name="20% - Accent3 3 3 5 2 2" xfId="52161"/>
    <cellStyle name="20% - Accent3 3 3 5 3" xfId="35114"/>
    <cellStyle name="20% - Accent3 3 3 6" xfId="14388"/>
    <cellStyle name="20% - Accent3 3 3 6 2" xfId="17631"/>
    <cellStyle name="20% - Accent3 3 3 6 2 2" xfId="46492"/>
    <cellStyle name="20% - Accent3 3 3 6 3" xfId="43249"/>
    <cellStyle name="20% - Accent3 3 3 7" xfId="14848"/>
    <cellStyle name="20% - Accent3 3 3 7 2" xfId="43709"/>
    <cellStyle name="20% - Accent3 3 3 8" xfId="29073"/>
    <cellStyle name="20% - Accent3 3 4" xfId="417"/>
    <cellStyle name="20% - Accent3 3 4 2" xfId="3304"/>
    <cellStyle name="20% - Accent3 3 4 2 2" xfId="9345"/>
    <cellStyle name="20% - Accent3 3 4 2 2 2" xfId="26392"/>
    <cellStyle name="20% - Accent3 3 4 2 2 2 2" xfId="55253"/>
    <cellStyle name="20% - Accent3 3 4 2 2 3" xfId="38206"/>
    <cellStyle name="20% - Accent3 3 4 2 3" xfId="20414"/>
    <cellStyle name="20% - Accent3 3 4 2 3 2" xfId="49275"/>
    <cellStyle name="20% - Accent3 3 4 2 4" xfId="32165"/>
    <cellStyle name="20% - Accent3 3 4 3" xfId="6459"/>
    <cellStyle name="20% - Accent3 3 4 3 2" xfId="23506"/>
    <cellStyle name="20% - Accent3 3 4 3 2 2" xfId="52367"/>
    <cellStyle name="20% - Accent3 3 4 3 3" xfId="35320"/>
    <cellStyle name="20% - Accent3 3 4 4" xfId="12297"/>
    <cellStyle name="20% - Accent3 3 4 4 2" xfId="17734"/>
    <cellStyle name="20% - Accent3 3 4 4 2 2" xfId="46595"/>
    <cellStyle name="20% - Accent3 3 4 4 3" xfId="41158"/>
    <cellStyle name="20% - Accent3 3 4 5" xfId="15054"/>
    <cellStyle name="20% - Accent3 3 4 5 2" xfId="43915"/>
    <cellStyle name="20% - Accent3 3 4 6" xfId="29279"/>
    <cellStyle name="20% - Accent3 3 5" xfId="726"/>
    <cellStyle name="20% - Accent3 3 5 2" xfId="3613"/>
    <cellStyle name="20% - Accent3 3 5 2 2" xfId="9654"/>
    <cellStyle name="20% - Accent3 3 5 2 2 2" xfId="26701"/>
    <cellStyle name="20% - Accent3 3 5 2 2 2 2" xfId="55562"/>
    <cellStyle name="20% - Accent3 3 5 2 2 3" xfId="38515"/>
    <cellStyle name="20% - Accent3 3 5 2 3" xfId="20723"/>
    <cellStyle name="20% - Accent3 3 5 2 3 2" xfId="49584"/>
    <cellStyle name="20% - Accent3 3 5 2 4" xfId="32474"/>
    <cellStyle name="20% - Accent3 3 5 3" xfId="6768"/>
    <cellStyle name="20% - Accent3 3 5 3 2" xfId="23815"/>
    <cellStyle name="20% - Accent3 3 5 3 2 2" xfId="52676"/>
    <cellStyle name="20% - Accent3 3 5 3 3" xfId="35629"/>
    <cellStyle name="20% - Accent3 3 5 4" xfId="14295"/>
    <cellStyle name="20% - Accent3 3 5 4 2" xfId="18043"/>
    <cellStyle name="20% - Accent3 3 5 4 2 2" xfId="46904"/>
    <cellStyle name="20% - Accent3 3 5 4 3" xfId="43156"/>
    <cellStyle name="20% - Accent3 3 5 5" xfId="15363"/>
    <cellStyle name="20% - Accent3 3 5 5 2" xfId="44224"/>
    <cellStyle name="20% - Accent3 3 5 6" xfId="29588"/>
    <cellStyle name="20% - Accent3 3 6" xfId="932"/>
    <cellStyle name="20% - Accent3 3 6 2" xfId="3819"/>
    <cellStyle name="20% - Accent3 3 6 2 2" xfId="9860"/>
    <cellStyle name="20% - Accent3 3 6 2 2 2" xfId="26907"/>
    <cellStyle name="20% - Accent3 3 6 2 2 2 2" xfId="55768"/>
    <cellStyle name="20% - Accent3 3 6 2 2 3" xfId="38721"/>
    <cellStyle name="20% - Accent3 3 6 2 3" xfId="20929"/>
    <cellStyle name="20% - Accent3 3 6 2 3 2" xfId="49790"/>
    <cellStyle name="20% - Accent3 3 6 2 4" xfId="32680"/>
    <cellStyle name="20% - Accent3 3 6 3" xfId="6974"/>
    <cellStyle name="20% - Accent3 3 6 3 2" xfId="24021"/>
    <cellStyle name="20% - Accent3 3 6 3 2 2" xfId="52882"/>
    <cellStyle name="20% - Accent3 3 6 3 3" xfId="35835"/>
    <cellStyle name="20% - Accent3 3 6 4" xfId="12583"/>
    <cellStyle name="20% - Accent3 3 6 4 2" xfId="18249"/>
    <cellStyle name="20% - Accent3 3 6 4 2 2" xfId="47110"/>
    <cellStyle name="20% - Accent3 3 6 4 3" xfId="41444"/>
    <cellStyle name="20% - Accent3 3 6 5" xfId="15569"/>
    <cellStyle name="20% - Accent3 3 6 5 2" xfId="44430"/>
    <cellStyle name="20% - Accent3 3 6 6" xfId="29794"/>
    <cellStyle name="20% - Accent3 3 7" xfId="1138"/>
    <cellStyle name="20% - Accent3 3 7 2" xfId="4025"/>
    <cellStyle name="20% - Accent3 3 7 2 2" xfId="10066"/>
    <cellStyle name="20% - Accent3 3 7 2 2 2" xfId="27113"/>
    <cellStyle name="20% - Accent3 3 7 2 2 2 2" xfId="55974"/>
    <cellStyle name="20% - Accent3 3 7 2 2 3" xfId="38927"/>
    <cellStyle name="20% - Accent3 3 7 2 3" xfId="21135"/>
    <cellStyle name="20% - Accent3 3 7 2 3 2" xfId="49996"/>
    <cellStyle name="20% - Accent3 3 7 2 4" xfId="32886"/>
    <cellStyle name="20% - Accent3 3 7 3" xfId="7180"/>
    <cellStyle name="20% - Accent3 3 7 3 2" xfId="24227"/>
    <cellStyle name="20% - Accent3 3 7 3 2 2" xfId="53088"/>
    <cellStyle name="20% - Accent3 3 7 3 3" xfId="36041"/>
    <cellStyle name="20% - Accent3 3 7 4" xfId="13312"/>
    <cellStyle name="20% - Accent3 3 7 4 2" xfId="18455"/>
    <cellStyle name="20% - Accent3 3 7 4 2 2" xfId="47316"/>
    <cellStyle name="20% - Accent3 3 7 4 3" xfId="42173"/>
    <cellStyle name="20% - Accent3 3 7 5" xfId="15775"/>
    <cellStyle name="20% - Accent3 3 7 5 2" xfId="44636"/>
    <cellStyle name="20% - Accent3 3 7 6" xfId="30000"/>
    <cellStyle name="20% - Accent3 3 8" xfId="1344"/>
    <cellStyle name="20% - Accent3 3 8 2" xfId="4231"/>
    <cellStyle name="20% - Accent3 3 8 2 2" xfId="10272"/>
    <cellStyle name="20% - Accent3 3 8 2 2 2" xfId="27319"/>
    <cellStyle name="20% - Accent3 3 8 2 2 2 2" xfId="56180"/>
    <cellStyle name="20% - Accent3 3 8 2 2 3" xfId="39133"/>
    <cellStyle name="20% - Accent3 3 8 2 3" xfId="21341"/>
    <cellStyle name="20% - Accent3 3 8 2 3 2" xfId="50202"/>
    <cellStyle name="20% - Accent3 3 8 2 4" xfId="33092"/>
    <cellStyle name="20% - Accent3 3 8 3" xfId="7386"/>
    <cellStyle name="20% - Accent3 3 8 3 2" xfId="24433"/>
    <cellStyle name="20% - Accent3 3 8 3 2 2" xfId="53294"/>
    <cellStyle name="20% - Accent3 3 8 3 3" xfId="36247"/>
    <cellStyle name="20% - Accent3 3 8 4" xfId="12123"/>
    <cellStyle name="20% - Accent3 3 8 4 2" xfId="18661"/>
    <cellStyle name="20% - Accent3 3 8 4 2 2" xfId="47522"/>
    <cellStyle name="20% - Accent3 3 8 4 3" xfId="40984"/>
    <cellStyle name="20% - Accent3 3 8 5" xfId="15981"/>
    <cellStyle name="20% - Accent3 3 8 5 2" xfId="44842"/>
    <cellStyle name="20% - Accent3 3 8 6" xfId="30206"/>
    <cellStyle name="20% - Accent3 3 9" xfId="1550"/>
    <cellStyle name="20% - Accent3 3 9 2" xfId="4437"/>
    <cellStyle name="20% - Accent3 3 9 2 2" xfId="10478"/>
    <cellStyle name="20% - Accent3 3 9 2 2 2" xfId="27525"/>
    <cellStyle name="20% - Accent3 3 9 2 2 2 2" xfId="56386"/>
    <cellStyle name="20% - Accent3 3 9 2 2 3" xfId="39339"/>
    <cellStyle name="20% - Accent3 3 9 2 3" xfId="21547"/>
    <cellStyle name="20% - Accent3 3 9 2 3 2" xfId="50408"/>
    <cellStyle name="20% - Accent3 3 9 2 4" xfId="33298"/>
    <cellStyle name="20% - Accent3 3 9 3" xfId="7592"/>
    <cellStyle name="20% - Accent3 3 9 3 2" xfId="24639"/>
    <cellStyle name="20% - Accent3 3 9 3 2 2" xfId="53500"/>
    <cellStyle name="20% - Accent3 3 9 3 3" xfId="36453"/>
    <cellStyle name="20% - Accent3 3 9 4" xfId="12489"/>
    <cellStyle name="20% - Accent3 3 9 4 2" xfId="18867"/>
    <cellStyle name="20% - Accent3 3 9 4 2 2" xfId="47728"/>
    <cellStyle name="20% - Accent3 3 9 4 3" xfId="41350"/>
    <cellStyle name="20% - Accent3 3 9 5" xfId="16187"/>
    <cellStyle name="20% - Accent3 3 9 5 2" xfId="45048"/>
    <cellStyle name="20% - Accent3 3 9 6" xfId="30412"/>
    <cellStyle name="20% - Accent3 4" xfId="134"/>
    <cellStyle name="20% - Accent3 4 10" xfId="1782"/>
    <cellStyle name="20% - Accent3 4 10 2" xfId="4669"/>
    <cellStyle name="20% - Accent3 4 10 2 2" xfId="10710"/>
    <cellStyle name="20% - Accent3 4 10 2 2 2" xfId="27757"/>
    <cellStyle name="20% - Accent3 4 10 2 2 2 2" xfId="56618"/>
    <cellStyle name="20% - Accent3 4 10 2 2 3" xfId="39571"/>
    <cellStyle name="20% - Accent3 4 10 2 3" xfId="21779"/>
    <cellStyle name="20% - Accent3 4 10 2 3 2" xfId="50640"/>
    <cellStyle name="20% - Accent3 4 10 2 4" xfId="33530"/>
    <cellStyle name="20% - Accent3 4 10 3" xfId="7824"/>
    <cellStyle name="20% - Accent3 4 10 3 2" xfId="24871"/>
    <cellStyle name="20% - Accent3 4 10 3 2 2" xfId="53732"/>
    <cellStyle name="20% - Accent3 4 10 3 3" xfId="36685"/>
    <cellStyle name="20% - Accent3 4 10 4" xfId="13882"/>
    <cellStyle name="20% - Accent3 4 10 4 2" xfId="19099"/>
    <cellStyle name="20% - Accent3 4 10 4 2 2" xfId="47960"/>
    <cellStyle name="20% - Accent3 4 10 4 3" xfId="42743"/>
    <cellStyle name="20% - Accent3 4 10 5" xfId="16419"/>
    <cellStyle name="20% - Accent3 4 10 5 2" xfId="45280"/>
    <cellStyle name="20% - Accent3 4 10 6" xfId="30644"/>
    <cellStyle name="20% - Accent3 4 11" xfId="1988"/>
    <cellStyle name="20% - Accent3 4 11 2" xfId="4875"/>
    <cellStyle name="20% - Accent3 4 11 2 2" xfId="10916"/>
    <cellStyle name="20% - Accent3 4 11 2 2 2" xfId="27963"/>
    <cellStyle name="20% - Accent3 4 11 2 2 2 2" xfId="56824"/>
    <cellStyle name="20% - Accent3 4 11 2 2 3" xfId="39777"/>
    <cellStyle name="20% - Accent3 4 11 2 3" xfId="21985"/>
    <cellStyle name="20% - Accent3 4 11 2 3 2" xfId="50846"/>
    <cellStyle name="20% - Accent3 4 11 2 4" xfId="33736"/>
    <cellStyle name="20% - Accent3 4 11 3" xfId="8030"/>
    <cellStyle name="20% - Accent3 4 11 3 2" xfId="25077"/>
    <cellStyle name="20% - Accent3 4 11 3 2 2" xfId="53938"/>
    <cellStyle name="20% - Accent3 4 11 3 3" xfId="36891"/>
    <cellStyle name="20% - Accent3 4 11 4" xfId="14323"/>
    <cellStyle name="20% - Accent3 4 11 4 2" xfId="19305"/>
    <cellStyle name="20% - Accent3 4 11 4 2 2" xfId="48166"/>
    <cellStyle name="20% - Accent3 4 11 4 3" xfId="43184"/>
    <cellStyle name="20% - Accent3 4 11 5" xfId="16625"/>
    <cellStyle name="20% - Accent3 4 11 5 2" xfId="45486"/>
    <cellStyle name="20% - Accent3 4 11 6" xfId="30850"/>
    <cellStyle name="20% - Accent3 4 12" xfId="2400"/>
    <cellStyle name="20% - Accent3 4 12 2" xfId="5287"/>
    <cellStyle name="20% - Accent3 4 12 2 2" xfId="11328"/>
    <cellStyle name="20% - Accent3 4 12 2 2 2" xfId="28375"/>
    <cellStyle name="20% - Accent3 4 12 2 2 2 2" xfId="57236"/>
    <cellStyle name="20% - Accent3 4 12 2 2 3" xfId="40189"/>
    <cellStyle name="20% - Accent3 4 12 2 3" xfId="22397"/>
    <cellStyle name="20% - Accent3 4 12 2 3 2" xfId="51258"/>
    <cellStyle name="20% - Accent3 4 12 2 4" xfId="34148"/>
    <cellStyle name="20% - Accent3 4 12 3" xfId="8442"/>
    <cellStyle name="20% - Accent3 4 12 3 2" xfId="25489"/>
    <cellStyle name="20% - Accent3 4 12 3 2 2" xfId="54350"/>
    <cellStyle name="20% - Accent3 4 12 3 3" xfId="37303"/>
    <cellStyle name="20% - Accent3 4 12 4" xfId="13340"/>
    <cellStyle name="20% - Accent3 4 12 4 2" xfId="19717"/>
    <cellStyle name="20% - Accent3 4 12 4 2 2" xfId="48578"/>
    <cellStyle name="20% - Accent3 4 12 4 3" xfId="42201"/>
    <cellStyle name="20% - Accent3 4 12 5" xfId="17037"/>
    <cellStyle name="20% - Accent3 4 12 5 2" xfId="45898"/>
    <cellStyle name="20% - Accent3 4 12 6" xfId="31262"/>
    <cellStyle name="20% - Accent3 4 13" xfId="2609"/>
    <cellStyle name="20% - Accent3 4 13 2" xfId="5495"/>
    <cellStyle name="20% - Accent3 4 13 2 2" xfId="11536"/>
    <cellStyle name="20% - Accent3 4 13 2 2 2" xfId="28583"/>
    <cellStyle name="20% - Accent3 4 13 2 2 2 2" xfId="57444"/>
    <cellStyle name="20% - Accent3 4 13 2 2 3" xfId="40397"/>
    <cellStyle name="20% - Accent3 4 13 2 3" xfId="22605"/>
    <cellStyle name="20% - Accent3 4 13 2 3 2" xfId="51466"/>
    <cellStyle name="20% - Accent3 4 13 2 4" xfId="34356"/>
    <cellStyle name="20% - Accent3 4 13 3" xfId="8650"/>
    <cellStyle name="20% - Accent3 4 13 3 2" xfId="25697"/>
    <cellStyle name="20% - Accent3 4 13 3 2 2" xfId="54558"/>
    <cellStyle name="20% - Accent3 4 13 3 3" xfId="37511"/>
    <cellStyle name="20% - Accent3 4 13 4" xfId="6095"/>
    <cellStyle name="20% - Accent3 4 13 4 2" xfId="19925"/>
    <cellStyle name="20% - Accent3 4 13 4 2 2" xfId="48786"/>
    <cellStyle name="20% - Accent3 4 13 4 3" xfId="34956"/>
    <cellStyle name="20% - Accent3 4 13 5" xfId="17245"/>
    <cellStyle name="20% - Accent3 4 13 5 2" xfId="46106"/>
    <cellStyle name="20% - Accent3 4 13 6" xfId="31470"/>
    <cellStyle name="20% - Accent3 4 14" xfId="3021"/>
    <cellStyle name="20% - Accent3 4 14 2" xfId="9062"/>
    <cellStyle name="20% - Accent3 4 14 2 2" xfId="26109"/>
    <cellStyle name="20% - Accent3 4 14 2 2 2" xfId="54970"/>
    <cellStyle name="20% - Accent3 4 14 2 3" xfId="37923"/>
    <cellStyle name="20% - Accent3 4 14 3" xfId="12718"/>
    <cellStyle name="20% - Accent3 4 14 3 2" xfId="20131"/>
    <cellStyle name="20% - Accent3 4 14 3 2 2" xfId="48992"/>
    <cellStyle name="20% - Accent3 4 14 3 3" xfId="41579"/>
    <cellStyle name="20% - Accent3 4 14 4" xfId="14771"/>
    <cellStyle name="20% - Accent3 4 14 4 2" xfId="43632"/>
    <cellStyle name="20% - Accent3 4 14 5" xfId="31882"/>
    <cellStyle name="20% - Accent3 4 15" xfId="2815"/>
    <cellStyle name="20% - Accent3 4 15 2" xfId="8856"/>
    <cellStyle name="20% - Accent3 4 15 2 2" xfId="25903"/>
    <cellStyle name="20% - Accent3 4 15 2 2 2" xfId="54764"/>
    <cellStyle name="20% - Accent3 4 15 2 3" xfId="37717"/>
    <cellStyle name="20% - Accent3 4 15 3" xfId="17451"/>
    <cellStyle name="20% - Accent3 4 15 3 2" xfId="46312"/>
    <cellStyle name="20% - Accent3 4 15 4" xfId="31676"/>
    <cellStyle name="20% - Accent3 4 16" xfId="5701"/>
    <cellStyle name="20% - Accent3 4 16 2" xfId="11742"/>
    <cellStyle name="20% - Accent3 4 16 2 2" xfId="28789"/>
    <cellStyle name="20% - Accent3 4 16 2 2 2" xfId="57650"/>
    <cellStyle name="20% - Accent3 4 16 2 3" xfId="40603"/>
    <cellStyle name="20% - Accent3 4 16 3" xfId="22811"/>
    <cellStyle name="20% - Accent3 4 16 3 2" xfId="51672"/>
    <cellStyle name="20% - Accent3 4 16 4" xfId="34562"/>
    <cellStyle name="20% - Accent3 4 17" xfId="5918"/>
    <cellStyle name="20% - Accent3 4 17 2" xfId="23017"/>
    <cellStyle name="20% - Accent3 4 17 2 2" xfId="51878"/>
    <cellStyle name="20% - Accent3 4 17 3" xfId="34779"/>
    <cellStyle name="20% - Accent3 4 18" xfId="6176"/>
    <cellStyle name="20% - Accent3 4 18 2" xfId="23223"/>
    <cellStyle name="20% - Accent3 4 18 2 2" xfId="52084"/>
    <cellStyle name="20% - Accent3 4 18 3" xfId="35037"/>
    <cellStyle name="20% - Accent3 4 19" xfId="14565"/>
    <cellStyle name="20% - Accent3 4 19 2" xfId="43426"/>
    <cellStyle name="20% - Accent3 4 2" xfId="340"/>
    <cellStyle name="20% - Accent3 4 2 10" xfId="2503"/>
    <cellStyle name="20% - Accent3 4 2 10 2" xfId="5390"/>
    <cellStyle name="20% - Accent3 4 2 10 2 2" xfId="11431"/>
    <cellStyle name="20% - Accent3 4 2 10 2 2 2" xfId="28478"/>
    <cellStyle name="20% - Accent3 4 2 10 2 2 2 2" xfId="57339"/>
    <cellStyle name="20% - Accent3 4 2 10 2 2 3" xfId="40292"/>
    <cellStyle name="20% - Accent3 4 2 10 2 3" xfId="22500"/>
    <cellStyle name="20% - Accent3 4 2 10 2 3 2" xfId="51361"/>
    <cellStyle name="20% - Accent3 4 2 10 2 4" xfId="34251"/>
    <cellStyle name="20% - Accent3 4 2 10 3" xfId="8545"/>
    <cellStyle name="20% - Accent3 4 2 10 3 2" xfId="25592"/>
    <cellStyle name="20% - Accent3 4 2 10 3 2 2" xfId="54453"/>
    <cellStyle name="20% - Accent3 4 2 10 3 3" xfId="37406"/>
    <cellStyle name="20% - Accent3 4 2 10 4" xfId="12927"/>
    <cellStyle name="20% - Accent3 4 2 10 4 2" xfId="19820"/>
    <cellStyle name="20% - Accent3 4 2 10 4 2 2" xfId="48681"/>
    <cellStyle name="20% - Accent3 4 2 10 4 3" xfId="41788"/>
    <cellStyle name="20% - Accent3 4 2 10 5" xfId="17140"/>
    <cellStyle name="20% - Accent3 4 2 10 5 2" xfId="46001"/>
    <cellStyle name="20% - Accent3 4 2 10 6" xfId="31365"/>
    <cellStyle name="20% - Accent3 4 2 11" xfId="2712"/>
    <cellStyle name="20% - Accent3 4 2 11 2" xfId="5598"/>
    <cellStyle name="20% - Accent3 4 2 11 2 2" xfId="11639"/>
    <cellStyle name="20% - Accent3 4 2 11 2 2 2" xfId="28686"/>
    <cellStyle name="20% - Accent3 4 2 11 2 2 2 2" xfId="57547"/>
    <cellStyle name="20% - Accent3 4 2 11 2 2 3" xfId="40500"/>
    <cellStyle name="20% - Accent3 4 2 11 2 3" xfId="22708"/>
    <cellStyle name="20% - Accent3 4 2 11 2 3 2" xfId="51569"/>
    <cellStyle name="20% - Accent3 4 2 11 2 4" xfId="34459"/>
    <cellStyle name="20% - Accent3 4 2 11 3" xfId="8753"/>
    <cellStyle name="20% - Accent3 4 2 11 3 2" xfId="25800"/>
    <cellStyle name="20% - Accent3 4 2 11 3 2 2" xfId="54661"/>
    <cellStyle name="20% - Accent3 4 2 11 3 3" xfId="37614"/>
    <cellStyle name="20% - Accent3 4 2 11 4" xfId="14464"/>
    <cellStyle name="20% - Accent3 4 2 11 4 2" xfId="20028"/>
    <cellStyle name="20% - Accent3 4 2 11 4 2 2" xfId="48889"/>
    <cellStyle name="20% - Accent3 4 2 11 4 3" xfId="43325"/>
    <cellStyle name="20% - Accent3 4 2 11 5" xfId="17348"/>
    <cellStyle name="20% - Accent3 4 2 11 5 2" xfId="46209"/>
    <cellStyle name="20% - Accent3 4 2 11 6" xfId="31573"/>
    <cellStyle name="20% - Accent3 4 2 12" xfId="3227"/>
    <cellStyle name="20% - Accent3 4 2 12 2" xfId="9268"/>
    <cellStyle name="20% - Accent3 4 2 12 2 2" xfId="26315"/>
    <cellStyle name="20% - Accent3 4 2 12 2 2 2" xfId="55176"/>
    <cellStyle name="20% - Accent3 4 2 12 2 3" xfId="38129"/>
    <cellStyle name="20% - Accent3 4 2 12 3" xfId="13520"/>
    <cellStyle name="20% - Accent3 4 2 12 3 2" xfId="20337"/>
    <cellStyle name="20% - Accent3 4 2 12 3 2 2" xfId="49198"/>
    <cellStyle name="20% - Accent3 4 2 12 3 3" xfId="42381"/>
    <cellStyle name="20% - Accent3 4 2 12 4" xfId="14977"/>
    <cellStyle name="20% - Accent3 4 2 12 4 2" xfId="43838"/>
    <cellStyle name="20% - Accent3 4 2 12 5" xfId="32088"/>
    <cellStyle name="20% - Accent3 4 2 13" xfId="2918"/>
    <cellStyle name="20% - Accent3 4 2 13 2" xfId="8959"/>
    <cellStyle name="20% - Accent3 4 2 13 2 2" xfId="26006"/>
    <cellStyle name="20% - Accent3 4 2 13 2 2 2" xfId="54867"/>
    <cellStyle name="20% - Accent3 4 2 13 2 3" xfId="37820"/>
    <cellStyle name="20% - Accent3 4 2 13 3" xfId="17554"/>
    <cellStyle name="20% - Accent3 4 2 13 3 2" xfId="46415"/>
    <cellStyle name="20% - Accent3 4 2 13 4" xfId="31779"/>
    <cellStyle name="20% - Accent3 4 2 14" xfId="5804"/>
    <cellStyle name="20% - Accent3 4 2 14 2" xfId="11845"/>
    <cellStyle name="20% - Accent3 4 2 14 2 2" xfId="28892"/>
    <cellStyle name="20% - Accent3 4 2 14 2 2 2" xfId="57753"/>
    <cellStyle name="20% - Accent3 4 2 14 2 3" xfId="40706"/>
    <cellStyle name="20% - Accent3 4 2 14 3" xfId="22914"/>
    <cellStyle name="20% - Accent3 4 2 14 3 2" xfId="51775"/>
    <cellStyle name="20% - Accent3 4 2 14 4" xfId="34665"/>
    <cellStyle name="20% - Accent3 4 2 15" xfId="6021"/>
    <cellStyle name="20% - Accent3 4 2 15 2" xfId="23120"/>
    <cellStyle name="20% - Accent3 4 2 15 2 2" xfId="51981"/>
    <cellStyle name="20% - Accent3 4 2 15 3" xfId="34882"/>
    <cellStyle name="20% - Accent3 4 2 16" xfId="6382"/>
    <cellStyle name="20% - Accent3 4 2 16 2" xfId="23429"/>
    <cellStyle name="20% - Accent3 4 2 16 2 2" xfId="52290"/>
    <cellStyle name="20% - Accent3 4 2 16 3" xfId="35243"/>
    <cellStyle name="20% - Accent3 4 2 17" xfId="14668"/>
    <cellStyle name="20% - Accent3 4 2 17 2" xfId="43529"/>
    <cellStyle name="20% - Accent3 4 2 18" xfId="29202"/>
    <cellStyle name="20% - Accent3 4 2 2" xfId="546"/>
    <cellStyle name="20% - Accent3 4 2 2 2" xfId="2297"/>
    <cellStyle name="20% - Accent3 4 2 2 2 2" xfId="5184"/>
    <cellStyle name="20% - Accent3 4 2 2 2 2 2" xfId="11225"/>
    <cellStyle name="20% - Accent3 4 2 2 2 2 2 2" xfId="28272"/>
    <cellStyle name="20% - Accent3 4 2 2 2 2 2 2 2" xfId="57133"/>
    <cellStyle name="20% - Accent3 4 2 2 2 2 2 3" xfId="40086"/>
    <cellStyle name="20% - Accent3 4 2 2 2 2 3" xfId="22294"/>
    <cellStyle name="20% - Accent3 4 2 2 2 2 3 2" xfId="51155"/>
    <cellStyle name="20% - Accent3 4 2 2 2 2 4" xfId="34045"/>
    <cellStyle name="20% - Accent3 4 2 2 2 3" xfId="8339"/>
    <cellStyle name="20% - Accent3 4 2 2 2 3 2" xfId="25386"/>
    <cellStyle name="20% - Accent3 4 2 2 2 3 2 2" xfId="54247"/>
    <cellStyle name="20% - Accent3 4 2 2 2 3 3" xfId="37200"/>
    <cellStyle name="20% - Accent3 4 2 2 2 4" xfId="12467"/>
    <cellStyle name="20% - Accent3 4 2 2 2 4 2" xfId="19614"/>
    <cellStyle name="20% - Accent3 4 2 2 2 4 2 2" xfId="48475"/>
    <cellStyle name="20% - Accent3 4 2 2 2 4 3" xfId="41328"/>
    <cellStyle name="20% - Accent3 4 2 2 2 5" xfId="16934"/>
    <cellStyle name="20% - Accent3 4 2 2 2 5 2" xfId="45795"/>
    <cellStyle name="20% - Accent3 4 2 2 2 6" xfId="31159"/>
    <cellStyle name="20% - Accent3 4 2 2 3" xfId="3433"/>
    <cellStyle name="20% - Accent3 4 2 2 3 2" xfId="9474"/>
    <cellStyle name="20% - Accent3 4 2 2 3 2 2" xfId="26521"/>
    <cellStyle name="20% - Accent3 4 2 2 3 2 2 2" xfId="55382"/>
    <cellStyle name="20% - Accent3 4 2 2 3 2 3" xfId="38335"/>
    <cellStyle name="20% - Accent3 4 2 2 3 3" xfId="20543"/>
    <cellStyle name="20% - Accent3 4 2 2 3 3 2" xfId="49404"/>
    <cellStyle name="20% - Accent3 4 2 2 3 4" xfId="32294"/>
    <cellStyle name="20% - Accent3 4 2 2 4" xfId="6588"/>
    <cellStyle name="20% - Accent3 4 2 2 4 2" xfId="23635"/>
    <cellStyle name="20% - Accent3 4 2 2 4 2 2" xfId="52496"/>
    <cellStyle name="20% - Accent3 4 2 2 4 3" xfId="35449"/>
    <cellStyle name="20% - Accent3 4 2 2 5" xfId="12646"/>
    <cellStyle name="20% - Accent3 4 2 2 5 2" xfId="17863"/>
    <cellStyle name="20% - Accent3 4 2 2 5 2 2" xfId="46724"/>
    <cellStyle name="20% - Accent3 4 2 2 5 3" xfId="41507"/>
    <cellStyle name="20% - Accent3 4 2 2 6" xfId="15183"/>
    <cellStyle name="20% - Accent3 4 2 2 6 2" xfId="44044"/>
    <cellStyle name="20% - Accent3 4 2 2 7" xfId="29408"/>
    <cellStyle name="20% - Accent3 4 2 3" xfId="855"/>
    <cellStyle name="20% - Accent3 4 2 3 2" xfId="3742"/>
    <cellStyle name="20% - Accent3 4 2 3 2 2" xfId="9783"/>
    <cellStyle name="20% - Accent3 4 2 3 2 2 2" xfId="26830"/>
    <cellStyle name="20% - Accent3 4 2 3 2 2 2 2" xfId="55691"/>
    <cellStyle name="20% - Accent3 4 2 3 2 2 3" xfId="38644"/>
    <cellStyle name="20% - Accent3 4 2 3 2 3" xfId="20852"/>
    <cellStyle name="20% - Accent3 4 2 3 2 3 2" xfId="49713"/>
    <cellStyle name="20% - Accent3 4 2 3 2 4" xfId="32603"/>
    <cellStyle name="20% - Accent3 4 2 3 3" xfId="6897"/>
    <cellStyle name="20% - Accent3 4 2 3 3 2" xfId="23944"/>
    <cellStyle name="20% - Accent3 4 2 3 3 2 2" xfId="52805"/>
    <cellStyle name="20% - Accent3 4 2 3 3 3" xfId="35758"/>
    <cellStyle name="20% - Accent3 4 2 3 4" xfId="13677"/>
    <cellStyle name="20% - Accent3 4 2 3 4 2" xfId="18172"/>
    <cellStyle name="20% - Accent3 4 2 3 4 2 2" xfId="47033"/>
    <cellStyle name="20% - Accent3 4 2 3 4 3" xfId="42538"/>
    <cellStyle name="20% - Accent3 4 2 3 5" xfId="15492"/>
    <cellStyle name="20% - Accent3 4 2 3 5 2" xfId="44353"/>
    <cellStyle name="20% - Accent3 4 2 3 6" xfId="29717"/>
    <cellStyle name="20% - Accent3 4 2 4" xfId="1061"/>
    <cellStyle name="20% - Accent3 4 2 4 2" xfId="3948"/>
    <cellStyle name="20% - Accent3 4 2 4 2 2" xfId="9989"/>
    <cellStyle name="20% - Accent3 4 2 4 2 2 2" xfId="27036"/>
    <cellStyle name="20% - Accent3 4 2 4 2 2 2 2" xfId="55897"/>
    <cellStyle name="20% - Accent3 4 2 4 2 2 3" xfId="38850"/>
    <cellStyle name="20% - Accent3 4 2 4 2 3" xfId="21058"/>
    <cellStyle name="20% - Accent3 4 2 4 2 3 2" xfId="49919"/>
    <cellStyle name="20% - Accent3 4 2 4 2 4" xfId="32809"/>
    <cellStyle name="20% - Accent3 4 2 4 3" xfId="7103"/>
    <cellStyle name="20% - Accent3 4 2 4 3 2" xfId="24150"/>
    <cellStyle name="20% - Accent3 4 2 4 3 2 2" xfId="53011"/>
    <cellStyle name="20% - Accent3 4 2 4 3 3" xfId="35964"/>
    <cellStyle name="20% - Accent3 4 2 4 4" xfId="12018"/>
    <cellStyle name="20% - Accent3 4 2 4 4 2" xfId="18378"/>
    <cellStyle name="20% - Accent3 4 2 4 4 2 2" xfId="47239"/>
    <cellStyle name="20% - Accent3 4 2 4 4 3" xfId="40879"/>
    <cellStyle name="20% - Accent3 4 2 4 5" xfId="15698"/>
    <cellStyle name="20% - Accent3 4 2 4 5 2" xfId="44559"/>
    <cellStyle name="20% - Accent3 4 2 4 6" xfId="29923"/>
    <cellStyle name="20% - Accent3 4 2 5" xfId="1267"/>
    <cellStyle name="20% - Accent3 4 2 5 2" xfId="4154"/>
    <cellStyle name="20% - Accent3 4 2 5 2 2" xfId="10195"/>
    <cellStyle name="20% - Accent3 4 2 5 2 2 2" xfId="27242"/>
    <cellStyle name="20% - Accent3 4 2 5 2 2 2 2" xfId="56103"/>
    <cellStyle name="20% - Accent3 4 2 5 2 2 3" xfId="39056"/>
    <cellStyle name="20% - Accent3 4 2 5 2 3" xfId="21264"/>
    <cellStyle name="20% - Accent3 4 2 5 2 3 2" xfId="50125"/>
    <cellStyle name="20% - Accent3 4 2 5 2 4" xfId="33015"/>
    <cellStyle name="20% - Accent3 4 2 5 3" xfId="7309"/>
    <cellStyle name="20% - Accent3 4 2 5 3 2" xfId="24356"/>
    <cellStyle name="20% - Accent3 4 2 5 3 2 2" xfId="53217"/>
    <cellStyle name="20% - Accent3 4 2 5 3 3" xfId="36170"/>
    <cellStyle name="20% - Accent3 4 2 5 4" xfId="14181"/>
    <cellStyle name="20% - Accent3 4 2 5 4 2" xfId="18584"/>
    <cellStyle name="20% - Accent3 4 2 5 4 2 2" xfId="47445"/>
    <cellStyle name="20% - Accent3 4 2 5 4 3" xfId="43042"/>
    <cellStyle name="20% - Accent3 4 2 5 5" xfId="15904"/>
    <cellStyle name="20% - Accent3 4 2 5 5 2" xfId="44765"/>
    <cellStyle name="20% - Accent3 4 2 5 6" xfId="30129"/>
    <cellStyle name="20% - Accent3 4 2 6" xfId="1473"/>
    <cellStyle name="20% - Accent3 4 2 6 2" xfId="4360"/>
    <cellStyle name="20% - Accent3 4 2 6 2 2" xfId="10401"/>
    <cellStyle name="20% - Accent3 4 2 6 2 2 2" xfId="27448"/>
    <cellStyle name="20% - Accent3 4 2 6 2 2 2 2" xfId="56309"/>
    <cellStyle name="20% - Accent3 4 2 6 2 2 3" xfId="39262"/>
    <cellStyle name="20% - Accent3 4 2 6 2 3" xfId="21470"/>
    <cellStyle name="20% - Accent3 4 2 6 2 3 2" xfId="50331"/>
    <cellStyle name="20% - Accent3 4 2 6 2 4" xfId="33221"/>
    <cellStyle name="20% - Accent3 4 2 6 3" xfId="7515"/>
    <cellStyle name="20% - Accent3 4 2 6 3 2" xfId="24562"/>
    <cellStyle name="20% - Accent3 4 2 6 3 2 2" xfId="53423"/>
    <cellStyle name="20% - Accent3 4 2 6 3 3" xfId="36376"/>
    <cellStyle name="20% - Accent3 4 2 6 4" xfId="13383"/>
    <cellStyle name="20% - Accent3 4 2 6 4 2" xfId="18790"/>
    <cellStyle name="20% - Accent3 4 2 6 4 2 2" xfId="47651"/>
    <cellStyle name="20% - Accent3 4 2 6 4 3" xfId="42244"/>
    <cellStyle name="20% - Accent3 4 2 6 5" xfId="16110"/>
    <cellStyle name="20% - Accent3 4 2 6 5 2" xfId="44971"/>
    <cellStyle name="20% - Accent3 4 2 6 6" xfId="30335"/>
    <cellStyle name="20% - Accent3 4 2 7" xfId="1679"/>
    <cellStyle name="20% - Accent3 4 2 7 2" xfId="4566"/>
    <cellStyle name="20% - Accent3 4 2 7 2 2" xfId="10607"/>
    <cellStyle name="20% - Accent3 4 2 7 2 2 2" xfId="27654"/>
    <cellStyle name="20% - Accent3 4 2 7 2 2 2 2" xfId="56515"/>
    <cellStyle name="20% - Accent3 4 2 7 2 2 3" xfId="39468"/>
    <cellStyle name="20% - Accent3 4 2 7 2 3" xfId="21676"/>
    <cellStyle name="20% - Accent3 4 2 7 2 3 2" xfId="50537"/>
    <cellStyle name="20% - Accent3 4 2 7 2 4" xfId="33427"/>
    <cellStyle name="20% - Accent3 4 2 7 3" xfId="7721"/>
    <cellStyle name="20% - Accent3 4 2 7 3 2" xfId="24768"/>
    <cellStyle name="20% - Accent3 4 2 7 3 2 2" xfId="53629"/>
    <cellStyle name="20% - Accent3 4 2 7 3 3" xfId="36582"/>
    <cellStyle name="20% - Accent3 4 2 7 4" xfId="12195"/>
    <cellStyle name="20% - Accent3 4 2 7 4 2" xfId="18996"/>
    <cellStyle name="20% - Accent3 4 2 7 4 2 2" xfId="47857"/>
    <cellStyle name="20% - Accent3 4 2 7 4 3" xfId="41056"/>
    <cellStyle name="20% - Accent3 4 2 7 5" xfId="16316"/>
    <cellStyle name="20% - Accent3 4 2 7 5 2" xfId="45177"/>
    <cellStyle name="20% - Accent3 4 2 7 6" xfId="30541"/>
    <cellStyle name="20% - Accent3 4 2 8" xfId="1885"/>
    <cellStyle name="20% - Accent3 4 2 8 2" xfId="4772"/>
    <cellStyle name="20% - Accent3 4 2 8 2 2" xfId="10813"/>
    <cellStyle name="20% - Accent3 4 2 8 2 2 2" xfId="27860"/>
    <cellStyle name="20% - Accent3 4 2 8 2 2 2 2" xfId="56721"/>
    <cellStyle name="20% - Accent3 4 2 8 2 2 3" xfId="39674"/>
    <cellStyle name="20% - Accent3 4 2 8 2 3" xfId="21882"/>
    <cellStyle name="20% - Accent3 4 2 8 2 3 2" xfId="50743"/>
    <cellStyle name="20% - Accent3 4 2 8 2 4" xfId="33633"/>
    <cellStyle name="20% - Accent3 4 2 8 3" xfId="7927"/>
    <cellStyle name="20% - Accent3 4 2 8 3 2" xfId="24974"/>
    <cellStyle name="20% - Accent3 4 2 8 3 2 2" xfId="53835"/>
    <cellStyle name="20% - Accent3 4 2 8 3 3" xfId="36788"/>
    <cellStyle name="20% - Accent3 4 2 8 4" xfId="13067"/>
    <cellStyle name="20% - Accent3 4 2 8 4 2" xfId="19202"/>
    <cellStyle name="20% - Accent3 4 2 8 4 2 2" xfId="48063"/>
    <cellStyle name="20% - Accent3 4 2 8 4 3" xfId="41928"/>
    <cellStyle name="20% - Accent3 4 2 8 5" xfId="16522"/>
    <cellStyle name="20% - Accent3 4 2 8 5 2" xfId="45383"/>
    <cellStyle name="20% - Accent3 4 2 8 6" xfId="30747"/>
    <cellStyle name="20% - Accent3 4 2 9" xfId="2091"/>
    <cellStyle name="20% - Accent3 4 2 9 2" xfId="4978"/>
    <cellStyle name="20% - Accent3 4 2 9 2 2" xfId="11019"/>
    <cellStyle name="20% - Accent3 4 2 9 2 2 2" xfId="28066"/>
    <cellStyle name="20% - Accent3 4 2 9 2 2 2 2" xfId="56927"/>
    <cellStyle name="20% - Accent3 4 2 9 2 2 3" xfId="39880"/>
    <cellStyle name="20% - Accent3 4 2 9 2 3" xfId="22088"/>
    <cellStyle name="20% - Accent3 4 2 9 2 3 2" xfId="50949"/>
    <cellStyle name="20% - Accent3 4 2 9 2 4" xfId="33839"/>
    <cellStyle name="20% - Accent3 4 2 9 3" xfId="8133"/>
    <cellStyle name="20% - Accent3 4 2 9 3 2" xfId="25180"/>
    <cellStyle name="20% - Accent3 4 2 9 3 2 2" xfId="54041"/>
    <cellStyle name="20% - Accent3 4 2 9 3 3" xfId="36994"/>
    <cellStyle name="20% - Accent3 4 2 9 4" xfId="13835"/>
    <cellStyle name="20% - Accent3 4 2 9 4 2" xfId="19408"/>
    <cellStyle name="20% - Accent3 4 2 9 4 2 2" xfId="48269"/>
    <cellStyle name="20% - Accent3 4 2 9 4 3" xfId="42696"/>
    <cellStyle name="20% - Accent3 4 2 9 5" xfId="16728"/>
    <cellStyle name="20% - Accent3 4 2 9 5 2" xfId="45589"/>
    <cellStyle name="20% - Accent3 4 2 9 6" xfId="30953"/>
    <cellStyle name="20% - Accent3 4 20" xfId="28996"/>
    <cellStyle name="20% - Accent3 4 3" xfId="237"/>
    <cellStyle name="20% - Accent3 4 3 2" xfId="649"/>
    <cellStyle name="20% - Accent3 4 3 2 2" xfId="3536"/>
    <cellStyle name="20% - Accent3 4 3 2 2 2" xfId="9577"/>
    <cellStyle name="20% - Accent3 4 3 2 2 2 2" xfId="26624"/>
    <cellStyle name="20% - Accent3 4 3 2 2 2 2 2" xfId="55485"/>
    <cellStyle name="20% - Accent3 4 3 2 2 2 3" xfId="38438"/>
    <cellStyle name="20% - Accent3 4 3 2 2 3" xfId="20646"/>
    <cellStyle name="20% - Accent3 4 3 2 2 3 2" xfId="49507"/>
    <cellStyle name="20% - Accent3 4 3 2 2 4" xfId="32397"/>
    <cellStyle name="20% - Accent3 4 3 2 3" xfId="6691"/>
    <cellStyle name="20% - Accent3 4 3 2 3 2" xfId="23738"/>
    <cellStyle name="20% - Accent3 4 3 2 3 2 2" xfId="52599"/>
    <cellStyle name="20% - Accent3 4 3 2 3 3" xfId="35552"/>
    <cellStyle name="20% - Accent3 4 3 2 4" xfId="12926"/>
    <cellStyle name="20% - Accent3 4 3 2 4 2" xfId="17966"/>
    <cellStyle name="20% - Accent3 4 3 2 4 2 2" xfId="46827"/>
    <cellStyle name="20% - Accent3 4 3 2 4 3" xfId="41787"/>
    <cellStyle name="20% - Accent3 4 3 2 5" xfId="15286"/>
    <cellStyle name="20% - Accent3 4 3 2 5 2" xfId="44147"/>
    <cellStyle name="20% - Accent3 4 3 2 6" xfId="29511"/>
    <cellStyle name="20% - Accent3 4 3 3" xfId="2194"/>
    <cellStyle name="20% - Accent3 4 3 3 2" xfId="5081"/>
    <cellStyle name="20% - Accent3 4 3 3 2 2" xfId="11122"/>
    <cellStyle name="20% - Accent3 4 3 3 2 2 2" xfId="28169"/>
    <cellStyle name="20% - Accent3 4 3 3 2 2 2 2" xfId="57030"/>
    <cellStyle name="20% - Accent3 4 3 3 2 2 3" xfId="39983"/>
    <cellStyle name="20% - Accent3 4 3 3 2 3" xfId="22191"/>
    <cellStyle name="20% - Accent3 4 3 3 2 3 2" xfId="51052"/>
    <cellStyle name="20% - Accent3 4 3 3 2 4" xfId="33942"/>
    <cellStyle name="20% - Accent3 4 3 3 3" xfId="8236"/>
    <cellStyle name="20% - Accent3 4 3 3 3 2" xfId="25283"/>
    <cellStyle name="20% - Accent3 4 3 3 3 2 2" xfId="54144"/>
    <cellStyle name="20% - Accent3 4 3 3 3 3" xfId="37097"/>
    <cellStyle name="20% - Accent3 4 3 3 4" xfId="14145"/>
    <cellStyle name="20% - Accent3 4 3 3 4 2" xfId="19511"/>
    <cellStyle name="20% - Accent3 4 3 3 4 2 2" xfId="48372"/>
    <cellStyle name="20% - Accent3 4 3 3 4 3" xfId="43006"/>
    <cellStyle name="20% - Accent3 4 3 3 5" xfId="16831"/>
    <cellStyle name="20% - Accent3 4 3 3 5 2" xfId="45692"/>
    <cellStyle name="20% - Accent3 4 3 3 6" xfId="31056"/>
    <cellStyle name="20% - Accent3 4 3 4" xfId="3124"/>
    <cellStyle name="20% - Accent3 4 3 4 2" xfId="9165"/>
    <cellStyle name="20% - Accent3 4 3 4 2 2" xfId="26212"/>
    <cellStyle name="20% - Accent3 4 3 4 2 2 2" xfId="55073"/>
    <cellStyle name="20% - Accent3 4 3 4 2 3" xfId="38026"/>
    <cellStyle name="20% - Accent3 4 3 4 3" xfId="20234"/>
    <cellStyle name="20% - Accent3 4 3 4 3 2" xfId="49095"/>
    <cellStyle name="20% - Accent3 4 3 4 4" xfId="31985"/>
    <cellStyle name="20% - Accent3 4 3 5" xfId="6279"/>
    <cellStyle name="20% - Accent3 4 3 5 2" xfId="23326"/>
    <cellStyle name="20% - Accent3 4 3 5 2 2" xfId="52187"/>
    <cellStyle name="20% - Accent3 4 3 5 3" xfId="35140"/>
    <cellStyle name="20% - Accent3 4 3 6" xfId="11882"/>
    <cellStyle name="20% - Accent3 4 3 6 2" xfId="17657"/>
    <cellStyle name="20% - Accent3 4 3 6 2 2" xfId="46518"/>
    <cellStyle name="20% - Accent3 4 3 6 3" xfId="40743"/>
    <cellStyle name="20% - Accent3 4 3 7" xfId="14874"/>
    <cellStyle name="20% - Accent3 4 3 7 2" xfId="43735"/>
    <cellStyle name="20% - Accent3 4 3 8" xfId="29099"/>
    <cellStyle name="20% - Accent3 4 4" xfId="443"/>
    <cellStyle name="20% - Accent3 4 4 2" xfId="3330"/>
    <cellStyle name="20% - Accent3 4 4 2 2" xfId="9371"/>
    <cellStyle name="20% - Accent3 4 4 2 2 2" xfId="26418"/>
    <cellStyle name="20% - Accent3 4 4 2 2 2 2" xfId="55279"/>
    <cellStyle name="20% - Accent3 4 4 2 2 3" xfId="38232"/>
    <cellStyle name="20% - Accent3 4 4 2 3" xfId="20440"/>
    <cellStyle name="20% - Accent3 4 4 2 3 2" xfId="49301"/>
    <cellStyle name="20% - Accent3 4 4 2 4" xfId="32191"/>
    <cellStyle name="20% - Accent3 4 4 3" xfId="6485"/>
    <cellStyle name="20% - Accent3 4 4 3 2" xfId="23532"/>
    <cellStyle name="20% - Accent3 4 4 3 2 2" xfId="52393"/>
    <cellStyle name="20% - Accent3 4 4 3 3" xfId="35346"/>
    <cellStyle name="20% - Accent3 4 4 4" xfId="13134"/>
    <cellStyle name="20% - Accent3 4 4 4 2" xfId="17760"/>
    <cellStyle name="20% - Accent3 4 4 4 2 2" xfId="46621"/>
    <cellStyle name="20% - Accent3 4 4 4 3" xfId="41995"/>
    <cellStyle name="20% - Accent3 4 4 5" xfId="15080"/>
    <cellStyle name="20% - Accent3 4 4 5 2" xfId="43941"/>
    <cellStyle name="20% - Accent3 4 4 6" xfId="29305"/>
    <cellStyle name="20% - Accent3 4 5" xfId="752"/>
    <cellStyle name="20% - Accent3 4 5 2" xfId="3639"/>
    <cellStyle name="20% - Accent3 4 5 2 2" xfId="9680"/>
    <cellStyle name="20% - Accent3 4 5 2 2 2" xfId="26727"/>
    <cellStyle name="20% - Accent3 4 5 2 2 2 2" xfId="55588"/>
    <cellStyle name="20% - Accent3 4 5 2 2 3" xfId="38541"/>
    <cellStyle name="20% - Accent3 4 5 2 3" xfId="20749"/>
    <cellStyle name="20% - Accent3 4 5 2 3 2" xfId="49610"/>
    <cellStyle name="20% - Accent3 4 5 2 4" xfId="32500"/>
    <cellStyle name="20% - Accent3 4 5 3" xfId="6794"/>
    <cellStyle name="20% - Accent3 4 5 3 2" xfId="23841"/>
    <cellStyle name="20% - Accent3 4 5 3 2 2" xfId="52702"/>
    <cellStyle name="20% - Accent3 4 5 3 3" xfId="35655"/>
    <cellStyle name="20% - Accent3 4 5 4" xfId="12376"/>
    <cellStyle name="20% - Accent3 4 5 4 2" xfId="18069"/>
    <cellStyle name="20% - Accent3 4 5 4 2 2" xfId="46930"/>
    <cellStyle name="20% - Accent3 4 5 4 3" xfId="41237"/>
    <cellStyle name="20% - Accent3 4 5 5" xfId="15389"/>
    <cellStyle name="20% - Accent3 4 5 5 2" xfId="44250"/>
    <cellStyle name="20% - Accent3 4 5 6" xfId="29614"/>
    <cellStyle name="20% - Accent3 4 6" xfId="958"/>
    <cellStyle name="20% - Accent3 4 6 2" xfId="3845"/>
    <cellStyle name="20% - Accent3 4 6 2 2" xfId="9886"/>
    <cellStyle name="20% - Accent3 4 6 2 2 2" xfId="26933"/>
    <cellStyle name="20% - Accent3 4 6 2 2 2 2" xfId="55794"/>
    <cellStyle name="20% - Accent3 4 6 2 2 3" xfId="38747"/>
    <cellStyle name="20% - Accent3 4 6 2 3" xfId="20955"/>
    <cellStyle name="20% - Accent3 4 6 2 3 2" xfId="49816"/>
    <cellStyle name="20% - Accent3 4 6 2 4" xfId="32706"/>
    <cellStyle name="20% - Accent3 4 6 3" xfId="7000"/>
    <cellStyle name="20% - Accent3 4 6 3 2" xfId="24047"/>
    <cellStyle name="20% - Accent3 4 6 3 2 2" xfId="52908"/>
    <cellStyle name="20% - Accent3 4 6 3 3" xfId="35861"/>
    <cellStyle name="20% - Accent3 4 6 4" xfId="12104"/>
    <cellStyle name="20% - Accent3 4 6 4 2" xfId="18275"/>
    <cellStyle name="20% - Accent3 4 6 4 2 2" xfId="47136"/>
    <cellStyle name="20% - Accent3 4 6 4 3" xfId="40965"/>
    <cellStyle name="20% - Accent3 4 6 5" xfId="15595"/>
    <cellStyle name="20% - Accent3 4 6 5 2" xfId="44456"/>
    <cellStyle name="20% - Accent3 4 6 6" xfId="29820"/>
    <cellStyle name="20% - Accent3 4 7" xfId="1164"/>
    <cellStyle name="20% - Accent3 4 7 2" xfId="4051"/>
    <cellStyle name="20% - Accent3 4 7 2 2" xfId="10092"/>
    <cellStyle name="20% - Accent3 4 7 2 2 2" xfId="27139"/>
    <cellStyle name="20% - Accent3 4 7 2 2 2 2" xfId="56000"/>
    <cellStyle name="20% - Accent3 4 7 2 2 3" xfId="38953"/>
    <cellStyle name="20% - Accent3 4 7 2 3" xfId="21161"/>
    <cellStyle name="20% - Accent3 4 7 2 3 2" xfId="50022"/>
    <cellStyle name="20% - Accent3 4 7 2 4" xfId="32912"/>
    <cellStyle name="20% - Accent3 4 7 3" xfId="7206"/>
    <cellStyle name="20% - Accent3 4 7 3 2" xfId="24253"/>
    <cellStyle name="20% - Accent3 4 7 3 2 2" xfId="53114"/>
    <cellStyle name="20% - Accent3 4 7 3 3" xfId="36067"/>
    <cellStyle name="20% - Accent3 4 7 4" xfId="12891"/>
    <cellStyle name="20% - Accent3 4 7 4 2" xfId="18481"/>
    <cellStyle name="20% - Accent3 4 7 4 2 2" xfId="47342"/>
    <cellStyle name="20% - Accent3 4 7 4 3" xfId="41752"/>
    <cellStyle name="20% - Accent3 4 7 5" xfId="15801"/>
    <cellStyle name="20% - Accent3 4 7 5 2" xfId="44662"/>
    <cellStyle name="20% - Accent3 4 7 6" xfId="30026"/>
    <cellStyle name="20% - Accent3 4 8" xfId="1370"/>
    <cellStyle name="20% - Accent3 4 8 2" xfId="4257"/>
    <cellStyle name="20% - Accent3 4 8 2 2" xfId="10298"/>
    <cellStyle name="20% - Accent3 4 8 2 2 2" xfId="27345"/>
    <cellStyle name="20% - Accent3 4 8 2 2 2 2" xfId="56206"/>
    <cellStyle name="20% - Accent3 4 8 2 2 3" xfId="39159"/>
    <cellStyle name="20% - Accent3 4 8 2 3" xfId="21367"/>
    <cellStyle name="20% - Accent3 4 8 2 3 2" xfId="50228"/>
    <cellStyle name="20% - Accent3 4 8 2 4" xfId="33118"/>
    <cellStyle name="20% - Accent3 4 8 3" xfId="7412"/>
    <cellStyle name="20% - Accent3 4 8 3 2" xfId="24459"/>
    <cellStyle name="20% - Accent3 4 8 3 2 2" xfId="53320"/>
    <cellStyle name="20% - Accent3 4 8 3 3" xfId="36273"/>
    <cellStyle name="20% - Accent3 4 8 4" xfId="12182"/>
    <cellStyle name="20% - Accent3 4 8 4 2" xfId="18687"/>
    <cellStyle name="20% - Accent3 4 8 4 2 2" xfId="47548"/>
    <cellStyle name="20% - Accent3 4 8 4 3" xfId="41043"/>
    <cellStyle name="20% - Accent3 4 8 5" xfId="16007"/>
    <cellStyle name="20% - Accent3 4 8 5 2" xfId="44868"/>
    <cellStyle name="20% - Accent3 4 8 6" xfId="30232"/>
    <cellStyle name="20% - Accent3 4 9" xfId="1576"/>
    <cellStyle name="20% - Accent3 4 9 2" xfId="4463"/>
    <cellStyle name="20% - Accent3 4 9 2 2" xfId="10504"/>
    <cellStyle name="20% - Accent3 4 9 2 2 2" xfId="27551"/>
    <cellStyle name="20% - Accent3 4 9 2 2 2 2" xfId="56412"/>
    <cellStyle name="20% - Accent3 4 9 2 2 3" xfId="39365"/>
    <cellStyle name="20% - Accent3 4 9 2 3" xfId="21573"/>
    <cellStyle name="20% - Accent3 4 9 2 3 2" xfId="50434"/>
    <cellStyle name="20% - Accent3 4 9 2 4" xfId="33324"/>
    <cellStyle name="20% - Accent3 4 9 3" xfId="7618"/>
    <cellStyle name="20% - Accent3 4 9 3 2" xfId="24665"/>
    <cellStyle name="20% - Accent3 4 9 3 2 2" xfId="53526"/>
    <cellStyle name="20% - Accent3 4 9 3 3" xfId="36479"/>
    <cellStyle name="20% - Accent3 4 9 4" xfId="14039"/>
    <cellStyle name="20% - Accent3 4 9 4 2" xfId="18893"/>
    <cellStyle name="20% - Accent3 4 9 4 2 2" xfId="47754"/>
    <cellStyle name="20% - Accent3 4 9 4 3" xfId="42900"/>
    <cellStyle name="20% - Accent3 4 9 5" xfId="16213"/>
    <cellStyle name="20% - Accent3 4 9 5 2" xfId="45074"/>
    <cellStyle name="20% - Accent3 4 9 6" xfId="30438"/>
    <cellStyle name="20% - Accent3 5" xfId="287"/>
    <cellStyle name="20% - Accent3 5 10" xfId="2450"/>
    <cellStyle name="20% - Accent3 5 10 2" xfId="5337"/>
    <cellStyle name="20% - Accent3 5 10 2 2" xfId="11378"/>
    <cellStyle name="20% - Accent3 5 10 2 2 2" xfId="28425"/>
    <cellStyle name="20% - Accent3 5 10 2 2 2 2" xfId="57286"/>
    <cellStyle name="20% - Accent3 5 10 2 2 3" xfId="40239"/>
    <cellStyle name="20% - Accent3 5 10 2 3" xfId="22447"/>
    <cellStyle name="20% - Accent3 5 10 2 3 2" xfId="51308"/>
    <cellStyle name="20% - Accent3 5 10 2 4" xfId="34198"/>
    <cellStyle name="20% - Accent3 5 10 3" xfId="8492"/>
    <cellStyle name="20% - Accent3 5 10 3 2" xfId="25539"/>
    <cellStyle name="20% - Accent3 5 10 3 2 2" xfId="54400"/>
    <cellStyle name="20% - Accent3 5 10 3 3" xfId="37353"/>
    <cellStyle name="20% - Accent3 5 10 4" xfId="12808"/>
    <cellStyle name="20% - Accent3 5 10 4 2" xfId="19767"/>
    <cellStyle name="20% - Accent3 5 10 4 2 2" xfId="48628"/>
    <cellStyle name="20% - Accent3 5 10 4 3" xfId="41669"/>
    <cellStyle name="20% - Accent3 5 10 5" xfId="17087"/>
    <cellStyle name="20% - Accent3 5 10 5 2" xfId="45948"/>
    <cellStyle name="20% - Accent3 5 10 6" xfId="31312"/>
    <cellStyle name="20% - Accent3 5 11" xfId="2659"/>
    <cellStyle name="20% - Accent3 5 11 2" xfId="5545"/>
    <cellStyle name="20% - Accent3 5 11 2 2" xfId="11586"/>
    <cellStyle name="20% - Accent3 5 11 2 2 2" xfId="28633"/>
    <cellStyle name="20% - Accent3 5 11 2 2 2 2" xfId="57494"/>
    <cellStyle name="20% - Accent3 5 11 2 2 3" xfId="40447"/>
    <cellStyle name="20% - Accent3 5 11 2 3" xfId="22655"/>
    <cellStyle name="20% - Accent3 5 11 2 3 2" xfId="51516"/>
    <cellStyle name="20% - Accent3 5 11 2 4" xfId="34406"/>
    <cellStyle name="20% - Accent3 5 11 3" xfId="8700"/>
    <cellStyle name="20% - Accent3 5 11 3 2" xfId="25747"/>
    <cellStyle name="20% - Accent3 5 11 3 2 2" xfId="54608"/>
    <cellStyle name="20% - Accent3 5 11 3 3" xfId="37561"/>
    <cellStyle name="20% - Accent3 5 11 4" xfId="13295"/>
    <cellStyle name="20% - Accent3 5 11 4 2" xfId="19975"/>
    <cellStyle name="20% - Accent3 5 11 4 2 2" xfId="48836"/>
    <cellStyle name="20% - Accent3 5 11 4 3" xfId="42156"/>
    <cellStyle name="20% - Accent3 5 11 5" xfId="17295"/>
    <cellStyle name="20% - Accent3 5 11 5 2" xfId="46156"/>
    <cellStyle name="20% - Accent3 5 11 6" xfId="31520"/>
    <cellStyle name="20% - Accent3 5 12" xfId="3174"/>
    <cellStyle name="20% - Accent3 5 12 2" xfId="9215"/>
    <cellStyle name="20% - Accent3 5 12 2 2" xfId="26262"/>
    <cellStyle name="20% - Accent3 5 12 2 2 2" xfId="55123"/>
    <cellStyle name="20% - Accent3 5 12 2 3" xfId="38076"/>
    <cellStyle name="20% - Accent3 5 12 3" xfId="12083"/>
    <cellStyle name="20% - Accent3 5 12 3 2" xfId="20284"/>
    <cellStyle name="20% - Accent3 5 12 3 2 2" xfId="49145"/>
    <cellStyle name="20% - Accent3 5 12 3 3" xfId="40944"/>
    <cellStyle name="20% - Accent3 5 12 4" xfId="14924"/>
    <cellStyle name="20% - Accent3 5 12 4 2" xfId="43785"/>
    <cellStyle name="20% - Accent3 5 12 5" xfId="32035"/>
    <cellStyle name="20% - Accent3 5 13" xfId="2865"/>
    <cellStyle name="20% - Accent3 5 13 2" xfId="8906"/>
    <cellStyle name="20% - Accent3 5 13 2 2" xfId="25953"/>
    <cellStyle name="20% - Accent3 5 13 2 2 2" xfId="54814"/>
    <cellStyle name="20% - Accent3 5 13 2 3" xfId="37767"/>
    <cellStyle name="20% - Accent3 5 13 3" xfId="17501"/>
    <cellStyle name="20% - Accent3 5 13 3 2" xfId="46362"/>
    <cellStyle name="20% - Accent3 5 13 4" xfId="31726"/>
    <cellStyle name="20% - Accent3 5 14" xfId="5751"/>
    <cellStyle name="20% - Accent3 5 14 2" xfId="11792"/>
    <cellStyle name="20% - Accent3 5 14 2 2" xfId="28839"/>
    <cellStyle name="20% - Accent3 5 14 2 2 2" xfId="57700"/>
    <cellStyle name="20% - Accent3 5 14 2 3" xfId="40653"/>
    <cellStyle name="20% - Accent3 5 14 3" xfId="22861"/>
    <cellStyle name="20% - Accent3 5 14 3 2" xfId="51722"/>
    <cellStyle name="20% - Accent3 5 14 4" xfId="34612"/>
    <cellStyle name="20% - Accent3 5 15" xfId="5968"/>
    <cellStyle name="20% - Accent3 5 15 2" xfId="23067"/>
    <cellStyle name="20% - Accent3 5 15 2 2" xfId="51928"/>
    <cellStyle name="20% - Accent3 5 15 3" xfId="34829"/>
    <cellStyle name="20% - Accent3 5 16" xfId="6329"/>
    <cellStyle name="20% - Accent3 5 16 2" xfId="23376"/>
    <cellStyle name="20% - Accent3 5 16 2 2" xfId="52237"/>
    <cellStyle name="20% - Accent3 5 16 3" xfId="35190"/>
    <cellStyle name="20% - Accent3 5 17" xfId="14615"/>
    <cellStyle name="20% - Accent3 5 17 2" xfId="43476"/>
    <cellStyle name="20% - Accent3 5 18" xfId="29149"/>
    <cellStyle name="20% - Accent3 5 2" xfId="493"/>
    <cellStyle name="20% - Accent3 5 2 2" xfId="2244"/>
    <cellStyle name="20% - Accent3 5 2 2 2" xfId="5131"/>
    <cellStyle name="20% - Accent3 5 2 2 2 2" xfId="11172"/>
    <cellStyle name="20% - Accent3 5 2 2 2 2 2" xfId="28219"/>
    <cellStyle name="20% - Accent3 5 2 2 2 2 2 2" xfId="57080"/>
    <cellStyle name="20% - Accent3 5 2 2 2 2 3" xfId="40033"/>
    <cellStyle name="20% - Accent3 5 2 2 2 3" xfId="22241"/>
    <cellStyle name="20% - Accent3 5 2 2 2 3 2" xfId="51102"/>
    <cellStyle name="20% - Accent3 5 2 2 2 4" xfId="33992"/>
    <cellStyle name="20% - Accent3 5 2 2 3" xfId="8286"/>
    <cellStyle name="20% - Accent3 5 2 2 3 2" xfId="25333"/>
    <cellStyle name="20% - Accent3 5 2 2 3 2 2" xfId="54194"/>
    <cellStyle name="20% - Accent3 5 2 2 3 3" xfId="37147"/>
    <cellStyle name="20% - Accent3 5 2 2 4" xfId="13480"/>
    <cellStyle name="20% - Accent3 5 2 2 4 2" xfId="19561"/>
    <cellStyle name="20% - Accent3 5 2 2 4 2 2" xfId="48422"/>
    <cellStyle name="20% - Accent3 5 2 2 4 3" xfId="42341"/>
    <cellStyle name="20% - Accent3 5 2 2 5" xfId="16881"/>
    <cellStyle name="20% - Accent3 5 2 2 5 2" xfId="45742"/>
    <cellStyle name="20% - Accent3 5 2 2 6" xfId="31106"/>
    <cellStyle name="20% - Accent3 5 2 3" xfId="3380"/>
    <cellStyle name="20% - Accent3 5 2 3 2" xfId="9421"/>
    <cellStyle name="20% - Accent3 5 2 3 2 2" xfId="26468"/>
    <cellStyle name="20% - Accent3 5 2 3 2 2 2" xfId="55329"/>
    <cellStyle name="20% - Accent3 5 2 3 2 3" xfId="38282"/>
    <cellStyle name="20% - Accent3 5 2 3 3" xfId="20490"/>
    <cellStyle name="20% - Accent3 5 2 3 3 2" xfId="49351"/>
    <cellStyle name="20% - Accent3 5 2 3 4" xfId="32241"/>
    <cellStyle name="20% - Accent3 5 2 4" xfId="6535"/>
    <cellStyle name="20% - Accent3 5 2 4 2" xfId="23582"/>
    <cellStyle name="20% - Accent3 5 2 4 2 2" xfId="52443"/>
    <cellStyle name="20% - Accent3 5 2 4 3" xfId="35396"/>
    <cellStyle name="20% - Accent3 5 2 5" xfId="13608"/>
    <cellStyle name="20% - Accent3 5 2 5 2" xfId="17810"/>
    <cellStyle name="20% - Accent3 5 2 5 2 2" xfId="46671"/>
    <cellStyle name="20% - Accent3 5 2 5 3" xfId="42469"/>
    <cellStyle name="20% - Accent3 5 2 6" xfId="15130"/>
    <cellStyle name="20% - Accent3 5 2 6 2" xfId="43991"/>
    <cellStyle name="20% - Accent3 5 2 7" xfId="29355"/>
    <cellStyle name="20% - Accent3 5 3" xfId="802"/>
    <cellStyle name="20% - Accent3 5 3 2" xfId="3689"/>
    <cellStyle name="20% - Accent3 5 3 2 2" xfId="9730"/>
    <cellStyle name="20% - Accent3 5 3 2 2 2" xfId="26777"/>
    <cellStyle name="20% - Accent3 5 3 2 2 2 2" xfId="55638"/>
    <cellStyle name="20% - Accent3 5 3 2 2 3" xfId="38591"/>
    <cellStyle name="20% - Accent3 5 3 2 3" xfId="20799"/>
    <cellStyle name="20% - Accent3 5 3 2 3 2" xfId="49660"/>
    <cellStyle name="20% - Accent3 5 3 2 4" xfId="32550"/>
    <cellStyle name="20% - Accent3 5 3 3" xfId="6844"/>
    <cellStyle name="20% - Accent3 5 3 3 2" xfId="23891"/>
    <cellStyle name="20% - Accent3 5 3 3 2 2" xfId="52752"/>
    <cellStyle name="20% - Accent3 5 3 3 3" xfId="35705"/>
    <cellStyle name="20% - Accent3 5 3 4" xfId="13785"/>
    <cellStyle name="20% - Accent3 5 3 4 2" xfId="18119"/>
    <cellStyle name="20% - Accent3 5 3 4 2 2" xfId="46980"/>
    <cellStyle name="20% - Accent3 5 3 4 3" xfId="42646"/>
    <cellStyle name="20% - Accent3 5 3 5" xfId="15439"/>
    <cellStyle name="20% - Accent3 5 3 5 2" xfId="44300"/>
    <cellStyle name="20% - Accent3 5 3 6" xfId="29664"/>
    <cellStyle name="20% - Accent3 5 4" xfId="1008"/>
    <cellStyle name="20% - Accent3 5 4 2" xfId="3895"/>
    <cellStyle name="20% - Accent3 5 4 2 2" xfId="9936"/>
    <cellStyle name="20% - Accent3 5 4 2 2 2" xfId="26983"/>
    <cellStyle name="20% - Accent3 5 4 2 2 2 2" xfId="55844"/>
    <cellStyle name="20% - Accent3 5 4 2 2 3" xfId="38797"/>
    <cellStyle name="20% - Accent3 5 4 2 3" xfId="21005"/>
    <cellStyle name="20% - Accent3 5 4 2 3 2" xfId="49866"/>
    <cellStyle name="20% - Accent3 5 4 2 4" xfId="32756"/>
    <cellStyle name="20% - Accent3 5 4 3" xfId="7050"/>
    <cellStyle name="20% - Accent3 5 4 3 2" xfId="24097"/>
    <cellStyle name="20% - Accent3 5 4 3 2 2" xfId="52958"/>
    <cellStyle name="20% - Accent3 5 4 3 3" xfId="35911"/>
    <cellStyle name="20% - Accent3 5 4 4" xfId="11913"/>
    <cellStyle name="20% - Accent3 5 4 4 2" xfId="18325"/>
    <cellStyle name="20% - Accent3 5 4 4 2 2" xfId="47186"/>
    <cellStyle name="20% - Accent3 5 4 4 3" xfId="40774"/>
    <cellStyle name="20% - Accent3 5 4 5" xfId="15645"/>
    <cellStyle name="20% - Accent3 5 4 5 2" xfId="44506"/>
    <cellStyle name="20% - Accent3 5 4 6" xfId="29870"/>
    <cellStyle name="20% - Accent3 5 5" xfId="1214"/>
    <cellStyle name="20% - Accent3 5 5 2" xfId="4101"/>
    <cellStyle name="20% - Accent3 5 5 2 2" xfId="10142"/>
    <cellStyle name="20% - Accent3 5 5 2 2 2" xfId="27189"/>
    <cellStyle name="20% - Accent3 5 5 2 2 2 2" xfId="56050"/>
    <cellStyle name="20% - Accent3 5 5 2 2 3" xfId="39003"/>
    <cellStyle name="20% - Accent3 5 5 2 3" xfId="21211"/>
    <cellStyle name="20% - Accent3 5 5 2 3 2" xfId="50072"/>
    <cellStyle name="20% - Accent3 5 5 2 4" xfId="32962"/>
    <cellStyle name="20% - Accent3 5 5 3" xfId="7256"/>
    <cellStyle name="20% - Accent3 5 5 3 2" xfId="24303"/>
    <cellStyle name="20% - Accent3 5 5 3 2 2" xfId="53164"/>
    <cellStyle name="20% - Accent3 5 5 3 3" xfId="36117"/>
    <cellStyle name="20% - Accent3 5 5 4" xfId="12263"/>
    <cellStyle name="20% - Accent3 5 5 4 2" xfId="18531"/>
    <cellStyle name="20% - Accent3 5 5 4 2 2" xfId="47392"/>
    <cellStyle name="20% - Accent3 5 5 4 3" xfId="41124"/>
    <cellStyle name="20% - Accent3 5 5 5" xfId="15851"/>
    <cellStyle name="20% - Accent3 5 5 5 2" xfId="44712"/>
    <cellStyle name="20% - Accent3 5 5 6" xfId="30076"/>
    <cellStyle name="20% - Accent3 5 6" xfId="1420"/>
    <cellStyle name="20% - Accent3 5 6 2" xfId="4307"/>
    <cellStyle name="20% - Accent3 5 6 2 2" xfId="10348"/>
    <cellStyle name="20% - Accent3 5 6 2 2 2" xfId="27395"/>
    <cellStyle name="20% - Accent3 5 6 2 2 2 2" xfId="56256"/>
    <cellStyle name="20% - Accent3 5 6 2 2 3" xfId="39209"/>
    <cellStyle name="20% - Accent3 5 6 2 3" xfId="21417"/>
    <cellStyle name="20% - Accent3 5 6 2 3 2" xfId="50278"/>
    <cellStyle name="20% - Accent3 5 6 2 4" xfId="33168"/>
    <cellStyle name="20% - Accent3 5 6 3" xfId="7462"/>
    <cellStyle name="20% - Accent3 5 6 3 2" xfId="24509"/>
    <cellStyle name="20% - Accent3 5 6 3 2 2" xfId="53370"/>
    <cellStyle name="20% - Accent3 5 6 3 3" xfId="36323"/>
    <cellStyle name="20% - Accent3 5 6 4" xfId="12031"/>
    <cellStyle name="20% - Accent3 5 6 4 2" xfId="18737"/>
    <cellStyle name="20% - Accent3 5 6 4 2 2" xfId="47598"/>
    <cellStyle name="20% - Accent3 5 6 4 3" xfId="40892"/>
    <cellStyle name="20% - Accent3 5 6 5" xfId="16057"/>
    <cellStyle name="20% - Accent3 5 6 5 2" xfId="44918"/>
    <cellStyle name="20% - Accent3 5 6 6" xfId="30282"/>
    <cellStyle name="20% - Accent3 5 7" xfId="1626"/>
    <cellStyle name="20% - Accent3 5 7 2" xfId="4513"/>
    <cellStyle name="20% - Accent3 5 7 2 2" xfId="10554"/>
    <cellStyle name="20% - Accent3 5 7 2 2 2" xfId="27601"/>
    <cellStyle name="20% - Accent3 5 7 2 2 2 2" xfId="56462"/>
    <cellStyle name="20% - Accent3 5 7 2 2 3" xfId="39415"/>
    <cellStyle name="20% - Accent3 5 7 2 3" xfId="21623"/>
    <cellStyle name="20% - Accent3 5 7 2 3 2" xfId="50484"/>
    <cellStyle name="20% - Accent3 5 7 2 4" xfId="33374"/>
    <cellStyle name="20% - Accent3 5 7 3" xfId="7668"/>
    <cellStyle name="20% - Accent3 5 7 3 2" xfId="24715"/>
    <cellStyle name="20% - Accent3 5 7 3 2 2" xfId="53576"/>
    <cellStyle name="20% - Accent3 5 7 3 3" xfId="36529"/>
    <cellStyle name="20% - Accent3 5 7 4" xfId="13838"/>
    <cellStyle name="20% - Accent3 5 7 4 2" xfId="18943"/>
    <cellStyle name="20% - Accent3 5 7 4 2 2" xfId="47804"/>
    <cellStyle name="20% - Accent3 5 7 4 3" xfId="42699"/>
    <cellStyle name="20% - Accent3 5 7 5" xfId="16263"/>
    <cellStyle name="20% - Accent3 5 7 5 2" xfId="45124"/>
    <cellStyle name="20% - Accent3 5 7 6" xfId="30488"/>
    <cellStyle name="20% - Accent3 5 8" xfId="1832"/>
    <cellStyle name="20% - Accent3 5 8 2" xfId="4719"/>
    <cellStyle name="20% - Accent3 5 8 2 2" xfId="10760"/>
    <cellStyle name="20% - Accent3 5 8 2 2 2" xfId="27807"/>
    <cellStyle name="20% - Accent3 5 8 2 2 2 2" xfId="56668"/>
    <cellStyle name="20% - Accent3 5 8 2 2 3" xfId="39621"/>
    <cellStyle name="20% - Accent3 5 8 2 3" xfId="21829"/>
    <cellStyle name="20% - Accent3 5 8 2 3 2" xfId="50690"/>
    <cellStyle name="20% - Accent3 5 8 2 4" xfId="33580"/>
    <cellStyle name="20% - Accent3 5 8 3" xfId="7874"/>
    <cellStyle name="20% - Accent3 5 8 3 2" xfId="24921"/>
    <cellStyle name="20% - Accent3 5 8 3 2 2" xfId="53782"/>
    <cellStyle name="20% - Accent3 5 8 3 3" xfId="36735"/>
    <cellStyle name="20% - Accent3 5 8 4" xfId="12444"/>
    <cellStyle name="20% - Accent3 5 8 4 2" xfId="19149"/>
    <cellStyle name="20% - Accent3 5 8 4 2 2" xfId="48010"/>
    <cellStyle name="20% - Accent3 5 8 4 3" xfId="41305"/>
    <cellStyle name="20% - Accent3 5 8 5" xfId="16469"/>
    <cellStyle name="20% - Accent3 5 8 5 2" xfId="45330"/>
    <cellStyle name="20% - Accent3 5 8 6" xfId="30694"/>
    <cellStyle name="20% - Accent3 5 9" xfId="2038"/>
    <cellStyle name="20% - Accent3 5 9 2" xfId="4925"/>
    <cellStyle name="20% - Accent3 5 9 2 2" xfId="10966"/>
    <cellStyle name="20% - Accent3 5 9 2 2 2" xfId="28013"/>
    <cellStyle name="20% - Accent3 5 9 2 2 2 2" xfId="56874"/>
    <cellStyle name="20% - Accent3 5 9 2 2 3" xfId="39827"/>
    <cellStyle name="20% - Accent3 5 9 2 3" xfId="22035"/>
    <cellStyle name="20% - Accent3 5 9 2 3 2" xfId="50896"/>
    <cellStyle name="20% - Accent3 5 9 2 4" xfId="33786"/>
    <cellStyle name="20% - Accent3 5 9 3" xfId="8080"/>
    <cellStyle name="20% - Accent3 5 9 3 2" xfId="25127"/>
    <cellStyle name="20% - Accent3 5 9 3 2 2" xfId="53988"/>
    <cellStyle name="20% - Accent3 5 9 3 3" xfId="36941"/>
    <cellStyle name="20% - Accent3 5 9 4" xfId="12091"/>
    <cellStyle name="20% - Accent3 5 9 4 2" xfId="19355"/>
    <cellStyle name="20% - Accent3 5 9 4 2 2" xfId="48216"/>
    <cellStyle name="20% - Accent3 5 9 4 3" xfId="40952"/>
    <cellStyle name="20% - Accent3 5 9 5" xfId="16675"/>
    <cellStyle name="20% - Accent3 5 9 5 2" xfId="45536"/>
    <cellStyle name="20% - Accent3 5 9 6" xfId="30900"/>
    <cellStyle name="20% - Accent3 6" xfId="184"/>
    <cellStyle name="20% - Accent3 6 2" xfId="596"/>
    <cellStyle name="20% - Accent3 6 2 2" xfId="3483"/>
    <cellStyle name="20% - Accent3 6 2 2 2" xfId="9524"/>
    <cellStyle name="20% - Accent3 6 2 2 2 2" xfId="26571"/>
    <cellStyle name="20% - Accent3 6 2 2 2 2 2" xfId="55432"/>
    <cellStyle name="20% - Accent3 6 2 2 2 3" xfId="38385"/>
    <cellStyle name="20% - Accent3 6 2 2 3" xfId="20593"/>
    <cellStyle name="20% - Accent3 6 2 2 3 2" xfId="49454"/>
    <cellStyle name="20% - Accent3 6 2 2 4" xfId="32344"/>
    <cellStyle name="20% - Accent3 6 2 3" xfId="6638"/>
    <cellStyle name="20% - Accent3 6 2 3 2" xfId="23685"/>
    <cellStyle name="20% - Accent3 6 2 3 2 2" xfId="52546"/>
    <cellStyle name="20% - Accent3 6 2 3 3" xfId="35499"/>
    <cellStyle name="20% - Accent3 6 2 4" xfId="12075"/>
    <cellStyle name="20% - Accent3 6 2 4 2" xfId="17913"/>
    <cellStyle name="20% - Accent3 6 2 4 2 2" xfId="46774"/>
    <cellStyle name="20% - Accent3 6 2 4 3" xfId="40936"/>
    <cellStyle name="20% - Accent3 6 2 5" xfId="15233"/>
    <cellStyle name="20% - Accent3 6 2 5 2" xfId="44094"/>
    <cellStyle name="20% - Accent3 6 2 6" xfId="29458"/>
    <cellStyle name="20% - Accent3 6 3" xfId="2141"/>
    <cellStyle name="20% - Accent3 6 3 2" xfId="5028"/>
    <cellStyle name="20% - Accent3 6 3 2 2" xfId="11069"/>
    <cellStyle name="20% - Accent3 6 3 2 2 2" xfId="28116"/>
    <cellStyle name="20% - Accent3 6 3 2 2 2 2" xfId="56977"/>
    <cellStyle name="20% - Accent3 6 3 2 2 3" xfId="39930"/>
    <cellStyle name="20% - Accent3 6 3 2 3" xfId="22138"/>
    <cellStyle name="20% - Accent3 6 3 2 3 2" xfId="50999"/>
    <cellStyle name="20% - Accent3 6 3 2 4" xfId="33889"/>
    <cellStyle name="20% - Accent3 6 3 3" xfId="8183"/>
    <cellStyle name="20% - Accent3 6 3 3 2" xfId="25230"/>
    <cellStyle name="20% - Accent3 6 3 3 2 2" xfId="54091"/>
    <cellStyle name="20% - Accent3 6 3 3 3" xfId="37044"/>
    <cellStyle name="20% - Accent3 6 3 4" xfId="13329"/>
    <cellStyle name="20% - Accent3 6 3 4 2" xfId="19458"/>
    <cellStyle name="20% - Accent3 6 3 4 2 2" xfId="48319"/>
    <cellStyle name="20% - Accent3 6 3 4 3" xfId="42190"/>
    <cellStyle name="20% - Accent3 6 3 5" xfId="16778"/>
    <cellStyle name="20% - Accent3 6 3 5 2" xfId="45639"/>
    <cellStyle name="20% - Accent3 6 3 6" xfId="31003"/>
    <cellStyle name="20% - Accent3 6 4" xfId="3071"/>
    <cellStyle name="20% - Accent3 6 4 2" xfId="9112"/>
    <cellStyle name="20% - Accent3 6 4 2 2" xfId="26159"/>
    <cellStyle name="20% - Accent3 6 4 2 2 2" xfId="55020"/>
    <cellStyle name="20% - Accent3 6 4 2 3" xfId="37973"/>
    <cellStyle name="20% - Accent3 6 4 3" xfId="20181"/>
    <cellStyle name="20% - Accent3 6 4 3 2" xfId="49042"/>
    <cellStyle name="20% - Accent3 6 4 4" xfId="31932"/>
    <cellStyle name="20% - Accent3 6 5" xfId="6226"/>
    <cellStyle name="20% - Accent3 6 5 2" xfId="23273"/>
    <cellStyle name="20% - Accent3 6 5 2 2" xfId="52134"/>
    <cellStyle name="20% - Accent3 6 5 3" xfId="35087"/>
    <cellStyle name="20% - Accent3 6 6" xfId="13999"/>
    <cellStyle name="20% - Accent3 6 6 2" xfId="17604"/>
    <cellStyle name="20% - Accent3 6 6 2 2" xfId="46465"/>
    <cellStyle name="20% - Accent3 6 6 3" xfId="42860"/>
    <cellStyle name="20% - Accent3 6 7" xfId="14821"/>
    <cellStyle name="20% - Accent3 6 7 2" xfId="43682"/>
    <cellStyle name="20% - Accent3 6 8" xfId="29046"/>
    <cellStyle name="20% - Accent3 7" xfId="390"/>
    <cellStyle name="20% - Accent3 7 2" xfId="3277"/>
    <cellStyle name="20% - Accent3 7 2 2" xfId="9318"/>
    <cellStyle name="20% - Accent3 7 2 2 2" xfId="26365"/>
    <cellStyle name="20% - Accent3 7 2 2 2 2" xfId="55226"/>
    <cellStyle name="20% - Accent3 7 2 2 3" xfId="38179"/>
    <cellStyle name="20% - Accent3 7 2 3" xfId="20387"/>
    <cellStyle name="20% - Accent3 7 2 3 2" xfId="49248"/>
    <cellStyle name="20% - Accent3 7 2 4" xfId="32138"/>
    <cellStyle name="20% - Accent3 7 3" xfId="6432"/>
    <cellStyle name="20% - Accent3 7 3 2" xfId="23479"/>
    <cellStyle name="20% - Accent3 7 3 2 2" xfId="52340"/>
    <cellStyle name="20% - Accent3 7 3 3" xfId="35293"/>
    <cellStyle name="20% - Accent3 7 4" xfId="13592"/>
    <cellStyle name="20% - Accent3 7 4 2" xfId="17707"/>
    <cellStyle name="20% - Accent3 7 4 2 2" xfId="46568"/>
    <cellStyle name="20% - Accent3 7 4 3" xfId="42453"/>
    <cellStyle name="20% - Accent3 7 5" xfId="15027"/>
    <cellStyle name="20% - Accent3 7 5 2" xfId="43888"/>
    <cellStyle name="20% - Accent3 7 6" xfId="29252"/>
    <cellStyle name="20% - Accent3 8" xfId="699"/>
    <cellStyle name="20% - Accent3 8 2" xfId="3586"/>
    <cellStyle name="20% - Accent3 8 2 2" xfId="9627"/>
    <cellStyle name="20% - Accent3 8 2 2 2" xfId="26674"/>
    <cellStyle name="20% - Accent3 8 2 2 2 2" xfId="55535"/>
    <cellStyle name="20% - Accent3 8 2 2 3" xfId="38488"/>
    <cellStyle name="20% - Accent3 8 2 3" xfId="20696"/>
    <cellStyle name="20% - Accent3 8 2 3 2" xfId="49557"/>
    <cellStyle name="20% - Accent3 8 2 4" xfId="32447"/>
    <cellStyle name="20% - Accent3 8 3" xfId="6741"/>
    <cellStyle name="20% - Accent3 8 3 2" xfId="23788"/>
    <cellStyle name="20% - Accent3 8 3 2 2" xfId="52649"/>
    <cellStyle name="20% - Accent3 8 3 3" xfId="35602"/>
    <cellStyle name="20% - Accent3 8 4" xfId="13439"/>
    <cellStyle name="20% - Accent3 8 4 2" xfId="18016"/>
    <cellStyle name="20% - Accent3 8 4 2 2" xfId="46877"/>
    <cellStyle name="20% - Accent3 8 4 3" xfId="42300"/>
    <cellStyle name="20% - Accent3 8 5" xfId="15336"/>
    <cellStyle name="20% - Accent3 8 5 2" xfId="44197"/>
    <cellStyle name="20% - Accent3 8 6" xfId="29561"/>
    <cellStyle name="20% - Accent3 9" xfId="905"/>
    <cellStyle name="20% - Accent3 9 2" xfId="3792"/>
    <cellStyle name="20% - Accent3 9 2 2" xfId="9833"/>
    <cellStyle name="20% - Accent3 9 2 2 2" xfId="26880"/>
    <cellStyle name="20% - Accent3 9 2 2 2 2" xfId="55741"/>
    <cellStyle name="20% - Accent3 9 2 2 3" xfId="38694"/>
    <cellStyle name="20% - Accent3 9 2 3" xfId="20902"/>
    <cellStyle name="20% - Accent3 9 2 3 2" xfId="49763"/>
    <cellStyle name="20% - Accent3 9 2 4" xfId="32653"/>
    <cellStyle name="20% - Accent3 9 3" xfId="6947"/>
    <cellStyle name="20% - Accent3 9 3 2" xfId="23994"/>
    <cellStyle name="20% - Accent3 9 3 2 2" xfId="52855"/>
    <cellStyle name="20% - Accent3 9 3 3" xfId="35808"/>
    <cellStyle name="20% - Accent3 9 4" xfId="6076"/>
    <cellStyle name="20% - Accent3 9 4 2" xfId="18222"/>
    <cellStyle name="20% - Accent3 9 4 2 2" xfId="47083"/>
    <cellStyle name="20% - Accent3 9 4 3" xfId="34937"/>
    <cellStyle name="20% - Accent3 9 5" xfId="15542"/>
    <cellStyle name="20% - Accent3 9 5 2" xfId="44403"/>
    <cellStyle name="20% - Accent3 9 6" xfId="29767"/>
    <cellStyle name="20% - Accent4" xfId="78" builtinId="42" customBuiltin="1"/>
    <cellStyle name="20% - Accent4 10" xfId="1113"/>
    <cellStyle name="20% - Accent4 10 2" xfId="4000"/>
    <cellStyle name="20% - Accent4 10 2 2" xfId="10041"/>
    <cellStyle name="20% - Accent4 10 2 2 2" xfId="27088"/>
    <cellStyle name="20% - Accent4 10 2 2 2 2" xfId="55949"/>
    <cellStyle name="20% - Accent4 10 2 2 3" xfId="38902"/>
    <cellStyle name="20% - Accent4 10 2 3" xfId="21110"/>
    <cellStyle name="20% - Accent4 10 2 3 2" xfId="49971"/>
    <cellStyle name="20% - Accent4 10 2 4" xfId="32861"/>
    <cellStyle name="20% - Accent4 10 3" xfId="7155"/>
    <cellStyle name="20% - Accent4 10 3 2" xfId="24202"/>
    <cellStyle name="20% - Accent4 10 3 2 2" xfId="53063"/>
    <cellStyle name="20% - Accent4 10 3 3" xfId="36016"/>
    <cellStyle name="20% - Accent4 10 4" xfId="12712"/>
    <cellStyle name="20% - Accent4 10 4 2" xfId="18430"/>
    <cellStyle name="20% - Accent4 10 4 2 2" xfId="47291"/>
    <cellStyle name="20% - Accent4 10 4 3" xfId="41573"/>
    <cellStyle name="20% - Accent4 10 5" xfId="15750"/>
    <cellStyle name="20% - Accent4 10 5 2" xfId="44611"/>
    <cellStyle name="20% - Accent4 10 6" xfId="29975"/>
    <cellStyle name="20% - Accent4 11" xfId="1319"/>
    <cellStyle name="20% - Accent4 11 2" xfId="4206"/>
    <cellStyle name="20% - Accent4 11 2 2" xfId="10247"/>
    <cellStyle name="20% - Accent4 11 2 2 2" xfId="27294"/>
    <cellStyle name="20% - Accent4 11 2 2 2 2" xfId="56155"/>
    <cellStyle name="20% - Accent4 11 2 2 3" xfId="39108"/>
    <cellStyle name="20% - Accent4 11 2 3" xfId="21316"/>
    <cellStyle name="20% - Accent4 11 2 3 2" xfId="50177"/>
    <cellStyle name="20% - Accent4 11 2 4" xfId="33067"/>
    <cellStyle name="20% - Accent4 11 3" xfId="7361"/>
    <cellStyle name="20% - Accent4 11 3 2" xfId="24408"/>
    <cellStyle name="20% - Accent4 11 3 2 2" xfId="53269"/>
    <cellStyle name="20% - Accent4 11 3 3" xfId="36222"/>
    <cellStyle name="20% - Accent4 11 4" xfId="14369"/>
    <cellStyle name="20% - Accent4 11 4 2" xfId="18636"/>
    <cellStyle name="20% - Accent4 11 4 2 2" xfId="47497"/>
    <cellStyle name="20% - Accent4 11 4 3" xfId="43230"/>
    <cellStyle name="20% - Accent4 11 5" xfId="15956"/>
    <cellStyle name="20% - Accent4 11 5 2" xfId="44817"/>
    <cellStyle name="20% - Accent4 11 6" xfId="30181"/>
    <cellStyle name="20% - Accent4 12" xfId="1525"/>
    <cellStyle name="20% - Accent4 12 2" xfId="4412"/>
    <cellStyle name="20% - Accent4 12 2 2" xfId="10453"/>
    <cellStyle name="20% - Accent4 12 2 2 2" xfId="27500"/>
    <cellStyle name="20% - Accent4 12 2 2 2 2" xfId="56361"/>
    <cellStyle name="20% - Accent4 12 2 2 3" xfId="39314"/>
    <cellStyle name="20% - Accent4 12 2 3" xfId="21522"/>
    <cellStyle name="20% - Accent4 12 2 3 2" xfId="50383"/>
    <cellStyle name="20% - Accent4 12 2 4" xfId="33273"/>
    <cellStyle name="20% - Accent4 12 3" xfId="7567"/>
    <cellStyle name="20% - Accent4 12 3 2" xfId="24614"/>
    <cellStyle name="20% - Accent4 12 3 2 2" xfId="53475"/>
    <cellStyle name="20% - Accent4 12 3 3" xfId="36428"/>
    <cellStyle name="20% - Accent4 12 4" xfId="14440"/>
    <cellStyle name="20% - Accent4 12 4 2" xfId="18842"/>
    <cellStyle name="20% - Accent4 12 4 2 2" xfId="47703"/>
    <cellStyle name="20% - Accent4 12 4 3" xfId="43301"/>
    <cellStyle name="20% - Accent4 12 5" xfId="16162"/>
    <cellStyle name="20% - Accent4 12 5 2" xfId="45023"/>
    <cellStyle name="20% - Accent4 12 6" xfId="30387"/>
    <cellStyle name="20% - Accent4 13" xfId="1731"/>
    <cellStyle name="20% - Accent4 13 2" xfId="4618"/>
    <cellStyle name="20% - Accent4 13 2 2" xfId="10659"/>
    <cellStyle name="20% - Accent4 13 2 2 2" xfId="27706"/>
    <cellStyle name="20% - Accent4 13 2 2 2 2" xfId="56567"/>
    <cellStyle name="20% - Accent4 13 2 2 3" xfId="39520"/>
    <cellStyle name="20% - Accent4 13 2 3" xfId="21728"/>
    <cellStyle name="20% - Accent4 13 2 3 2" xfId="50589"/>
    <cellStyle name="20% - Accent4 13 2 4" xfId="33479"/>
    <cellStyle name="20% - Accent4 13 3" xfId="7773"/>
    <cellStyle name="20% - Accent4 13 3 2" xfId="24820"/>
    <cellStyle name="20% - Accent4 13 3 2 2" xfId="53681"/>
    <cellStyle name="20% - Accent4 13 3 3" xfId="36634"/>
    <cellStyle name="20% - Accent4 13 4" xfId="14432"/>
    <cellStyle name="20% - Accent4 13 4 2" xfId="19048"/>
    <cellStyle name="20% - Accent4 13 4 2 2" xfId="47909"/>
    <cellStyle name="20% - Accent4 13 4 3" xfId="43293"/>
    <cellStyle name="20% - Accent4 13 5" xfId="16368"/>
    <cellStyle name="20% - Accent4 13 5 2" xfId="45229"/>
    <cellStyle name="20% - Accent4 13 6" xfId="30593"/>
    <cellStyle name="20% - Accent4 14" xfId="1937"/>
    <cellStyle name="20% - Accent4 14 2" xfId="4824"/>
    <cellStyle name="20% - Accent4 14 2 2" xfId="10865"/>
    <cellStyle name="20% - Accent4 14 2 2 2" xfId="27912"/>
    <cellStyle name="20% - Accent4 14 2 2 2 2" xfId="56773"/>
    <cellStyle name="20% - Accent4 14 2 2 3" xfId="39726"/>
    <cellStyle name="20% - Accent4 14 2 3" xfId="21934"/>
    <cellStyle name="20% - Accent4 14 2 3 2" xfId="50795"/>
    <cellStyle name="20% - Accent4 14 2 4" xfId="33685"/>
    <cellStyle name="20% - Accent4 14 3" xfId="7979"/>
    <cellStyle name="20% - Accent4 14 3 2" xfId="25026"/>
    <cellStyle name="20% - Accent4 14 3 2 2" xfId="53887"/>
    <cellStyle name="20% - Accent4 14 3 3" xfId="36840"/>
    <cellStyle name="20% - Accent4 14 4" xfId="14180"/>
    <cellStyle name="20% - Accent4 14 4 2" xfId="19254"/>
    <cellStyle name="20% - Accent4 14 4 2 2" xfId="48115"/>
    <cellStyle name="20% - Accent4 14 4 3" xfId="43041"/>
    <cellStyle name="20% - Accent4 14 5" xfId="16574"/>
    <cellStyle name="20% - Accent4 14 5 2" xfId="45435"/>
    <cellStyle name="20% - Accent4 14 6" xfId="30799"/>
    <cellStyle name="20% - Accent4 15" xfId="2349"/>
    <cellStyle name="20% - Accent4 15 2" xfId="5236"/>
    <cellStyle name="20% - Accent4 15 2 2" xfId="11277"/>
    <cellStyle name="20% - Accent4 15 2 2 2" xfId="28324"/>
    <cellStyle name="20% - Accent4 15 2 2 2 2" xfId="57185"/>
    <cellStyle name="20% - Accent4 15 2 2 3" xfId="40138"/>
    <cellStyle name="20% - Accent4 15 2 3" xfId="22346"/>
    <cellStyle name="20% - Accent4 15 2 3 2" xfId="51207"/>
    <cellStyle name="20% - Accent4 15 2 4" xfId="34097"/>
    <cellStyle name="20% - Accent4 15 3" xfId="8391"/>
    <cellStyle name="20% - Accent4 15 3 2" xfId="25438"/>
    <cellStyle name="20% - Accent4 15 3 2 2" xfId="54299"/>
    <cellStyle name="20% - Accent4 15 3 3" xfId="37252"/>
    <cellStyle name="20% - Accent4 15 4" xfId="14054"/>
    <cellStyle name="20% - Accent4 15 4 2" xfId="19666"/>
    <cellStyle name="20% - Accent4 15 4 2 2" xfId="48527"/>
    <cellStyle name="20% - Accent4 15 4 3" xfId="42915"/>
    <cellStyle name="20% - Accent4 15 5" xfId="16986"/>
    <cellStyle name="20% - Accent4 15 5 2" xfId="45847"/>
    <cellStyle name="20% - Accent4 15 6" xfId="31211"/>
    <cellStyle name="20% - Accent4 16" xfId="2558"/>
    <cellStyle name="20% - Accent4 16 2" xfId="5444"/>
    <cellStyle name="20% - Accent4 16 2 2" xfId="11485"/>
    <cellStyle name="20% - Accent4 16 2 2 2" xfId="28532"/>
    <cellStyle name="20% - Accent4 16 2 2 2 2" xfId="57393"/>
    <cellStyle name="20% - Accent4 16 2 2 3" xfId="40346"/>
    <cellStyle name="20% - Accent4 16 2 3" xfId="22554"/>
    <cellStyle name="20% - Accent4 16 2 3 2" xfId="51415"/>
    <cellStyle name="20% - Accent4 16 2 4" xfId="34305"/>
    <cellStyle name="20% - Accent4 16 3" xfId="8599"/>
    <cellStyle name="20% - Accent4 16 3 2" xfId="25646"/>
    <cellStyle name="20% - Accent4 16 3 2 2" xfId="54507"/>
    <cellStyle name="20% - Accent4 16 3 3" xfId="37460"/>
    <cellStyle name="20% - Accent4 16 4" xfId="14096"/>
    <cellStyle name="20% - Accent4 16 4 2" xfId="19874"/>
    <cellStyle name="20% - Accent4 16 4 2 2" xfId="48735"/>
    <cellStyle name="20% - Accent4 16 4 3" xfId="42957"/>
    <cellStyle name="20% - Accent4 16 5" xfId="17194"/>
    <cellStyle name="20% - Accent4 16 5 2" xfId="46055"/>
    <cellStyle name="20% - Accent4 16 6" xfId="31419"/>
    <cellStyle name="20% - Accent4 17" xfId="2970"/>
    <cellStyle name="20% - Accent4 17 2" xfId="9011"/>
    <cellStyle name="20% - Accent4 17 2 2" xfId="26058"/>
    <cellStyle name="20% - Accent4 17 2 2 2" xfId="54919"/>
    <cellStyle name="20% - Accent4 17 2 3" xfId="37872"/>
    <cellStyle name="20% - Accent4 17 3" xfId="12711"/>
    <cellStyle name="20% - Accent4 17 3 2" xfId="20080"/>
    <cellStyle name="20% - Accent4 17 3 2 2" xfId="48941"/>
    <cellStyle name="20% - Accent4 17 3 3" xfId="41572"/>
    <cellStyle name="20% - Accent4 17 4" xfId="14720"/>
    <cellStyle name="20% - Accent4 17 4 2" xfId="43581"/>
    <cellStyle name="20% - Accent4 17 5" xfId="31831"/>
    <cellStyle name="20% - Accent4 18" xfId="2764"/>
    <cellStyle name="20% - Accent4 18 2" xfId="8805"/>
    <cellStyle name="20% - Accent4 18 2 2" xfId="25852"/>
    <cellStyle name="20% - Accent4 18 2 2 2" xfId="54713"/>
    <cellStyle name="20% - Accent4 18 2 3" xfId="37666"/>
    <cellStyle name="20% - Accent4 18 3" xfId="17400"/>
    <cellStyle name="20% - Accent4 18 3 2" xfId="46261"/>
    <cellStyle name="20% - Accent4 18 4" xfId="31625"/>
    <cellStyle name="20% - Accent4 19" xfId="5650"/>
    <cellStyle name="20% - Accent4 19 2" xfId="11691"/>
    <cellStyle name="20% - Accent4 19 2 2" xfId="28738"/>
    <cellStyle name="20% - Accent4 19 2 2 2" xfId="57599"/>
    <cellStyle name="20% - Accent4 19 2 3" xfId="40552"/>
    <cellStyle name="20% - Accent4 19 3" xfId="22760"/>
    <cellStyle name="20% - Accent4 19 3 2" xfId="51621"/>
    <cellStyle name="20% - Accent4 19 4" xfId="34511"/>
    <cellStyle name="20% - Accent4 2" xfId="97"/>
    <cellStyle name="20% - Accent4 2 10" xfId="1333"/>
    <cellStyle name="20% - Accent4 2 10 2" xfId="4220"/>
    <cellStyle name="20% - Accent4 2 10 2 2" xfId="10261"/>
    <cellStyle name="20% - Accent4 2 10 2 2 2" xfId="27308"/>
    <cellStyle name="20% - Accent4 2 10 2 2 2 2" xfId="56169"/>
    <cellStyle name="20% - Accent4 2 10 2 2 3" xfId="39122"/>
    <cellStyle name="20% - Accent4 2 10 2 3" xfId="21330"/>
    <cellStyle name="20% - Accent4 2 10 2 3 2" xfId="50191"/>
    <cellStyle name="20% - Accent4 2 10 2 4" xfId="33081"/>
    <cellStyle name="20% - Accent4 2 10 3" xfId="7375"/>
    <cellStyle name="20% - Accent4 2 10 3 2" xfId="24422"/>
    <cellStyle name="20% - Accent4 2 10 3 2 2" xfId="53283"/>
    <cellStyle name="20% - Accent4 2 10 3 3" xfId="36236"/>
    <cellStyle name="20% - Accent4 2 10 4" xfId="12525"/>
    <cellStyle name="20% - Accent4 2 10 4 2" xfId="18650"/>
    <cellStyle name="20% - Accent4 2 10 4 2 2" xfId="47511"/>
    <cellStyle name="20% - Accent4 2 10 4 3" xfId="41386"/>
    <cellStyle name="20% - Accent4 2 10 5" xfId="15970"/>
    <cellStyle name="20% - Accent4 2 10 5 2" xfId="44831"/>
    <cellStyle name="20% - Accent4 2 10 6" xfId="30195"/>
    <cellStyle name="20% - Accent4 2 11" xfId="1539"/>
    <cellStyle name="20% - Accent4 2 11 2" xfId="4426"/>
    <cellStyle name="20% - Accent4 2 11 2 2" xfId="10467"/>
    <cellStyle name="20% - Accent4 2 11 2 2 2" xfId="27514"/>
    <cellStyle name="20% - Accent4 2 11 2 2 2 2" xfId="56375"/>
    <cellStyle name="20% - Accent4 2 11 2 2 3" xfId="39328"/>
    <cellStyle name="20% - Accent4 2 11 2 3" xfId="21536"/>
    <cellStyle name="20% - Accent4 2 11 2 3 2" xfId="50397"/>
    <cellStyle name="20% - Accent4 2 11 2 4" xfId="33287"/>
    <cellStyle name="20% - Accent4 2 11 3" xfId="7581"/>
    <cellStyle name="20% - Accent4 2 11 3 2" xfId="24628"/>
    <cellStyle name="20% - Accent4 2 11 3 2 2" xfId="53489"/>
    <cellStyle name="20% - Accent4 2 11 3 3" xfId="36442"/>
    <cellStyle name="20% - Accent4 2 11 4" xfId="13761"/>
    <cellStyle name="20% - Accent4 2 11 4 2" xfId="18856"/>
    <cellStyle name="20% - Accent4 2 11 4 2 2" xfId="47717"/>
    <cellStyle name="20% - Accent4 2 11 4 3" xfId="42622"/>
    <cellStyle name="20% - Accent4 2 11 5" xfId="16176"/>
    <cellStyle name="20% - Accent4 2 11 5 2" xfId="45037"/>
    <cellStyle name="20% - Accent4 2 11 6" xfId="30401"/>
    <cellStyle name="20% - Accent4 2 12" xfId="1745"/>
    <cellStyle name="20% - Accent4 2 12 2" xfId="4632"/>
    <cellStyle name="20% - Accent4 2 12 2 2" xfId="10673"/>
    <cellStyle name="20% - Accent4 2 12 2 2 2" xfId="27720"/>
    <cellStyle name="20% - Accent4 2 12 2 2 2 2" xfId="56581"/>
    <cellStyle name="20% - Accent4 2 12 2 2 3" xfId="39534"/>
    <cellStyle name="20% - Accent4 2 12 2 3" xfId="21742"/>
    <cellStyle name="20% - Accent4 2 12 2 3 2" xfId="50603"/>
    <cellStyle name="20% - Accent4 2 12 2 4" xfId="33493"/>
    <cellStyle name="20% - Accent4 2 12 3" xfId="7787"/>
    <cellStyle name="20% - Accent4 2 12 3 2" xfId="24834"/>
    <cellStyle name="20% - Accent4 2 12 3 2 2" xfId="53695"/>
    <cellStyle name="20% - Accent4 2 12 3 3" xfId="36648"/>
    <cellStyle name="20% - Accent4 2 12 4" xfId="14413"/>
    <cellStyle name="20% - Accent4 2 12 4 2" xfId="19062"/>
    <cellStyle name="20% - Accent4 2 12 4 2 2" xfId="47923"/>
    <cellStyle name="20% - Accent4 2 12 4 3" xfId="43274"/>
    <cellStyle name="20% - Accent4 2 12 5" xfId="16382"/>
    <cellStyle name="20% - Accent4 2 12 5 2" xfId="45243"/>
    <cellStyle name="20% - Accent4 2 12 6" xfId="30607"/>
    <cellStyle name="20% - Accent4 2 13" xfId="1951"/>
    <cellStyle name="20% - Accent4 2 13 2" xfId="4838"/>
    <cellStyle name="20% - Accent4 2 13 2 2" xfId="10879"/>
    <cellStyle name="20% - Accent4 2 13 2 2 2" xfId="27926"/>
    <cellStyle name="20% - Accent4 2 13 2 2 2 2" xfId="56787"/>
    <cellStyle name="20% - Accent4 2 13 2 2 3" xfId="39740"/>
    <cellStyle name="20% - Accent4 2 13 2 3" xfId="21948"/>
    <cellStyle name="20% - Accent4 2 13 2 3 2" xfId="50809"/>
    <cellStyle name="20% - Accent4 2 13 2 4" xfId="33699"/>
    <cellStyle name="20% - Accent4 2 13 3" xfId="7993"/>
    <cellStyle name="20% - Accent4 2 13 3 2" xfId="25040"/>
    <cellStyle name="20% - Accent4 2 13 3 2 2" xfId="53901"/>
    <cellStyle name="20% - Accent4 2 13 3 3" xfId="36854"/>
    <cellStyle name="20% - Accent4 2 13 4" xfId="14094"/>
    <cellStyle name="20% - Accent4 2 13 4 2" xfId="19268"/>
    <cellStyle name="20% - Accent4 2 13 4 2 2" xfId="48129"/>
    <cellStyle name="20% - Accent4 2 13 4 3" xfId="42955"/>
    <cellStyle name="20% - Accent4 2 13 5" xfId="16588"/>
    <cellStyle name="20% - Accent4 2 13 5 2" xfId="45449"/>
    <cellStyle name="20% - Accent4 2 13 6" xfId="30813"/>
    <cellStyle name="20% - Accent4 2 14" xfId="2363"/>
    <cellStyle name="20% - Accent4 2 14 2" xfId="5250"/>
    <cellStyle name="20% - Accent4 2 14 2 2" xfId="11291"/>
    <cellStyle name="20% - Accent4 2 14 2 2 2" xfId="28338"/>
    <cellStyle name="20% - Accent4 2 14 2 2 2 2" xfId="57199"/>
    <cellStyle name="20% - Accent4 2 14 2 2 3" xfId="40152"/>
    <cellStyle name="20% - Accent4 2 14 2 3" xfId="22360"/>
    <cellStyle name="20% - Accent4 2 14 2 3 2" xfId="51221"/>
    <cellStyle name="20% - Accent4 2 14 2 4" xfId="34111"/>
    <cellStyle name="20% - Accent4 2 14 3" xfId="8405"/>
    <cellStyle name="20% - Accent4 2 14 3 2" xfId="25452"/>
    <cellStyle name="20% - Accent4 2 14 3 2 2" xfId="54313"/>
    <cellStyle name="20% - Accent4 2 14 3 3" xfId="37266"/>
    <cellStyle name="20% - Accent4 2 14 4" xfId="12881"/>
    <cellStyle name="20% - Accent4 2 14 4 2" xfId="19680"/>
    <cellStyle name="20% - Accent4 2 14 4 2 2" xfId="48541"/>
    <cellStyle name="20% - Accent4 2 14 4 3" xfId="41742"/>
    <cellStyle name="20% - Accent4 2 14 5" xfId="17000"/>
    <cellStyle name="20% - Accent4 2 14 5 2" xfId="45861"/>
    <cellStyle name="20% - Accent4 2 14 6" xfId="31225"/>
    <cellStyle name="20% - Accent4 2 15" xfId="2572"/>
    <cellStyle name="20% - Accent4 2 15 2" xfId="5458"/>
    <cellStyle name="20% - Accent4 2 15 2 2" xfId="11499"/>
    <cellStyle name="20% - Accent4 2 15 2 2 2" xfId="28546"/>
    <cellStyle name="20% - Accent4 2 15 2 2 2 2" xfId="57407"/>
    <cellStyle name="20% - Accent4 2 15 2 2 3" xfId="40360"/>
    <cellStyle name="20% - Accent4 2 15 2 3" xfId="22568"/>
    <cellStyle name="20% - Accent4 2 15 2 3 2" xfId="51429"/>
    <cellStyle name="20% - Accent4 2 15 2 4" xfId="34319"/>
    <cellStyle name="20% - Accent4 2 15 3" xfId="8613"/>
    <cellStyle name="20% - Accent4 2 15 3 2" xfId="25660"/>
    <cellStyle name="20% - Accent4 2 15 3 2 2" xfId="54521"/>
    <cellStyle name="20% - Accent4 2 15 3 3" xfId="37474"/>
    <cellStyle name="20% - Accent4 2 15 4" xfId="12101"/>
    <cellStyle name="20% - Accent4 2 15 4 2" xfId="19888"/>
    <cellStyle name="20% - Accent4 2 15 4 2 2" xfId="48749"/>
    <cellStyle name="20% - Accent4 2 15 4 3" xfId="40962"/>
    <cellStyle name="20% - Accent4 2 15 5" xfId="17208"/>
    <cellStyle name="20% - Accent4 2 15 5 2" xfId="46069"/>
    <cellStyle name="20% - Accent4 2 15 6" xfId="31433"/>
    <cellStyle name="20% - Accent4 2 16" xfId="2984"/>
    <cellStyle name="20% - Accent4 2 16 2" xfId="9025"/>
    <cellStyle name="20% - Accent4 2 16 2 2" xfId="26072"/>
    <cellStyle name="20% - Accent4 2 16 2 2 2" xfId="54933"/>
    <cellStyle name="20% - Accent4 2 16 2 3" xfId="37886"/>
    <cellStyle name="20% - Accent4 2 16 3" xfId="12773"/>
    <cellStyle name="20% - Accent4 2 16 3 2" xfId="20094"/>
    <cellStyle name="20% - Accent4 2 16 3 2 2" xfId="48955"/>
    <cellStyle name="20% - Accent4 2 16 3 3" xfId="41634"/>
    <cellStyle name="20% - Accent4 2 16 4" xfId="14734"/>
    <cellStyle name="20% - Accent4 2 16 4 2" xfId="43595"/>
    <cellStyle name="20% - Accent4 2 16 5" xfId="31845"/>
    <cellStyle name="20% - Accent4 2 17" xfId="2778"/>
    <cellStyle name="20% - Accent4 2 17 2" xfId="8819"/>
    <cellStyle name="20% - Accent4 2 17 2 2" xfId="25866"/>
    <cellStyle name="20% - Accent4 2 17 2 2 2" xfId="54727"/>
    <cellStyle name="20% - Accent4 2 17 2 3" xfId="37680"/>
    <cellStyle name="20% - Accent4 2 17 3" xfId="17414"/>
    <cellStyle name="20% - Accent4 2 17 3 2" xfId="46275"/>
    <cellStyle name="20% - Accent4 2 17 4" xfId="31639"/>
    <cellStyle name="20% - Accent4 2 18" xfId="5664"/>
    <cellStyle name="20% - Accent4 2 18 2" xfId="11705"/>
    <cellStyle name="20% - Accent4 2 18 2 2" xfId="28752"/>
    <cellStyle name="20% - Accent4 2 18 2 2 2" xfId="57613"/>
    <cellStyle name="20% - Accent4 2 18 2 3" xfId="40566"/>
    <cellStyle name="20% - Accent4 2 18 3" xfId="22774"/>
    <cellStyle name="20% - Accent4 2 18 3 2" xfId="51635"/>
    <cellStyle name="20% - Accent4 2 18 4" xfId="34525"/>
    <cellStyle name="20% - Accent4 2 19" xfId="5881"/>
    <cellStyle name="20% - Accent4 2 19 2" xfId="22980"/>
    <cellStyle name="20% - Accent4 2 19 2 2" xfId="51841"/>
    <cellStyle name="20% - Accent4 2 19 3" xfId="34742"/>
    <cellStyle name="20% - Accent4 2 2" xfId="123"/>
    <cellStyle name="20% - Accent4 2 2 10" xfId="1771"/>
    <cellStyle name="20% - Accent4 2 2 10 2" xfId="4658"/>
    <cellStyle name="20% - Accent4 2 2 10 2 2" xfId="10699"/>
    <cellStyle name="20% - Accent4 2 2 10 2 2 2" xfId="27746"/>
    <cellStyle name="20% - Accent4 2 2 10 2 2 2 2" xfId="56607"/>
    <cellStyle name="20% - Accent4 2 2 10 2 2 3" xfId="39560"/>
    <cellStyle name="20% - Accent4 2 2 10 2 3" xfId="21768"/>
    <cellStyle name="20% - Accent4 2 2 10 2 3 2" xfId="50629"/>
    <cellStyle name="20% - Accent4 2 2 10 2 4" xfId="33519"/>
    <cellStyle name="20% - Accent4 2 2 10 3" xfId="7813"/>
    <cellStyle name="20% - Accent4 2 2 10 3 2" xfId="24860"/>
    <cellStyle name="20% - Accent4 2 2 10 3 2 2" xfId="53721"/>
    <cellStyle name="20% - Accent4 2 2 10 3 3" xfId="36674"/>
    <cellStyle name="20% - Accent4 2 2 10 4" xfId="13962"/>
    <cellStyle name="20% - Accent4 2 2 10 4 2" xfId="19088"/>
    <cellStyle name="20% - Accent4 2 2 10 4 2 2" xfId="47949"/>
    <cellStyle name="20% - Accent4 2 2 10 4 3" xfId="42823"/>
    <cellStyle name="20% - Accent4 2 2 10 5" xfId="16408"/>
    <cellStyle name="20% - Accent4 2 2 10 5 2" xfId="45269"/>
    <cellStyle name="20% - Accent4 2 2 10 6" xfId="30633"/>
    <cellStyle name="20% - Accent4 2 2 11" xfId="1977"/>
    <cellStyle name="20% - Accent4 2 2 11 2" xfId="4864"/>
    <cellStyle name="20% - Accent4 2 2 11 2 2" xfId="10905"/>
    <cellStyle name="20% - Accent4 2 2 11 2 2 2" xfId="27952"/>
    <cellStyle name="20% - Accent4 2 2 11 2 2 2 2" xfId="56813"/>
    <cellStyle name="20% - Accent4 2 2 11 2 2 3" xfId="39766"/>
    <cellStyle name="20% - Accent4 2 2 11 2 3" xfId="21974"/>
    <cellStyle name="20% - Accent4 2 2 11 2 3 2" xfId="50835"/>
    <cellStyle name="20% - Accent4 2 2 11 2 4" xfId="33725"/>
    <cellStyle name="20% - Accent4 2 2 11 3" xfId="8019"/>
    <cellStyle name="20% - Accent4 2 2 11 3 2" xfId="25066"/>
    <cellStyle name="20% - Accent4 2 2 11 3 2 2" xfId="53927"/>
    <cellStyle name="20% - Accent4 2 2 11 3 3" xfId="36880"/>
    <cellStyle name="20% - Accent4 2 2 11 4" xfId="13922"/>
    <cellStyle name="20% - Accent4 2 2 11 4 2" xfId="19294"/>
    <cellStyle name="20% - Accent4 2 2 11 4 2 2" xfId="48155"/>
    <cellStyle name="20% - Accent4 2 2 11 4 3" xfId="42783"/>
    <cellStyle name="20% - Accent4 2 2 11 5" xfId="16614"/>
    <cellStyle name="20% - Accent4 2 2 11 5 2" xfId="45475"/>
    <cellStyle name="20% - Accent4 2 2 11 6" xfId="30839"/>
    <cellStyle name="20% - Accent4 2 2 12" xfId="2389"/>
    <cellStyle name="20% - Accent4 2 2 12 2" xfId="5276"/>
    <cellStyle name="20% - Accent4 2 2 12 2 2" xfId="11317"/>
    <cellStyle name="20% - Accent4 2 2 12 2 2 2" xfId="28364"/>
    <cellStyle name="20% - Accent4 2 2 12 2 2 2 2" xfId="57225"/>
    <cellStyle name="20% - Accent4 2 2 12 2 2 3" xfId="40178"/>
    <cellStyle name="20% - Accent4 2 2 12 2 3" xfId="22386"/>
    <cellStyle name="20% - Accent4 2 2 12 2 3 2" xfId="51247"/>
    <cellStyle name="20% - Accent4 2 2 12 2 4" xfId="34137"/>
    <cellStyle name="20% - Accent4 2 2 12 3" xfId="8431"/>
    <cellStyle name="20% - Accent4 2 2 12 3 2" xfId="25478"/>
    <cellStyle name="20% - Accent4 2 2 12 3 2 2" xfId="54339"/>
    <cellStyle name="20% - Accent4 2 2 12 3 3" xfId="37292"/>
    <cellStyle name="20% - Accent4 2 2 12 4" xfId="12469"/>
    <cellStyle name="20% - Accent4 2 2 12 4 2" xfId="19706"/>
    <cellStyle name="20% - Accent4 2 2 12 4 2 2" xfId="48567"/>
    <cellStyle name="20% - Accent4 2 2 12 4 3" xfId="41330"/>
    <cellStyle name="20% - Accent4 2 2 12 5" xfId="17026"/>
    <cellStyle name="20% - Accent4 2 2 12 5 2" xfId="45887"/>
    <cellStyle name="20% - Accent4 2 2 12 6" xfId="31251"/>
    <cellStyle name="20% - Accent4 2 2 13" xfId="2598"/>
    <cellStyle name="20% - Accent4 2 2 13 2" xfId="5484"/>
    <cellStyle name="20% - Accent4 2 2 13 2 2" xfId="11525"/>
    <cellStyle name="20% - Accent4 2 2 13 2 2 2" xfId="28572"/>
    <cellStyle name="20% - Accent4 2 2 13 2 2 2 2" xfId="57433"/>
    <cellStyle name="20% - Accent4 2 2 13 2 2 3" xfId="40386"/>
    <cellStyle name="20% - Accent4 2 2 13 2 3" xfId="22594"/>
    <cellStyle name="20% - Accent4 2 2 13 2 3 2" xfId="51455"/>
    <cellStyle name="20% - Accent4 2 2 13 2 4" xfId="34345"/>
    <cellStyle name="20% - Accent4 2 2 13 3" xfId="8639"/>
    <cellStyle name="20% - Accent4 2 2 13 3 2" xfId="25686"/>
    <cellStyle name="20% - Accent4 2 2 13 3 2 2" xfId="54547"/>
    <cellStyle name="20% - Accent4 2 2 13 3 3" xfId="37500"/>
    <cellStyle name="20% - Accent4 2 2 13 4" xfId="13128"/>
    <cellStyle name="20% - Accent4 2 2 13 4 2" xfId="19914"/>
    <cellStyle name="20% - Accent4 2 2 13 4 2 2" xfId="48775"/>
    <cellStyle name="20% - Accent4 2 2 13 4 3" xfId="41989"/>
    <cellStyle name="20% - Accent4 2 2 13 5" xfId="17234"/>
    <cellStyle name="20% - Accent4 2 2 13 5 2" xfId="46095"/>
    <cellStyle name="20% - Accent4 2 2 13 6" xfId="31459"/>
    <cellStyle name="20% - Accent4 2 2 14" xfId="3010"/>
    <cellStyle name="20% - Accent4 2 2 14 2" xfId="9051"/>
    <cellStyle name="20% - Accent4 2 2 14 2 2" xfId="26098"/>
    <cellStyle name="20% - Accent4 2 2 14 2 2 2" xfId="54959"/>
    <cellStyle name="20% - Accent4 2 2 14 2 3" xfId="37912"/>
    <cellStyle name="20% - Accent4 2 2 14 3" xfId="14052"/>
    <cellStyle name="20% - Accent4 2 2 14 3 2" xfId="20120"/>
    <cellStyle name="20% - Accent4 2 2 14 3 2 2" xfId="48981"/>
    <cellStyle name="20% - Accent4 2 2 14 3 3" xfId="42913"/>
    <cellStyle name="20% - Accent4 2 2 14 4" xfId="14760"/>
    <cellStyle name="20% - Accent4 2 2 14 4 2" xfId="43621"/>
    <cellStyle name="20% - Accent4 2 2 14 5" xfId="31871"/>
    <cellStyle name="20% - Accent4 2 2 15" xfId="2804"/>
    <cellStyle name="20% - Accent4 2 2 15 2" xfId="8845"/>
    <cellStyle name="20% - Accent4 2 2 15 2 2" xfId="25892"/>
    <cellStyle name="20% - Accent4 2 2 15 2 2 2" xfId="54753"/>
    <cellStyle name="20% - Accent4 2 2 15 2 3" xfId="37706"/>
    <cellStyle name="20% - Accent4 2 2 15 3" xfId="17440"/>
    <cellStyle name="20% - Accent4 2 2 15 3 2" xfId="46301"/>
    <cellStyle name="20% - Accent4 2 2 15 4" xfId="31665"/>
    <cellStyle name="20% - Accent4 2 2 16" xfId="5690"/>
    <cellStyle name="20% - Accent4 2 2 16 2" xfId="11731"/>
    <cellStyle name="20% - Accent4 2 2 16 2 2" xfId="28778"/>
    <cellStyle name="20% - Accent4 2 2 16 2 2 2" xfId="57639"/>
    <cellStyle name="20% - Accent4 2 2 16 2 3" xfId="40592"/>
    <cellStyle name="20% - Accent4 2 2 16 3" xfId="22800"/>
    <cellStyle name="20% - Accent4 2 2 16 3 2" xfId="51661"/>
    <cellStyle name="20% - Accent4 2 2 16 4" xfId="34551"/>
    <cellStyle name="20% - Accent4 2 2 17" xfId="5907"/>
    <cellStyle name="20% - Accent4 2 2 17 2" xfId="23006"/>
    <cellStyle name="20% - Accent4 2 2 17 2 2" xfId="51867"/>
    <cellStyle name="20% - Accent4 2 2 17 3" xfId="34768"/>
    <cellStyle name="20% - Accent4 2 2 18" xfId="6165"/>
    <cellStyle name="20% - Accent4 2 2 18 2" xfId="23212"/>
    <cellStyle name="20% - Accent4 2 2 18 2 2" xfId="52073"/>
    <cellStyle name="20% - Accent4 2 2 18 3" xfId="35026"/>
    <cellStyle name="20% - Accent4 2 2 19" xfId="14554"/>
    <cellStyle name="20% - Accent4 2 2 19 2" xfId="43415"/>
    <cellStyle name="20% - Accent4 2 2 2" xfId="329"/>
    <cellStyle name="20% - Accent4 2 2 2 10" xfId="2492"/>
    <cellStyle name="20% - Accent4 2 2 2 10 2" xfId="5379"/>
    <cellStyle name="20% - Accent4 2 2 2 10 2 2" xfId="11420"/>
    <cellStyle name="20% - Accent4 2 2 2 10 2 2 2" xfId="28467"/>
    <cellStyle name="20% - Accent4 2 2 2 10 2 2 2 2" xfId="57328"/>
    <cellStyle name="20% - Accent4 2 2 2 10 2 2 3" xfId="40281"/>
    <cellStyle name="20% - Accent4 2 2 2 10 2 3" xfId="22489"/>
    <cellStyle name="20% - Accent4 2 2 2 10 2 3 2" xfId="51350"/>
    <cellStyle name="20% - Accent4 2 2 2 10 2 4" xfId="34240"/>
    <cellStyle name="20% - Accent4 2 2 2 10 3" xfId="8534"/>
    <cellStyle name="20% - Accent4 2 2 2 10 3 2" xfId="25581"/>
    <cellStyle name="20% - Accent4 2 2 2 10 3 2 2" xfId="54442"/>
    <cellStyle name="20% - Accent4 2 2 2 10 3 3" xfId="37395"/>
    <cellStyle name="20% - Accent4 2 2 2 10 4" xfId="14457"/>
    <cellStyle name="20% - Accent4 2 2 2 10 4 2" xfId="19809"/>
    <cellStyle name="20% - Accent4 2 2 2 10 4 2 2" xfId="48670"/>
    <cellStyle name="20% - Accent4 2 2 2 10 4 3" xfId="43318"/>
    <cellStyle name="20% - Accent4 2 2 2 10 5" xfId="17129"/>
    <cellStyle name="20% - Accent4 2 2 2 10 5 2" xfId="45990"/>
    <cellStyle name="20% - Accent4 2 2 2 10 6" xfId="31354"/>
    <cellStyle name="20% - Accent4 2 2 2 11" xfId="2701"/>
    <cellStyle name="20% - Accent4 2 2 2 11 2" xfId="5587"/>
    <cellStyle name="20% - Accent4 2 2 2 11 2 2" xfId="11628"/>
    <cellStyle name="20% - Accent4 2 2 2 11 2 2 2" xfId="28675"/>
    <cellStyle name="20% - Accent4 2 2 2 11 2 2 2 2" xfId="57536"/>
    <cellStyle name="20% - Accent4 2 2 2 11 2 2 3" xfId="40489"/>
    <cellStyle name="20% - Accent4 2 2 2 11 2 3" xfId="22697"/>
    <cellStyle name="20% - Accent4 2 2 2 11 2 3 2" xfId="51558"/>
    <cellStyle name="20% - Accent4 2 2 2 11 2 4" xfId="34448"/>
    <cellStyle name="20% - Accent4 2 2 2 11 3" xfId="8742"/>
    <cellStyle name="20% - Accent4 2 2 2 11 3 2" xfId="25789"/>
    <cellStyle name="20% - Accent4 2 2 2 11 3 2 2" xfId="54650"/>
    <cellStyle name="20% - Accent4 2 2 2 11 3 3" xfId="37603"/>
    <cellStyle name="20% - Accent4 2 2 2 11 4" xfId="13351"/>
    <cellStyle name="20% - Accent4 2 2 2 11 4 2" xfId="20017"/>
    <cellStyle name="20% - Accent4 2 2 2 11 4 2 2" xfId="48878"/>
    <cellStyle name="20% - Accent4 2 2 2 11 4 3" xfId="42212"/>
    <cellStyle name="20% - Accent4 2 2 2 11 5" xfId="17337"/>
    <cellStyle name="20% - Accent4 2 2 2 11 5 2" xfId="46198"/>
    <cellStyle name="20% - Accent4 2 2 2 11 6" xfId="31562"/>
    <cellStyle name="20% - Accent4 2 2 2 12" xfId="3216"/>
    <cellStyle name="20% - Accent4 2 2 2 12 2" xfId="9257"/>
    <cellStyle name="20% - Accent4 2 2 2 12 2 2" xfId="26304"/>
    <cellStyle name="20% - Accent4 2 2 2 12 2 2 2" xfId="55165"/>
    <cellStyle name="20% - Accent4 2 2 2 12 2 3" xfId="38118"/>
    <cellStyle name="20% - Accent4 2 2 2 12 3" xfId="13298"/>
    <cellStyle name="20% - Accent4 2 2 2 12 3 2" xfId="20326"/>
    <cellStyle name="20% - Accent4 2 2 2 12 3 2 2" xfId="49187"/>
    <cellStyle name="20% - Accent4 2 2 2 12 3 3" xfId="42159"/>
    <cellStyle name="20% - Accent4 2 2 2 12 4" xfId="14966"/>
    <cellStyle name="20% - Accent4 2 2 2 12 4 2" xfId="43827"/>
    <cellStyle name="20% - Accent4 2 2 2 12 5" xfId="32077"/>
    <cellStyle name="20% - Accent4 2 2 2 13" xfId="2907"/>
    <cellStyle name="20% - Accent4 2 2 2 13 2" xfId="8948"/>
    <cellStyle name="20% - Accent4 2 2 2 13 2 2" xfId="25995"/>
    <cellStyle name="20% - Accent4 2 2 2 13 2 2 2" xfId="54856"/>
    <cellStyle name="20% - Accent4 2 2 2 13 2 3" xfId="37809"/>
    <cellStyle name="20% - Accent4 2 2 2 13 3" xfId="17543"/>
    <cellStyle name="20% - Accent4 2 2 2 13 3 2" xfId="46404"/>
    <cellStyle name="20% - Accent4 2 2 2 13 4" xfId="31768"/>
    <cellStyle name="20% - Accent4 2 2 2 14" xfId="5793"/>
    <cellStyle name="20% - Accent4 2 2 2 14 2" xfId="11834"/>
    <cellStyle name="20% - Accent4 2 2 2 14 2 2" xfId="28881"/>
    <cellStyle name="20% - Accent4 2 2 2 14 2 2 2" xfId="57742"/>
    <cellStyle name="20% - Accent4 2 2 2 14 2 3" xfId="40695"/>
    <cellStyle name="20% - Accent4 2 2 2 14 3" xfId="22903"/>
    <cellStyle name="20% - Accent4 2 2 2 14 3 2" xfId="51764"/>
    <cellStyle name="20% - Accent4 2 2 2 14 4" xfId="34654"/>
    <cellStyle name="20% - Accent4 2 2 2 15" xfId="6010"/>
    <cellStyle name="20% - Accent4 2 2 2 15 2" xfId="23109"/>
    <cellStyle name="20% - Accent4 2 2 2 15 2 2" xfId="51970"/>
    <cellStyle name="20% - Accent4 2 2 2 15 3" xfId="34871"/>
    <cellStyle name="20% - Accent4 2 2 2 16" xfId="6371"/>
    <cellStyle name="20% - Accent4 2 2 2 16 2" xfId="23418"/>
    <cellStyle name="20% - Accent4 2 2 2 16 2 2" xfId="52279"/>
    <cellStyle name="20% - Accent4 2 2 2 16 3" xfId="35232"/>
    <cellStyle name="20% - Accent4 2 2 2 17" xfId="14657"/>
    <cellStyle name="20% - Accent4 2 2 2 17 2" xfId="43518"/>
    <cellStyle name="20% - Accent4 2 2 2 18" xfId="29191"/>
    <cellStyle name="20% - Accent4 2 2 2 2" xfId="535"/>
    <cellStyle name="20% - Accent4 2 2 2 2 2" xfId="2286"/>
    <cellStyle name="20% - Accent4 2 2 2 2 2 2" xfId="5173"/>
    <cellStyle name="20% - Accent4 2 2 2 2 2 2 2" xfId="11214"/>
    <cellStyle name="20% - Accent4 2 2 2 2 2 2 2 2" xfId="28261"/>
    <cellStyle name="20% - Accent4 2 2 2 2 2 2 2 2 2" xfId="57122"/>
    <cellStyle name="20% - Accent4 2 2 2 2 2 2 2 3" xfId="40075"/>
    <cellStyle name="20% - Accent4 2 2 2 2 2 2 3" xfId="22283"/>
    <cellStyle name="20% - Accent4 2 2 2 2 2 2 3 2" xfId="51144"/>
    <cellStyle name="20% - Accent4 2 2 2 2 2 2 4" xfId="34034"/>
    <cellStyle name="20% - Accent4 2 2 2 2 2 3" xfId="8328"/>
    <cellStyle name="20% - Accent4 2 2 2 2 2 3 2" xfId="25375"/>
    <cellStyle name="20% - Accent4 2 2 2 2 2 3 2 2" xfId="54236"/>
    <cellStyle name="20% - Accent4 2 2 2 2 2 3 3" xfId="37189"/>
    <cellStyle name="20% - Accent4 2 2 2 2 2 4" xfId="12015"/>
    <cellStyle name="20% - Accent4 2 2 2 2 2 4 2" xfId="19603"/>
    <cellStyle name="20% - Accent4 2 2 2 2 2 4 2 2" xfId="48464"/>
    <cellStyle name="20% - Accent4 2 2 2 2 2 4 3" xfId="40876"/>
    <cellStyle name="20% - Accent4 2 2 2 2 2 5" xfId="16923"/>
    <cellStyle name="20% - Accent4 2 2 2 2 2 5 2" xfId="45784"/>
    <cellStyle name="20% - Accent4 2 2 2 2 2 6" xfId="31148"/>
    <cellStyle name="20% - Accent4 2 2 2 2 3" xfId="3422"/>
    <cellStyle name="20% - Accent4 2 2 2 2 3 2" xfId="9463"/>
    <cellStyle name="20% - Accent4 2 2 2 2 3 2 2" xfId="26510"/>
    <cellStyle name="20% - Accent4 2 2 2 2 3 2 2 2" xfId="55371"/>
    <cellStyle name="20% - Accent4 2 2 2 2 3 2 3" xfId="38324"/>
    <cellStyle name="20% - Accent4 2 2 2 2 3 3" xfId="20532"/>
    <cellStyle name="20% - Accent4 2 2 2 2 3 3 2" xfId="49393"/>
    <cellStyle name="20% - Accent4 2 2 2 2 3 4" xfId="32283"/>
    <cellStyle name="20% - Accent4 2 2 2 2 4" xfId="6577"/>
    <cellStyle name="20% - Accent4 2 2 2 2 4 2" xfId="23624"/>
    <cellStyle name="20% - Accent4 2 2 2 2 4 2 2" xfId="52485"/>
    <cellStyle name="20% - Accent4 2 2 2 2 4 3" xfId="35438"/>
    <cellStyle name="20% - Accent4 2 2 2 2 5" xfId="14325"/>
    <cellStyle name="20% - Accent4 2 2 2 2 5 2" xfId="17852"/>
    <cellStyle name="20% - Accent4 2 2 2 2 5 2 2" xfId="46713"/>
    <cellStyle name="20% - Accent4 2 2 2 2 5 3" xfId="43186"/>
    <cellStyle name="20% - Accent4 2 2 2 2 6" xfId="15172"/>
    <cellStyle name="20% - Accent4 2 2 2 2 6 2" xfId="44033"/>
    <cellStyle name="20% - Accent4 2 2 2 2 7" xfId="29397"/>
    <cellStyle name="20% - Accent4 2 2 2 3" xfId="844"/>
    <cellStyle name="20% - Accent4 2 2 2 3 2" xfId="3731"/>
    <cellStyle name="20% - Accent4 2 2 2 3 2 2" xfId="9772"/>
    <cellStyle name="20% - Accent4 2 2 2 3 2 2 2" xfId="26819"/>
    <cellStyle name="20% - Accent4 2 2 2 3 2 2 2 2" xfId="55680"/>
    <cellStyle name="20% - Accent4 2 2 2 3 2 2 3" xfId="38633"/>
    <cellStyle name="20% - Accent4 2 2 2 3 2 3" xfId="20841"/>
    <cellStyle name="20% - Accent4 2 2 2 3 2 3 2" xfId="49702"/>
    <cellStyle name="20% - Accent4 2 2 2 3 2 4" xfId="32592"/>
    <cellStyle name="20% - Accent4 2 2 2 3 3" xfId="6886"/>
    <cellStyle name="20% - Accent4 2 2 2 3 3 2" xfId="23933"/>
    <cellStyle name="20% - Accent4 2 2 2 3 3 2 2" xfId="52794"/>
    <cellStyle name="20% - Accent4 2 2 2 3 3 3" xfId="35747"/>
    <cellStyle name="20% - Accent4 2 2 2 3 4" xfId="12739"/>
    <cellStyle name="20% - Accent4 2 2 2 3 4 2" xfId="18161"/>
    <cellStyle name="20% - Accent4 2 2 2 3 4 2 2" xfId="47022"/>
    <cellStyle name="20% - Accent4 2 2 2 3 4 3" xfId="41600"/>
    <cellStyle name="20% - Accent4 2 2 2 3 5" xfId="15481"/>
    <cellStyle name="20% - Accent4 2 2 2 3 5 2" xfId="44342"/>
    <cellStyle name="20% - Accent4 2 2 2 3 6" xfId="29706"/>
    <cellStyle name="20% - Accent4 2 2 2 4" xfId="1050"/>
    <cellStyle name="20% - Accent4 2 2 2 4 2" xfId="3937"/>
    <cellStyle name="20% - Accent4 2 2 2 4 2 2" xfId="9978"/>
    <cellStyle name="20% - Accent4 2 2 2 4 2 2 2" xfId="27025"/>
    <cellStyle name="20% - Accent4 2 2 2 4 2 2 2 2" xfId="55886"/>
    <cellStyle name="20% - Accent4 2 2 2 4 2 2 3" xfId="38839"/>
    <cellStyle name="20% - Accent4 2 2 2 4 2 3" xfId="21047"/>
    <cellStyle name="20% - Accent4 2 2 2 4 2 3 2" xfId="49908"/>
    <cellStyle name="20% - Accent4 2 2 2 4 2 4" xfId="32798"/>
    <cellStyle name="20% - Accent4 2 2 2 4 3" xfId="7092"/>
    <cellStyle name="20% - Accent4 2 2 2 4 3 2" xfId="24139"/>
    <cellStyle name="20% - Accent4 2 2 2 4 3 2 2" xfId="53000"/>
    <cellStyle name="20% - Accent4 2 2 2 4 3 3" xfId="35953"/>
    <cellStyle name="20% - Accent4 2 2 2 4 4" xfId="13234"/>
    <cellStyle name="20% - Accent4 2 2 2 4 4 2" xfId="18367"/>
    <cellStyle name="20% - Accent4 2 2 2 4 4 2 2" xfId="47228"/>
    <cellStyle name="20% - Accent4 2 2 2 4 4 3" xfId="42095"/>
    <cellStyle name="20% - Accent4 2 2 2 4 5" xfId="15687"/>
    <cellStyle name="20% - Accent4 2 2 2 4 5 2" xfId="44548"/>
    <cellStyle name="20% - Accent4 2 2 2 4 6" xfId="29912"/>
    <cellStyle name="20% - Accent4 2 2 2 5" xfId="1256"/>
    <cellStyle name="20% - Accent4 2 2 2 5 2" xfId="4143"/>
    <cellStyle name="20% - Accent4 2 2 2 5 2 2" xfId="10184"/>
    <cellStyle name="20% - Accent4 2 2 2 5 2 2 2" xfId="27231"/>
    <cellStyle name="20% - Accent4 2 2 2 5 2 2 2 2" xfId="56092"/>
    <cellStyle name="20% - Accent4 2 2 2 5 2 2 3" xfId="39045"/>
    <cellStyle name="20% - Accent4 2 2 2 5 2 3" xfId="21253"/>
    <cellStyle name="20% - Accent4 2 2 2 5 2 3 2" xfId="50114"/>
    <cellStyle name="20% - Accent4 2 2 2 5 2 4" xfId="33004"/>
    <cellStyle name="20% - Accent4 2 2 2 5 3" xfId="7298"/>
    <cellStyle name="20% - Accent4 2 2 2 5 3 2" xfId="24345"/>
    <cellStyle name="20% - Accent4 2 2 2 5 3 2 2" xfId="53206"/>
    <cellStyle name="20% - Accent4 2 2 2 5 3 3" xfId="36159"/>
    <cellStyle name="20% - Accent4 2 2 2 5 4" xfId="13836"/>
    <cellStyle name="20% - Accent4 2 2 2 5 4 2" xfId="18573"/>
    <cellStyle name="20% - Accent4 2 2 2 5 4 2 2" xfId="47434"/>
    <cellStyle name="20% - Accent4 2 2 2 5 4 3" xfId="42697"/>
    <cellStyle name="20% - Accent4 2 2 2 5 5" xfId="15893"/>
    <cellStyle name="20% - Accent4 2 2 2 5 5 2" xfId="44754"/>
    <cellStyle name="20% - Accent4 2 2 2 5 6" xfId="30118"/>
    <cellStyle name="20% - Accent4 2 2 2 6" xfId="1462"/>
    <cellStyle name="20% - Accent4 2 2 2 6 2" xfId="4349"/>
    <cellStyle name="20% - Accent4 2 2 2 6 2 2" xfId="10390"/>
    <cellStyle name="20% - Accent4 2 2 2 6 2 2 2" xfId="27437"/>
    <cellStyle name="20% - Accent4 2 2 2 6 2 2 2 2" xfId="56298"/>
    <cellStyle name="20% - Accent4 2 2 2 6 2 2 3" xfId="39251"/>
    <cellStyle name="20% - Accent4 2 2 2 6 2 3" xfId="21459"/>
    <cellStyle name="20% - Accent4 2 2 2 6 2 3 2" xfId="50320"/>
    <cellStyle name="20% - Accent4 2 2 2 6 2 4" xfId="33210"/>
    <cellStyle name="20% - Accent4 2 2 2 6 3" xfId="7504"/>
    <cellStyle name="20% - Accent4 2 2 2 6 3 2" xfId="24551"/>
    <cellStyle name="20% - Accent4 2 2 2 6 3 2 2" xfId="53412"/>
    <cellStyle name="20% - Accent4 2 2 2 6 3 3" xfId="36365"/>
    <cellStyle name="20% - Accent4 2 2 2 6 4" xfId="13707"/>
    <cellStyle name="20% - Accent4 2 2 2 6 4 2" xfId="18779"/>
    <cellStyle name="20% - Accent4 2 2 2 6 4 2 2" xfId="47640"/>
    <cellStyle name="20% - Accent4 2 2 2 6 4 3" xfId="42568"/>
    <cellStyle name="20% - Accent4 2 2 2 6 5" xfId="16099"/>
    <cellStyle name="20% - Accent4 2 2 2 6 5 2" xfId="44960"/>
    <cellStyle name="20% - Accent4 2 2 2 6 6" xfId="30324"/>
    <cellStyle name="20% - Accent4 2 2 2 7" xfId="1668"/>
    <cellStyle name="20% - Accent4 2 2 2 7 2" xfId="4555"/>
    <cellStyle name="20% - Accent4 2 2 2 7 2 2" xfId="10596"/>
    <cellStyle name="20% - Accent4 2 2 2 7 2 2 2" xfId="27643"/>
    <cellStyle name="20% - Accent4 2 2 2 7 2 2 2 2" xfId="56504"/>
    <cellStyle name="20% - Accent4 2 2 2 7 2 2 3" xfId="39457"/>
    <cellStyle name="20% - Accent4 2 2 2 7 2 3" xfId="21665"/>
    <cellStyle name="20% - Accent4 2 2 2 7 2 3 2" xfId="50526"/>
    <cellStyle name="20% - Accent4 2 2 2 7 2 4" xfId="33416"/>
    <cellStyle name="20% - Accent4 2 2 2 7 3" xfId="7710"/>
    <cellStyle name="20% - Accent4 2 2 2 7 3 2" xfId="24757"/>
    <cellStyle name="20% - Accent4 2 2 2 7 3 2 2" xfId="53618"/>
    <cellStyle name="20% - Accent4 2 2 2 7 3 3" xfId="36571"/>
    <cellStyle name="20% - Accent4 2 2 2 7 4" xfId="13257"/>
    <cellStyle name="20% - Accent4 2 2 2 7 4 2" xfId="18985"/>
    <cellStyle name="20% - Accent4 2 2 2 7 4 2 2" xfId="47846"/>
    <cellStyle name="20% - Accent4 2 2 2 7 4 3" xfId="42118"/>
    <cellStyle name="20% - Accent4 2 2 2 7 5" xfId="16305"/>
    <cellStyle name="20% - Accent4 2 2 2 7 5 2" xfId="45166"/>
    <cellStyle name="20% - Accent4 2 2 2 7 6" xfId="30530"/>
    <cellStyle name="20% - Accent4 2 2 2 8" xfId="1874"/>
    <cellStyle name="20% - Accent4 2 2 2 8 2" xfId="4761"/>
    <cellStyle name="20% - Accent4 2 2 2 8 2 2" xfId="10802"/>
    <cellStyle name="20% - Accent4 2 2 2 8 2 2 2" xfId="27849"/>
    <cellStyle name="20% - Accent4 2 2 2 8 2 2 2 2" xfId="56710"/>
    <cellStyle name="20% - Accent4 2 2 2 8 2 2 3" xfId="39663"/>
    <cellStyle name="20% - Accent4 2 2 2 8 2 3" xfId="21871"/>
    <cellStyle name="20% - Accent4 2 2 2 8 2 3 2" xfId="50732"/>
    <cellStyle name="20% - Accent4 2 2 2 8 2 4" xfId="33622"/>
    <cellStyle name="20% - Accent4 2 2 2 8 3" xfId="7916"/>
    <cellStyle name="20% - Accent4 2 2 2 8 3 2" xfId="24963"/>
    <cellStyle name="20% - Accent4 2 2 2 8 3 2 2" xfId="53824"/>
    <cellStyle name="20% - Accent4 2 2 2 8 3 3" xfId="36777"/>
    <cellStyle name="20% - Accent4 2 2 2 8 4" xfId="13709"/>
    <cellStyle name="20% - Accent4 2 2 2 8 4 2" xfId="19191"/>
    <cellStyle name="20% - Accent4 2 2 2 8 4 2 2" xfId="48052"/>
    <cellStyle name="20% - Accent4 2 2 2 8 4 3" xfId="42570"/>
    <cellStyle name="20% - Accent4 2 2 2 8 5" xfId="16511"/>
    <cellStyle name="20% - Accent4 2 2 2 8 5 2" xfId="45372"/>
    <cellStyle name="20% - Accent4 2 2 2 8 6" xfId="30736"/>
    <cellStyle name="20% - Accent4 2 2 2 9" xfId="2080"/>
    <cellStyle name="20% - Accent4 2 2 2 9 2" xfId="4967"/>
    <cellStyle name="20% - Accent4 2 2 2 9 2 2" xfId="11008"/>
    <cellStyle name="20% - Accent4 2 2 2 9 2 2 2" xfId="28055"/>
    <cellStyle name="20% - Accent4 2 2 2 9 2 2 2 2" xfId="56916"/>
    <cellStyle name="20% - Accent4 2 2 2 9 2 2 3" xfId="39869"/>
    <cellStyle name="20% - Accent4 2 2 2 9 2 3" xfId="22077"/>
    <cellStyle name="20% - Accent4 2 2 2 9 2 3 2" xfId="50938"/>
    <cellStyle name="20% - Accent4 2 2 2 9 2 4" xfId="33828"/>
    <cellStyle name="20% - Accent4 2 2 2 9 3" xfId="8122"/>
    <cellStyle name="20% - Accent4 2 2 2 9 3 2" xfId="25169"/>
    <cellStyle name="20% - Accent4 2 2 2 9 3 2 2" xfId="54030"/>
    <cellStyle name="20% - Accent4 2 2 2 9 3 3" xfId="36983"/>
    <cellStyle name="20% - Accent4 2 2 2 9 4" xfId="12081"/>
    <cellStyle name="20% - Accent4 2 2 2 9 4 2" xfId="19397"/>
    <cellStyle name="20% - Accent4 2 2 2 9 4 2 2" xfId="48258"/>
    <cellStyle name="20% - Accent4 2 2 2 9 4 3" xfId="40942"/>
    <cellStyle name="20% - Accent4 2 2 2 9 5" xfId="16717"/>
    <cellStyle name="20% - Accent4 2 2 2 9 5 2" xfId="45578"/>
    <cellStyle name="20% - Accent4 2 2 2 9 6" xfId="30942"/>
    <cellStyle name="20% - Accent4 2 2 20" xfId="28985"/>
    <cellStyle name="20% - Accent4 2 2 3" xfId="226"/>
    <cellStyle name="20% - Accent4 2 2 3 2" xfId="638"/>
    <cellStyle name="20% - Accent4 2 2 3 2 2" xfId="3525"/>
    <cellStyle name="20% - Accent4 2 2 3 2 2 2" xfId="9566"/>
    <cellStyle name="20% - Accent4 2 2 3 2 2 2 2" xfId="26613"/>
    <cellStyle name="20% - Accent4 2 2 3 2 2 2 2 2" xfId="55474"/>
    <cellStyle name="20% - Accent4 2 2 3 2 2 2 3" xfId="38427"/>
    <cellStyle name="20% - Accent4 2 2 3 2 2 3" xfId="20635"/>
    <cellStyle name="20% - Accent4 2 2 3 2 2 3 2" xfId="49496"/>
    <cellStyle name="20% - Accent4 2 2 3 2 2 4" xfId="32386"/>
    <cellStyle name="20% - Accent4 2 2 3 2 3" xfId="6680"/>
    <cellStyle name="20% - Accent4 2 2 3 2 3 2" xfId="23727"/>
    <cellStyle name="20% - Accent4 2 2 3 2 3 2 2" xfId="52588"/>
    <cellStyle name="20% - Accent4 2 2 3 2 3 3" xfId="35541"/>
    <cellStyle name="20% - Accent4 2 2 3 2 4" xfId="6078"/>
    <cellStyle name="20% - Accent4 2 2 3 2 4 2" xfId="17955"/>
    <cellStyle name="20% - Accent4 2 2 3 2 4 2 2" xfId="46816"/>
    <cellStyle name="20% - Accent4 2 2 3 2 4 3" xfId="34939"/>
    <cellStyle name="20% - Accent4 2 2 3 2 5" xfId="15275"/>
    <cellStyle name="20% - Accent4 2 2 3 2 5 2" xfId="44136"/>
    <cellStyle name="20% - Accent4 2 2 3 2 6" xfId="29500"/>
    <cellStyle name="20% - Accent4 2 2 3 3" xfId="2183"/>
    <cellStyle name="20% - Accent4 2 2 3 3 2" xfId="5070"/>
    <cellStyle name="20% - Accent4 2 2 3 3 2 2" xfId="11111"/>
    <cellStyle name="20% - Accent4 2 2 3 3 2 2 2" xfId="28158"/>
    <cellStyle name="20% - Accent4 2 2 3 3 2 2 2 2" xfId="57019"/>
    <cellStyle name="20% - Accent4 2 2 3 3 2 2 3" xfId="39972"/>
    <cellStyle name="20% - Accent4 2 2 3 3 2 3" xfId="22180"/>
    <cellStyle name="20% - Accent4 2 2 3 3 2 3 2" xfId="51041"/>
    <cellStyle name="20% - Accent4 2 2 3 3 2 4" xfId="33931"/>
    <cellStyle name="20% - Accent4 2 2 3 3 3" xfId="8225"/>
    <cellStyle name="20% - Accent4 2 2 3 3 3 2" xfId="25272"/>
    <cellStyle name="20% - Accent4 2 2 3 3 3 2 2" xfId="54133"/>
    <cellStyle name="20% - Accent4 2 2 3 3 3 3" xfId="37086"/>
    <cellStyle name="20% - Accent4 2 2 3 3 4" xfId="14290"/>
    <cellStyle name="20% - Accent4 2 2 3 3 4 2" xfId="19500"/>
    <cellStyle name="20% - Accent4 2 2 3 3 4 2 2" xfId="48361"/>
    <cellStyle name="20% - Accent4 2 2 3 3 4 3" xfId="43151"/>
    <cellStyle name="20% - Accent4 2 2 3 3 5" xfId="16820"/>
    <cellStyle name="20% - Accent4 2 2 3 3 5 2" xfId="45681"/>
    <cellStyle name="20% - Accent4 2 2 3 3 6" xfId="31045"/>
    <cellStyle name="20% - Accent4 2 2 3 4" xfId="3113"/>
    <cellStyle name="20% - Accent4 2 2 3 4 2" xfId="9154"/>
    <cellStyle name="20% - Accent4 2 2 3 4 2 2" xfId="26201"/>
    <cellStyle name="20% - Accent4 2 2 3 4 2 2 2" xfId="55062"/>
    <cellStyle name="20% - Accent4 2 2 3 4 2 3" xfId="38015"/>
    <cellStyle name="20% - Accent4 2 2 3 4 3" xfId="20223"/>
    <cellStyle name="20% - Accent4 2 2 3 4 3 2" xfId="49084"/>
    <cellStyle name="20% - Accent4 2 2 3 4 4" xfId="31974"/>
    <cellStyle name="20% - Accent4 2 2 3 5" xfId="6268"/>
    <cellStyle name="20% - Accent4 2 2 3 5 2" xfId="23315"/>
    <cellStyle name="20% - Accent4 2 2 3 5 2 2" xfId="52176"/>
    <cellStyle name="20% - Accent4 2 2 3 5 3" xfId="35129"/>
    <cellStyle name="20% - Accent4 2 2 3 6" xfId="12227"/>
    <cellStyle name="20% - Accent4 2 2 3 6 2" xfId="17646"/>
    <cellStyle name="20% - Accent4 2 2 3 6 2 2" xfId="46507"/>
    <cellStyle name="20% - Accent4 2 2 3 6 3" xfId="41088"/>
    <cellStyle name="20% - Accent4 2 2 3 7" xfId="14863"/>
    <cellStyle name="20% - Accent4 2 2 3 7 2" xfId="43724"/>
    <cellStyle name="20% - Accent4 2 2 3 8" xfId="29088"/>
    <cellStyle name="20% - Accent4 2 2 4" xfId="432"/>
    <cellStyle name="20% - Accent4 2 2 4 2" xfId="3319"/>
    <cellStyle name="20% - Accent4 2 2 4 2 2" xfId="9360"/>
    <cellStyle name="20% - Accent4 2 2 4 2 2 2" xfId="26407"/>
    <cellStyle name="20% - Accent4 2 2 4 2 2 2 2" xfId="55268"/>
    <cellStyle name="20% - Accent4 2 2 4 2 2 3" xfId="38221"/>
    <cellStyle name="20% - Accent4 2 2 4 2 3" xfId="20429"/>
    <cellStyle name="20% - Accent4 2 2 4 2 3 2" xfId="49290"/>
    <cellStyle name="20% - Accent4 2 2 4 2 4" xfId="32180"/>
    <cellStyle name="20% - Accent4 2 2 4 3" xfId="6474"/>
    <cellStyle name="20% - Accent4 2 2 4 3 2" xfId="23521"/>
    <cellStyle name="20% - Accent4 2 2 4 3 2 2" xfId="52382"/>
    <cellStyle name="20% - Accent4 2 2 4 3 3" xfId="35335"/>
    <cellStyle name="20% - Accent4 2 2 4 4" xfId="12598"/>
    <cellStyle name="20% - Accent4 2 2 4 4 2" xfId="17749"/>
    <cellStyle name="20% - Accent4 2 2 4 4 2 2" xfId="46610"/>
    <cellStyle name="20% - Accent4 2 2 4 4 3" xfId="41459"/>
    <cellStyle name="20% - Accent4 2 2 4 5" xfId="15069"/>
    <cellStyle name="20% - Accent4 2 2 4 5 2" xfId="43930"/>
    <cellStyle name="20% - Accent4 2 2 4 6" xfId="29294"/>
    <cellStyle name="20% - Accent4 2 2 5" xfId="741"/>
    <cellStyle name="20% - Accent4 2 2 5 2" xfId="3628"/>
    <cellStyle name="20% - Accent4 2 2 5 2 2" xfId="9669"/>
    <cellStyle name="20% - Accent4 2 2 5 2 2 2" xfId="26716"/>
    <cellStyle name="20% - Accent4 2 2 5 2 2 2 2" xfId="55577"/>
    <cellStyle name="20% - Accent4 2 2 5 2 2 3" xfId="38530"/>
    <cellStyle name="20% - Accent4 2 2 5 2 3" xfId="20738"/>
    <cellStyle name="20% - Accent4 2 2 5 2 3 2" xfId="49599"/>
    <cellStyle name="20% - Accent4 2 2 5 2 4" xfId="32489"/>
    <cellStyle name="20% - Accent4 2 2 5 3" xfId="6783"/>
    <cellStyle name="20% - Accent4 2 2 5 3 2" xfId="23830"/>
    <cellStyle name="20% - Accent4 2 2 5 3 2 2" xfId="52691"/>
    <cellStyle name="20% - Accent4 2 2 5 3 3" xfId="35644"/>
    <cellStyle name="20% - Accent4 2 2 5 4" xfId="13163"/>
    <cellStyle name="20% - Accent4 2 2 5 4 2" xfId="18058"/>
    <cellStyle name="20% - Accent4 2 2 5 4 2 2" xfId="46919"/>
    <cellStyle name="20% - Accent4 2 2 5 4 3" xfId="42024"/>
    <cellStyle name="20% - Accent4 2 2 5 5" xfId="15378"/>
    <cellStyle name="20% - Accent4 2 2 5 5 2" xfId="44239"/>
    <cellStyle name="20% - Accent4 2 2 5 6" xfId="29603"/>
    <cellStyle name="20% - Accent4 2 2 6" xfId="947"/>
    <cellStyle name="20% - Accent4 2 2 6 2" xfId="3834"/>
    <cellStyle name="20% - Accent4 2 2 6 2 2" xfId="9875"/>
    <cellStyle name="20% - Accent4 2 2 6 2 2 2" xfId="26922"/>
    <cellStyle name="20% - Accent4 2 2 6 2 2 2 2" xfId="55783"/>
    <cellStyle name="20% - Accent4 2 2 6 2 2 3" xfId="38736"/>
    <cellStyle name="20% - Accent4 2 2 6 2 3" xfId="20944"/>
    <cellStyle name="20% - Accent4 2 2 6 2 3 2" xfId="49805"/>
    <cellStyle name="20% - Accent4 2 2 6 2 4" xfId="32695"/>
    <cellStyle name="20% - Accent4 2 2 6 3" xfId="6989"/>
    <cellStyle name="20% - Accent4 2 2 6 3 2" xfId="24036"/>
    <cellStyle name="20% - Accent4 2 2 6 3 2 2" xfId="52897"/>
    <cellStyle name="20% - Accent4 2 2 6 3 3" xfId="35850"/>
    <cellStyle name="20% - Accent4 2 2 6 4" xfId="13191"/>
    <cellStyle name="20% - Accent4 2 2 6 4 2" xfId="18264"/>
    <cellStyle name="20% - Accent4 2 2 6 4 2 2" xfId="47125"/>
    <cellStyle name="20% - Accent4 2 2 6 4 3" xfId="42052"/>
    <cellStyle name="20% - Accent4 2 2 6 5" xfId="15584"/>
    <cellStyle name="20% - Accent4 2 2 6 5 2" xfId="44445"/>
    <cellStyle name="20% - Accent4 2 2 6 6" xfId="29809"/>
    <cellStyle name="20% - Accent4 2 2 7" xfId="1153"/>
    <cellStyle name="20% - Accent4 2 2 7 2" xfId="4040"/>
    <cellStyle name="20% - Accent4 2 2 7 2 2" xfId="10081"/>
    <cellStyle name="20% - Accent4 2 2 7 2 2 2" xfId="27128"/>
    <cellStyle name="20% - Accent4 2 2 7 2 2 2 2" xfId="55989"/>
    <cellStyle name="20% - Accent4 2 2 7 2 2 3" xfId="38942"/>
    <cellStyle name="20% - Accent4 2 2 7 2 3" xfId="21150"/>
    <cellStyle name="20% - Accent4 2 2 7 2 3 2" xfId="50011"/>
    <cellStyle name="20% - Accent4 2 2 7 2 4" xfId="32901"/>
    <cellStyle name="20% - Accent4 2 2 7 3" xfId="7195"/>
    <cellStyle name="20% - Accent4 2 2 7 3 2" xfId="24242"/>
    <cellStyle name="20% - Accent4 2 2 7 3 2 2" xfId="53103"/>
    <cellStyle name="20% - Accent4 2 2 7 3 3" xfId="36056"/>
    <cellStyle name="20% - Accent4 2 2 7 4" xfId="12727"/>
    <cellStyle name="20% - Accent4 2 2 7 4 2" xfId="18470"/>
    <cellStyle name="20% - Accent4 2 2 7 4 2 2" xfId="47331"/>
    <cellStyle name="20% - Accent4 2 2 7 4 3" xfId="41588"/>
    <cellStyle name="20% - Accent4 2 2 7 5" xfId="15790"/>
    <cellStyle name="20% - Accent4 2 2 7 5 2" xfId="44651"/>
    <cellStyle name="20% - Accent4 2 2 7 6" xfId="30015"/>
    <cellStyle name="20% - Accent4 2 2 8" xfId="1359"/>
    <cellStyle name="20% - Accent4 2 2 8 2" xfId="4246"/>
    <cellStyle name="20% - Accent4 2 2 8 2 2" xfId="10287"/>
    <cellStyle name="20% - Accent4 2 2 8 2 2 2" xfId="27334"/>
    <cellStyle name="20% - Accent4 2 2 8 2 2 2 2" xfId="56195"/>
    <cellStyle name="20% - Accent4 2 2 8 2 2 3" xfId="39148"/>
    <cellStyle name="20% - Accent4 2 2 8 2 3" xfId="21356"/>
    <cellStyle name="20% - Accent4 2 2 8 2 3 2" xfId="50217"/>
    <cellStyle name="20% - Accent4 2 2 8 2 4" xfId="33107"/>
    <cellStyle name="20% - Accent4 2 2 8 3" xfId="7401"/>
    <cellStyle name="20% - Accent4 2 2 8 3 2" xfId="24448"/>
    <cellStyle name="20% - Accent4 2 2 8 3 2 2" xfId="53309"/>
    <cellStyle name="20% - Accent4 2 2 8 3 3" xfId="36262"/>
    <cellStyle name="20% - Accent4 2 2 8 4" xfId="14489"/>
    <cellStyle name="20% - Accent4 2 2 8 4 2" xfId="18676"/>
    <cellStyle name="20% - Accent4 2 2 8 4 2 2" xfId="47537"/>
    <cellStyle name="20% - Accent4 2 2 8 4 3" xfId="43350"/>
    <cellStyle name="20% - Accent4 2 2 8 5" xfId="15996"/>
    <cellStyle name="20% - Accent4 2 2 8 5 2" xfId="44857"/>
    <cellStyle name="20% - Accent4 2 2 8 6" xfId="30221"/>
    <cellStyle name="20% - Accent4 2 2 9" xfId="1565"/>
    <cellStyle name="20% - Accent4 2 2 9 2" xfId="4452"/>
    <cellStyle name="20% - Accent4 2 2 9 2 2" xfId="10493"/>
    <cellStyle name="20% - Accent4 2 2 9 2 2 2" xfId="27540"/>
    <cellStyle name="20% - Accent4 2 2 9 2 2 2 2" xfId="56401"/>
    <cellStyle name="20% - Accent4 2 2 9 2 2 3" xfId="39354"/>
    <cellStyle name="20% - Accent4 2 2 9 2 3" xfId="21562"/>
    <cellStyle name="20% - Accent4 2 2 9 2 3 2" xfId="50423"/>
    <cellStyle name="20% - Accent4 2 2 9 2 4" xfId="33313"/>
    <cellStyle name="20% - Accent4 2 2 9 3" xfId="7607"/>
    <cellStyle name="20% - Accent4 2 2 9 3 2" xfId="24654"/>
    <cellStyle name="20% - Accent4 2 2 9 3 2 2" xfId="53515"/>
    <cellStyle name="20% - Accent4 2 2 9 3 3" xfId="36468"/>
    <cellStyle name="20% - Accent4 2 2 9 4" xfId="12632"/>
    <cellStyle name="20% - Accent4 2 2 9 4 2" xfId="18882"/>
    <cellStyle name="20% - Accent4 2 2 9 4 2 2" xfId="47743"/>
    <cellStyle name="20% - Accent4 2 2 9 4 3" xfId="41493"/>
    <cellStyle name="20% - Accent4 2 2 9 5" xfId="16202"/>
    <cellStyle name="20% - Accent4 2 2 9 5 2" xfId="45063"/>
    <cellStyle name="20% - Accent4 2 2 9 6" xfId="30427"/>
    <cellStyle name="20% - Accent4 2 20" xfId="6139"/>
    <cellStyle name="20% - Accent4 2 20 2" xfId="23186"/>
    <cellStyle name="20% - Accent4 2 20 2 2" xfId="52047"/>
    <cellStyle name="20% - Accent4 2 20 3" xfId="35000"/>
    <cellStyle name="20% - Accent4 2 21" xfId="14528"/>
    <cellStyle name="20% - Accent4 2 21 2" xfId="43389"/>
    <cellStyle name="20% - Accent4 2 22" xfId="28959"/>
    <cellStyle name="20% - Accent4 2 3" xfId="149"/>
    <cellStyle name="20% - Accent4 2 3 10" xfId="1797"/>
    <cellStyle name="20% - Accent4 2 3 10 2" xfId="4684"/>
    <cellStyle name="20% - Accent4 2 3 10 2 2" xfId="10725"/>
    <cellStyle name="20% - Accent4 2 3 10 2 2 2" xfId="27772"/>
    <cellStyle name="20% - Accent4 2 3 10 2 2 2 2" xfId="56633"/>
    <cellStyle name="20% - Accent4 2 3 10 2 2 3" xfId="39586"/>
    <cellStyle name="20% - Accent4 2 3 10 2 3" xfId="21794"/>
    <cellStyle name="20% - Accent4 2 3 10 2 3 2" xfId="50655"/>
    <cellStyle name="20% - Accent4 2 3 10 2 4" xfId="33545"/>
    <cellStyle name="20% - Accent4 2 3 10 3" xfId="7839"/>
    <cellStyle name="20% - Accent4 2 3 10 3 2" xfId="24886"/>
    <cellStyle name="20% - Accent4 2 3 10 3 2 2" xfId="53747"/>
    <cellStyle name="20% - Accent4 2 3 10 3 3" xfId="36700"/>
    <cellStyle name="20% - Accent4 2 3 10 4" xfId="12749"/>
    <cellStyle name="20% - Accent4 2 3 10 4 2" xfId="19114"/>
    <cellStyle name="20% - Accent4 2 3 10 4 2 2" xfId="47975"/>
    <cellStyle name="20% - Accent4 2 3 10 4 3" xfId="41610"/>
    <cellStyle name="20% - Accent4 2 3 10 5" xfId="16434"/>
    <cellStyle name="20% - Accent4 2 3 10 5 2" xfId="45295"/>
    <cellStyle name="20% - Accent4 2 3 10 6" xfId="30659"/>
    <cellStyle name="20% - Accent4 2 3 11" xfId="2003"/>
    <cellStyle name="20% - Accent4 2 3 11 2" xfId="4890"/>
    <cellStyle name="20% - Accent4 2 3 11 2 2" xfId="10931"/>
    <cellStyle name="20% - Accent4 2 3 11 2 2 2" xfId="27978"/>
    <cellStyle name="20% - Accent4 2 3 11 2 2 2 2" xfId="56839"/>
    <cellStyle name="20% - Accent4 2 3 11 2 2 3" xfId="39792"/>
    <cellStyle name="20% - Accent4 2 3 11 2 3" xfId="22000"/>
    <cellStyle name="20% - Accent4 2 3 11 2 3 2" xfId="50861"/>
    <cellStyle name="20% - Accent4 2 3 11 2 4" xfId="33751"/>
    <cellStyle name="20% - Accent4 2 3 11 3" xfId="8045"/>
    <cellStyle name="20% - Accent4 2 3 11 3 2" xfId="25092"/>
    <cellStyle name="20% - Accent4 2 3 11 3 2 2" xfId="53953"/>
    <cellStyle name="20% - Accent4 2 3 11 3 3" xfId="36906"/>
    <cellStyle name="20% - Accent4 2 3 11 4" xfId="13285"/>
    <cellStyle name="20% - Accent4 2 3 11 4 2" xfId="19320"/>
    <cellStyle name="20% - Accent4 2 3 11 4 2 2" xfId="48181"/>
    <cellStyle name="20% - Accent4 2 3 11 4 3" xfId="42146"/>
    <cellStyle name="20% - Accent4 2 3 11 5" xfId="16640"/>
    <cellStyle name="20% - Accent4 2 3 11 5 2" xfId="45501"/>
    <cellStyle name="20% - Accent4 2 3 11 6" xfId="30865"/>
    <cellStyle name="20% - Accent4 2 3 12" xfId="2415"/>
    <cellStyle name="20% - Accent4 2 3 12 2" xfId="5302"/>
    <cellStyle name="20% - Accent4 2 3 12 2 2" xfId="11343"/>
    <cellStyle name="20% - Accent4 2 3 12 2 2 2" xfId="28390"/>
    <cellStyle name="20% - Accent4 2 3 12 2 2 2 2" xfId="57251"/>
    <cellStyle name="20% - Accent4 2 3 12 2 2 3" xfId="40204"/>
    <cellStyle name="20% - Accent4 2 3 12 2 3" xfId="22412"/>
    <cellStyle name="20% - Accent4 2 3 12 2 3 2" xfId="51273"/>
    <cellStyle name="20% - Accent4 2 3 12 2 4" xfId="34163"/>
    <cellStyle name="20% - Accent4 2 3 12 3" xfId="8457"/>
    <cellStyle name="20% - Accent4 2 3 12 3 2" xfId="25504"/>
    <cellStyle name="20% - Accent4 2 3 12 3 2 2" xfId="54365"/>
    <cellStyle name="20% - Accent4 2 3 12 3 3" xfId="37318"/>
    <cellStyle name="20% - Accent4 2 3 12 4" xfId="13412"/>
    <cellStyle name="20% - Accent4 2 3 12 4 2" xfId="19732"/>
    <cellStyle name="20% - Accent4 2 3 12 4 2 2" xfId="48593"/>
    <cellStyle name="20% - Accent4 2 3 12 4 3" xfId="42273"/>
    <cellStyle name="20% - Accent4 2 3 12 5" xfId="17052"/>
    <cellStyle name="20% - Accent4 2 3 12 5 2" xfId="45913"/>
    <cellStyle name="20% - Accent4 2 3 12 6" xfId="31277"/>
    <cellStyle name="20% - Accent4 2 3 13" xfId="2624"/>
    <cellStyle name="20% - Accent4 2 3 13 2" xfId="5510"/>
    <cellStyle name="20% - Accent4 2 3 13 2 2" xfId="11551"/>
    <cellStyle name="20% - Accent4 2 3 13 2 2 2" xfId="28598"/>
    <cellStyle name="20% - Accent4 2 3 13 2 2 2 2" xfId="57459"/>
    <cellStyle name="20% - Accent4 2 3 13 2 2 3" xfId="40412"/>
    <cellStyle name="20% - Accent4 2 3 13 2 3" xfId="22620"/>
    <cellStyle name="20% - Accent4 2 3 13 2 3 2" xfId="51481"/>
    <cellStyle name="20% - Accent4 2 3 13 2 4" xfId="34371"/>
    <cellStyle name="20% - Accent4 2 3 13 3" xfId="8665"/>
    <cellStyle name="20% - Accent4 2 3 13 3 2" xfId="25712"/>
    <cellStyle name="20% - Accent4 2 3 13 3 2 2" xfId="54573"/>
    <cellStyle name="20% - Accent4 2 3 13 3 3" xfId="37526"/>
    <cellStyle name="20% - Accent4 2 3 13 4" xfId="12822"/>
    <cellStyle name="20% - Accent4 2 3 13 4 2" xfId="19940"/>
    <cellStyle name="20% - Accent4 2 3 13 4 2 2" xfId="48801"/>
    <cellStyle name="20% - Accent4 2 3 13 4 3" xfId="41683"/>
    <cellStyle name="20% - Accent4 2 3 13 5" xfId="17260"/>
    <cellStyle name="20% - Accent4 2 3 13 5 2" xfId="46121"/>
    <cellStyle name="20% - Accent4 2 3 13 6" xfId="31485"/>
    <cellStyle name="20% - Accent4 2 3 14" xfId="3036"/>
    <cellStyle name="20% - Accent4 2 3 14 2" xfId="9077"/>
    <cellStyle name="20% - Accent4 2 3 14 2 2" xfId="26124"/>
    <cellStyle name="20% - Accent4 2 3 14 2 2 2" xfId="54985"/>
    <cellStyle name="20% - Accent4 2 3 14 2 3" xfId="37938"/>
    <cellStyle name="20% - Accent4 2 3 14 3" xfId="12034"/>
    <cellStyle name="20% - Accent4 2 3 14 3 2" xfId="20146"/>
    <cellStyle name="20% - Accent4 2 3 14 3 2 2" xfId="49007"/>
    <cellStyle name="20% - Accent4 2 3 14 3 3" xfId="40895"/>
    <cellStyle name="20% - Accent4 2 3 14 4" xfId="14786"/>
    <cellStyle name="20% - Accent4 2 3 14 4 2" xfId="43647"/>
    <cellStyle name="20% - Accent4 2 3 14 5" xfId="31897"/>
    <cellStyle name="20% - Accent4 2 3 15" xfId="2830"/>
    <cellStyle name="20% - Accent4 2 3 15 2" xfId="8871"/>
    <cellStyle name="20% - Accent4 2 3 15 2 2" xfId="25918"/>
    <cellStyle name="20% - Accent4 2 3 15 2 2 2" xfId="54779"/>
    <cellStyle name="20% - Accent4 2 3 15 2 3" xfId="37732"/>
    <cellStyle name="20% - Accent4 2 3 15 3" xfId="17466"/>
    <cellStyle name="20% - Accent4 2 3 15 3 2" xfId="46327"/>
    <cellStyle name="20% - Accent4 2 3 15 4" xfId="31691"/>
    <cellStyle name="20% - Accent4 2 3 16" xfId="5716"/>
    <cellStyle name="20% - Accent4 2 3 16 2" xfId="11757"/>
    <cellStyle name="20% - Accent4 2 3 16 2 2" xfId="28804"/>
    <cellStyle name="20% - Accent4 2 3 16 2 2 2" xfId="57665"/>
    <cellStyle name="20% - Accent4 2 3 16 2 3" xfId="40618"/>
    <cellStyle name="20% - Accent4 2 3 16 3" xfId="22826"/>
    <cellStyle name="20% - Accent4 2 3 16 3 2" xfId="51687"/>
    <cellStyle name="20% - Accent4 2 3 16 4" xfId="34577"/>
    <cellStyle name="20% - Accent4 2 3 17" xfId="5933"/>
    <cellStyle name="20% - Accent4 2 3 17 2" xfId="23032"/>
    <cellStyle name="20% - Accent4 2 3 17 2 2" xfId="51893"/>
    <cellStyle name="20% - Accent4 2 3 17 3" xfId="34794"/>
    <cellStyle name="20% - Accent4 2 3 18" xfId="6191"/>
    <cellStyle name="20% - Accent4 2 3 18 2" xfId="23238"/>
    <cellStyle name="20% - Accent4 2 3 18 2 2" xfId="52099"/>
    <cellStyle name="20% - Accent4 2 3 18 3" xfId="35052"/>
    <cellStyle name="20% - Accent4 2 3 19" xfId="14580"/>
    <cellStyle name="20% - Accent4 2 3 19 2" xfId="43441"/>
    <cellStyle name="20% - Accent4 2 3 2" xfId="355"/>
    <cellStyle name="20% - Accent4 2 3 2 10" xfId="2518"/>
    <cellStyle name="20% - Accent4 2 3 2 10 2" xfId="5405"/>
    <cellStyle name="20% - Accent4 2 3 2 10 2 2" xfId="11446"/>
    <cellStyle name="20% - Accent4 2 3 2 10 2 2 2" xfId="28493"/>
    <cellStyle name="20% - Accent4 2 3 2 10 2 2 2 2" xfId="57354"/>
    <cellStyle name="20% - Accent4 2 3 2 10 2 2 3" xfId="40307"/>
    <cellStyle name="20% - Accent4 2 3 2 10 2 3" xfId="22515"/>
    <cellStyle name="20% - Accent4 2 3 2 10 2 3 2" xfId="51376"/>
    <cellStyle name="20% - Accent4 2 3 2 10 2 4" xfId="34266"/>
    <cellStyle name="20% - Accent4 2 3 2 10 3" xfId="8560"/>
    <cellStyle name="20% - Accent4 2 3 2 10 3 2" xfId="25607"/>
    <cellStyle name="20% - Accent4 2 3 2 10 3 2 2" xfId="54468"/>
    <cellStyle name="20% - Accent4 2 3 2 10 3 3" xfId="37421"/>
    <cellStyle name="20% - Accent4 2 3 2 10 4" xfId="12838"/>
    <cellStyle name="20% - Accent4 2 3 2 10 4 2" xfId="19835"/>
    <cellStyle name="20% - Accent4 2 3 2 10 4 2 2" xfId="48696"/>
    <cellStyle name="20% - Accent4 2 3 2 10 4 3" xfId="41699"/>
    <cellStyle name="20% - Accent4 2 3 2 10 5" xfId="17155"/>
    <cellStyle name="20% - Accent4 2 3 2 10 5 2" xfId="46016"/>
    <cellStyle name="20% - Accent4 2 3 2 10 6" xfId="31380"/>
    <cellStyle name="20% - Accent4 2 3 2 11" xfId="2727"/>
    <cellStyle name="20% - Accent4 2 3 2 11 2" xfId="5613"/>
    <cellStyle name="20% - Accent4 2 3 2 11 2 2" xfId="11654"/>
    <cellStyle name="20% - Accent4 2 3 2 11 2 2 2" xfId="28701"/>
    <cellStyle name="20% - Accent4 2 3 2 11 2 2 2 2" xfId="57562"/>
    <cellStyle name="20% - Accent4 2 3 2 11 2 2 3" xfId="40515"/>
    <cellStyle name="20% - Accent4 2 3 2 11 2 3" xfId="22723"/>
    <cellStyle name="20% - Accent4 2 3 2 11 2 3 2" xfId="51584"/>
    <cellStyle name="20% - Accent4 2 3 2 11 2 4" xfId="34474"/>
    <cellStyle name="20% - Accent4 2 3 2 11 3" xfId="8768"/>
    <cellStyle name="20% - Accent4 2 3 2 11 3 2" xfId="25815"/>
    <cellStyle name="20% - Accent4 2 3 2 11 3 2 2" xfId="54676"/>
    <cellStyle name="20% - Accent4 2 3 2 11 3 3" xfId="37629"/>
    <cellStyle name="20% - Accent4 2 3 2 11 4" xfId="13385"/>
    <cellStyle name="20% - Accent4 2 3 2 11 4 2" xfId="20043"/>
    <cellStyle name="20% - Accent4 2 3 2 11 4 2 2" xfId="48904"/>
    <cellStyle name="20% - Accent4 2 3 2 11 4 3" xfId="42246"/>
    <cellStyle name="20% - Accent4 2 3 2 11 5" xfId="17363"/>
    <cellStyle name="20% - Accent4 2 3 2 11 5 2" xfId="46224"/>
    <cellStyle name="20% - Accent4 2 3 2 11 6" xfId="31588"/>
    <cellStyle name="20% - Accent4 2 3 2 12" xfId="3242"/>
    <cellStyle name="20% - Accent4 2 3 2 12 2" xfId="9283"/>
    <cellStyle name="20% - Accent4 2 3 2 12 2 2" xfId="26330"/>
    <cellStyle name="20% - Accent4 2 3 2 12 2 2 2" xfId="55191"/>
    <cellStyle name="20% - Accent4 2 3 2 12 2 3" xfId="38144"/>
    <cellStyle name="20% - Accent4 2 3 2 12 3" xfId="13290"/>
    <cellStyle name="20% - Accent4 2 3 2 12 3 2" xfId="20352"/>
    <cellStyle name="20% - Accent4 2 3 2 12 3 2 2" xfId="49213"/>
    <cellStyle name="20% - Accent4 2 3 2 12 3 3" xfId="42151"/>
    <cellStyle name="20% - Accent4 2 3 2 12 4" xfId="14992"/>
    <cellStyle name="20% - Accent4 2 3 2 12 4 2" xfId="43853"/>
    <cellStyle name="20% - Accent4 2 3 2 12 5" xfId="32103"/>
    <cellStyle name="20% - Accent4 2 3 2 13" xfId="2933"/>
    <cellStyle name="20% - Accent4 2 3 2 13 2" xfId="8974"/>
    <cellStyle name="20% - Accent4 2 3 2 13 2 2" xfId="26021"/>
    <cellStyle name="20% - Accent4 2 3 2 13 2 2 2" xfId="54882"/>
    <cellStyle name="20% - Accent4 2 3 2 13 2 3" xfId="37835"/>
    <cellStyle name="20% - Accent4 2 3 2 13 3" xfId="17569"/>
    <cellStyle name="20% - Accent4 2 3 2 13 3 2" xfId="46430"/>
    <cellStyle name="20% - Accent4 2 3 2 13 4" xfId="31794"/>
    <cellStyle name="20% - Accent4 2 3 2 14" xfId="5819"/>
    <cellStyle name="20% - Accent4 2 3 2 14 2" xfId="11860"/>
    <cellStyle name="20% - Accent4 2 3 2 14 2 2" xfId="28907"/>
    <cellStyle name="20% - Accent4 2 3 2 14 2 2 2" xfId="57768"/>
    <cellStyle name="20% - Accent4 2 3 2 14 2 3" xfId="40721"/>
    <cellStyle name="20% - Accent4 2 3 2 14 3" xfId="22929"/>
    <cellStyle name="20% - Accent4 2 3 2 14 3 2" xfId="51790"/>
    <cellStyle name="20% - Accent4 2 3 2 14 4" xfId="34680"/>
    <cellStyle name="20% - Accent4 2 3 2 15" xfId="6036"/>
    <cellStyle name="20% - Accent4 2 3 2 15 2" xfId="23135"/>
    <cellStyle name="20% - Accent4 2 3 2 15 2 2" xfId="51996"/>
    <cellStyle name="20% - Accent4 2 3 2 15 3" xfId="34897"/>
    <cellStyle name="20% - Accent4 2 3 2 16" xfId="6397"/>
    <cellStyle name="20% - Accent4 2 3 2 16 2" xfId="23444"/>
    <cellStyle name="20% - Accent4 2 3 2 16 2 2" xfId="52305"/>
    <cellStyle name="20% - Accent4 2 3 2 16 3" xfId="35258"/>
    <cellStyle name="20% - Accent4 2 3 2 17" xfId="14683"/>
    <cellStyle name="20% - Accent4 2 3 2 17 2" xfId="43544"/>
    <cellStyle name="20% - Accent4 2 3 2 18" xfId="29217"/>
    <cellStyle name="20% - Accent4 2 3 2 2" xfId="561"/>
    <cellStyle name="20% - Accent4 2 3 2 2 2" xfId="2312"/>
    <cellStyle name="20% - Accent4 2 3 2 2 2 2" xfId="5199"/>
    <cellStyle name="20% - Accent4 2 3 2 2 2 2 2" xfId="11240"/>
    <cellStyle name="20% - Accent4 2 3 2 2 2 2 2 2" xfId="28287"/>
    <cellStyle name="20% - Accent4 2 3 2 2 2 2 2 2 2" xfId="57148"/>
    <cellStyle name="20% - Accent4 2 3 2 2 2 2 2 3" xfId="40101"/>
    <cellStyle name="20% - Accent4 2 3 2 2 2 2 3" xfId="22309"/>
    <cellStyle name="20% - Accent4 2 3 2 2 2 2 3 2" xfId="51170"/>
    <cellStyle name="20% - Accent4 2 3 2 2 2 2 4" xfId="34060"/>
    <cellStyle name="20% - Accent4 2 3 2 2 2 3" xfId="8354"/>
    <cellStyle name="20% - Accent4 2 3 2 2 2 3 2" xfId="25401"/>
    <cellStyle name="20% - Accent4 2 3 2 2 2 3 2 2" xfId="54262"/>
    <cellStyle name="20% - Accent4 2 3 2 2 2 3 3" xfId="37215"/>
    <cellStyle name="20% - Accent4 2 3 2 2 2 4" xfId="11927"/>
    <cellStyle name="20% - Accent4 2 3 2 2 2 4 2" xfId="19629"/>
    <cellStyle name="20% - Accent4 2 3 2 2 2 4 2 2" xfId="48490"/>
    <cellStyle name="20% - Accent4 2 3 2 2 2 4 3" xfId="40788"/>
    <cellStyle name="20% - Accent4 2 3 2 2 2 5" xfId="16949"/>
    <cellStyle name="20% - Accent4 2 3 2 2 2 5 2" xfId="45810"/>
    <cellStyle name="20% - Accent4 2 3 2 2 2 6" xfId="31174"/>
    <cellStyle name="20% - Accent4 2 3 2 2 3" xfId="3448"/>
    <cellStyle name="20% - Accent4 2 3 2 2 3 2" xfId="9489"/>
    <cellStyle name="20% - Accent4 2 3 2 2 3 2 2" xfId="26536"/>
    <cellStyle name="20% - Accent4 2 3 2 2 3 2 2 2" xfId="55397"/>
    <cellStyle name="20% - Accent4 2 3 2 2 3 2 3" xfId="38350"/>
    <cellStyle name="20% - Accent4 2 3 2 2 3 3" xfId="20558"/>
    <cellStyle name="20% - Accent4 2 3 2 2 3 3 2" xfId="49419"/>
    <cellStyle name="20% - Accent4 2 3 2 2 3 4" xfId="32309"/>
    <cellStyle name="20% - Accent4 2 3 2 2 4" xfId="6603"/>
    <cellStyle name="20% - Accent4 2 3 2 2 4 2" xfId="23650"/>
    <cellStyle name="20% - Accent4 2 3 2 2 4 2 2" xfId="52511"/>
    <cellStyle name="20% - Accent4 2 3 2 2 4 3" xfId="35464"/>
    <cellStyle name="20% - Accent4 2 3 2 2 5" xfId="12747"/>
    <cellStyle name="20% - Accent4 2 3 2 2 5 2" xfId="17878"/>
    <cellStyle name="20% - Accent4 2 3 2 2 5 2 2" xfId="46739"/>
    <cellStyle name="20% - Accent4 2 3 2 2 5 3" xfId="41608"/>
    <cellStyle name="20% - Accent4 2 3 2 2 6" xfId="15198"/>
    <cellStyle name="20% - Accent4 2 3 2 2 6 2" xfId="44059"/>
    <cellStyle name="20% - Accent4 2 3 2 2 7" xfId="29423"/>
    <cellStyle name="20% - Accent4 2 3 2 3" xfId="870"/>
    <cellStyle name="20% - Accent4 2 3 2 3 2" xfId="3757"/>
    <cellStyle name="20% - Accent4 2 3 2 3 2 2" xfId="9798"/>
    <cellStyle name="20% - Accent4 2 3 2 3 2 2 2" xfId="26845"/>
    <cellStyle name="20% - Accent4 2 3 2 3 2 2 2 2" xfId="55706"/>
    <cellStyle name="20% - Accent4 2 3 2 3 2 2 3" xfId="38659"/>
    <cellStyle name="20% - Accent4 2 3 2 3 2 3" xfId="20867"/>
    <cellStyle name="20% - Accent4 2 3 2 3 2 3 2" xfId="49728"/>
    <cellStyle name="20% - Accent4 2 3 2 3 2 4" xfId="32618"/>
    <cellStyle name="20% - Accent4 2 3 2 3 3" xfId="6912"/>
    <cellStyle name="20% - Accent4 2 3 2 3 3 2" xfId="23959"/>
    <cellStyle name="20% - Accent4 2 3 2 3 3 2 2" xfId="52820"/>
    <cellStyle name="20% - Accent4 2 3 2 3 3 3" xfId="35773"/>
    <cellStyle name="20% - Accent4 2 3 2 3 4" xfId="13745"/>
    <cellStyle name="20% - Accent4 2 3 2 3 4 2" xfId="18187"/>
    <cellStyle name="20% - Accent4 2 3 2 3 4 2 2" xfId="47048"/>
    <cellStyle name="20% - Accent4 2 3 2 3 4 3" xfId="42606"/>
    <cellStyle name="20% - Accent4 2 3 2 3 5" xfId="15507"/>
    <cellStyle name="20% - Accent4 2 3 2 3 5 2" xfId="44368"/>
    <cellStyle name="20% - Accent4 2 3 2 3 6" xfId="29732"/>
    <cellStyle name="20% - Accent4 2 3 2 4" xfId="1076"/>
    <cellStyle name="20% - Accent4 2 3 2 4 2" xfId="3963"/>
    <cellStyle name="20% - Accent4 2 3 2 4 2 2" xfId="10004"/>
    <cellStyle name="20% - Accent4 2 3 2 4 2 2 2" xfId="27051"/>
    <cellStyle name="20% - Accent4 2 3 2 4 2 2 2 2" xfId="55912"/>
    <cellStyle name="20% - Accent4 2 3 2 4 2 2 3" xfId="38865"/>
    <cellStyle name="20% - Accent4 2 3 2 4 2 3" xfId="21073"/>
    <cellStyle name="20% - Accent4 2 3 2 4 2 3 2" xfId="49934"/>
    <cellStyle name="20% - Accent4 2 3 2 4 2 4" xfId="32824"/>
    <cellStyle name="20% - Accent4 2 3 2 4 3" xfId="7118"/>
    <cellStyle name="20% - Accent4 2 3 2 4 3 2" xfId="24165"/>
    <cellStyle name="20% - Accent4 2 3 2 4 3 2 2" xfId="53026"/>
    <cellStyle name="20% - Accent4 2 3 2 4 3 3" xfId="35979"/>
    <cellStyle name="20% - Accent4 2 3 2 4 4" xfId="12053"/>
    <cellStyle name="20% - Accent4 2 3 2 4 4 2" xfId="18393"/>
    <cellStyle name="20% - Accent4 2 3 2 4 4 2 2" xfId="47254"/>
    <cellStyle name="20% - Accent4 2 3 2 4 4 3" xfId="40914"/>
    <cellStyle name="20% - Accent4 2 3 2 4 5" xfId="15713"/>
    <cellStyle name="20% - Accent4 2 3 2 4 5 2" xfId="44574"/>
    <cellStyle name="20% - Accent4 2 3 2 4 6" xfId="29938"/>
    <cellStyle name="20% - Accent4 2 3 2 5" xfId="1282"/>
    <cellStyle name="20% - Accent4 2 3 2 5 2" xfId="4169"/>
    <cellStyle name="20% - Accent4 2 3 2 5 2 2" xfId="10210"/>
    <cellStyle name="20% - Accent4 2 3 2 5 2 2 2" xfId="27257"/>
    <cellStyle name="20% - Accent4 2 3 2 5 2 2 2 2" xfId="56118"/>
    <cellStyle name="20% - Accent4 2 3 2 5 2 2 3" xfId="39071"/>
    <cellStyle name="20% - Accent4 2 3 2 5 2 3" xfId="21279"/>
    <cellStyle name="20% - Accent4 2 3 2 5 2 3 2" xfId="50140"/>
    <cellStyle name="20% - Accent4 2 3 2 5 2 4" xfId="33030"/>
    <cellStyle name="20% - Accent4 2 3 2 5 3" xfId="7324"/>
    <cellStyle name="20% - Accent4 2 3 2 5 3 2" xfId="24371"/>
    <cellStyle name="20% - Accent4 2 3 2 5 3 2 2" xfId="53232"/>
    <cellStyle name="20% - Accent4 2 3 2 5 3 3" xfId="36185"/>
    <cellStyle name="20% - Accent4 2 3 2 5 4" xfId="12380"/>
    <cellStyle name="20% - Accent4 2 3 2 5 4 2" xfId="18599"/>
    <cellStyle name="20% - Accent4 2 3 2 5 4 2 2" xfId="47460"/>
    <cellStyle name="20% - Accent4 2 3 2 5 4 3" xfId="41241"/>
    <cellStyle name="20% - Accent4 2 3 2 5 5" xfId="15919"/>
    <cellStyle name="20% - Accent4 2 3 2 5 5 2" xfId="44780"/>
    <cellStyle name="20% - Accent4 2 3 2 5 6" xfId="30144"/>
    <cellStyle name="20% - Accent4 2 3 2 6" xfId="1488"/>
    <cellStyle name="20% - Accent4 2 3 2 6 2" xfId="4375"/>
    <cellStyle name="20% - Accent4 2 3 2 6 2 2" xfId="10416"/>
    <cellStyle name="20% - Accent4 2 3 2 6 2 2 2" xfId="27463"/>
    <cellStyle name="20% - Accent4 2 3 2 6 2 2 2 2" xfId="56324"/>
    <cellStyle name="20% - Accent4 2 3 2 6 2 2 3" xfId="39277"/>
    <cellStyle name="20% - Accent4 2 3 2 6 2 3" xfId="21485"/>
    <cellStyle name="20% - Accent4 2 3 2 6 2 3 2" xfId="50346"/>
    <cellStyle name="20% - Accent4 2 3 2 6 2 4" xfId="33236"/>
    <cellStyle name="20% - Accent4 2 3 2 6 3" xfId="7530"/>
    <cellStyle name="20% - Accent4 2 3 2 6 3 2" xfId="24577"/>
    <cellStyle name="20% - Accent4 2 3 2 6 3 2 2" xfId="53438"/>
    <cellStyle name="20% - Accent4 2 3 2 6 3 3" xfId="36391"/>
    <cellStyle name="20% - Accent4 2 3 2 6 4" xfId="13700"/>
    <cellStyle name="20% - Accent4 2 3 2 6 4 2" xfId="18805"/>
    <cellStyle name="20% - Accent4 2 3 2 6 4 2 2" xfId="47666"/>
    <cellStyle name="20% - Accent4 2 3 2 6 4 3" xfId="42561"/>
    <cellStyle name="20% - Accent4 2 3 2 6 5" xfId="16125"/>
    <cellStyle name="20% - Accent4 2 3 2 6 5 2" xfId="44986"/>
    <cellStyle name="20% - Accent4 2 3 2 6 6" xfId="30350"/>
    <cellStyle name="20% - Accent4 2 3 2 7" xfId="1694"/>
    <cellStyle name="20% - Accent4 2 3 2 7 2" xfId="4581"/>
    <cellStyle name="20% - Accent4 2 3 2 7 2 2" xfId="10622"/>
    <cellStyle name="20% - Accent4 2 3 2 7 2 2 2" xfId="27669"/>
    <cellStyle name="20% - Accent4 2 3 2 7 2 2 2 2" xfId="56530"/>
    <cellStyle name="20% - Accent4 2 3 2 7 2 2 3" xfId="39483"/>
    <cellStyle name="20% - Accent4 2 3 2 7 2 3" xfId="21691"/>
    <cellStyle name="20% - Accent4 2 3 2 7 2 3 2" xfId="50552"/>
    <cellStyle name="20% - Accent4 2 3 2 7 2 4" xfId="33442"/>
    <cellStyle name="20% - Accent4 2 3 2 7 3" xfId="7736"/>
    <cellStyle name="20% - Accent4 2 3 2 7 3 2" xfId="24783"/>
    <cellStyle name="20% - Accent4 2 3 2 7 3 2 2" xfId="53644"/>
    <cellStyle name="20% - Accent4 2 3 2 7 3 3" xfId="36597"/>
    <cellStyle name="20% - Accent4 2 3 2 7 4" xfId="13912"/>
    <cellStyle name="20% - Accent4 2 3 2 7 4 2" xfId="19011"/>
    <cellStyle name="20% - Accent4 2 3 2 7 4 2 2" xfId="47872"/>
    <cellStyle name="20% - Accent4 2 3 2 7 4 3" xfId="42773"/>
    <cellStyle name="20% - Accent4 2 3 2 7 5" xfId="16331"/>
    <cellStyle name="20% - Accent4 2 3 2 7 5 2" xfId="45192"/>
    <cellStyle name="20% - Accent4 2 3 2 7 6" xfId="30556"/>
    <cellStyle name="20% - Accent4 2 3 2 8" xfId="1900"/>
    <cellStyle name="20% - Accent4 2 3 2 8 2" xfId="4787"/>
    <cellStyle name="20% - Accent4 2 3 2 8 2 2" xfId="10828"/>
    <cellStyle name="20% - Accent4 2 3 2 8 2 2 2" xfId="27875"/>
    <cellStyle name="20% - Accent4 2 3 2 8 2 2 2 2" xfId="56736"/>
    <cellStyle name="20% - Accent4 2 3 2 8 2 2 3" xfId="39689"/>
    <cellStyle name="20% - Accent4 2 3 2 8 2 3" xfId="21897"/>
    <cellStyle name="20% - Accent4 2 3 2 8 2 3 2" xfId="50758"/>
    <cellStyle name="20% - Accent4 2 3 2 8 2 4" xfId="33648"/>
    <cellStyle name="20% - Accent4 2 3 2 8 3" xfId="7942"/>
    <cellStyle name="20% - Accent4 2 3 2 8 3 2" xfId="24989"/>
    <cellStyle name="20% - Accent4 2 3 2 8 3 2 2" xfId="53850"/>
    <cellStyle name="20% - Accent4 2 3 2 8 3 3" xfId="36803"/>
    <cellStyle name="20% - Accent4 2 3 2 8 4" xfId="14012"/>
    <cellStyle name="20% - Accent4 2 3 2 8 4 2" xfId="19217"/>
    <cellStyle name="20% - Accent4 2 3 2 8 4 2 2" xfId="48078"/>
    <cellStyle name="20% - Accent4 2 3 2 8 4 3" xfId="42873"/>
    <cellStyle name="20% - Accent4 2 3 2 8 5" xfId="16537"/>
    <cellStyle name="20% - Accent4 2 3 2 8 5 2" xfId="45398"/>
    <cellStyle name="20% - Accent4 2 3 2 8 6" xfId="30762"/>
    <cellStyle name="20% - Accent4 2 3 2 9" xfId="2106"/>
    <cellStyle name="20% - Accent4 2 3 2 9 2" xfId="4993"/>
    <cellStyle name="20% - Accent4 2 3 2 9 2 2" xfId="11034"/>
    <cellStyle name="20% - Accent4 2 3 2 9 2 2 2" xfId="28081"/>
    <cellStyle name="20% - Accent4 2 3 2 9 2 2 2 2" xfId="56942"/>
    <cellStyle name="20% - Accent4 2 3 2 9 2 2 3" xfId="39895"/>
    <cellStyle name="20% - Accent4 2 3 2 9 2 3" xfId="22103"/>
    <cellStyle name="20% - Accent4 2 3 2 9 2 3 2" xfId="50964"/>
    <cellStyle name="20% - Accent4 2 3 2 9 2 4" xfId="33854"/>
    <cellStyle name="20% - Accent4 2 3 2 9 3" xfId="8148"/>
    <cellStyle name="20% - Accent4 2 3 2 9 3 2" xfId="25195"/>
    <cellStyle name="20% - Accent4 2 3 2 9 3 2 2" xfId="54056"/>
    <cellStyle name="20% - Accent4 2 3 2 9 3 3" xfId="37009"/>
    <cellStyle name="20% - Accent4 2 3 2 9 4" xfId="13767"/>
    <cellStyle name="20% - Accent4 2 3 2 9 4 2" xfId="19423"/>
    <cellStyle name="20% - Accent4 2 3 2 9 4 2 2" xfId="48284"/>
    <cellStyle name="20% - Accent4 2 3 2 9 4 3" xfId="42628"/>
    <cellStyle name="20% - Accent4 2 3 2 9 5" xfId="16743"/>
    <cellStyle name="20% - Accent4 2 3 2 9 5 2" xfId="45604"/>
    <cellStyle name="20% - Accent4 2 3 2 9 6" xfId="30968"/>
    <cellStyle name="20% - Accent4 2 3 20" xfId="29011"/>
    <cellStyle name="20% - Accent4 2 3 3" xfId="252"/>
    <cellStyle name="20% - Accent4 2 3 3 2" xfId="664"/>
    <cellStyle name="20% - Accent4 2 3 3 2 2" xfId="3551"/>
    <cellStyle name="20% - Accent4 2 3 3 2 2 2" xfId="9592"/>
    <cellStyle name="20% - Accent4 2 3 3 2 2 2 2" xfId="26639"/>
    <cellStyle name="20% - Accent4 2 3 3 2 2 2 2 2" xfId="55500"/>
    <cellStyle name="20% - Accent4 2 3 3 2 2 2 3" xfId="38453"/>
    <cellStyle name="20% - Accent4 2 3 3 2 2 3" xfId="20661"/>
    <cellStyle name="20% - Accent4 2 3 3 2 2 3 2" xfId="49522"/>
    <cellStyle name="20% - Accent4 2 3 3 2 2 4" xfId="32412"/>
    <cellStyle name="20% - Accent4 2 3 3 2 3" xfId="6706"/>
    <cellStyle name="20% - Accent4 2 3 3 2 3 2" xfId="23753"/>
    <cellStyle name="20% - Accent4 2 3 3 2 3 2 2" xfId="52614"/>
    <cellStyle name="20% - Accent4 2 3 3 2 3 3" xfId="35567"/>
    <cellStyle name="20% - Accent4 2 3 3 2 4" xfId="13606"/>
    <cellStyle name="20% - Accent4 2 3 3 2 4 2" xfId="17981"/>
    <cellStyle name="20% - Accent4 2 3 3 2 4 2 2" xfId="46842"/>
    <cellStyle name="20% - Accent4 2 3 3 2 4 3" xfId="42467"/>
    <cellStyle name="20% - Accent4 2 3 3 2 5" xfId="15301"/>
    <cellStyle name="20% - Accent4 2 3 3 2 5 2" xfId="44162"/>
    <cellStyle name="20% - Accent4 2 3 3 2 6" xfId="29526"/>
    <cellStyle name="20% - Accent4 2 3 3 3" xfId="2209"/>
    <cellStyle name="20% - Accent4 2 3 3 3 2" xfId="5096"/>
    <cellStyle name="20% - Accent4 2 3 3 3 2 2" xfId="11137"/>
    <cellStyle name="20% - Accent4 2 3 3 3 2 2 2" xfId="28184"/>
    <cellStyle name="20% - Accent4 2 3 3 3 2 2 2 2" xfId="57045"/>
    <cellStyle name="20% - Accent4 2 3 3 3 2 2 3" xfId="39998"/>
    <cellStyle name="20% - Accent4 2 3 3 3 2 3" xfId="22206"/>
    <cellStyle name="20% - Accent4 2 3 3 3 2 3 2" xfId="51067"/>
    <cellStyle name="20% - Accent4 2 3 3 3 2 4" xfId="33957"/>
    <cellStyle name="20% - Accent4 2 3 3 3 3" xfId="8251"/>
    <cellStyle name="20% - Accent4 2 3 3 3 3 2" xfId="25298"/>
    <cellStyle name="20% - Accent4 2 3 3 3 3 2 2" xfId="54159"/>
    <cellStyle name="20% - Accent4 2 3 3 3 3 3" xfId="37112"/>
    <cellStyle name="20% - Accent4 2 3 3 3 4" xfId="14131"/>
    <cellStyle name="20% - Accent4 2 3 3 3 4 2" xfId="19526"/>
    <cellStyle name="20% - Accent4 2 3 3 3 4 2 2" xfId="48387"/>
    <cellStyle name="20% - Accent4 2 3 3 3 4 3" xfId="42992"/>
    <cellStyle name="20% - Accent4 2 3 3 3 5" xfId="16846"/>
    <cellStyle name="20% - Accent4 2 3 3 3 5 2" xfId="45707"/>
    <cellStyle name="20% - Accent4 2 3 3 3 6" xfId="31071"/>
    <cellStyle name="20% - Accent4 2 3 3 4" xfId="3139"/>
    <cellStyle name="20% - Accent4 2 3 3 4 2" xfId="9180"/>
    <cellStyle name="20% - Accent4 2 3 3 4 2 2" xfId="26227"/>
    <cellStyle name="20% - Accent4 2 3 3 4 2 2 2" xfId="55088"/>
    <cellStyle name="20% - Accent4 2 3 3 4 2 3" xfId="38041"/>
    <cellStyle name="20% - Accent4 2 3 3 4 3" xfId="20249"/>
    <cellStyle name="20% - Accent4 2 3 3 4 3 2" xfId="49110"/>
    <cellStyle name="20% - Accent4 2 3 3 4 4" xfId="32000"/>
    <cellStyle name="20% - Accent4 2 3 3 5" xfId="6294"/>
    <cellStyle name="20% - Accent4 2 3 3 5 2" xfId="23341"/>
    <cellStyle name="20% - Accent4 2 3 3 5 2 2" xfId="52202"/>
    <cellStyle name="20% - Accent4 2 3 3 5 3" xfId="35155"/>
    <cellStyle name="20% - Accent4 2 3 3 6" xfId="12559"/>
    <cellStyle name="20% - Accent4 2 3 3 6 2" xfId="17672"/>
    <cellStyle name="20% - Accent4 2 3 3 6 2 2" xfId="46533"/>
    <cellStyle name="20% - Accent4 2 3 3 6 3" xfId="41420"/>
    <cellStyle name="20% - Accent4 2 3 3 7" xfId="14889"/>
    <cellStyle name="20% - Accent4 2 3 3 7 2" xfId="43750"/>
    <cellStyle name="20% - Accent4 2 3 3 8" xfId="29114"/>
    <cellStyle name="20% - Accent4 2 3 4" xfId="458"/>
    <cellStyle name="20% - Accent4 2 3 4 2" xfId="3345"/>
    <cellStyle name="20% - Accent4 2 3 4 2 2" xfId="9386"/>
    <cellStyle name="20% - Accent4 2 3 4 2 2 2" xfId="26433"/>
    <cellStyle name="20% - Accent4 2 3 4 2 2 2 2" xfId="55294"/>
    <cellStyle name="20% - Accent4 2 3 4 2 2 3" xfId="38247"/>
    <cellStyle name="20% - Accent4 2 3 4 2 3" xfId="20455"/>
    <cellStyle name="20% - Accent4 2 3 4 2 3 2" xfId="49316"/>
    <cellStyle name="20% - Accent4 2 3 4 2 4" xfId="32206"/>
    <cellStyle name="20% - Accent4 2 3 4 3" xfId="6500"/>
    <cellStyle name="20% - Accent4 2 3 4 3 2" xfId="23547"/>
    <cellStyle name="20% - Accent4 2 3 4 3 2 2" xfId="52408"/>
    <cellStyle name="20% - Accent4 2 3 4 3 3" xfId="35361"/>
    <cellStyle name="20% - Accent4 2 3 4 4" xfId="13955"/>
    <cellStyle name="20% - Accent4 2 3 4 4 2" xfId="17775"/>
    <cellStyle name="20% - Accent4 2 3 4 4 2 2" xfId="46636"/>
    <cellStyle name="20% - Accent4 2 3 4 4 3" xfId="42816"/>
    <cellStyle name="20% - Accent4 2 3 4 5" xfId="15095"/>
    <cellStyle name="20% - Accent4 2 3 4 5 2" xfId="43956"/>
    <cellStyle name="20% - Accent4 2 3 4 6" xfId="29320"/>
    <cellStyle name="20% - Accent4 2 3 5" xfId="767"/>
    <cellStyle name="20% - Accent4 2 3 5 2" xfId="3654"/>
    <cellStyle name="20% - Accent4 2 3 5 2 2" xfId="9695"/>
    <cellStyle name="20% - Accent4 2 3 5 2 2 2" xfId="26742"/>
    <cellStyle name="20% - Accent4 2 3 5 2 2 2 2" xfId="55603"/>
    <cellStyle name="20% - Accent4 2 3 5 2 2 3" xfId="38556"/>
    <cellStyle name="20% - Accent4 2 3 5 2 3" xfId="20764"/>
    <cellStyle name="20% - Accent4 2 3 5 2 3 2" xfId="49625"/>
    <cellStyle name="20% - Accent4 2 3 5 2 4" xfId="32515"/>
    <cellStyle name="20% - Accent4 2 3 5 3" xfId="6809"/>
    <cellStyle name="20% - Accent4 2 3 5 3 2" xfId="23856"/>
    <cellStyle name="20% - Accent4 2 3 5 3 2 2" xfId="52717"/>
    <cellStyle name="20% - Accent4 2 3 5 3 3" xfId="35670"/>
    <cellStyle name="20% - Accent4 2 3 5 4" xfId="14449"/>
    <cellStyle name="20% - Accent4 2 3 5 4 2" xfId="18084"/>
    <cellStyle name="20% - Accent4 2 3 5 4 2 2" xfId="46945"/>
    <cellStyle name="20% - Accent4 2 3 5 4 3" xfId="43310"/>
    <cellStyle name="20% - Accent4 2 3 5 5" xfId="15404"/>
    <cellStyle name="20% - Accent4 2 3 5 5 2" xfId="44265"/>
    <cellStyle name="20% - Accent4 2 3 5 6" xfId="29629"/>
    <cellStyle name="20% - Accent4 2 3 6" xfId="973"/>
    <cellStyle name="20% - Accent4 2 3 6 2" xfId="3860"/>
    <cellStyle name="20% - Accent4 2 3 6 2 2" xfId="9901"/>
    <cellStyle name="20% - Accent4 2 3 6 2 2 2" xfId="26948"/>
    <cellStyle name="20% - Accent4 2 3 6 2 2 2 2" xfId="55809"/>
    <cellStyle name="20% - Accent4 2 3 6 2 2 3" xfId="38762"/>
    <cellStyle name="20% - Accent4 2 3 6 2 3" xfId="20970"/>
    <cellStyle name="20% - Accent4 2 3 6 2 3 2" xfId="49831"/>
    <cellStyle name="20% - Accent4 2 3 6 2 4" xfId="32721"/>
    <cellStyle name="20% - Accent4 2 3 6 3" xfId="7015"/>
    <cellStyle name="20% - Accent4 2 3 6 3 2" xfId="24062"/>
    <cellStyle name="20% - Accent4 2 3 6 3 2 2" xfId="52923"/>
    <cellStyle name="20% - Accent4 2 3 6 3 3" xfId="35876"/>
    <cellStyle name="20% - Accent4 2 3 6 4" xfId="13925"/>
    <cellStyle name="20% - Accent4 2 3 6 4 2" xfId="18290"/>
    <cellStyle name="20% - Accent4 2 3 6 4 2 2" xfId="47151"/>
    <cellStyle name="20% - Accent4 2 3 6 4 3" xfId="42786"/>
    <cellStyle name="20% - Accent4 2 3 6 5" xfId="15610"/>
    <cellStyle name="20% - Accent4 2 3 6 5 2" xfId="44471"/>
    <cellStyle name="20% - Accent4 2 3 6 6" xfId="29835"/>
    <cellStyle name="20% - Accent4 2 3 7" xfId="1179"/>
    <cellStyle name="20% - Accent4 2 3 7 2" xfId="4066"/>
    <cellStyle name="20% - Accent4 2 3 7 2 2" xfId="10107"/>
    <cellStyle name="20% - Accent4 2 3 7 2 2 2" xfId="27154"/>
    <cellStyle name="20% - Accent4 2 3 7 2 2 2 2" xfId="56015"/>
    <cellStyle name="20% - Accent4 2 3 7 2 2 3" xfId="38968"/>
    <cellStyle name="20% - Accent4 2 3 7 2 3" xfId="21176"/>
    <cellStyle name="20% - Accent4 2 3 7 2 3 2" xfId="50037"/>
    <cellStyle name="20% - Accent4 2 3 7 2 4" xfId="32927"/>
    <cellStyle name="20% - Accent4 2 3 7 3" xfId="7221"/>
    <cellStyle name="20% - Accent4 2 3 7 3 2" xfId="24268"/>
    <cellStyle name="20% - Accent4 2 3 7 3 2 2" xfId="53129"/>
    <cellStyle name="20% - Accent4 2 3 7 3 3" xfId="36082"/>
    <cellStyle name="20% - Accent4 2 3 7 4" xfId="14412"/>
    <cellStyle name="20% - Accent4 2 3 7 4 2" xfId="18496"/>
    <cellStyle name="20% - Accent4 2 3 7 4 2 2" xfId="47357"/>
    <cellStyle name="20% - Accent4 2 3 7 4 3" xfId="43273"/>
    <cellStyle name="20% - Accent4 2 3 7 5" xfId="15816"/>
    <cellStyle name="20% - Accent4 2 3 7 5 2" xfId="44677"/>
    <cellStyle name="20% - Accent4 2 3 7 6" xfId="30041"/>
    <cellStyle name="20% - Accent4 2 3 8" xfId="1385"/>
    <cellStyle name="20% - Accent4 2 3 8 2" xfId="4272"/>
    <cellStyle name="20% - Accent4 2 3 8 2 2" xfId="10313"/>
    <cellStyle name="20% - Accent4 2 3 8 2 2 2" xfId="27360"/>
    <cellStyle name="20% - Accent4 2 3 8 2 2 2 2" xfId="56221"/>
    <cellStyle name="20% - Accent4 2 3 8 2 2 3" xfId="39174"/>
    <cellStyle name="20% - Accent4 2 3 8 2 3" xfId="21382"/>
    <cellStyle name="20% - Accent4 2 3 8 2 3 2" xfId="50243"/>
    <cellStyle name="20% - Accent4 2 3 8 2 4" xfId="33133"/>
    <cellStyle name="20% - Accent4 2 3 8 3" xfId="7427"/>
    <cellStyle name="20% - Accent4 2 3 8 3 2" xfId="24474"/>
    <cellStyle name="20% - Accent4 2 3 8 3 2 2" xfId="53335"/>
    <cellStyle name="20% - Accent4 2 3 8 3 3" xfId="36288"/>
    <cellStyle name="20% - Accent4 2 3 8 4" xfId="12093"/>
    <cellStyle name="20% - Accent4 2 3 8 4 2" xfId="18702"/>
    <cellStyle name="20% - Accent4 2 3 8 4 2 2" xfId="47563"/>
    <cellStyle name="20% - Accent4 2 3 8 4 3" xfId="40954"/>
    <cellStyle name="20% - Accent4 2 3 8 5" xfId="16022"/>
    <cellStyle name="20% - Accent4 2 3 8 5 2" xfId="44883"/>
    <cellStyle name="20% - Accent4 2 3 8 6" xfId="30247"/>
    <cellStyle name="20% - Accent4 2 3 9" xfId="1591"/>
    <cellStyle name="20% - Accent4 2 3 9 2" xfId="4478"/>
    <cellStyle name="20% - Accent4 2 3 9 2 2" xfId="10519"/>
    <cellStyle name="20% - Accent4 2 3 9 2 2 2" xfId="27566"/>
    <cellStyle name="20% - Accent4 2 3 9 2 2 2 2" xfId="56427"/>
    <cellStyle name="20% - Accent4 2 3 9 2 2 3" xfId="39380"/>
    <cellStyle name="20% - Accent4 2 3 9 2 3" xfId="21588"/>
    <cellStyle name="20% - Accent4 2 3 9 2 3 2" xfId="50449"/>
    <cellStyle name="20% - Accent4 2 3 9 2 4" xfId="33339"/>
    <cellStyle name="20% - Accent4 2 3 9 3" xfId="7633"/>
    <cellStyle name="20% - Accent4 2 3 9 3 2" xfId="24680"/>
    <cellStyle name="20% - Accent4 2 3 9 3 2 2" xfId="53541"/>
    <cellStyle name="20% - Accent4 2 3 9 3 3" xfId="36494"/>
    <cellStyle name="20% - Accent4 2 3 9 4" xfId="14089"/>
    <cellStyle name="20% - Accent4 2 3 9 4 2" xfId="18908"/>
    <cellStyle name="20% - Accent4 2 3 9 4 2 2" xfId="47769"/>
    <cellStyle name="20% - Accent4 2 3 9 4 3" xfId="42950"/>
    <cellStyle name="20% - Accent4 2 3 9 5" xfId="16228"/>
    <cellStyle name="20% - Accent4 2 3 9 5 2" xfId="45089"/>
    <cellStyle name="20% - Accent4 2 3 9 6" xfId="30453"/>
    <cellStyle name="20% - Accent4 2 4" xfId="303"/>
    <cellStyle name="20% - Accent4 2 4 10" xfId="2466"/>
    <cellStyle name="20% - Accent4 2 4 10 2" xfId="5353"/>
    <cellStyle name="20% - Accent4 2 4 10 2 2" xfId="11394"/>
    <cellStyle name="20% - Accent4 2 4 10 2 2 2" xfId="28441"/>
    <cellStyle name="20% - Accent4 2 4 10 2 2 2 2" xfId="57302"/>
    <cellStyle name="20% - Accent4 2 4 10 2 2 3" xfId="40255"/>
    <cellStyle name="20% - Accent4 2 4 10 2 3" xfId="22463"/>
    <cellStyle name="20% - Accent4 2 4 10 2 3 2" xfId="51324"/>
    <cellStyle name="20% - Accent4 2 4 10 2 4" xfId="34214"/>
    <cellStyle name="20% - Accent4 2 4 10 3" xfId="8508"/>
    <cellStyle name="20% - Accent4 2 4 10 3 2" xfId="25555"/>
    <cellStyle name="20% - Accent4 2 4 10 3 2 2" xfId="54416"/>
    <cellStyle name="20% - Accent4 2 4 10 3 3" xfId="37369"/>
    <cellStyle name="20% - Accent4 2 4 10 4" xfId="12901"/>
    <cellStyle name="20% - Accent4 2 4 10 4 2" xfId="19783"/>
    <cellStyle name="20% - Accent4 2 4 10 4 2 2" xfId="48644"/>
    <cellStyle name="20% - Accent4 2 4 10 4 3" xfId="41762"/>
    <cellStyle name="20% - Accent4 2 4 10 5" xfId="17103"/>
    <cellStyle name="20% - Accent4 2 4 10 5 2" xfId="45964"/>
    <cellStyle name="20% - Accent4 2 4 10 6" xfId="31328"/>
    <cellStyle name="20% - Accent4 2 4 11" xfId="2675"/>
    <cellStyle name="20% - Accent4 2 4 11 2" xfId="5561"/>
    <cellStyle name="20% - Accent4 2 4 11 2 2" xfId="11602"/>
    <cellStyle name="20% - Accent4 2 4 11 2 2 2" xfId="28649"/>
    <cellStyle name="20% - Accent4 2 4 11 2 2 2 2" xfId="57510"/>
    <cellStyle name="20% - Accent4 2 4 11 2 2 3" xfId="40463"/>
    <cellStyle name="20% - Accent4 2 4 11 2 3" xfId="22671"/>
    <cellStyle name="20% - Accent4 2 4 11 2 3 2" xfId="51532"/>
    <cellStyle name="20% - Accent4 2 4 11 2 4" xfId="34422"/>
    <cellStyle name="20% - Accent4 2 4 11 3" xfId="8716"/>
    <cellStyle name="20% - Accent4 2 4 11 3 2" xfId="25763"/>
    <cellStyle name="20% - Accent4 2 4 11 3 2 2" xfId="54624"/>
    <cellStyle name="20% - Accent4 2 4 11 3 3" xfId="37577"/>
    <cellStyle name="20% - Accent4 2 4 11 4" xfId="13858"/>
    <cellStyle name="20% - Accent4 2 4 11 4 2" xfId="19991"/>
    <cellStyle name="20% - Accent4 2 4 11 4 2 2" xfId="48852"/>
    <cellStyle name="20% - Accent4 2 4 11 4 3" xfId="42719"/>
    <cellStyle name="20% - Accent4 2 4 11 5" xfId="17311"/>
    <cellStyle name="20% - Accent4 2 4 11 5 2" xfId="46172"/>
    <cellStyle name="20% - Accent4 2 4 11 6" xfId="31536"/>
    <cellStyle name="20% - Accent4 2 4 12" xfId="3190"/>
    <cellStyle name="20% - Accent4 2 4 12 2" xfId="9231"/>
    <cellStyle name="20% - Accent4 2 4 12 2 2" xfId="26278"/>
    <cellStyle name="20% - Accent4 2 4 12 2 2 2" xfId="55139"/>
    <cellStyle name="20% - Accent4 2 4 12 2 3" xfId="38092"/>
    <cellStyle name="20% - Accent4 2 4 12 3" xfId="12807"/>
    <cellStyle name="20% - Accent4 2 4 12 3 2" xfId="20300"/>
    <cellStyle name="20% - Accent4 2 4 12 3 2 2" xfId="49161"/>
    <cellStyle name="20% - Accent4 2 4 12 3 3" xfId="41668"/>
    <cellStyle name="20% - Accent4 2 4 12 4" xfId="14940"/>
    <cellStyle name="20% - Accent4 2 4 12 4 2" xfId="43801"/>
    <cellStyle name="20% - Accent4 2 4 12 5" xfId="32051"/>
    <cellStyle name="20% - Accent4 2 4 13" xfId="2881"/>
    <cellStyle name="20% - Accent4 2 4 13 2" xfId="8922"/>
    <cellStyle name="20% - Accent4 2 4 13 2 2" xfId="25969"/>
    <cellStyle name="20% - Accent4 2 4 13 2 2 2" xfId="54830"/>
    <cellStyle name="20% - Accent4 2 4 13 2 3" xfId="37783"/>
    <cellStyle name="20% - Accent4 2 4 13 3" xfId="17517"/>
    <cellStyle name="20% - Accent4 2 4 13 3 2" xfId="46378"/>
    <cellStyle name="20% - Accent4 2 4 13 4" xfId="31742"/>
    <cellStyle name="20% - Accent4 2 4 14" xfId="5767"/>
    <cellStyle name="20% - Accent4 2 4 14 2" xfId="11808"/>
    <cellStyle name="20% - Accent4 2 4 14 2 2" xfId="28855"/>
    <cellStyle name="20% - Accent4 2 4 14 2 2 2" xfId="57716"/>
    <cellStyle name="20% - Accent4 2 4 14 2 3" xfId="40669"/>
    <cellStyle name="20% - Accent4 2 4 14 3" xfId="22877"/>
    <cellStyle name="20% - Accent4 2 4 14 3 2" xfId="51738"/>
    <cellStyle name="20% - Accent4 2 4 14 4" xfId="34628"/>
    <cellStyle name="20% - Accent4 2 4 15" xfId="5984"/>
    <cellStyle name="20% - Accent4 2 4 15 2" xfId="23083"/>
    <cellStyle name="20% - Accent4 2 4 15 2 2" xfId="51944"/>
    <cellStyle name="20% - Accent4 2 4 15 3" xfId="34845"/>
    <cellStyle name="20% - Accent4 2 4 16" xfId="6345"/>
    <cellStyle name="20% - Accent4 2 4 16 2" xfId="23392"/>
    <cellStyle name="20% - Accent4 2 4 16 2 2" xfId="52253"/>
    <cellStyle name="20% - Accent4 2 4 16 3" xfId="35206"/>
    <cellStyle name="20% - Accent4 2 4 17" xfId="14631"/>
    <cellStyle name="20% - Accent4 2 4 17 2" xfId="43492"/>
    <cellStyle name="20% - Accent4 2 4 18" xfId="29165"/>
    <cellStyle name="20% - Accent4 2 4 2" xfId="509"/>
    <cellStyle name="20% - Accent4 2 4 2 2" xfId="2260"/>
    <cellStyle name="20% - Accent4 2 4 2 2 2" xfId="5147"/>
    <cellStyle name="20% - Accent4 2 4 2 2 2 2" xfId="11188"/>
    <cellStyle name="20% - Accent4 2 4 2 2 2 2 2" xfId="28235"/>
    <cellStyle name="20% - Accent4 2 4 2 2 2 2 2 2" xfId="57096"/>
    <cellStyle name="20% - Accent4 2 4 2 2 2 2 3" xfId="40049"/>
    <cellStyle name="20% - Accent4 2 4 2 2 2 3" xfId="22257"/>
    <cellStyle name="20% - Accent4 2 4 2 2 2 3 2" xfId="51118"/>
    <cellStyle name="20% - Accent4 2 4 2 2 2 4" xfId="34008"/>
    <cellStyle name="20% - Accent4 2 4 2 2 3" xfId="8302"/>
    <cellStyle name="20% - Accent4 2 4 2 2 3 2" xfId="25349"/>
    <cellStyle name="20% - Accent4 2 4 2 2 3 2 2" xfId="54210"/>
    <cellStyle name="20% - Accent4 2 4 2 2 3 3" xfId="37163"/>
    <cellStyle name="20% - Accent4 2 4 2 2 4" xfId="12784"/>
    <cellStyle name="20% - Accent4 2 4 2 2 4 2" xfId="19577"/>
    <cellStyle name="20% - Accent4 2 4 2 2 4 2 2" xfId="48438"/>
    <cellStyle name="20% - Accent4 2 4 2 2 4 3" xfId="41645"/>
    <cellStyle name="20% - Accent4 2 4 2 2 5" xfId="16897"/>
    <cellStyle name="20% - Accent4 2 4 2 2 5 2" xfId="45758"/>
    <cellStyle name="20% - Accent4 2 4 2 2 6" xfId="31122"/>
    <cellStyle name="20% - Accent4 2 4 2 3" xfId="3396"/>
    <cellStyle name="20% - Accent4 2 4 2 3 2" xfId="9437"/>
    <cellStyle name="20% - Accent4 2 4 2 3 2 2" xfId="26484"/>
    <cellStyle name="20% - Accent4 2 4 2 3 2 2 2" xfId="55345"/>
    <cellStyle name="20% - Accent4 2 4 2 3 2 3" xfId="38298"/>
    <cellStyle name="20% - Accent4 2 4 2 3 3" xfId="20506"/>
    <cellStyle name="20% - Accent4 2 4 2 3 3 2" xfId="49367"/>
    <cellStyle name="20% - Accent4 2 4 2 3 4" xfId="32257"/>
    <cellStyle name="20% - Accent4 2 4 2 4" xfId="6551"/>
    <cellStyle name="20% - Accent4 2 4 2 4 2" xfId="23598"/>
    <cellStyle name="20% - Accent4 2 4 2 4 2 2" xfId="52459"/>
    <cellStyle name="20% - Accent4 2 4 2 4 3" xfId="35412"/>
    <cellStyle name="20% - Accent4 2 4 2 5" xfId="14282"/>
    <cellStyle name="20% - Accent4 2 4 2 5 2" xfId="17826"/>
    <cellStyle name="20% - Accent4 2 4 2 5 2 2" xfId="46687"/>
    <cellStyle name="20% - Accent4 2 4 2 5 3" xfId="43143"/>
    <cellStyle name="20% - Accent4 2 4 2 6" xfId="15146"/>
    <cellStyle name="20% - Accent4 2 4 2 6 2" xfId="44007"/>
    <cellStyle name="20% - Accent4 2 4 2 7" xfId="29371"/>
    <cellStyle name="20% - Accent4 2 4 3" xfId="818"/>
    <cellStyle name="20% - Accent4 2 4 3 2" xfId="3705"/>
    <cellStyle name="20% - Accent4 2 4 3 2 2" xfId="9746"/>
    <cellStyle name="20% - Accent4 2 4 3 2 2 2" xfId="26793"/>
    <cellStyle name="20% - Accent4 2 4 3 2 2 2 2" xfId="55654"/>
    <cellStyle name="20% - Accent4 2 4 3 2 2 3" xfId="38607"/>
    <cellStyle name="20% - Accent4 2 4 3 2 3" xfId="20815"/>
    <cellStyle name="20% - Accent4 2 4 3 2 3 2" xfId="49676"/>
    <cellStyle name="20% - Accent4 2 4 3 2 4" xfId="32566"/>
    <cellStyle name="20% - Accent4 2 4 3 3" xfId="6860"/>
    <cellStyle name="20% - Accent4 2 4 3 3 2" xfId="23907"/>
    <cellStyle name="20% - Accent4 2 4 3 3 2 2" xfId="52768"/>
    <cellStyle name="20% - Accent4 2 4 3 3 3" xfId="35721"/>
    <cellStyle name="20% - Accent4 2 4 3 4" xfId="12601"/>
    <cellStyle name="20% - Accent4 2 4 3 4 2" xfId="18135"/>
    <cellStyle name="20% - Accent4 2 4 3 4 2 2" xfId="46996"/>
    <cellStyle name="20% - Accent4 2 4 3 4 3" xfId="41462"/>
    <cellStyle name="20% - Accent4 2 4 3 5" xfId="15455"/>
    <cellStyle name="20% - Accent4 2 4 3 5 2" xfId="44316"/>
    <cellStyle name="20% - Accent4 2 4 3 6" xfId="29680"/>
    <cellStyle name="20% - Accent4 2 4 4" xfId="1024"/>
    <cellStyle name="20% - Accent4 2 4 4 2" xfId="3911"/>
    <cellStyle name="20% - Accent4 2 4 4 2 2" xfId="9952"/>
    <cellStyle name="20% - Accent4 2 4 4 2 2 2" xfId="26999"/>
    <cellStyle name="20% - Accent4 2 4 4 2 2 2 2" xfId="55860"/>
    <cellStyle name="20% - Accent4 2 4 4 2 2 3" xfId="38813"/>
    <cellStyle name="20% - Accent4 2 4 4 2 3" xfId="21021"/>
    <cellStyle name="20% - Accent4 2 4 4 2 3 2" xfId="49882"/>
    <cellStyle name="20% - Accent4 2 4 4 2 4" xfId="32772"/>
    <cellStyle name="20% - Accent4 2 4 4 3" xfId="7066"/>
    <cellStyle name="20% - Accent4 2 4 4 3 2" xfId="24113"/>
    <cellStyle name="20% - Accent4 2 4 4 3 2 2" xfId="52974"/>
    <cellStyle name="20% - Accent4 2 4 4 3 3" xfId="35927"/>
    <cellStyle name="20% - Accent4 2 4 4 4" xfId="13895"/>
    <cellStyle name="20% - Accent4 2 4 4 4 2" xfId="18341"/>
    <cellStyle name="20% - Accent4 2 4 4 4 2 2" xfId="47202"/>
    <cellStyle name="20% - Accent4 2 4 4 4 3" xfId="42756"/>
    <cellStyle name="20% - Accent4 2 4 4 5" xfId="15661"/>
    <cellStyle name="20% - Accent4 2 4 4 5 2" xfId="44522"/>
    <cellStyle name="20% - Accent4 2 4 4 6" xfId="29886"/>
    <cellStyle name="20% - Accent4 2 4 5" xfId="1230"/>
    <cellStyle name="20% - Accent4 2 4 5 2" xfId="4117"/>
    <cellStyle name="20% - Accent4 2 4 5 2 2" xfId="10158"/>
    <cellStyle name="20% - Accent4 2 4 5 2 2 2" xfId="27205"/>
    <cellStyle name="20% - Accent4 2 4 5 2 2 2 2" xfId="56066"/>
    <cellStyle name="20% - Accent4 2 4 5 2 2 3" xfId="39019"/>
    <cellStyle name="20% - Accent4 2 4 5 2 3" xfId="21227"/>
    <cellStyle name="20% - Accent4 2 4 5 2 3 2" xfId="50088"/>
    <cellStyle name="20% - Accent4 2 4 5 2 4" xfId="32978"/>
    <cellStyle name="20% - Accent4 2 4 5 3" xfId="7272"/>
    <cellStyle name="20% - Accent4 2 4 5 3 2" xfId="24319"/>
    <cellStyle name="20% - Accent4 2 4 5 3 2 2" xfId="53180"/>
    <cellStyle name="20% - Accent4 2 4 5 3 3" xfId="36133"/>
    <cellStyle name="20% - Accent4 2 4 5 4" xfId="13379"/>
    <cellStyle name="20% - Accent4 2 4 5 4 2" xfId="18547"/>
    <cellStyle name="20% - Accent4 2 4 5 4 2 2" xfId="47408"/>
    <cellStyle name="20% - Accent4 2 4 5 4 3" xfId="42240"/>
    <cellStyle name="20% - Accent4 2 4 5 5" xfId="15867"/>
    <cellStyle name="20% - Accent4 2 4 5 5 2" xfId="44728"/>
    <cellStyle name="20% - Accent4 2 4 5 6" xfId="30092"/>
    <cellStyle name="20% - Accent4 2 4 6" xfId="1436"/>
    <cellStyle name="20% - Accent4 2 4 6 2" xfId="4323"/>
    <cellStyle name="20% - Accent4 2 4 6 2 2" xfId="10364"/>
    <cellStyle name="20% - Accent4 2 4 6 2 2 2" xfId="27411"/>
    <cellStyle name="20% - Accent4 2 4 6 2 2 2 2" xfId="56272"/>
    <cellStyle name="20% - Accent4 2 4 6 2 2 3" xfId="39225"/>
    <cellStyle name="20% - Accent4 2 4 6 2 3" xfId="21433"/>
    <cellStyle name="20% - Accent4 2 4 6 2 3 2" xfId="50294"/>
    <cellStyle name="20% - Accent4 2 4 6 2 4" xfId="33184"/>
    <cellStyle name="20% - Accent4 2 4 6 3" xfId="7478"/>
    <cellStyle name="20% - Accent4 2 4 6 3 2" xfId="24525"/>
    <cellStyle name="20% - Accent4 2 4 6 3 2 2" xfId="53386"/>
    <cellStyle name="20% - Accent4 2 4 6 3 3" xfId="36339"/>
    <cellStyle name="20% - Accent4 2 4 6 4" xfId="13178"/>
    <cellStyle name="20% - Accent4 2 4 6 4 2" xfId="18753"/>
    <cellStyle name="20% - Accent4 2 4 6 4 2 2" xfId="47614"/>
    <cellStyle name="20% - Accent4 2 4 6 4 3" xfId="42039"/>
    <cellStyle name="20% - Accent4 2 4 6 5" xfId="16073"/>
    <cellStyle name="20% - Accent4 2 4 6 5 2" xfId="44934"/>
    <cellStyle name="20% - Accent4 2 4 6 6" xfId="30298"/>
    <cellStyle name="20% - Accent4 2 4 7" xfId="1642"/>
    <cellStyle name="20% - Accent4 2 4 7 2" xfId="4529"/>
    <cellStyle name="20% - Accent4 2 4 7 2 2" xfId="10570"/>
    <cellStyle name="20% - Accent4 2 4 7 2 2 2" xfId="27617"/>
    <cellStyle name="20% - Accent4 2 4 7 2 2 2 2" xfId="56478"/>
    <cellStyle name="20% - Accent4 2 4 7 2 2 3" xfId="39431"/>
    <cellStyle name="20% - Accent4 2 4 7 2 3" xfId="21639"/>
    <cellStyle name="20% - Accent4 2 4 7 2 3 2" xfId="50500"/>
    <cellStyle name="20% - Accent4 2 4 7 2 4" xfId="33390"/>
    <cellStyle name="20% - Accent4 2 4 7 3" xfId="7684"/>
    <cellStyle name="20% - Accent4 2 4 7 3 2" xfId="24731"/>
    <cellStyle name="20% - Accent4 2 4 7 3 2 2" xfId="53592"/>
    <cellStyle name="20% - Accent4 2 4 7 3 3" xfId="36545"/>
    <cellStyle name="20% - Accent4 2 4 7 4" xfId="14171"/>
    <cellStyle name="20% - Accent4 2 4 7 4 2" xfId="18959"/>
    <cellStyle name="20% - Accent4 2 4 7 4 2 2" xfId="47820"/>
    <cellStyle name="20% - Accent4 2 4 7 4 3" xfId="43032"/>
    <cellStyle name="20% - Accent4 2 4 7 5" xfId="16279"/>
    <cellStyle name="20% - Accent4 2 4 7 5 2" xfId="45140"/>
    <cellStyle name="20% - Accent4 2 4 7 6" xfId="30504"/>
    <cellStyle name="20% - Accent4 2 4 8" xfId="1848"/>
    <cellStyle name="20% - Accent4 2 4 8 2" xfId="4735"/>
    <cellStyle name="20% - Accent4 2 4 8 2 2" xfId="10776"/>
    <cellStyle name="20% - Accent4 2 4 8 2 2 2" xfId="27823"/>
    <cellStyle name="20% - Accent4 2 4 8 2 2 2 2" xfId="56684"/>
    <cellStyle name="20% - Accent4 2 4 8 2 2 3" xfId="39637"/>
    <cellStyle name="20% - Accent4 2 4 8 2 3" xfId="21845"/>
    <cellStyle name="20% - Accent4 2 4 8 2 3 2" xfId="50706"/>
    <cellStyle name="20% - Accent4 2 4 8 2 4" xfId="33596"/>
    <cellStyle name="20% - Accent4 2 4 8 3" xfId="7890"/>
    <cellStyle name="20% - Accent4 2 4 8 3 2" xfId="24937"/>
    <cellStyle name="20% - Accent4 2 4 8 3 2 2" xfId="53798"/>
    <cellStyle name="20% - Accent4 2 4 8 3 3" xfId="36751"/>
    <cellStyle name="20% - Accent4 2 4 8 4" xfId="13986"/>
    <cellStyle name="20% - Accent4 2 4 8 4 2" xfId="19165"/>
    <cellStyle name="20% - Accent4 2 4 8 4 2 2" xfId="48026"/>
    <cellStyle name="20% - Accent4 2 4 8 4 3" xfId="42847"/>
    <cellStyle name="20% - Accent4 2 4 8 5" xfId="16485"/>
    <cellStyle name="20% - Accent4 2 4 8 5 2" xfId="45346"/>
    <cellStyle name="20% - Accent4 2 4 8 6" xfId="30710"/>
    <cellStyle name="20% - Accent4 2 4 9" xfId="2054"/>
    <cellStyle name="20% - Accent4 2 4 9 2" xfId="4941"/>
    <cellStyle name="20% - Accent4 2 4 9 2 2" xfId="10982"/>
    <cellStyle name="20% - Accent4 2 4 9 2 2 2" xfId="28029"/>
    <cellStyle name="20% - Accent4 2 4 9 2 2 2 2" xfId="56890"/>
    <cellStyle name="20% - Accent4 2 4 9 2 2 3" xfId="39843"/>
    <cellStyle name="20% - Accent4 2 4 9 2 3" xfId="22051"/>
    <cellStyle name="20% - Accent4 2 4 9 2 3 2" xfId="50912"/>
    <cellStyle name="20% - Accent4 2 4 9 2 4" xfId="33802"/>
    <cellStyle name="20% - Accent4 2 4 9 3" xfId="8096"/>
    <cellStyle name="20% - Accent4 2 4 9 3 2" xfId="25143"/>
    <cellStyle name="20% - Accent4 2 4 9 3 2 2" xfId="54004"/>
    <cellStyle name="20% - Accent4 2 4 9 3 3" xfId="36957"/>
    <cellStyle name="20% - Accent4 2 4 9 4" xfId="12144"/>
    <cellStyle name="20% - Accent4 2 4 9 4 2" xfId="19371"/>
    <cellStyle name="20% - Accent4 2 4 9 4 2 2" xfId="48232"/>
    <cellStyle name="20% - Accent4 2 4 9 4 3" xfId="41005"/>
    <cellStyle name="20% - Accent4 2 4 9 5" xfId="16691"/>
    <cellStyle name="20% - Accent4 2 4 9 5 2" xfId="45552"/>
    <cellStyle name="20% - Accent4 2 4 9 6" xfId="30916"/>
    <cellStyle name="20% - Accent4 2 5" xfId="200"/>
    <cellStyle name="20% - Accent4 2 5 2" xfId="612"/>
    <cellStyle name="20% - Accent4 2 5 2 2" xfId="3499"/>
    <cellStyle name="20% - Accent4 2 5 2 2 2" xfId="9540"/>
    <cellStyle name="20% - Accent4 2 5 2 2 2 2" xfId="26587"/>
    <cellStyle name="20% - Accent4 2 5 2 2 2 2 2" xfId="55448"/>
    <cellStyle name="20% - Accent4 2 5 2 2 2 3" xfId="38401"/>
    <cellStyle name="20% - Accent4 2 5 2 2 3" xfId="20609"/>
    <cellStyle name="20% - Accent4 2 5 2 2 3 2" xfId="49470"/>
    <cellStyle name="20% - Accent4 2 5 2 2 4" xfId="32360"/>
    <cellStyle name="20% - Accent4 2 5 2 3" xfId="6654"/>
    <cellStyle name="20% - Accent4 2 5 2 3 2" xfId="23701"/>
    <cellStyle name="20% - Accent4 2 5 2 3 2 2" xfId="52562"/>
    <cellStyle name="20% - Accent4 2 5 2 3 3" xfId="35515"/>
    <cellStyle name="20% - Accent4 2 5 2 4" xfId="13575"/>
    <cellStyle name="20% - Accent4 2 5 2 4 2" xfId="17929"/>
    <cellStyle name="20% - Accent4 2 5 2 4 2 2" xfId="46790"/>
    <cellStyle name="20% - Accent4 2 5 2 4 3" xfId="42436"/>
    <cellStyle name="20% - Accent4 2 5 2 5" xfId="15249"/>
    <cellStyle name="20% - Accent4 2 5 2 5 2" xfId="44110"/>
    <cellStyle name="20% - Accent4 2 5 2 6" xfId="29474"/>
    <cellStyle name="20% - Accent4 2 5 3" xfId="2157"/>
    <cellStyle name="20% - Accent4 2 5 3 2" xfId="5044"/>
    <cellStyle name="20% - Accent4 2 5 3 2 2" xfId="11085"/>
    <cellStyle name="20% - Accent4 2 5 3 2 2 2" xfId="28132"/>
    <cellStyle name="20% - Accent4 2 5 3 2 2 2 2" xfId="56993"/>
    <cellStyle name="20% - Accent4 2 5 3 2 2 3" xfId="39946"/>
    <cellStyle name="20% - Accent4 2 5 3 2 3" xfId="22154"/>
    <cellStyle name="20% - Accent4 2 5 3 2 3 2" xfId="51015"/>
    <cellStyle name="20% - Accent4 2 5 3 2 4" xfId="33905"/>
    <cellStyle name="20% - Accent4 2 5 3 3" xfId="8199"/>
    <cellStyle name="20% - Accent4 2 5 3 3 2" xfId="25246"/>
    <cellStyle name="20% - Accent4 2 5 3 3 2 2" xfId="54107"/>
    <cellStyle name="20% - Accent4 2 5 3 3 3" xfId="37060"/>
    <cellStyle name="20% - Accent4 2 5 3 4" xfId="13190"/>
    <cellStyle name="20% - Accent4 2 5 3 4 2" xfId="19474"/>
    <cellStyle name="20% - Accent4 2 5 3 4 2 2" xfId="48335"/>
    <cellStyle name="20% - Accent4 2 5 3 4 3" xfId="42051"/>
    <cellStyle name="20% - Accent4 2 5 3 5" xfId="16794"/>
    <cellStyle name="20% - Accent4 2 5 3 5 2" xfId="45655"/>
    <cellStyle name="20% - Accent4 2 5 3 6" xfId="31019"/>
    <cellStyle name="20% - Accent4 2 5 4" xfId="3087"/>
    <cellStyle name="20% - Accent4 2 5 4 2" xfId="9128"/>
    <cellStyle name="20% - Accent4 2 5 4 2 2" xfId="26175"/>
    <cellStyle name="20% - Accent4 2 5 4 2 2 2" xfId="55036"/>
    <cellStyle name="20% - Accent4 2 5 4 2 3" xfId="37989"/>
    <cellStyle name="20% - Accent4 2 5 4 3" xfId="20197"/>
    <cellStyle name="20% - Accent4 2 5 4 3 2" xfId="49058"/>
    <cellStyle name="20% - Accent4 2 5 4 4" xfId="31948"/>
    <cellStyle name="20% - Accent4 2 5 5" xfId="6242"/>
    <cellStyle name="20% - Accent4 2 5 5 2" xfId="23289"/>
    <cellStyle name="20% - Accent4 2 5 5 2 2" xfId="52150"/>
    <cellStyle name="20% - Accent4 2 5 5 3" xfId="35103"/>
    <cellStyle name="20% - Accent4 2 5 6" xfId="14176"/>
    <cellStyle name="20% - Accent4 2 5 6 2" xfId="17620"/>
    <cellStyle name="20% - Accent4 2 5 6 2 2" xfId="46481"/>
    <cellStyle name="20% - Accent4 2 5 6 3" xfId="43037"/>
    <cellStyle name="20% - Accent4 2 5 7" xfId="14837"/>
    <cellStyle name="20% - Accent4 2 5 7 2" xfId="43698"/>
    <cellStyle name="20% - Accent4 2 5 8" xfId="29062"/>
    <cellStyle name="20% - Accent4 2 6" xfId="406"/>
    <cellStyle name="20% - Accent4 2 6 2" xfId="3293"/>
    <cellStyle name="20% - Accent4 2 6 2 2" xfId="9334"/>
    <cellStyle name="20% - Accent4 2 6 2 2 2" xfId="26381"/>
    <cellStyle name="20% - Accent4 2 6 2 2 2 2" xfId="55242"/>
    <cellStyle name="20% - Accent4 2 6 2 2 3" xfId="38195"/>
    <cellStyle name="20% - Accent4 2 6 2 3" xfId="20403"/>
    <cellStyle name="20% - Accent4 2 6 2 3 2" xfId="49264"/>
    <cellStyle name="20% - Accent4 2 6 2 4" xfId="32154"/>
    <cellStyle name="20% - Accent4 2 6 3" xfId="6448"/>
    <cellStyle name="20% - Accent4 2 6 3 2" xfId="23495"/>
    <cellStyle name="20% - Accent4 2 6 3 2 2" xfId="52356"/>
    <cellStyle name="20% - Accent4 2 6 3 3" xfId="35309"/>
    <cellStyle name="20% - Accent4 2 6 4" xfId="14467"/>
    <cellStyle name="20% - Accent4 2 6 4 2" xfId="17723"/>
    <cellStyle name="20% - Accent4 2 6 4 2 2" xfId="46584"/>
    <cellStyle name="20% - Accent4 2 6 4 3" xfId="43328"/>
    <cellStyle name="20% - Accent4 2 6 5" xfId="15043"/>
    <cellStyle name="20% - Accent4 2 6 5 2" xfId="43904"/>
    <cellStyle name="20% - Accent4 2 6 6" xfId="29268"/>
    <cellStyle name="20% - Accent4 2 7" xfId="715"/>
    <cellStyle name="20% - Accent4 2 7 2" xfId="3602"/>
    <cellStyle name="20% - Accent4 2 7 2 2" xfId="9643"/>
    <cellStyle name="20% - Accent4 2 7 2 2 2" xfId="26690"/>
    <cellStyle name="20% - Accent4 2 7 2 2 2 2" xfId="55551"/>
    <cellStyle name="20% - Accent4 2 7 2 2 3" xfId="38504"/>
    <cellStyle name="20% - Accent4 2 7 2 3" xfId="20712"/>
    <cellStyle name="20% - Accent4 2 7 2 3 2" xfId="49573"/>
    <cellStyle name="20% - Accent4 2 7 2 4" xfId="32463"/>
    <cellStyle name="20% - Accent4 2 7 3" xfId="6757"/>
    <cellStyle name="20% - Accent4 2 7 3 2" xfId="23804"/>
    <cellStyle name="20% - Accent4 2 7 3 2 2" xfId="52665"/>
    <cellStyle name="20% - Accent4 2 7 3 3" xfId="35618"/>
    <cellStyle name="20% - Accent4 2 7 4" xfId="13936"/>
    <cellStyle name="20% - Accent4 2 7 4 2" xfId="18032"/>
    <cellStyle name="20% - Accent4 2 7 4 2 2" xfId="46893"/>
    <cellStyle name="20% - Accent4 2 7 4 3" xfId="42797"/>
    <cellStyle name="20% - Accent4 2 7 5" xfId="15352"/>
    <cellStyle name="20% - Accent4 2 7 5 2" xfId="44213"/>
    <cellStyle name="20% - Accent4 2 7 6" xfId="29577"/>
    <cellStyle name="20% - Accent4 2 8" xfId="921"/>
    <cellStyle name="20% - Accent4 2 8 2" xfId="3808"/>
    <cellStyle name="20% - Accent4 2 8 2 2" xfId="9849"/>
    <cellStyle name="20% - Accent4 2 8 2 2 2" xfId="26896"/>
    <cellStyle name="20% - Accent4 2 8 2 2 2 2" xfId="55757"/>
    <cellStyle name="20% - Accent4 2 8 2 2 3" xfId="38710"/>
    <cellStyle name="20% - Accent4 2 8 2 3" xfId="20918"/>
    <cellStyle name="20% - Accent4 2 8 2 3 2" xfId="49779"/>
    <cellStyle name="20% - Accent4 2 8 2 4" xfId="32669"/>
    <cellStyle name="20% - Accent4 2 8 3" xfId="6963"/>
    <cellStyle name="20% - Accent4 2 8 3 2" xfId="24010"/>
    <cellStyle name="20% - Accent4 2 8 3 2 2" xfId="52871"/>
    <cellStyle name="20% - Accent4 2 8 3 3" xfId="35824"/>
    <cellStyle name="20% - Accent4 2 8 4" xfId="12462"/>
    <cellStyle name="20% - Accent4 2 8 4 2" xfId="18238"/>
    <cellStyle name="20% - Accent4 2 8 4 2 2" xfId="47099"/>
    <cellStyle name="20% - Accent4 2 8 4 3" xfId="41323"/>
    <cellStyle name="20% - Accent4 2 8 5" xfId="15558"/>
    <cellStyle name="20% - Accent4 2 8 5 2" xfId="44419"/>
    <cellStyle name="20% - Accent4 2 8 6" xfId="29783"/>
    <cellStyle name="20% - Accent4 2 9" xfId="1127"/>
    <cellStyle name="20% - Accent4 2 9 2" xfId="4014"/>
    <cellStyle name="20% - Accent4 2 9 2 2" xfId="10055"/>
    <cellStyle name="20% - Accent4 2 9 2 2 2" xfId="27102"/>
    <cellStyle name="20% - Accent4 2 9 2 2 2 2" xfId="55963"/>
    <cellStyle name="20% - Accent4 2 9 2 2 3" xfId="38916"/>
    <cellStyle name="20% - Accent4 2 9 2 3" xfId="21124"/>
    <cellStyle name="20% - Accent4 2 9 2 3 2" xfId="49985"/>
    <cellStyle name="20% - Accent4 2 9 2 4" xfId="32875"/>
    <cellStyle name="20% - Accent4 2 9 3" xfId="7169"/>
    <cellStyle name="20% - Accent4 2 9 3 2" xfId="24216"/>
    <cellStyle name="20% - Accent4 2 9 3 2 2" xfId="53077"/>
    <cellStyle name="20% - Accent4 2 9 3 3" xfId="36030"/>
    <cellStyle name="20% - Accent4 2 9 4" xfId="12470"/>
    <cellStyle name="20% - Accent4 2 9 4 2" xfId="18444"/>
    <cellStyle name="20% - Accent4 2 9 4 2 2" xfId="47305"/>
    <cellStyle name="20% - Accent4 2 9 4 3" xfId="41331"/>
    <cellStyle name="20% - Accent4 2 9 5" xfId="15764"/>
    <cellStyle name="20% - Accent4 2 9 5 2" xfId="44625"/>
    <cellStyle name="20% - Accent4 2 9 6" xfId="29989"/>
    <cellStyle name="20% - Accent4 20" xfId="5867"/>
    <cellStyle name="20% - Accent4 20 2" xfId="22966"/>
    <cellStyle name="20% - Accent4 20 2 2" xfId="51827"/>
    <cellStyle name="20% - Accent4 20 3" xfId="34728"/>
    <cellStyle name="20% - Accent4 21" xfId="6125"/>
    <cellStyle name="20% - Accent4 21 2" xfId="23172"/>
    <cellStyle name="20% - Accent4 21 2 2" xfId="52033"/>
    <cellStyle name="20% - Accent4 21 3" xfId="34986"/>
    <cellStyle name="20% - Accent4 22" xfId="14514"/>
    <cellStyle name="20% - Accent4 22 2" xfId="43375"/>
    <cellStyle name="20% - Accent4 23" xfId="28945"/>
    <cellStyle name="20% - Accent4 3" xfId="110"/>
    <cellStyle name="20% - Accent4 3 10" xfId="1758"/>
    <cellStyle name="20% - Accent4 3 10 2" xfId="4645"/>
    <cellStyle name="20% - Accent4 3 10 2 2" xfId="10686"/>
    <cellStyle name="20% - Accent4 3 10 2 2 2" xfId="27733"/>
    <cellStyle name="20% - Accent4 3 10 2 2 2 2" xfId="56594"/>
    <cellStyle name="20% - Accent4 3 10 2 2 3" xfId="39547"/>
    <cellStyle name="20% - Accent4 3 10 2 3" xfId="21755"/>
    <cellStyle name="20% - Accent4 3 10 2 3 2" xfId="50616"/>
    <cellStyle name="20% - Accent4 3 10 2 4" xfId="33506"/>
    <cellStyle name="20% - Accent4 3 10 3" xfId="7800"/>
    <cellStyle name="20% - Accent4 3 10 3 2" xfId="24847"/>
    <cellStyle name="20% - Accent4 3 10 3 2 2" xfId="53708"/>
    <cellStyle name="20% - Accent4 3 10 3 3" xfId="36661"/>
    <cellStyle name="20% - Accent4 3 10 4" xfId="12669"/>
    <cellStyle name="20% - Accent4 3 10 4 2" xfId="19075"/>
    <cellStyle name="20% - Accent4 3 10 4 2 2" xfId="47936"/>
    <cellStyle name="20% - Accent4 3 10 4 3" xfId="41530"/>
    <cellStyle name="20% - Accent4 3 10 5" xfId="16395"/>
    <cellStyle name="20% - Accent4 3 10 5 2" xfId="45256"/>
    <cellStyle name="20% - Accent4 3 10 6" xfId="30620"/>
    <cellStyle name="20% - Accent4 3 11" xfId="1964"/>
    <cellStyle name="20% - Accent4 3 11 2" xfId="4851"/>
    <cellStyle name="20% - Accent4 3 11 2 2" xfId="10892"/>
    <cellStyle name="20% - Accent4 3 11 2 2 2" xfId="27939"/>
    <cellStyle name="20% - Accent4 3 11 2 2 2 2" xfId="56800"/>
    <cellStyle name="20% - Accent4 3 11 2 2 3" xfId="39753"/>
    <cellStyle name="20% - Accent4 3 11 2 3" xfId="21961"/>
    <cellStyle name="20% - Accent4 3 11 2 3 2" xfId="50822"/>
    <cellStyle name="20% - Accent4 3 11 2 4" xfId="33712"/>
    <cellStyle name="20% - Accent4 3 11 3" xfId="8006"/>
    <cellStyle name="20% - Accent4 3 11 3 2" xfId="25053"/>
    <cellStyle name="20% - Accent4 3 11 3 2 2" xfId="53914"/>
    <cellStyle name="20% - Accent4 3 11 3 3" xfId="36867"/>
    <cellStyle name="20% - Accent4 3 11 4" xfId="13842"/>
    <cellStyle name="20% - Accent4 3 11 4 2" xfId="19281"/>
    <cellStyle name="20% - Accent4 3 11 4 2 2" xfId="48142"/>
    <cellStyle name="20% - Accent4 3 11 4 3" xfId="42703"/>
    <cellStyle name="20% - Accent4 3 11 5" xfId="16601"/>
    <cellStyle name="20% - Accent4 3 11 5 2" xfId="45462"/>
    <cellStyle name="20% - Accent4 3 11 6" xfId="30826"/>
    <cellStyle name="20% - Accent4 3 12" xfId="2376"/>
    <cellStyle name="20% - Accent4 3 12 2" xfId="5263"/>
    <cellStyle name="20% - Accent4 3 12 2 2" xfId="11304"/>
    <cellStyle name="20% - Accent4 3 12 2 2 2" xfId="28351"/>
    <cellStyle name="20% - Accent4 3 12 2 2 2 2" xfId="57212"/>
    <cellStyle name="20% - Accent4 3 12 2 2 3" xfId="40165"/>
    <cellStyle name="20% - Accent4 3 12 2 3" xfId="22373"/>
    <cellStyle name="20% - Accent4 3 12 2 3 2" xfId="51234"/>
    <cellStyle name="20% - Accent4 3 12 2 4" xfId="34124"/>
    <cellStyle name="20% - Accent4 3 12 3" xfId="8418"/>
    <cellStyle name="20% - Accent4 3 12 3 2" xfId="25465"/>
    <cellStyle name="20% - Accent4 3 12 3 2 2" xfId="54326"/>
    <cellStyle name="20% - Accent4 3 12 3 3" xfId="37279"/>
    <cellStyle name="20% - Accent4 3 12 4" xfId="13636"/>
    <cellStyle name="20% - Accent4 3 12 4 2" xfId="19693"/>
    <cellStyle name="20% - Accent4 3 12 4 2 2" xfId="48554"/>
    <cellStyle name="20% - Accent4 3 12 4 3" xfId="42497"/>
    <cellStyle name="20% - Accent4 3 12 5" xfId="17013"/>
    <cellStyle name="20% - Accent4 3 12 5 2" xfId="45874"/>
    <cellStyle name="20% - Accent4 3 12 6" xfId="31238"/>
    <cellStyle name="20% - Accent4 3 13" xfId="2585"/>
    <cellStyle name="20% - Accent4 3 13 2" xfId="5471"/>
    <cellStyle name="20% - Accent4 3 13 2 2" xfId="11512"/>
    <cellStyle name="20% - Accent4 3 13 2 2 2" xfId="28559"/>
    <cellStyle name="20% - Accent4 3 13 2 2 2 2" xfId="57420"/>
    <cellStyle name="20% - Accent4 3 13 2 2 3" xfId="40373"/>
    <cellStyle name="20% - Accent4 3 13 2 3" xfId="22581"/>
    <cellStyle name="20% - Accent4 3 13 2 3 2" xfId="51442"/>
    <cellStyle name="20% - Accent4 3 13 2 4" xfId="34332"/>
    <cellStyle name="20% - Accent4 3 13 3" xfId="8626"/>
    <cellStyle name="20% - Accent4 3 13 3 2" xfId="25673"/>
    <cellStyle name="20% - Accent4 3 13 3 2 2" xfId="54534"/>
    <cellStyle name="20% - Accent4 3 13 3 3" xfId="37487"/>
    <cellStyle name="20% - Accent4 3 13 4" xfId="14002"/>
    <cellStyle name="20% - Accent4 3 13 4 2" xfId="19901"/>
    <cellStyle name="20% - Accent4 3 13 4 2 2" xfId="48762"/>
    <cellStyle name="20% - Accent4 3 13 4 3" xfId="42863"/>
    <cellStyle name="20% - Accent4 3 13 5" xfId="17221"/>
    <cellStyle name="20% - Accent4 3 13 5 2" xfId="46082"/>
    <cellStyle name="20% - Accent4 3 13 6" xfId="31446"/>
    <cellStyle name="20% - Accent4 3 14" xfId="2997"/>
    <cellStyle name="20% - Accent4 3 14 2" xfId="9038"/>
    <cellStyle name="20% - Accent4 3 14 2 2" xfId="26085"/>
    <cellStyle name="20% - Accent4 3 14 2 2 2" xfId="54946"/>
    <cellStyle name="20% - Accent4 3 14 2 3" xfId="37899"/>
    <cellStyle name="20% - Accent4 3 14 3" xfId="12360"/>
    <cellStyle name="20% - Accent4 3 14 3 2" xfId="20107"/>
    <cellStyle name="20% - Accent4 3 14 3 2 2" xfId="48968"/>
    <cellStyle name="20% - Accent4 3 14 3 3" xfId="41221"/>
    <cellStyle name="20% - Accent4 3 14 4" xfId="14747"/>
    <cellStyle name="20% - Accent4 3 14 4 2" xfId="43608"/>
    <cellStyle name="20% - Accent4 3 14 5" xfId="31858"/>
    <cellStyle name="20% - Accent4 3 15" xfId="2791"/>
    <cellStyle name="20% - Accent4 3 15 2" xfId="8832"/>
    <cellStyle name="20% - Accent4 3 15 2 2" xfId="25879"/>
    <cellStyle name="20% - Accent4 3 15 2 2 2" xfId="54740"/>
    <cellStyle name="20% - Accent4 3 15 2 3" xfId="37693"/>
    <cellStyle name="20% - Accent4 3 15 3" xfId="17427"/>
    <cellStyle name="20% - Accent4 3 15 3 2" xfId="46288"/>
    <cellStyle name="20% - Accent4 3 15 4" xfId="31652"/>
    <cellStyle name="20% - Accent4 3 16" xfId="5677"/>
    <cellStyle name="20% - Accent4 3 16 2" xfId="11718"/>
    <cellStyle name="20% - Accent4 3 16 2 2" xfId="28765"/>
    <cellStyle name="20% - Accent4 3 16 2 2 2" xfId="57626"/>
    <cellStyle name="20% - Accent4 3 16 2 3" xfId="40579"/>
    <cellStyle name="20% - Accent4 3 16 3" xfId="22787"/>
    <cellStyle name="20% - Accent4 3 16 3 2" xfId="51648"/>
    <cellStyle name="20% - Accent4 3 16 4" xfId="34538"/>
    <cellStyle name="20% - Accent4 3 17" xfId="5894"/>
    <cellStyle name="20% - Accent4 3 17 2" xfId="22993"/>
    <cellStyle name="20% - Accent4 3 17 2 2" xfId="51854"/>
    <cellStyle name="20% - Accent4 3 17 3" xfId="34755"/>
    <cellStyle name="20% - Accent4 3 18" xfId="6152"/>
    <cellStyle name="20% - Accent4 3 18 2" xfId="23199"/>
    <cellStyle name="20% - Accent4 3 18 2 2" xfId="52060"/>
    <cellStyle name="20% - Accent4 3 18 3" xfId="35013"/>
    <cellStyle name="20% - Accent4 3 19" xfId="14541"/>
    <cellStyle name="20% - Accent4 3 19 2" xfId="43402"/>
    <cellStyle name="20% - Accent4 3 2" xfId="316"/>
    <cellStyle name="20% - Accent4 3 2 10" xfId="2479"/>
    <cellStyle name="20% - Accent4 3 2 10 2" xfId="5366"/>
    <cellStyle name="20% - Accent4 3 2 10 2 2" xfId="11407"/>
    <cellStyle name="20% - Accent4 3 2 10 2 2 2" xfId="28454"/>
    <cellStyle name="20% - Accent4 3 2 10 2 2 2 2" xfId="57315"/>
    <cellStyle name="20% - Accent4 3 2 10 2 2 3" xfId="40268"/>
    <cellStyle name="20% - Accent4 3 2 10 2 3" xfId="22476"/>
    <cellStyle name="20% - Accent4 3 2 10 2 3 2" xfId="51337"/>
    <cellStyle name="20% - Accent4 3 2 10 2 4" xfId="34227"/>
    <cellStyle name="20% - Accent4 3 2 10 3" xfId="8521"/>
    <cellStyle name="20% - Accent4 3 2 10 3 2" xfId="25568"/>
    <cellStyle name="20% - Accent4 3 2 10 3 2 2" xfId="54429"/>
    <cellStyle name="20% - Accent4 3 2 10 3 3" xfId="37382"/>
    <cellStyle name="20% - Accent4 3 2 10 4" xfId="13806"/>
    <cellStyle name="20% - Accent4 3 2 10 4 2" xfId="19796"/>
    <cellStyle name="20% - Accent4 3 2 10 4 2 2" xfId="48657"/>
    <cellStyle name="20% - Accent4 3 2 10 4 3" xfId="42667"/>
    <cellStyle name="20% - Accent4 3 2 10 5" xfId="17116"/>
    <cellStyle name="20% - Accent4 3 2 10 5 2" xfId="45977"/>
    <cellStyle name="20% - Accent4 3 2 10 6" xfId="31341"/>
    <cellStyle name="20% - Accent4 3 2 11" xfId="2688"/>
    <cellStyle name="20% - Accent4 3 2 11 2" xfId="5574"/>
    <cellStyle name="20% - Accent4 3 2 11 2 2" xfId="11615"/>
    <cellStyle name="20% - Accent4 3 2 11 2 2 2" xfId="28662"/>
    <cellStyle name="20% - Accent4 3 2 11 2 2 2 2" xfId="57523"/>
    <cellStyle name="20% - Accent4 3 2 11 2 2 3" xfId="40476"/>
    <cellStyle name="20% - Accent4 3 2 11 2 3" xfId="22684"/>
    <cellStyle name="20% - Accent4 3 2 11 2 3 2" xfId="51545"/>
    <cellStyle name="20% - Accent4 3 2 11 2 4" xfId="34435"/>
    <cellStyle name="20% - Accent4 3 2 11 3" xfId="8729"/>
    <cellStyle name="20% - Accent4 3 2 11 3 2" xfId="25776"/>
    <cellStyle name="20% - Accent4 3 2 11 3 2 2" xfId="54637"/>
    <cellStyle name="20% - Accent4 3 2 11 3 3" xfId="37590"/>
    <cellStyle name="20% - Accent4 3 2 11 4" xfId="12515"/>
    <cellStyle name="20% - Accent4 3 2 11 4 2" xfId="20004"/>
    <cellStyle name="20% - Accent4 3 2 11 4 2 2" xfId="48865"/>
    <cellStyle name="20% - Accent4 3 2 11 4 3" xfId="41376"/>
    <cellStyle name="20% - Accent4 3 2 11 5" xfId="17324"/>
    <cellStyle name="20% - Accent4 3 2 11 5 2" xfId="46185"/>
    <cellStyle name="20% - Accent4 3 2 11 6" xfId="31549"/>
    <cellStyle name="20% - Accent4 3 2 12" xfId="3203"/>
    <cellStyle name="20% - Accent4 3 2 12 2" xfId="9244"/>
    <cellStyle name="20% - Accent4 3 2 12 2 2" xfId="26291"/>
    <cellStyle name="20% - Accent4 3 2 12 2 2 2" xfId="55152"/>
    <cellStyle name="20% - Accent4 3 2 12 2 3" xfId="38105"/>
    <cellStyle name="20% - Accent4 3 2 12 3" xfId="12831"/>
    <cellStyle name="20% - Accent4 3 2 12 3 2" xfId="20313"/>
    <cellStyle name="20% - Accent4 3 2 12 3 2 2" xfId="49174"/>
    <cellStyle name="20% - Accent4 3 2 12 3 3" xfId="41692"/>
    <cellStyle name="20% - Accent4 3 2 12 4" xfId="14953"/>
    <cellStyle name="20% - Accent4 3 2 12 4 2" xfId="43814"/>
    <cellStyle name="20% - Accent4 3 2 12 5" xfId="32064"/>
    <cellStyle name="20% - Accent4 3 2 13" xfId="2894"/>
    <cellStyle name="20% - Accent4 3 2 13 2" xfId="8935"/>
    <cellStyle name="20% - Accent4 3 2 13 2 2" xfId="25982"/>
    <cellStyle name="20% - Accent4 3 2 13 2 2 2" xfId="54843"/>
    <cellStyle name="20% - Accent4 3 2 13 2 3" xfId="37796"/>
    <cellStyle name="20% - Accent4 3 2 13 3" xfId="17530"/>
    <cellStyle name="20% - Accent4 3 2 13 3 2" xfId="46391"/>
    <cellStyle name="20% - Accent4 3 2 13 4" xfId="31755"/>
    <cellStyle name="20% - Accent4 3 2 14" xfId="5780"/>
    <cellStyle name="20% - Accent4 3 2 14 2" xfId="11821"/>
    <cellStyle name="20% - Accent4 3 2 14 2 2" xfId="28868"/>
    <cellStyle name="20% - Accent4 3 2 14 2 2 2" xfId="57729"/>
    <cellStyle name="20% - Accent4 3 2 14 2 3" xfId="40682"/>
    <cellStyle name="20% - Accent4 3 2 14 3" xfId="22890"/>
    <cellStyle name="20% - Accent4 3 2 14 3 2" xfId="51751"/>
    <cellStyle name="20% - Accent4 3 2 14 4" xfId="34641"/>
    <cellStyle name="20% - Accent4 3 2 15" xfId="5997"/>
    <cellStyle name="20% - Accent4 3 2 15 2" xfId="23096"/>
    <cellStyle name="20% - Accent4 3 2 15 2 2" xfId="51957"/>
    <cellStyle name="20% - Accent4 3 2 15 3" xfId="34858"/>
    <cellStyle name="20% - Accent4 3 2 16" xfId="6358"/>
    <cellStyle name="20% - Accent4 3 2 16 2" xfId="23405"/>
    <cellStyle name="20% - Accent4 3 2 16 2 2" xfId="52266"/>
    <cellStyle name="20% - Accent4 3 2 16 3" xfId="35219"/>
    <cellStyle name="20% - Accent4 3 2 17" xfId="14644"/>
    <cellStyle name="20% - Accent4 3 2 17 2" xfId="43505"/>
    <cellStyle name="20% - Accent4 3 2 18" xfId="29178"/>
    <cellStyle name="20% - Accent4 3 2 2" xfId="522"/>
    <cellStyle name="20% - Accent4 3 2 2 2" xfId="2273"/>
    <cellStyle name="20% - Accent4 3 2 2 2 2" xfId="5160"/>
    <cellStyle name="20% - Accent4 3 2 2 2 2 2" xfId="11201"/>
    <cellStyle name="20% - Accent4 3 2 2 2 2 2 2" xfId="28248"/>
    <cellStyle name="20% - Accent4 3 2 2 2 2 2 2 2" xfId="57109"/>
    <cellStyle name="20% - Accent4 3 2 2 2 2 2 3" xfId="40062"/>
    <cellStyle name="20% - Accent4 3 2 2 2 2 3" xfId="22270"/>
    <cellStyle name="20% - Accent4 3 2 2 2 2 3 2" xfId="51131"/>
    <cellStyle name="20% - Accent4 3 2 2 2 2 4" xfId="34021"/>
    <cellStyle name="20% - Accent4 3 2 2 2 3" xfId="8315"/>
    <cellStyle name="20% - Accent4 3 2 2 2 3 2" xfId="25362"/>
    <cellStyle name="20% - Accent4 3 2 2 2 3 2 2" xfId="54223"/>
    <cellStyle name="20% - Accent4 3 2 2 2 3 3" xfId="37176"/>
    <cellStyle name="20% - Accent4 3 2 2 2 4" xfId="12159"/>
    <cellStyle name="20% - Accent4 3 2 2 2 4 2" xfId="19590"/>
    <cellStyle name="20% - Accent4 3 2 2 2 4 2 2" xfId="48451"/>
    <cellStyle name="20% - Accent4 3 2 2 2 4 3" xfId="41020"/>
    <cellStyle name="20% - Accent4 3 2 2 2 5" xfId="16910"/>
    <cellStyle name="20% - Accent4 3 2 2 2 5 2" xfId="45771"/>
    <cellStyle name="20% - Accent4 3 2 2 2 6" xfId="31135"/>
    <cellStyle name="20% - Accent4 3 2 2 3" xfId="3409"/>
    <cellStyle name="20% - Accent4 3 2 2 3 2" xfId="9450"/>
    <cellStyle name="20% - Accent4 3 2 2 3 2 2" xfId="26497"/>
    <cellStyle name="20% - Accent4 3 2 2 3 2 2 2" xfId="55358"/>
    <cellStyle name="20% - Accent4 3 2 2 3 2 3" xfId="38311"/>
    <cellStyle name="20% - Accent4 3 2 2 3 3" xfId="20519"/>
    <cellStyle name="20% - Accent4 3 2 2 3 3 2" xfId="49380"/>
    <cellStyle name="20% - Accent4 3 2 2 3 4" xfId="32270"/>
    <cellStyle name="20% - Accent4 3 2 2 4" xfId="6564"/>
    <cellStyle name="20% - Accent4 3 2 2 4 2" xfId="23611"/>
    <cellStyle name="20% - Accent4 3 2 2 4 2 2" xfId="52472"/>
    <cellStyle name="20% - Accent4 3 2 2 4 3" xfId="35425"/>
    <cellStyle name="20% - Accent4 3 2 2 5" xfId="14030"/>
    <cellStyle name="20% - Accent4 3 2 2 5 2" xfId="17839"/>
    <cellStyle name="20% - Accent4 3 2 2 5 2 2" xfId="46700"/>
    <cellStyle name="20% - Accent4 3 2 2 5 3" xfId="42891"/>
    <cellStyle name="20% - Accent4 3 2 2 6" xfId="15159"/>
    <cellStyle name="20% - Accent4 3 2 2 6 2" xfId="44020"/>
    <cellStyle name="20% - Accent4 3 2 2 7" xfId="29384"/>
    <cellStyle name="20% - Accent4 3 2 3" xfId="831"/>
    <cellStyle name="20% - Accent4 3 2 3 2" xfId="3718"/>
    <cellStyle name="20% - Accent4 3 2 3 2 2" xfId="9759"/>
    <cellStyle name="20% - Accent4 3 2 3 2 2 2" xfId="26806"/>
    <cellStyle name="20% - Accent4 3 2 3 2 2 2 2" xfId="55667"/>
    <cellStyle name="20% - Accent4 3 2 3 2 2 3" xfId="38620"/>
    <cellStyle name="20% - Accent4 3 2 3 2 3" xfId="20828"/>
    <cellStyle name="20% - Accent4 3 2 3 2 3 2" xfId="49689"/>
    <cellStyle name="20% - Accent4 3 2 3 2 4" xfId="32579"/>
    <cellStyle name="20% - Accent4 3 2 3 3" xfId="6873"/>
    <cellStyle name="20% - Accent4 3 2 3 3 2" xfId="23920"/>
    <cellStyle name="20% - Accent4 3 2 3 3 2 2" xfId="52781"/>
    <cellStyle name="20% - Accent4 3 2 3 3 3" xfId="35734"/>
    <cellStyle name="20% - Accent4 3 2 3 4" xfId="14316"/>
    <cellStyle name="20% - Accent4 3 2 3 4 2" xfId="18148"/>
    <cellStyle name="20% - Accent4 3 2 3 4 2 2" xfId="47009"/>
    <cellStyle name="20% - Accent4 3 2 3 4 3" xfId="43177"/>
    <cellStyle name="20% - Accent4 3 2 3 5" xfId="15468"/>
    <cellStyle name="20% - Accent4 3 2 3 5 2" xfId="44329"/>
    <cellStyle name="20% - Accent4 3 2 3 6" xfId="29693"/>
    <cellStyle name="20% - Accent4 3 2 4" xfId="1037"/>
    <cellStyle name="20% - Accent4 3 2 4 2" xfId="3924"/>
    <cellStyle name="20% - Accent4 3 2 4 2 2" xfId="9965"/>
    <cellStyle name="20% - Accent4 3 2 4 2 2 2" xfId="27012"/>
    <cellStyle name="20% - Accent4 3 2 4 2 2 2 2" xfId="55873"/>
    <cellStyle name="20% - Accent4 3 2 4 2 2 3" xfId="38826"/>
    <cellStyle name="20% - Accent4 3 2 4 2 3" xfId="21034"/>
    <cellStyle name="20% - Accent4 3 2 4 2 3 2" xfId="49895"/>
    <cellStyle name="20% - Accent4 3 2 4 2 4" xfId="32785"/>
    <cellStyle name="20% - Accent4 3 2 4 3" xfId="7079"/>
    <cellStyle name="20% - Accent4 3 2 4 3 2" xfId="24126"/>
    <cellStyle name="20% - Accent4 3 2 4 3 2 2" xfId="52987"/>
    <cellStyle name="20% - Accent4 3 2 4 3 3" xfId="35940"/>
    <cellStyle name="20% - Accent4 3 2 4 4" xfId="12810"/>
    <cellStyle name="20% - Accent4 3 2 4 4 2" xfId="18354"/>
    <cellStyle name="20% - Accent4 3 2 4 4 2 2" xfId="47215"/>
    <cellStyle name="20% - Accent4 3 2 4 4 3" xfId="41671"/>
    <cellStyle name="20% - Accent4 3 2 4 5" xfId="15674"/>
    <cellStyle name="20% - Accent4 3 2 4 5 2" xfId="44535"/>
    <cellStyle name="20% - Accent4 3 2 4 6" xfId="29899"/>
    <cellStyle name="20% - Accent4 3 2 5" xfId="1243"/>
    <cellStyle name="20% - Accent4 3 2 5 2" xfId="4130"/>
    <cellStyle name="20% - Accent4 3 2 5 2 2" xfId="10171"/>
    <cellStyle name="20% - Accent4 3 2 5 2 2 2" xfId="27218"/>
    <cellStyle name="20% - Accent4 3 2 5 2 2 2 2" xfId="56079"/>
    <cellStyle name="20% - Accent4 3 2 5 2 2 3" xfId="39032"/>
    <cellStyle name="20% - Accent4 3 2 5 2 3" xfId="21240"/>
    <cellStyle name="20% - Accent4 3 2 5 2 3 2" xfId="50101"/>
    <cellStyle name="20% - Accent4 3 2 5 2 4" xfId="32991"/>
    <cellStyle name="20% - Accent4 3 2 5 3" xfId="7285"/>
    <cellStyle name="20% - Accent4 3 2 5 3 2" xfId="24332"/>
    <cellStyle name="20% - Accent4 3 2 5 3 2 2" xfId="53193"/>
    <cellStyle name="20% - Accent4 3 2 5 3 3" xfId="36146"/>
    <cellStyle name="20% - Accent4 3 2 5 4" xfId="13797"/>
    <cellStyle name="20% - Accent4 3 2 5 4 2" xfId="18560"/>
    <cellStyle name="20% - Accent4 3 2 5 4 2 2" xfId="47421"/>
    <cellStyle name="20% - Accent4 3 2 5 4 3" xfId="42658"/>
    <cellStyle name="20% - Accent4 3 2 5 5" xfId="15880"/>
    <cellStyle name="20% - Accent4 3 2 5 5 2" xfId="44741"/>
    <cellStyle name="20% - Accent4 3 2 5 6" xfId="30105"/>
    <cellStyle name="20% - Accent4 3 2 6" xfId="1449"/>
    <cellStyle name="20% - Accent4 3 2 6 2" xfId="4336"/>
    <cellStyle name="20% - Accent4 3 2 6 2 2" xfId="10377"/>
    <cellStyle name="20% - Accent4 3 2 6 2 2 2" xfId="27424"/>
    <cellStyle name="20% - Accent4 3 2 6 2 2 2 2" xfId="56285"/>
    <cellStyle name="20% - Accent4 3 2 6 2 2 3" xfId="39238"/>
    <cellStyle name="20% - Accent4 3 2 6 2 3" xfId="21446"/>
    <cellStyle name="20% - Accent4 3 2 6 2 3 2" xfId="50307"/>
    <cellStyle name="20% - Accent4 3 2 6 2 4" xfId="33197"/>
    <cellStyle name="20% - Accent4 3 2 6 3" xfId="7491"/>
    <cellStyle name="20% - Accent4 3 2 6 3 2" xfId="24538"/>
    <cellStyle name="20% - Accent4 3 2 6 3 2 2" xfId="53399"/>
    <cellStyle name="20% - Accent4 3 2 6 3 3" xfId="36352"/>
    <cellStyle name="20% - Accent4 3 2 6 4" xfId="13498"/>
    <cellStyle name="20% - Accent4 3 2 6 4 2" xfId="18766"/>
    <cellStyle name="20% - Accent4 3 2 6 4 2 2" xfId="47627"/>
    <cellStyle name="20% - Accent4 3 2 6 4 3" xfId="42359"/>
    <cellStyle name="20% - Accent4 3 2 6 5" xfId="16086"/>
    <cellStyle name="20% - Accent4 3 2 6 5 2" xfId="44947"/>
    <cellStyle name="20% - Accent4 3 2 6 6" xfId="30311"/>
    <cellStyle name="20% - Accent4 3 2 7" xfId="1655"/>
    <cellStyle name="20% - Accent4 3 2 7 2" xfId="4542"/>
    <cellStyle name="20% - Accent4 3 2 7 2 2" xfId="10583"/>
    <cellStyle name="20% - Accent4 3 2 7 2 2 2" xfId="27630"/>
    <cellStyle name="20% - Accent4 3 2 7 2 2 2 2" xfId="56491"/>
    <cellStyle name="20% - Accent4 3 2 7 2 2 3" xfId="39444"/>
    <cellStyle name="20% - Accent4 3 2 7 2 3" xfId="21652"/>
    <cellStyle name="20% - Accent4 3 2 7 2 3 2" xfId="50513"/>
    <cellStyle name="20% - Accent4 3 2 7 2 4" xfId="33403"/>
    <cellStyle name="20% - Accent4 3 2 7 3" xfId="7697"/>
    <cellStyle name="20% - Accent4 3 2 7 3 2" xfId="24744"/>
    <cellStyle name="20% - Accent4 3 2 7 3 2 2" xfId="53605"/>
    <cellStyle name="20% - Accent4 3 2 7 3 3" xfId="36558"/>
    <cellStyle name="20% - Accent4 3 2 7 4" xfId="12447"/>
    <cellStyle name="20% - Accent4 3 2 7 4 2" xfId="18972"/>
    <cellStyle name="20% - Accent4 3 2 7 4 2 2" xfId="47833"/>
    <cellStyle name="20% - Accent4 3 2 7 4 3" xfId="41308"/>
    <cellStyle name="20% - Accent4 3 2 7 5" xfId="16292"/>
    <cellStyle name="20% - Accent4 3 2 7 5 2" xfId="45153"/>
    <cellStyle name="20% - Accent4 3 2 7 6" xfId="30517"/>
    <cellStyle name="20% - Accent4 3 2 8" xfId="1861"/>
    <cellStyle name="20% - Accent4 3 2 8 2" xfId="4748"/>
    <cellStyle name="20% - Accent4 3 2 8 2 2" xfId="10789"/>
    <cellStyle name="20% - Accent4 3 2 8 2 2 2" xfId="27836"/>
    <cellStyle name="20% - Accent4 3 2 8 2 2 2 2" xfId="56697"/>
    <cellStyle name="20% - Accent4 3 2 8 2 2 3" xfId="39650"/>
    <cellStyle name="20% - Accent4 3 2 8 2 3" xfId="21858"/>
    <cellStyle name="20% - Accent4 3 2 8 2 3 2" xfId="50719"/>
    <cellStyle name="20% - Accent4 3 2 8 2 4" xfId="33609"/>
    <cellStyle name="20% - Accent4 3 2 8 3" xfId="7903"/>
    <cellStyle name="20% - Accent4 3 2 8 3 2" xfId="24950"/>
    <cellStyle name="20% - Accent4 3 2 8 3 2 2" xfId="53811"/>
    <cellStyle name="20% - Accent4 3 2 8 3 3" xfId="36764"/>
    <cellStyle name="20% - Accent4 3 2 8 4" xfId="13236"/>
    <cellStyle name="20% - Accent4 3 2 8 4 2" xfId="19178"/>
    <cellStyle name="20% - Accent4 3 2 8 4 2 2" xfId="48039"/>
    <cellStyle name="20% - Accent4 3 2 8 4 3" xfId="42097"/>
    <cellStyle name="20% - Accent4 3 2 8 5" xfId="16498"/>
    <cellStyle name="20% - Accent4 3 2 8 5 2" xfId="45359"/>
    <cellStyle name="20% - Accent4 3 2 8 6" xfId="30723"/>
    <cellStyle name="20% - Accent4 3 2 9" xfId="2067"/>
    <cellStyle name="20% - Accent4 3 2 9 2" xfId="4954"/>
    <cellStyle name="20% - Accent4 3 2 9 2 2" xfId="10995"/>
    <cellStyle name="20% - Accent4 3 2 9 2 2 2" xfId="28042"/>
    <cellStyle name="20% - Accent4 3 2 9 2 2 2 2" xfId="56903"/>
    <cellStyle name="20% - Accent4 3 2 9 2 2 3" xfId="39856"/>
    <cellStyle name="20% - Accent4 3 2 9 2 3" xfId="22064"/>
    <cellStyle name="20% - Accent4 3 2 9 2 3 2" xfId="50925"/>
    <cellStyle name="20% - Accent4 3 2 9 2 4" xfId="33815"/>
    <cellStyle name="20% - Accent4 3 2 9 3" xfId="8109"/>
    <cellStyle name="20% - Accent4 3 2 9 3 2" xfId="25156"/>
    <cellStyle name="20% - Accent4 3 2 9 3 2 2" xfId="54017"/>
    <cellStyle name="20% - Accent4 3 2 9 3 3" xfId="36970"/>
    <cellStyle name="20% - Accent4 3 2 9 4" xfId="13064"/>
    <cellStyle name="20% - Accent4 3 2 9 4 2" xfId="19384"/>
    <cellStyle name="20% - Accent4 3 2 9 4 2 2" xfId="48245"/>
    <cellStyle name="20% - Accent4 3 2 9 4 3" xfId="41925"/>
    <cellStyle name="20% - Accent4 3 2 9 5" xfId="16704"/>
    <cellStyle name="20% - Accent4 3 2 9 5 2" xfId="45565"/>
    <cellStyle name="20% - Accent4 3 2 9 6" xfId="30929"/>
    <cellStyle name="20% - Accent4 3 20" xfId="28972"/>
    <cellStyle name="20% - Accent4 3 3" xfId="213"/>
    <cellStyle name="20% - Accent4 3 3 2" xfId="625"/>
    <cellStyle name="20% - Accent4 3 3 2 2" xfId="3512"/>
    <cellStyle name="20% - Accent4 3 3 2 2 2" xfId="9553"/>
    <cellStyle name="20% - Accent4 3 3 2 2 2 2" xfId="26600"/>
    <cellStyle name="20% - Accent4 3 3 2 2 2 2 2" xfId="55461"/>
    <cellStyle name="20% - Accent4 3 3 2 2 2 3" xfId="38414"/>
    <cellStyle name="20% - Accent4 3 3 2 2 3" xfId="20622"/>
    <cellStyle name="20% - Accent4 3 3 2 2 3 2" xfId="49483"/>
    <cellStyle name="20% - Accent4 3 3 2 2 4" xfId="32373"/>
    <cellStyle name="20% - Accent4 3 3 2 3" xfId="6667"/>
    <cellStyle name="20% - Accent4 3 3 2 3 2" xfId="23714"/>
    <cellStyle name="20% - Accent4 3 3 2 3 2 2" xfId="52575"/>
    <cellStyle name="20% - Accent4 3 3 2 3 3" xfId="35528"/>
    <cellStyle name="20% - Accent4 3 3 2 4" xfId="12475"/>
    <cellStyle name="20% - Accent4 3 3 2 4 2" xfId="17942"/>
    <cellStyle name="20% - Accent4 3 3 2 4 2 2" xfId="46803"/>
    <cellStyle name="20% - Accent4 3 3 2 4 3" xfId="41336"/>
    <cellStyle name="20% - Accent4 3 3 2 5" xfId="15262"/>
    <cellStyle name="20% - Accent4 3 3 2 5 2" xfId="44123"/>
    <cellStyle name="20% - Accent4 3 3 2 6" xfId="29487"/>
    <cellStyle name="20% - Accent4 3 3 3" xfId="2170"/>
    <cellStyle name="20% - Accent4 3 3 3 2" xfId="5057"/>
    <cellStyle name="20% - Accent4 3 3 3 2 2" xfId="11098"/>
    <cellStyle name="20% - Accent4 3 3 3 2 2 2" xfId="28145"/>
    <cellStyle name="20% - Accent4 3 3 3 2 2 2 2" xfId="57006"/>
    <cellStyle name="20% - Accent4 3 3 3 2 2 3" xfId="39959"/>
    <cellStyle name="20% - Accent4 3 3 3 2 3" xfId="22167"/>
    <cellStyle name="20% - Accent4 3 3 3 2 3 2" xfId="51028"/>
    <cellStyle name="20% - Accent4 3 3 3 2 4" xfId="33918"/>
    <cellStyle name="20% - Accent4 3 3 3 3" xfId="8212"/>
    <cellStyle name="20% - Accent4 3 3 3 3 2" xfId="25259"/>
    <cellStyle name="20% - Accent4 3 3 3 3 2 2" xfId="54120"/>
    <cellStyle name="20% - Accent4 3 3 3 3 3" xfId="37073"/>
    <cellStyle name="20% - Accent4 3 3 3 4" xfId="11909"/>
    <cellStyle name="20% - Accent4 3 3 3 4 2" xfId="19487"/>
    <cellStyle name="20% - Accent4 3 3 3 4 2 2" xfId="48348"/>
    <cellStyle name="20% - Accent4 3 3 3 4 3" xfId="40770"/>
    <cellStyle name="20% - Accent4 3 3 3 5" xfId="16807"/>
    <cellStyle name="20% - Accent4 3 3 3 5 2" xfId="45668"/>
    <cellStyle name="20% - Accent4 3 3 3 6" xfId="31032"/>
    <cellStyle name="20% - Accent4 3 3 4" xfId="3100"/>
    <cellStyle name="20% - Accent4 3 3 4 2" xfId="9141"/>
    <cellStyle name="20% - Accent4 3 3 4 2 2" xfId="26188"/>
    <cellStyle name="20% - Accent4 3 3 4 2 2 2" xfId="55049"/>
    <cellStyle name="20% - Accent4 3 3 4 2 3" xfId="38002"/>
    <cellStyle name="20% - Accent4 3 3 4 3" xfId="20210"/>
    <cellStyle name="20% - Accent4 3 3 4 3 2" xfId="49071"/>
    <cellStyle name="20% - Accent4 3 3 4 4" xfId="31961"/>
    <cellStyle name="20% - Accent4 3 3 5" xfId="6255"/>
    <cellStyle name="20% - Accent4 3 3 5 2" xfId="23302"/>
    <cellStyle name="20% - Accent4 3 3 5 2 2" xfId="52163"/>
    <cellStyle name="20% - Accent4 3 3 5 3" xfId="35116"/>
    <cellStyle name="20% - Accent4 3 3 6" xfId="12047"/>
    <cellStyle name="20% - Accent4 3 3 6 2" xfId="17633"/>
    <cellStyle name="20% - Accent4 3 3 6 2 2" xfId="46494"/>
    <cellStyle name="20% - Accent4 3 3 6 3" xfId="40908"/>
    <cellStyle name="20% - Accent4 3 3 7" xfId="14850"/>
    <cellStyle name="20% - Accent4 3 3 7 2" xfId="43711"/>
    <cellStyle name="20% - Accent4 3 3 8" xfId="29075"/>
    <cellStyle name="20% - Accent4 3 4" xfId="419"/>
    <cellStyle name="20% - Accent4 3 4 2" xfId="3306"/>
    <cellStyle name="20% - Accent4 3 4 2 2" xfId="9347"/>
    <cellStyle name="20% - Accent4 3 4 2 2 2" xfId="26394"/>
    <cellStyle name="20% - Accent4 3 4 2 2 2 2" xfId="55255"/>
    <cellStyle name="20% - Accent4 3 4 2 2 3" xfId="38208"/>
    <cellStyle name="20% - Accent4 3 4 2 3" xfId="20416"/>
    <cellStyle name="20% - Accent4 3 4 2 3 2" xfId="49277"/>
    <cellStyle name="20% - Accent4 3 4 2 4" xfId="32167"/>
    <cellStyle name="20% - Accent4 3 4 3" xfId="6461"/>
    <cellStyle name="20% - Accent4 3 4 3 2" xfId="23508"/>
    <cellStyle name="20% - Accent4 3 4 3 2 2" xfId="52369"/>
    <cellStyle name="20% - Accent4 3 4 3 3" xfId="35322"/>
    <cellStyle name="20% - Accent4 3 4 4" xfId="13003"/>
    <cellStyle name="20% - Accent4 3 4 4 2" xfId="17736"/>
    <cellStyle name="20% - Accent4 3 4 4 2 2" xfId="46597"/>
    <cellStyle name="20% - Accent4 3 4 4 3" xfId="41864"/>
    <cellStyle name="20% - Accent4 3 4 5" xfId="15056"/>
    <cellStyle name="20% - Accent4 3 4 5 2" xfId="43917"/>
    <cellStyle name="20% - Accent4 3 4 6" xfId="29281"/>
    <cellStyle name="20% - Accent4 3 5" xfId="728"/>
    <cellStyle name="20% - Accent4 3 5 2" xfId="3615"/>
    <cellStyle name="20% - Accent4 3 5 2 2" xfId="9656"/>
    <cellStyle name="20% - Accent4 3 5 2 2 2" xfId="26703"/>
    <cellStyle name="20% - Accent4 3 5 2 2 2 2" xfId="55564"/>
    <cellStyle name="20% - Accent4 3 5 2 2 3" xfId="38517"/>
    <cellStyle name="20% - Accent4 3 5 2 3" xfId="20725"/>
    <cellStyle name="20% - Accent4 3 5 2 3 2" xfId="49586"/>
    <cellStyle name="20% - Accent4 3 5 2 4" xfId="32476"/>
    <cellStyle name="20% - Accent4 3 5 3" xfId="6770"/>
    <cellStyle name="20% - Accent4 3 5 3 2" xfId="23817"/>
    <cellStyle name="20% - Accent4 3 5 3 2 2" xfId="52678"/>
    <cellStyle name="20% - Accent4 3 5 3 3" xfId="35631"/>
    <cellStyle name="20% - Accent4 3 5 4" xfId="13564"/>
    <cellStyle name="20% - Accent4 3 5 4 2" xfId="18045"/>
    <cellStyle name="20% - Accent4 3 5 4 2 2" xfId="46906"/>
    <cellStyle name="20% - Accent4 3 5 4 3" xfId="42425"/>
    <cellStyle name="20% - Accent4 3 5 5" xfId="15365"/>
    <cellStyle name="20% - Accent4 3 5 5 2" xfId="44226"/>
    <cellStyle name="20% - Accent4 3 5 6" xfId="29590"/>
    <cellStyle name="20% - Accent4 3 6" xfId="934"/>
    <cellStyle name="20% - Accent4 3 6 2" xfId="3821"/>
    <cellStyle name="20% - Accent4 3 6 2 2" xfId="9862"/>
    <cellStyle name="20% - Accent4 3 6 2 2 2" xfId="26909"/>
    <cellStyle name="20% - Accent4 3 6 2 2 2 2" xfId="55770"/>
    <cellStyle name="20% - Accent4 3 6 2 2 3" xfId="38723"/>
    <cellStyle name="20% - Accent4 3 6 2 3" xfId="20931"/>
    <cellStyle name="20% - Accent4 3 6 2 3 2" xfId="49792"/>
    <cellStyle name="20% - Accent4 3 6 2 4" xfId="32682"/>
    <cellStyle name="20% - Accent4 3 6 3" xfId="6976"/>
    <cellStyle name="20% - Accent4 3 6 3 2" xfId="24023"/>
    <cellStyle name="20% - Accent4 3 6 3 2 2" xfId="52884"/>
    <cellStyle name="20% - Accent4 3 6 3 3" xfId="35837"/>
    <cellStyle name="20% - Accent4 3 6 4" xfId="13138"/>
    <cellStyle name="20% - Accent4 3 6 4 2" xfId="18251"/>
    <cellStyle name="20% - Accent4 3 6 4 2 2" xfId="47112"/>
    <cellStyle name="20% - Accent4 3 6 4 3" xfId="41999"/>
    <cellStyle name="20% - Accent4 3 6 5" xfId="15571"/>
    <cellStyle name="20% - Accent4 3 6 5 2" xfId="44432"/>
    <cellStyle name="20% - Accent4 3 6 6" xfId="29796"/>
    <cellStyle name="20% - Accent4 3 7" xfId="1140"/>
    <cellStyle name="20% - Accent4 3 7 2" xfId="4027"/>
    <cellStyle name="20% - Accent4 3 7 2 2" xfId="10068"/>
    <cellStyle name="20% - Accent4 3 7 2 2 2" xfId="27115"/>
    <cellStyle name="20% - Accent4 3 7 2 2 2 2" xfId="55976"/>
    <cellStyle name="20% - Accent4 3 7 2 2 3" xfId="38929"/>
    <cellStyle name="20% - Accent4 3 7 2 3" xfId="21137"/>
    <cellStyle name="20% - Accent4 3 7 2 3 2" xfId="49998"/>
    <cellStyle name="20% - Accent4 3 7 2 4" xfId="32888"/>
    <cellStyle name="20% - Accent4 3 7 3" xfId="7182"/>
    <cellStyle name="20% - Accent4 3 7 3 2" xfId="24229"/>
    <cellStyle name="20% - Accent4 3 7 3 2 2" xfId="53090"/>
    <cellStyle name="20% - Accent4 3 7 3 3" xfId="36043"/>
    <cellStyle name="20% - Accent4 3 7 4" xfId="13043"/>
    <cellStyle name="20% - Accent4 3 7 4 2" xfId="18457"/>
    <cellStyle name="20% - Accent4 3 7 4 2 2" xfId="47318"/>
    <cellStyle name="20% - Accent4 3 7 4 3" xfId="41904"/>
    <cellStyle name="20% - Accent4 3 7 5" xfId="15777"/>
    <cellStyle name="20% - Accent4 3 7 5 2" xfId="44638"/>
    <cellStyle name="20% - Accent4 3 7 6" xfId="30002"/>
    <cellStyle name="20% - Accent4 3 8" xfId="1346"/>
    <cellStyle name="20% - Accent4 3 8 2" xfId="4233"/>
    <cellStyle name="20% - Accent4 3 8 2 2" xfId="10274"/>
    <cellStyle name="20% - Accent4 3 8 2 2 2" xfId="27321"/>
    <cellStyle name="20% - Accent4 3 8 2 2 2 2" xfId="56182"/>
    <cellStyle name="20% - Accent4 3 8 2 2 3" xfId="39135"/>
    <cellStyle name="20% - Accent4 3 8 2 3" xfId="21343"/>
    <cellStyle name="20% - Accent4 3 8 2 3 2" xfId="50204"/>
    <cellStyle name="20% - Accent4 3 8 2 4" xfId="33094"/>
    <cellStyle name="20% - Accent4 3 8 3" xfId="7388"/>
    <cellStyle name="20% - Accent4 3 8 3 2" xfId="24435"/>
    <cellStyle name="20% - Accent4 3 8 3 2 2" xfId="53296"/>
    <cellStyle name="20% - Accent4 3 8 3 3" xfId="36249"/>
    <cellStyle name="20% - Accent4 3 8 4" xfId="11879"/>
    <cellStyle name="20% - Accent4 3 8 4 2" xfId="18663"/>
    <cellStyle name="20% - Accent4 3 8 4 2 2" xfId="47524"/>
    <cellStyle name="20% - Accent4 3 8 4 3" xfId="40740"/>
    <cellStyle name="20% - Accent4 3 8 5" xfId="15983"/>
    <cellStyle name="20% - Accent4 3 8 5 2" xfId="44844"/>
    <cellStyle name="20% - Accent4 3 8 6" xfId="30208"/>
    <cellStyle name="20% - Accent4 3 9" xfId="1552"/>
    <cellStyle name="20% - Accent4 3 9 2" xfId="4439"/>
    <cellStyle name="20% - Accent4 3 9 2 2" xfId="10480"/>
    <cellStyle name="20% - Accent4 3 9 2 2 2" xfId="27527"/>
    <cellStyle name="20% - Accent4 3 9 2 2 2 2" xfId="56388"/>
    <cellStyle name="20% - Accent4 3 9 2 2 3" xfId="39341"/>
    <cellStyle name="20% - Accent4 3 9 2 3" xfId="21549"/>
    <cellStyle name="20% - Accent4 3 9 2 3 2" xfId="50410"/>
    <cellStyle name="20% - Accent4 3 9 2 4" xfId="33300"/>
    <cellStyle name="20% - Accent4 3 9 3" xfId="7594"/>
    <cellStyle name="20% - Accent4 3 9 3 2" xfId="24641"/>
    <cellStyle name="20% - Accent4 3 9 3 2 2" xfId="53502"/>
    <cellStyle name="20% - Accent4 3 9 3 3" xfId="36455"/>
    <cellStyle name="20% - Accent4 3 9 4" xfId="12634"/>
    <cellStyle name="20% - Accent4 3 9 4 2" xfId="18869"/>
    <cellStyle name="20% - Accent4 3 9 4 2 2" xfId="47730"/>
    <cellStyle name="20% - Accent4 3 9 4 3" xfId="41495"/>
    <cellStyle name="20% - Accent4 3 9 5" xfId="16189"/>
    <cellStyle name="20% - Accent4 3 9 5 2" xfId="45050"/>
    <cellStyle name="20% - Accent4 3 9 6" xfId="30414"/>
    <cellStyle name="20% - Accent4 4" xfId="136"/>
    <cellStyle name="20% - Accent4 4 10" xfId="1784"/>
    <cellStyle name="20% - Accent4 4 10 2" xfId="4671"/>
    <cellStyle name="20% - Accent4 4 10 2 2" xfId="10712"/>
    <cellStyle name="20% - Accent4 4 10 2 2 2" xfId="27759"/>
    <cellStyle name="20% - Accent4 4 10 2 2 2 2" xfId="56620"/>
    <cellStyle name="20% - Accent4 4 10 2 2 3" xfId="39573"/>
    <cellStyle name="20% - Accent4 4 10 2 3" xfId="21781"/>
    <cellStyle name="20% - Accent4 4 10 2 3 2" xfId="50642"/>
    <cellStyle name="20% - Accent4 4 10 2 4" xfId="33532"/>
    <cellStyle name="20% - Accent4 4 10 3" xfId="7826"/>
    <cellStyle name="20% - Accent4 4 10 3 2" xfId="24873"/>
    <cellStyle name="20% - Accent4 4 10 3 2 2" xfId="53734"/>
    <cellStyle name="20% - Accent4 4 10 3 3" xfId="36687"/>
    <cellStyle name="20% - Accent4 4 10 4" xfId="12189"/>
    <cellStyle name="20% - Accent4 4 10 4 2" xfId="19101"/>
    <cellStyle name="20% - Accent4 4 10 4 2 2" xfId="47962"/>
    <cellStyle name="20% - Accent4 4 10 4 3" xfId="41050"/>
    <cellStyle name="20% - Accent4 4 10 5" xfId="16421"/>
    <cellStyle name="20% - Accent4 4 10 5 2" xfId="45282"/>
    <cellStyle name="20% - Accent4 4 10 6" xfId="30646"/>
    <cellStyle name="20% - Accent4 4 11" xfId="1990"/>
    <cellStyle name="20% - Accent4 4 11 2" xfId="4877"/>
    <cellStyle name="20% - Accent4 4 11 2 2" xfId="10918"/>
    <cellStyle name="20% - Accent4 4 11 2 2 2" xfId="27965"/>
    <cellStyle name="20% - Accent4 4 11 2 2 2 2" xfId="56826"/>
    <cellStyle name="20% - Accent4 4 11 2 2 3" xfId="39779"/>
    <cellStyle name="20% - Accent4 4 11 2 3" xfId="21987"/>
    <cellStyle name="20% - Accent4 4 11 2 3 2" xfId="50848"/>
    <cellStyle name="20% - Accent4 4 11 2 4" xfId="33738"/>
    <cellStyle name="20% - Accent4 4 11 3" xfId="8032"/>
    <cellStyle name="20% - Accent4 4 11 3 2" xfId="25079"/>
    <cellStyle name="20% - Accent4 4 11 3 2 2" xfId="53940"/>
    <cellStyle name="20% - Accent4 4 11 3 3" xfId="36893"/>
    <cellStyle name="20% - Accent4 4 11 4" xfId="11990"/>
    <cellStyle name="20% - Accent4 4 11 4 2" xfId="19307"/>
    <cellStyle name="20% - Accent4 4 11 4 2 2" xfId="48168"/>
    <cellStyle name="20% - Accent4 4 11 4 3" xfId="40851"/>
    <cellStyle name="20% - Accent4 4 11 5" xfId="16627"/>
    <cellStyle name="20% - Accent4 4 11 5 2" xfId="45488"/>
    <cellStyle name="20% - Accent4 4 11 6" xfId="30852"/>
    <cellStyle name="20% - Accent4 4 12" xfId="2402"/>
    <cellStyle name="20% - Accent4 4 12 2" xfId="5289"/>
    <cellStyle name="20% - Accent4 4 12 2 2" xfId="11330"/>
    <cellStyle name="20% - Accent4 4 12 2 2 2" xfId="28377"/>
    <cellStyle name="20% - Accent4 4 12 2 2 2 2" xfId="57238"/>
    <cellStyle name="20% - Accent4 4 12 2 2 3" xfId="40191"/>
    <cellStyle name="20% - Accent4 4 12 2 3" xfId="22399"/>
    <cellStyle name="20% - Accent4 4 12 2 3 2" xfId="51260"/>
    <cellStyle name="20% - Accent4 4 12 2 4" xfId="34150"/>
    <cellStyle name="20% - Accent4 4 12 3" xfId="8444"/>
    <cellStyle name="20% - Accent4 4 12 3 2" xfId="25491"/>
    <cellStyle name="20% - Accent4 4 12 3 2 2" xfId="54352"/>
    <cellStyle name="20% - Accent4 4 12 3 3" xfId="37305"/>
    <cellStyle name="20% - Accent4 4 12 4" xfId="13244"/>
    <cellStyle name="20% - Accent4 4 12 4 2" xfId="19719"/>
    <cellStyle name="20% - Accent4 4 12 4 2 2" xfId="48580"/>
    <cellStyle name="20% - Accent4 4 12 4 3" xfId="42105"/>
    <cellStyle name="20% - Accent4 4 12 5" xfId="17039"/>
    <cellStyle name="20% - Accent4 4 12 5 2" xfId="45900"/>
    <cellStyle name="20% - Accent4 4 12 6" xfId="31264"/>
    <cellStyle name="20% - Accent4 4 13" xfId="2611"/>
    <cellStyle name="20% - Accent4 4 13 2" xfId="5497"/>
    <cellStyle name="20% - Accent4 4 13 2 2" xfId="11538"/>
    <cellStyle name="20% - Accent4 4 13 2 2 2" xfId="28585"/>
    <cellStyle name="20% - Accent4 4 13 2 2 2 2" xfId="57446"/>
    <cellStyle name="20% - Accent4 4 13 2 2 3" xfId="40399"/>
    <cellStyle name="20% - Accent4 4 13 2 3" xfId="22607"/>
    <cellStyle name="20% - Accent4 4 13 2 3 2" xfId="51468"/>
    <cellStyle name="20% - Accent4 4 13 2 4" xfId="34358"/>
    <cellStyle name="20% - Accent4 4 13 3" xfId="8652"/>
    <cellStyle name="20% - Accent4 4 13 3 2" xfId="25699"/>
    <cellStyle name="20% - Accent4 4 13 3 2 2" xfId="54560"/>
    <cellStyle name="20% - Accent4 4 13 3 3" xfId="37513"/>
    <cellStyle name="20% - Accent4 4 13 4" xfId="12845"/>
    <cellStyle name="20% - Accent4 4 13 4 2" xfId="19927"/>
    <cellStyle name="20% - Accent4 4 13 4 2 2" xfId="48788"/>
    <cellStyle name="20% - Accent4 4 13 4 3" xfId="41706"/>
    <cellStyle name="20% - Accent4 4 13 5" xfId="17247"/>
    <cellStyle name="20% - Accent4 4 13 5 2" xfId="46108"/>
    <cellStyle name="20% - Accent4 4 13 6" xfId="31472"/>
    <cellStyle name="20% - Accent4 4 14" xfId="3023"/>
    <cellStyle name="20% - Accent4 4 14 2" xfId="9064"/>
    <cellStyle name="20% - Accent4 4 14 2 2" xfId="26111"/>
    <cellStyle name="20% - Accent4 4 14 2 2 2" xfId="54972"/>
    <cellStyle name="20% - Accent4 4 14 2 3" xfId="37925"/>
    <cellStyle name="20% - Accent4 4 14 3" xfId="12366"/>
    <cellStyle name="20% - Accent4 4 14 3 2" xfId="20133"/>
    <cellStyle name="20% - Accent4 4 14 3 2 2" xfId="48994"/>
    <cellStyle name="20% - Accent4 4 14 3 3" xfId="41227"/>
    <cellStyle name="20% - Accent4 4 14 4" xfId="14773"/>
    <cellStyle name="20% - Accent4 4 14 4 2" xfId="43634"/>
    <cellStyle name="20% - Accent4 4 14 5" xfId="31884"/>
    <cellStyle name="20% - Accent4 4 15" xfId="2817"/>
    <cellStyle name="20% - Accent4 4 15 2" xfId="8858"/>
    <cellStyle name="20% - Accent4 4 15 2 2" xfId="25905"/>
    <cellStyle name="20% - Accent4 4 15 2 2 2" xfId="54766"/>
    <cellStyle name="20% - Accent4 4 15 2 3" xfId="37719"/>
    <cellStyle name="20% - Accent4 4 15 3" xfId="17453"/>
    <cellStyle name="20% - Accent4 4 15 3 2" xfId="46314"/>
    <cellStyle name="20% - Accent4 4 15 4" xfId="31678"/>
    <cellStyle name="20% - Accent4 4 16" xfId="5703"/>
    <cellStyle name="20% - Accent4 4 16 2" xfId="11744"/>
    <cellStyle name="20% - Accent4 4 16 2 2" xfId="28791"/>
    <cellStyle name="20% - Accent4 4 16 2 2 2" xfId="57652"/>
    <cellStyle name="20% - Accent4 4 16 2 3" xfId="40605"/>
    <cellStyle name="20% - Accent4 4 16 3" xfId="22813"/>
    <cellStyle name="20% - Accent4 4 16 3 2" xfId="51674"/>
    <cellStyle name="20% - Accent4 4 16 4" xfId="34564"/>
    <cellStyle name="20% - Accent4 4 17" xfId="5920"/>
    <cellStyle name="20% - Accent4 4 17 2" xfId="23019"/>
    <cellStyle name="20% - Accent4 4 17 2 2" xfId="51880"/>
    <cellStyle name="20% - Accent4 4 17 3" xfId="34781"/>
    <cellStyle name="20% - Accent4 4 18" xfId="6178"/>
    <cellStyle name="20% - Accent4 4 18 2" xfId="23225"/>
    <cellStyle name="20% - Accent4 4 18 2 2" xfId="52086"/>
    <cellStyle name="20% - Accent4 4 18 3" xfId="35039"/>
    <cellStyle name="20% - Accent4 4 19" xfId="14567"/>
    <cellStyle name="20% - Accent4 4 19 2" xfId="43428"/>
    <cellStyle name="20% - Accent4 4 2" xfId="342"/>
    <cellStyle name="20% - Accent4 4 2 10" xfId="2505"/>
    <cellStyle name="20% - Accent4 4 2 10 2" xfId="5392"/>
    <cellStyle name="20% - Accent4 4 2 10 2 2" xfId="11433"/>
    <cellStyle name="20% - Accent4 4 2 10 2 2 2" xfId="28480"/>
    <cellStyle name="20% - Accent4 4 2 10 2 2 2 2" xfId="57341"/>
    <cellStyle name="20% - Accent4 4 2 10 2 2 3" xfId="40294"/>
    <cellStyle name="20% - Accent4 4 2 10 2 3" xfId="22502"/>
    <cellStyle name="20% - Accent4 4 2 10 2 3 2" xfId="51363"/>
    <cellStyle name="20% - Accent4 4 2 10 2 4" xfId="34253"/>
    <cellStyle name="20% - Accent4 4 2 10 3" xfId="8547"/>
    <cellStyle name="20% - Accent4 4 2 10 3 2" xfId="25594"/>
    <cellStyle name="20% - Accent4 4 2 10 3 2 2" xfId="54455"/>
    <cellStyle name="20% - Accent4 4 2 10 3 3" xfId="37408"/>
    <cellStyle name="20% - Accent4 4 2 10 4" xfId="12110"/>
    <cellStyle name="20% - Accent4 4 2 10 4 2" xfId="19822"/>
    <cellStyle name="20% - Accent4 4 2 10 4 2 2" xfId="48683"/>
    <cellStyle name="20% - Accent4 4 2 10 4 3" xfId="40971"/>
    <cellStyle name="20% - Accent4 4 2 10 5" xfId="17142"/>
    <cellStyle name="20% - Accent4 4 2 10 5 2" xfId="46003"/>
    <cellStyle name="20% - Accent4 4 2 10 6" xfId="31367"/>
    <cellStyle name="20% - Accent4 4 2 11" xfId="2714"/>
    <cellStyle name="20% - Accent4 4 2 11 2" xfId="5600"/>
    <cellStyle name="20% - Accent4 4 2 11 2 2" xfId="11641"/>
    <cellStyle name="20% - Accent4 4 2 11 2 2 2" xfId="28688"/>
    <cellStyle name="20% - Accent4 4 2 11 2 2 2 2" xfId="57549"/>
    <cellStyle name="20% - Accent4 4 2 11 2 2 3" xfId="40502"/>
    <cellStyle name="20% - Accent4 4 2 11 2 3" xfId="22710"/>
    <cellStyle name="20% - Accent4 4 2 11 2 3 2" xfId="51571"/>
    <cellStyle name="20% - Accent4 4 2 11 2 4" xfId="34461"/>
    <cellStyle name="20% - Accent4 4 2 11 3" xfId="8755"/>
    <cellStyle name="20% - Accent4 4 2 11 3 2" xfId="25802"/>
    <cellStyle name="20% - Accent4 4 2 11 3 2 2" xfId="54663"/>
    <cellStyle name="20% - Accent4 4 2 11 3 3" xfId="37616"/>
    <cellStyle name="20% - Accent4 4 2 11 4" xfId="13901"/>
    <cellStyle name="20% - Accent4 4 2 11 4 2" xfId="20030"/>
    <cellStyle name="20% - Accent4 4 2 11 4 2 2" xfId="48891"/>
    <cellStyle name="20% - Accent4 4 2 11 4 3" xfId="42762"/>
    <cellStyle name="20% - Accent4 4 2 11 5" xfId="17350"/>
    <cellStyle name="20% - Accent4 4 2 11 5 2" xfId="46211"/>
    <cellStyle name="20% - Accent4 4 2 11 6" xfId="31575"/>
    <cellStyle name="20% - Accent4 4 2 12" xfId="3229"/>
    <cellStyle name="20% - Accent4 4 2 12 2" xfId="9270"/>
    <cellStyle name="20% - Accent4 4 2 12 2 2" xfId="26317"/>
    <cellStyle name="20% - Accent4 4 2 12 2 2 2" xfId="55178"/>
    <cellStyle name="20% - Accent4 4 2 12 2 3" xfId="38131"/>
    <cellStyle name="20% - Accent4 4 2 12 3" xfId="14008"/>
    <cellStyle name="20% - Accent4 4 2 12 3 2" xfId="20339"/>
    <cellStyle name="20% - Accent4 4 2 12 3 2 2" xfId="49200"/>
    <cellStyle name="20% - Accent4 4 2 12 3 3" xfId="42869"/>
    <cellStyle name="20% - Accent4 4 2 12 4" xfId="14979"/>
    <cellStyle name="20% - Accent4 4 2 12 4 2" xfId="43840"/>
    <cellStyle name="20% - Accent4 4 2 12 5" xfId="32090"/>
    <cellStyle name="20% - Accent4 4 2 13" xfId="2920"/>
    <cellStyle name="20% - Accent4 4 2 13 2" xfId="8961"/>
    <cellStyle name="20% - Accent4 4 2 13 2 2" xfId="26008"/>
    <cellStyle name="20% - Accent4 4 2 13 2 2 2" xfId="54869"/>
    <cellStyle name="20% - Accent4 4 2 13 2 3" xfId="37822"/>
    <cellStyle name="20% - Accent4 4 2 13 3" xfId="17556"/>
    <cellStyle name="20% - Accent4 4 2 13 3 2" xfId="46417"/>
    <cellStyle name="20% - Accent4 4 2 13 4" xfId="31781"/>
    <cellStyle name="20% - Accent4 4 2 14" xfId="5806"/>
    <cellStyle name="20% - Accent4 4 2 14 2" xfId="11847"/>
    <cellStyle name="20% - Accent4 4 2 14 2 2" xfId="28894"/>
    <cellStyle name="20% - Accent4 4 2 14 2 2 2" xfId="57755"/>
    <cellStyle name="20% - Accent4 4 2 14 2 3" xfId="40708"/>
    <cellStyle name="20% - Accent4 4 2 14 3" xfId="22916"/>
    <cellStyle name="20% - Accent4 4 2 14 3 2" xfId="51777"/>
    <cellStyle name="20% - Accent4 4 2 14 4" xfId="34667"/>
    <cellStyle name="20% - Accent4 4 2 15" xfId="6023"/>
    <cellStyle name="20% - Accent4 4 2 15 2" xfId="23122"/>
    <cellStyle name="20% - Accent4 4 2 15 2 2" xfId="51983"/>
    <cellStyle name="20% - Accent4 4 2 15 3" xfId="34884"/>
    <cellStyle name="20% - Accent4 4 2 16" xfId="6384"/>
    <cellStyle name="20% - Accent4 4 2 16 2" xfId="23431"/>
    <cellStyle name="20% - Accent4 4 2 16 2 2" xfId="52292"/>
    <cellStyle name="20% - Accent4 4 2 16 3" xfId="35245"/>
    <cellStyle name="20% - Accent4 4 2 17" xfId="14670"/>
    <cellStyle name="20% - Accent4 4 2 17 2" xfId="43531"/>
    <cellStyle name="20% - Accent4 4 2 18" xfId="29204"/>
    <cellStyle name="20% - Accent4 4 2 2" xfId="548"/>
    <cellStyle name="20% - Accent4 4 2 2 2" xfId="2299"/>
    <cellStyle name="20% - Accent4 4 2 2 2 2" xfId="5186"/>
    <cellStyle name="20% - Accent4 4 2 2 2 2 2" xfId="11227"/>
    <cellStyle name="20% - Accent4 4 2 2 2 2 2 2" xfId="28274"/>
    <cellStyle name="20% - Accent4 4 2 2 2 2 2 2 2" xfId="57135"/>
    <cellStyle name="20% - Accent4 4 2 2 2 2 2 3" xfId="40088"/>
    <cellStyle name="20% - Accent4 4 2 2 2 2 3" xfId="22296"/>
    <cellStyle name="20% - Accent4 4 2 2 2 2 3 2" xfId="51157"/>
    <cellStyle name="20% - Accent4 4 2 2 2 2 4" xfId="34047"/>
    <cellStyle name="20% - Accent4 4 2 2 2 3" xfId="8341"/>
    <cellStyle name="20% - Accent4 4 2 2 2 3 2" xfId="25388"/>
    <cellStyle name="20% - Accent4 4 2 2 2 3 2 2" xfId="54249"/>
    <cellStyle name="20% - Accent4 4 2 2 2 3 3" xfId="37202"/>
    <cellStyle name="20% - Accent4 4 2 2 2 4" xfId="12016"/>
    <cellStyle name="20% - Accent4 4 2 2 2 4 2" xfId="19616"/>
    <cellStyle name="20% - Accent4 4 2 2 2 4 2 2" xfId="48477"/>
    <cellStyle name="20% - Accent4 4 2 2 2 4 3" xfId="40877"/>
    <cellStyle name="20% - Accent4 4 2 2 2 5" xfId="16936"/>
    <cellStyle name="20% - Accent4 4 2 2 2 5 2" xfId="45797"/>
    <cellStyle name="20% - Accent4 4 2 2 2 6" xfId="31161"/>
    <cellStyle name="20% - Accent4 4 2 2 3" xfId="3435"/>
    <cellStyle name="20% - Accent4 4 2 2 3 2" xfId="9476"/>
    <cellStyle name="20% - Accent4 4 2 2 3 2 2" xfId="26523"/>
    <cellStyle name="20% - Accent4 4 2 2 3 2 2 2" xfId="55384"/>
    <cellStyle name="20% - Accent4 4 2 2 3 2 3" xfId="38337"/>
    <cellStyle name="20% - Accent4 4 2 2 3 3" xfId="20545"/>
    <cellStyle name="20% - Accent4 4 2 2 3 3 2" xfId="49406"/>
    <cellStyle name="20% - Accent4 4 2 2 3 4" xfId="32296"/>
    <cellStyle name="20% - Accent4 4 2 2 4" xfId="6590"/>
    <cellStyle name="20% - Accent4 4 2 2 4 2" xfId="23637"/>
    <cellStyle name="20% - Accent4 4 2 2 4 2 2" xfId="52498"/>
    <cellStyle name="20% - Accent4 4 2 2 4 3" xfId="35451"/>
    <cellStyle name="20% - Accent4 4 2 2 5" xfId="12278"/>
    <cellStyle name="20% - Accent4 4 2 2 5 2" xfId="17865"/>
    <cellStyle name="20% - Accent4 4 2 2 5 2 2" xfId="46726"/>
    <cellStyle name="20% - Accent4 4 2 2 5 3" xfId="41139"/>
    <cellStyle name="20% - Accent4 4 2 2 6" xfId="15185"/>
    <cellStyle name="20% - Accent4 4 2 2 6 2" xfId="44046"/>
    <cellStyle name="20% - Accent4 4 2 2 7" xfId="29410"/>
    <cellStyle name="20% - Accent4 4 2 3" xfId="857"/>
    <cellStyle name="20% - Accent4 4 2 3 2" xfId="3744"/>
    <cellStyle name="20% - Accent4 4 2 3 2 2" xfId="9785"/>
    <cellStyle name="20% - Accent4 4 2 3 2 2 2" xfId="26832"/>
    <cellStyle name="20% - Accent4 4 2 3 2 2 2 2" xfId="55693"/>
    <cellStyle name="20% - Accent4 4 2 3 2 2 3" xfId="38646"/>
    <cellStyle name="20% - Accent4 4 2 3 2 3" xfId="20854"/>
    <cellStyle name="20% - Accent4 4 2 3 2 3 2" xfId="49715"/>
    <cellStyle name="20% - Accent4 4 2 3 2 4" xfId="32605"/>
    <cellStyle name="20% - Accent4 4 2 3 3" xfId="6899"/>
    <cellStyle name="20% - Accent4 4 2 3 3 2" xfId="23946"/>
    <cellStyle name="20% - Accent4 4 2 3 3 2 2" xfId="52807"/>
    <cellStyle name="20% - Accent4 4 2 3 3 3" xfId="35760"/>
    <cellStyle name="20% - Accent4 4 2 3 4" xfId="13615"/>
    <cellStyle name="20% - Accent4 4 2 3 4 2" xfId="18174"/>
    <cellStyle name="20% - Accent4 4 2 3 4 2 2" xfId="47035"/>
    <cellStyle name="20% - Accent4 4 2 3 4 3" xfId="42476"/>
    <cellStyle name="20% - Accent4 4 2 3 5" xfId="15494"/>
    <cellStyle name="20% - Accent4 4 2 3 5 2" xfId="44355"/>
    <cellStyle name="20% - Accent4 4 2 3 6" xfId="29719"/>
    <cellStyle name="20% - Accent4 4 2 4" xfId="1063"/>
    <cellStyle name="20% - Accent4 4 2 4 2" xfId="3950"/>
    <cellStyle name="20% - Accent4 4 2 4 2 2" xfId="9991"/>
    <cellStyle name="20% - Accent4 4 2 4 2 2 2" xfId="27038"/>
    <cellStyle name="20% - Accent4 4 2 4 2 2 2 2" xfId="55899"/>
    <cellStyle name="20% - Accent4 4 2 4 2 2 3" xfId="38852"/>
    <cellStyle name="20% - Accent4 4 2 4 2 3" xfId="21060"/>
    <cellStyle name="20% - Accent4 4 2 4 2 3 2" xfId="49921"/>
    <cellStyle name="20% - Accent4 4 2 4 2 4" xfId="32811"/>
    <cellStyle name="20% - Accent4 4 2 4 3" xfId="7105"/>
    <cellStyle name="20% - Accent4 4 2 4 3 2" xfId="24152"/>
    <cellStyle name="20% - Accent4 4 2 4 3 2 2" xfId="53013"/>
    <cellStyle name="20% - Accent4 4 2 4 3 3" xfId="35966"/>
    <cellStyle name="20% - Accent4 4 2 4 4" xfId="14133"/>
    <cellStyle name="20% - Accent4 4 2 4 4 2" xfId="18380"/>
    <cellStyle name="20% - Accent4 4 2 4 4 2 2" xfId="47241"/>
    <cellStyle name="20% - Accent4 4 2 4 4 3" xfId="42994"/>
    <cellStyle name="20% - Accent4 4 2 4 5" xfId="15700"/>
    <cellStyle name="20% - Accent4 4 2 4 5 2" xfId="44561"/>
    <cellStyle name="20% - Accent4 4 2 4 6" xfId="29925"/>
    <cellStyle name="20% - Accent4 4 2 5" xfId="1269"/>
    <cellStyle name="20% - Accent4 4 2 5 2" xfId="4156"/>
    <cellStyle name="20% - Accent4 4 2 5 2 2" xfId="10197"/>
    <cellStyle name="20% - Accent4 4 2 5 2 2 2" xfId="27244"/>
    <cellStyle name="20% - Accent4 4 2 5 2 2 2 2" xfId="56105"/>
    <cellStyle name="20% - Accent4 4 2 5 2 2 3" xfId="39058"/>
    <cellStyle name="20% - Accent4 4 2 5 2 3" xfId="21266"/>
    <cellStyle name="20% - Accent4 4 2 5 2 3 2" xfId="50127"/>
    <cellStyle name="20% - Accent4 4 2 5 2 4" xfId="33017"/>
    <cellStyle name="20% - Accent4 4 2 5 3" xfId="7311"/>
    <cellStyle name="20% - Accent4 4 2 5 3 2" xfId="24358"/>
    <cellStyle name="20% - Accent4 4 2 5 3 2 2" xfId="53219"/>
    <cellStyle name="20% - Accent4 4 2 5 3 3" xfId="36172"/>
    <cellStyle name="20% - Accent4 4 2 5 4" xfId="14027"/>
    <cellStyle name="20% - Accent4 4 2 5 4 2" xfId="18586"/>
    <cellStyle name="20% - Accent4 4 2 5 4 2 2" xfId="47447"/>
    <cellStyle name="20% - Accent4 4 2 5 4 3" xfId="42888"/>
    <cellStyle name="20% - Accent4 4 2 5 5" xfId="15906"/>
    <cellStyle name="20% - Accent4 4 2 5 5 2" xfId="44767"/>
    <cellStyle name="20% - Accent4 4 2 5 6" xfId="30131"/>
    <cellStyle name="20% - Accent4 4 2 6" xfId="1475"/>
    <cellStyle name="20% - Accent4 4 2 6 2" xfId="4362"/>
    <cellStyle name="20% - Accent4 4 2 6 2 2" xfId="10403"/>
    <cellStyle name="20% - Accent4 4 2 6 2 2 2" xfId="27450"/>
    <cellStyle name="20% - Accent4 4 2 6 2 2 2 2" xfId="56311"/>
    <cellStyle name="20% - Accent4 4 2 6 2 2 3" xfId="39264"/>
    <cellStyle name="20% - Accent4 4 2 6 2 3" xfId="21472"/>
    <cellStyle name="20% - Accent4 4 2 6 2 3 2" xfId="50333"/>
    <cellStyle name="20% - Accent4 4 2 6 2 4" xfId="33223"/>
    <cellStyle name="20% - Accent4 4 2 6 3" xfId="7517"/>
    <cellStyle name="20% - Accent4 4 2 6 3 2" xfId="24564"/>
    <cellStyle name="20% - Accent4 4 2 6 3 2 2" xfId="53425"/>
    <cellStyle name="20% - Accent4 4 2 6 3 3" xfId="36378"/>
    <cellStyle name="20% - Accent4 4 2 6 4" xfId="12088"/>
    <cellStyle name="20% - Accent4 4 2 6 4 2" xfId="18792"/>
    <cellStyle name="20% - Accent4 4 2 6 4 2 2" xfId="47653"/>
    <cellStyle name="20% - Accent4 4 2 6 4 3" xfId="40949"/>
    <cellStyle name="20% - Accent4 4 2 6 5" xfId="16112"/>
    <cellStyle name="20% - Accent4 4 2 6 5 2" xfId="44973"/>
    <cellStyle name="20% - Accent4 4 2 6 6" xfId="30337"/>
    <cellStyle name="20% - Accent4 4 2 7" xfId="1681"/>
    <cellStyle name="20% - Accent4 4 2 7 2" xfId="4568"/>
    <cellStyle name="20% - Accent4 4 2 7 2 2" xfId="10609"/>
    <cellStyle name="20% - Accent4 4 2 7 2 2 2" xfId="27656"/>
    <cellStyle name="20% - Accent4 4 2 7 2 2 2 2" xfId="56517"/>
    <cellStyle name="20% - Accent4 4 2 7 2 2 3" xfId="39470"/>
    <cellStyle name="20% - Accent4 4 2 7 2 3" xfId="21678"/>
    <cellStyle name="20% - Accent4 4 2 7 2 3 2" xfId="50539"/>
    <cellStyle name="20% - Accent4 4 2 7 2 4" xfId="33429"/>
    <cellStyle name="20% - Accent4 4 2 7 3" xfId="7723"/>
    <cellStyle name="20% - Accent4 4 2 7 3 2" xfId="24770"/>
    <cellStyle name="20% - Accent4 4 2 7 3 2 2" xfId="53631"/>
    <cellStyle name="20% - Accent4 4 2 7 3 3" xfId="36584"/>
    <cellStyle name="20% - Accent4 4 2 7 4" xfId="13116"/>
    <cellStyle name="20% - Accent4 4 2 7 4 2" xfId="18998"/>
    <cellStyle name="20% - Accent4 4 2 7 4 2 2" xfId="47859"/>
    <cellStyle name="20% - Accent4 4 2 7 4 3" xfId="41977"/>
    <cellStyle name="20% - Accent4 4 2 7 5" xfId="16318"/>
    <cellStyle name="20% - Accent4 4 2 7 5 2" xfId="45179"/>
    <cellStyle name="20% - Accent4 4 2 7 6" xfId="30543"/>
    <cellStyle name="20% - Accent4 4 2 8" xfId="1887"/>
    <cellStyle name="20% - Accent4 4 2 8 2" xfId="4774"/>
    <cellStyle name="20% - Accent4 4 2 8 2 2" xfId="10815"/>
    <cellStyle name="20% - Accent4 4 2 8 2 2 2" xfId="27862"/>
    <cellStyle name="20% - Accent4 4 2 8 2 2 2 2" xfId="56723"/>
    <cellStyle name="20% - Accent4 4 2 8 2 2 3" xfId="39676"/>
    <cellStyle name="20% - Accent4 4 2 8 2 3" xfId="21884"/>
    <cellStyle name="20% - Accent4 4 2 8 2 3 2" xfId="50745"/>
    <cellStyle name="20% - Accent4 4 2 8 2 4" xfId="33635"/>
    <cellStyle name="20% - Accent4 4 2 8 3" xfId="7929"/>
    <cellStyle name="20% - Accent4 4 2 8 3 2" xfId="24976"/>
    <cellStyle name="20% - Accent4 4 2 8 3 2 2" xfId="53837"/>
    <cellStyle name="20% - Accent4 4 2 8 3 3" xfId="36790"/>
    <cellStyle name="20% - Accent4 4 2 8 4" xfId="12846"/>
    <cellStyle name="20% - Accent4 4 2 8 4 2" xfId="19204"/>
    <cellStyle name="20% - Accent4 4 2 8 4 2 2" xfId="48065"/>
    <cellStyle name="20% - Accent4 4 2 8 4 3" xfId="41707"/>
    <cellStyle name="20% - Accent4 4 2 8 5" xfId="16524"/>
    <cellStyle name="20% - Accent4 4 2 8 5 2" xfId="45385"/>
    <cellStyle name="20% - Accent4 4 2 8 6" xfId="30749"/>
    <cellStyle name="20% - Accent4 4 2 9" xfId="2093"/>
    <cellStyle name="20% - Accent4 4 2 9 2" xfId="4980"/>
    <cellStyle name="20% - Accent4 4 2 9 2 2" xfId="11021"/>
    <cellStyle name="20% - Accent4 4 2 9 2 2 2" xfId="28068"/>
    <cellStyle name="20% - Accent4 4 2 9 2 2 2 2" xfId="56929"/>
    <cellStyle name="20% - Accent4 4 2 9 2 2 3" xfId="39882"/>
    <cellStyle name="20% - Accent4 4 2 9 2 3" xfId="22090"/>
    <cellStyle name="20% - Accent4 4 2 9 2 3 2" xfId="50951"/>
    <cellStyle name="20% - Accent4 4 2 9 2 4" xfId="33841"/>
    <cellStyle name="20% - Accent4 4 2 9 3" xfId="8135"/>
    <cellStyle name="20% - Accent4 4 2 9 3 2" xfId="25182"/>
    <cellStyle name="20% - Accent4 4 2 9 3 2 2" xfId="54043"/>
    <cellStyle name="20% - Accent4 4 2 9 3 3" xfId="36996"/>
    <cellStyle name="20% - Accent4 4 2 9 4" xfId="12641"/>
    <cellStyle name="20% - Accent4 4 2 9 4 2" xfId="19410"/>
    <cellStyle name="20% - Accent4 4 2 9 4 2 2" xfId="48271"/>
    <cellStyle name="20% - Accent4 4 2 9 4 3" xfId="41502"/>
    <cellStyle name="20% - Accent4 4 2 9 5" xfId="16730"/>
    <cellStyle name="20% - Accent4 4 2 9 5 2" xfId="45591"/>
    <cellStyle name="20% - Accent4 4 2 9 6" xfId="30955"/>
    <cellStyle name="20% - Accent4 4 20" xfId="28998"/>
    <cellStyle name="20% - Accent4 4 3" xfId="239"/>
    <cellStyle name="20% - Accent4 4 3 2" xfId="651"/>
    <cellStyle name="20% - Accent4 4 3 2 2" xfId="3538"/>
    <cellStyle name="20% - Accent4 4 3 2 2 2" xfId="9579"/>
    <cellStyle name="20% - Accent4 4 3 2 2 2 2" xfId="26626"/>
    <cellStyle name="20% - Accent4 4 3 2 2 2 2 2" xfId="55487"/>
    <cellStyle name="20% - Accent4 4 3 2 2 2 3" xfId="38440"/>
    <cellStyle name="20% - Accent4 4 3 2 2 3" xfId="20648"/>
    <cellStyle name="20% - Accent4 4 3 2 2 3 2" xfId="49509"/>
    <cellStyle name="20% - Accent4 4 3 2 2 4" xfId="32399"/>
    <cellStyle name="20% - Accent4 4 3 2 3" xfId="6693"/>
    <cellStyle name="20% - Accent4 4 3 2 3 2" xfId="23740"/>
    <cellStyle name="20% - Accent4 4 3 2 3 2 2" xfId="52601"/>
    <cellStyle name="20% - Accent4 4 3 2 3 3" xfId="35554"/>
    <cellStyle name="20% - Accent4 4 3 2 4" xfId="14076"/>
    <cellStyle name="20% - Accent4 4 3 2 4 2" xfId="17968"/>
    <cellStyle name="20% - Accent4 4 3 2 4 2 2" xfId="46829"/>
    <cellStyle name="20% - Accent4 4 3 2 4 3" xfId="42937"/>
    <cellStyle name="20% - Accent4 4 3 2 5" xfId="15288"/>
    <cellStyle name="20% - Accent4 4 3 2 5 2" xfId="44149"/>
    <cellStyle name="20% - Accent4 4 3 2 6" xfId="29513"/>
    <cellStyle name="20% - Accent4 4 3 3" xfId="2196"/>
    <cellStyle name="20% - Accent4 4 3 3 2" xfId="5083"/>
    <cellStyle name="20% - Accent4 4 3 3 2 2" xfId="11124"/>
    <cellStyle name="20% - Accent4 4 3 3 2 2 2" xfId="28171"/>
    <cellStyle name="20% - Accent4 4 3 3 2 2 2 2" xfId="57032"/>
    <cellStyle name="20% - Accent4 4 3 3 2 2 3" xfId="39985"/>
    <cellStyle name="20% - Accent4 4 3 3 2 3" xfId="22193"/>
    <cellStyle name="20% - Accent4 4 3 3 2 3 2" xfId="51054"/>
    <cellStyle name="20% - Accent4 4 3 3 2 4" xfId="33944"/>
    <cellStyle name="20% - Accent4 4 3 3 3" xfId="8238"/>
    <cellStyle name="20% - Accent4 4 3 3 3 2" xfId="25285"/>
    <cellStyle name="20% - Accent4 4 3 3 3 2 2" xfId="54146"/>
    <cellStyle name="20% - Accent4 4 3 3 3 3" xfId="37099"/>
    <cellStyle name="20% - Accent4 4 3 3 4" xfId="12505"/>
    <cellStyle name="20% - Accent4 4 3 3 4 2" xfId="19513"/>
    <cellStyle name="20% - Accent4 4 3 3 4 2 2" xfId="48374"/>
    <cellStyle name="20% - Accent4 4 3 3 4 3" xfId="41366"/>
    <cellStyle name="20% - Accent4 4 3 3 5" xfId="16833"/>
    <cellStyle name="20% - Accent4 4 3 3 5 2" xfId="45694"/>
    <cellStyle name="20% - Accent4 4 3 3 6" xfId="31058"/>
    <cellStyle name="20% - Accent4 4 3 4" xfId="3126"/>
    <cellStyle name="20% - Accent4 4 3 4 2" xfId="9167"/>
    <cellStyle name="20% - Accent4 4 3 4 2 2" xfId="26214"/>
    <cellStyle name="20% - Accent4 4 3 4 2 2 2" xfId="55075"/>
    <cellStyle name="20% - Accent4 4 3 4 2 3" xfId="38028"/>
    <cellStyle name="20% - Accent4 4 3 4 3" xfId="20236"/>
    <cellStyle name="20% - Accent4 4 3 4 3 2" xfId="49097"/>
    <cellStyle name="20% - Accent4 4 3 4 4" xfId="31987"/>
    <cellStyle name="20% - Accent4 4 3 5" xfId="6281"/>
    <cellStyle name="20% - Accent4 4 3 5 2" xfId="23328"/>
    <cellStyle name="20% - Accent4 4 3 5 2 2" xfId="52189"/>
    <cellStyle name="20% - Accent4 4 3 5 3" xfId="35142"/>
    <cellStyle name="20% - Accent4 4 3 6" xfId="12832"/>
    <cellStyle name="20% - Accent4 4 3 6 2" xfId="17659"/>
    <cellStyle name="20% - Accent4 4 3 6 2 2" xfId="46520"/>
    <cellStyle name="20% - Accent4 4 3 6 3" xfId="41693"/>
    <cellStyle name="20% - Accent4 4 3 7" xfId="14876"/>
    <cellStyle name="20% - Accent4 4 3 7 2" xfId="43737"/>
    <cellStyle name="20% - Accent4 4 3 8" xfId="29101"/>
    <cellStyle name="20% - Accent4 4 4" xfId="445"/>
    <cellStyle name="20% - Accent4 4 4 2" xfId="3332"/>
    <cellStyle name="20% - Accent4 4 4 2 2" xfId="9373"/>
    <cellStyle name="20% - Accent4 4 4 2 2 2" xfId="26420"/>
    <cellStyle name="20% - Accent4 4 4 2 2 2 2" xfId="55281"/>
    <cellStyle name="20% - Accent4 4 4 2 2 3" xfId="38234"/>
    <cellStyle name="20% - Accent4 4 4 2 3" xfId="20442"/>
    <cellStyle name="20% - Accent4 4 4 2 3 2" xfId="49303"/>
    <cellStyle name="20% - Accent4 4 4 2 4" xfId="32193"/>
    <cellStyle name="20% - Accent4 4 4 3" xfId="6487"/>
    <cellStyle name="20% - Accent4 4 4 3 2" xfId="23534"/>
    <cellStyle name="20% - Accent4 4 4 3 2 2" xfId="52395"/>
    <cellStyle name="20% - Accent4 4 4 3 3" xfId="35348"/>
    <cellStyle name="20% - Accent4 4 4 4" xfId="13314"/>
    <cellStyle name="20% - Accent4 4 4 4 2" xfId="17762"/>
    <cellStyle name="20% - Accent4 4 4 4 2 2" xfId="46623"/>
    <cellStyle name="20% - Accent4 4 4 4 3" xfId="42175"/>
    <cellStyle name="20% - Accent4 4 4 5" xfId="15082"/>
    <cellStyle name="20% - Accent4 4 4 5 2" xfId="43943"/>
    <cellStyle name="20% - Accent4 4 4 6" xfId="29307"/>
    <cellStyle name="20% - Accent4 4 5" xfId="754"/>
    <cellStyle name="20% - Accent4 4 5 2" xfId="3641"/>
    <cellStyle name="20% - Accent4 4 5 2 2" xfId="9682"/>
    <cellStyle name="20% - Accent4 4 5 2 2 2" xfId="26729"/>
    <cellStyle name="20% - Accent4 4 5 2 2 2 2" xfId="55590"/>
    <cellStyle name="20% - Accent4 4 5 2 2 3" xfId="38543"/>
    <cellStyle name="20% - Accent4 4 5 2 3" xfId="20751"/>
    <cellStyle name="20% - Accent4 4 5 2 3 2" xfId="49612"/>
    <cellStyle name="20% - Accent4 4 5 2 4" xfId="32502"/>
    <cellStyle name="20% - Accent4 4 5 3" xfId="6796"/>
    <cellStyle name="20% - Accent4 4 5 3 2" xfId="23843"/>
    <cellStyle name="20% - Accent4 4 5 3 2 2" xfId="52704"/>
    <cellStyle name="20% - Accent4 4 5 3 3" xfId="35657"/>
    <cellStyle name="20% - Accent4 4 5 4" xfId="13028"/>
    <cellStyle name="20% - Accent4 4 5 4 2" xfId="18071"/>
    <cellStyle name="20% - Accent4 4 5 4 2 2" xfId="46932"/>
    <cellStyle name="20% - Accent4 4 5 4 3" xfId="41889"/>
    <cellStyle name="20% - Accent4 4 5 5" xfId="15391"/>
    <cellStyle name="20% - Accent4 4 5 5 2" xfId="44252"/>
    <cellStyle name="20% - Accent4 4 5 6" xfId="29616"/>
    <cellStyle name="20% - Accent4 4 6" xfId="960"/>
    <cellStyle name="20% - Accent4 4 6 2" xfId="3847"/>
    <cellStyle name="20% - Accent4 4 6 2 2" xfId="9888"/>
    <cellStyle name="20% - Accent4 4 6 2 2 2" xfId="26935"/>
    <cellStyle name="20% - Accent4 4 6 2 2 2 2" xfId="55796"/>
    <cellStyle name="20% - Accent4 4 6 2 2 3" xfId="38749"/>
    <cellStyle name="20% - Accent4 4 6 2 3" xfId="20957"/>
    <cellStyle name="20% - Accent4 4 6 2 3 2" xfId="49818"/>
    <cellStyle name="20% - Accent4 4 6 2 4" xfId="32708"/>
    <cellStyle name="20% - Accent4 4 6 3" xfId="7002"/>
    <cellStyle name="20% - Accent4 4 6 3 2" xfId="24049"/>
    <cellStyle name="20% - Accent4 4 6 3 2 2" xfId="52910"/>
    <cellStyle name="20% - Accent4 4 6 3 3" xfId="35863"/>
    <cellStyle name="20% - Accent4 4 6 4" xfId="13808"/>
    <cellStyle name="20% - Accent4 4 6 4 2" xfId="18277"/>
    <cellStyle name="20% - Accent4 4 6 4 2 2" xfId="47138"/>
    <cellStyle name="20% - Accent4 4 6 4 3" xfId="42669"/>
    <cellStyle name="20% - Accent4 4 6 5" xfId="15597"/>
    <cellStyle name="20% - Accent4 4 6 5 2" xfId="44458"/>
    <cellStyle name="20% - Accent4 4 6 6" xfId="29822"/>
    <cellStyle name="20% - Accent4 4 7" xfId="1166"/>
    <cellStyle name="20% - Accent4 4 7 2" xfId="4053"/>
    <cellStyle name="20% - Accent4 4 7 2 2" xfId="10094"/>
    <cellStyle name="20% - Accent4 4 7 2 2 2" xfId="27141"/>
    <cellStyle name="20% - Accent4 4 7 2 2 2 2" xfId="56002"/>
    <cellStyle name="20% - Accent4 4 7 2 2 3" xfId="38955"/>
    <cellStyle name="20% - Accent4 4 7 2 3" xfId="21163"/>
    <cellStyle name="20% - Accent4 4 7 2 3 2" xfId="50024"/>
    <cellStyle name="20% - Accent4 4 7 2 4" xfId="32914"/>
    <cellStyle name="20% - Accent4 4 7 3" xfId="7208"/>
    <cellStyle name="20% - Accent4 4 7 3 2" xfId="24255"/>
    <cellStyle name="20% - Accent4 4 7 3 2 2" xfId="53116"/>
    <cellStyle name="20% - Accent4 4 7 3 3" xfId="36069"/>
    <cellStyle name="20% - Accent4 4 7 4" xfId="12012"/>
    <cellStyle name="20% - Accent4 4 7 4 2" xfId="18483"/>
    <cellStyle name="20% - Accent4 4 7 4 2 2" xfId="47344"/>
    <cellStyle name="20% - Accent4 4 7 4 3" xfId="40873"/>
    <cellStyle name="20% - Accent4 4 7 5" xfId="15803"/>
    <cellStyle name="20% - Accent4 4 7 5 2" xfId="44664"/>
    <cellStyle name="20% - Accent4 4 7 6" xfId="30028"/>
    <cellStyle name="20% - Accent4 4 8" xfId="1372"/>
    <cellStyle name="20% - Accent4 4 8 2" xfId="4259"/>
    <cellStyle name="20% - Accent4 4 8 2 2" xfId="10300"/>
    <cellStyle name="20% - Accent4 4 8 2 2 2" xfId="27347"/>
    <cellStyle name="20% - Accent4 4 8 2 2 2 2" xfId="56208"/>
    <cellStyle name="20% - Accent4 4 8 2 2 3" xfId="39161"/>
    <cellStyle name="20% - Accent4 4 8 2 3" xfId="21369"/>
    <cellStyle name="20% - Accent4 4 8 2 3 2" xfId="50230"/>
    <cellStyle name="20% - Accent4 4 8 2 4" xfId="33120"/>
    <cellStyle name="20% - Accent4 4 8 3" xfId="7414"/>
    <cellStyle name="20% - Accent4 4 8 3 2" xfId="24461"/>
    <cellStyle name="20% - Accent4 4 8 3 2 2" xfId="53322"/>
    <cellStyle name="20% - Accent4 4 8 3 3" xfId="36275"/>
    <cellStyle name="20% - Accent4 4 8 4" xfId="12955"/>
    <cellStyle name="20% - Accent4 4 8 4 2" xfId="18689"/>
    <cellStyle name="20% - Accent4 4 8 4 2 2" xfId="47550"/>
    <cellStyle name="20% - Accent4 4 8 4 3" xfId="41816"/>
    <cellStyle name="20% - Accent4 4 8 5" xfId="16009"/>
    <cellStyle name="20% - Accent4 4 8 5 2" xfId="44870"/>
    <cellStyle name="20% - Accent4 4 8 6" xfId="30234"/>
    <cellStyle name="20% - Accent4 4 9" xfId="1578"/>
    <cellStyle name="20% - Accent4 4 9 2" xfId="4465"/>
    <cellStyle name="20% - Accent4 4 9 2 2" xfId="10506"/>
    <cellStyle name="20% - Accent4 4 9 2 2 2" xfId="27553"/>
    <cellStyle name="20% - Accent4 4 9 2 2 2 2" xfId="56414"/>
    <cellStyle name="20% - Accent4 4 9 2 2 3" xfId="39367"/>
    <cellStyle name="20% - Accent4 4 9 2 3" xfId="21575"/>
    <cellStyle name="20% - Accent4 4 9 2 3 2" xfId="50436"/>
    <cellStyle name="20% - Accent4 4 9 2 4" xfId="33326"/>
    <cellStyle name="20% - Accent4 4 9 3" xfId="7620"/>
    <cellStyle name="20% - Accent4 4 9 3 2" xfId="24667"/>
    <cellStyle name="20% - Accent4 4 9 3 2 2" xfId="53528"/>
    <cellStyle name="20% - Accent4 4 9 3 3" xfId="36481"/>
    <cellStyle name="20% - Accent4 4 9 4" xfId="13945"/>
    <cellStyle name="20% - Accent4 4 9 4 2" xfId="18895"/>
    <cellStyle name="20% - Accent4 4 9 4 2 2" xfId="47756"/>
    <cellStyle name="20% - Accent4 4 9 4 3" xfId="42806"/>
    <cellStyle name="20% - Accent4 4 9 5" xfId="16215"/>
    <cellStyle name="20% - Accent4 4 9 5 2" xfId="45076"/>
    <cellStyle name="20% - Accent4 4 9 6" xfId="30440"/>
    <cellStyle name="20% - Accent4 5" xfId="289"/>
    <cellStyle name="20% - Accent4 5 10" xfId="2452"/>
    <cellStyle name="20% - Accent4 5 10 2" xfId="5339"/>
    <cellStyle name="20% - Accent4 5 10 2 2" xfId="11380"/>
    <cellStyle name="20% - Accent4 5 10 2 2 2" xfId="28427"/>
    <cellStyle name="20% - Accent4 5 10 2 2 2 2" xfId="57288"/>
    <cellStyle name="20% - Accent4 5 10 2 2 3" xfId="40241"/>
    <cellStyle name="20% - Accent4 5 10 2 3" xfId="22449"/>
    <cellStyle name="20% - Accent4 5 10 2 3 2" xfId="51310"/>
    <cellStyle name="20% - Accent4 5 10 2 4" xfId="34200"/>
    <cellStyle name="20% - Accent4 5 10 3" xfId="8494"/>
    <cellStyle name="20% - Accent4 5 10 3 2" xfId="25541"/>
    <cellStyle name="20% - Accent4 5 10 3 2 2" xfId="54402"/>
    <cellStyle name="20% - Accent4 5 10 3 3" xfId="37355"/>
    <cellStyle name="20% - Accent4 5 10 4" xfId="13676"/>
    <cellStyle name="20% - Accent4 5 10 4 2" xfId="19769"/>
    <cellStyle name="20% - Accent4 5 10 4 2 2" xfId="48630"/>
    <cellStyle name="20% - Accent4 5 10 4 3" xfId="42537"/>
    <cellStyle name="20% - Accent4 5 10 5" xfId="17089"/>
    <cellStyle name="20% - Accent4 5 10 5 2" xfId="45950"/>
    <cellStyle name="20% - Accent4 5 10 6" xfId="31314"/>
    <cellStyle name="20% - Accent4 5 11" xfId="2661"/>
    <cellStyle name="20% - Accent4 5 11 2" xfId="5547"/>
    <cellStyle name="20% - Accent4 5 11 2 2" xfId="11588"/>
    <cellStyle name="20% - Accent4 5 11 2 2 2" xfId="28635"/>
    <cellStyle name="20% - Accent4 5 11 2 2 2 2" xfId="57496"/>
    <cellStyle name="20% - Accent4 5 11 2 2 3" xfId="40449"/>
    <cellStyle name="20% - Accent4 5 11 2 3" xfId="22657"/>
    <cellStyle name="20% - Accent4 5 11 2 3 2" xfId="51518"/>
    <cellStyle name="20% - Accent4 5 11 2 4" xfId="34408"/>
    <cellStyle name="20% - Accent4 5 11 3" xfId="8702"/>
    <cellStyle name="20% - Accent4 5 11 3 2" xfId="25749"/>
    <cellStyle name="20% - Accent4 5 11 3 2 2" xfId="54610"/>
    <cellStyle name="20% - Accent4 5 11 3 3" xfId="37563"/>
    <cellStyle name="20% - Accent4 5 11 4" xfId="13846"/>
    <cellStyle name="20% - Accent4 5 11 4 2" xfId="19977"/>
    <cellStyle name="20% - Accent4 5 11 4 2 2" xfId="48838"/>
    <cellStyle name="20% - Accent4 5 11 4 3" xfId="42707"/>
    <cellStyle name="20% - Accent4 5 11 5" xfId="17297"/>
    <cellStyle name="20% - Accent4 5 11 5 2" xfId="46158"/>
    <cellStyle name="20% - Accent4 5 11 6" xfId="31522"/>
    <cellStyle name="20% - Accent4 5 12" xfId="3176"/>
    <cellStyle name="20% - Accent4 5 12 2" xfId="9217"/>
    <cellStyle name="20% - Accent4 5 12 2 2" xfId="26264"/>
    <cellStyle name="20% - Accent4 5 12 2 2 2" xfId="55125"/>
    <cellStyle name="20% - Accent4 5 12 2 3" xfId="38078"/>
    <cellStyle name="20% - Accent4 5 12 3" xfId="13942"/>
    <cellStyle name="20% - Accent4 5 12 3 2" xfId="20286"/>
    <cellStyle name="20% - Accent4 5 12 3 2 2" xfId="49147"/>
    <cellStyle name="20% - Accent4 5 12 3 3" xfId="42803"/>
    <cellStyle name="20% - Accent4 5 12 4" xfId="14926"/>
    <cellStyle name="20% - Accent4 5 12 4 2" xfId="43787"/>
    <cellStyle name="20% - Accent4 5 12 5" xfId="32037"/>
    <cellStyle name="20% - Accent4 5 13" xfId="2867"/>
    <cellStyle name="20% - Accent4 5 13 2" xfId="8908"/>
    <cellStyle name="20% - Accent4 5 13 2 2" xfId="25955"/>
    <cellStyle name="20% - Accent4 5 13 2 2 2" xfId="54816"/>
    <cellStyle name="20% - Accent4 5 13 2 3" xfId="37769"/>
    <cellStyle name="20% - Accent4 5 13 3" xfId="17503"/>
    <cellStyle name="20% - Accent4 5 13 3 2" xfId="46364"/>
    <cellStyle name="20% - Accent4 5 13 4" xfId="31728"/>
    <cellStyle name="20% - Accent4 5 14" xfId="5753"/>
    <cellStyle name="20% - Accent4 5 14 2" xfId="11794"/>
    <cellStyle name="20% - Accent4 5 14 2 2" xfId="28841"/>
    <cellStyle name="20% - Accent4 5 14 2 2 2" xfId="57702"/>
    <cellStyle name="20% - Accent4 5 14 2 3" xfId="40655"/>
    <cellStyle name="20% - Accent4 5 14 3" xfId="22863"/>
    <cellStyle name="20% - Accent4 5 14 3 2" xfId="51724"/>
    <cellStyle name="20% - Accent4 5 14 4" xfId="34614"/>
    <cellStyle name="20% - Accent4 5 15" xfId="5970"/>
    <cellStyle name="20% - Accent4 5 15 2" xfId="23069"/>
    <cellStyle name="20% - Accent4 5 15 2 2" xfId="51930"/>
    <cellStyle name="20% - Accent4 5 15 3" xfId="34831"/>
    <cellStyle name="20% - Accent4 5 16" xfId="6331"/>
    <cellStyle name="20% - Accent4 5 16 2" xfId="23378"/>
    <cellStyle name="20% - Accent4 5 16 2 2" xfId="52239"/>
    <cellStyle name="20% - Accent4 5 16 3" xfId="35192"/>
    <cellStyle name="20% - Accent4 5 17" xfId="14617"/>
    <cellStyle name="20% - Accent4 5 17 2" xfId="43478"/>
    <cellStyle name="20% - Accent4 5 18" xfId="29151"/>
    <cellStyle name="20% - Accent4 5 2" xfId="495"/>
    <cellStyle name="20% - Accent4 5 2 2" xfId="2246"/>
    <cellStyle name="20% - Accent4 5 2 2 2" xfId="5133"/>
    <cellStyle name="20% - Accent4 5 2 2 2 2" xfId="11174"/>
    <cellStyle name="20% - Accent4 5 2 2 2 2 2" xfId="28221"/>
    <cellStyle name="20% - Accent4 5 2 2 2 2 2 2" xfId="57082"/>
    <cellStyle name="20% - Accent4 5 2 2 2 2 3" xfId="40035"/>
    <cellStyle name="20% - Accent4 5 2 2 2 3" xfId="22243"/>
    <cellStyle name="20% - Accent4 5 2 2 2 3 2" xfId="51104"/>
    <cellStyle name="20% - Accent4 5 2 2 2 4" xfId="33994"/>
    <cellStyle name="20% - Accent4 5 2 2 3" xfId="8288"/>
    <cellStyle name="20% - Accent4 5 2 2 3 2" xfId="25335"/>
    <cellStyle name="20% - Accent4 5 2 2 3 2 2" xfId="54196"/>
    <cellStyle name="20% - Accent4 5 2 2 3 3" xfId="37149"/>
    <cellStyle name="20% - Accent4 5 2 2 4" xfId="12096"/>
    <cellStyle name="20% - Accent4 5 2 2 4 2" xfId="19563"/>
    <cellStyle name="20% - Accent4 5 2 2 4 2 2" xfId="48424"/>
    <cellStyle name="20% - Accent4 5 2 2 4 3" xfId="40957"/>
    <cellStyle name="20% - Accent4 5 2 2 5" xfId="16883"/>
    <cellStyle name="20% - Accent4 5 2 2 5 2" xfId="45744"/>
    <cellStyle name="20% - Accent4 5 2 2 6" xfId="31108"/>
    <cellStyle name="20% - Accent4 5 2 3" xfId="3382"/>
    <cellStyle name="20% - Accent4 5 2 3 2" xfId="9423"/>
    <cellStyle name="20% - Accent4 5 2 3 2 2" xfId="26470"/>
    <cellStyle name="20% - Accent4 5 2 3 2 2 2" xfId="55331"/>
    <cellStyle name="20% - Accent4 5 2 3 2 3" xfId="38284"/>
    <cellStyle name="20% - Accent4 5 2 3 3" xfId="20492"/>
    <cellStyle name="20% - Accent4 5 2 3 3 2" xfId="49353"/>
    <cellStyle name="20% - Accent4 5 2 3 4" xfId="32243"/>
    <cellStyle name="20% - Accent4 5 2 4" xfId="6537"/>
    <cellStyle name="20% - Accent4 5 2 4 2" xfId="23584"/>
    <cellStyle name="20% - Accent4 5 2 4 2 2" xfId="52445"/>
    <cellStyle name="20% - Accent4 5 2 4 3" xfId="35398"/>
    <cellStyle name="20% - Accent4 5 2 5" xfId="12566"/>
    <cellStyle name="20% - Accent4 5 2 5 2" xfId="17812"/>
    <cellStyle name="20% - Accent4 5 2 5 2 2" xfId="46673"/>
    <cellStyle name="20% - Accent4 5 2 5 3" xfId="41427"/>
    <cellStyle name="20% - Accent4 5 2 6" xfId="15132"/>
    <cellStyle name="20% - Accent4 5 2 6 2" xfId="43993"/>
    <cellStyle name="20% - Accent4 5 2 7" xfId="29357"/>
    <cellStyle name="20% - Accent4 5 3" xfId="804"/>
    <cellStyle name="20% - Accent4 5 3 2" xfId="3691"/>
    <cellStyle name="20% - Accent4 5 3 2 2" xfId="9732"/>
    <cellStyle name="20% - Accent4 5 3 2 2 2" xfId="26779"/>
    <cellStyle name="20% - Accent4 5 3 2 2 2 2" xfId="55640"/>
    <cellStyle name="20% - Accent4 5 3 2 2 3" xfId="38593"/>
    <cellStyle name="20% - Accent4 5 3 2 3" xfId="20801"/>
    <cellStyle name="20% - Accent4 5 3 2 3 2" xfId="49662"/>
    <cellStyle name="20% - Accent4 5 3 2 4" xfId="32552"/>
    <cellStyle name="20% - Accent4 5 3 3" xfId="6846"/>
    <cellStyle name="20% - Accent4 5 3 3 2" xfId="23893"/>
    <cellStyle name="20% - Accent4 5 3 3 2 2" xfId="52754"/>
    <cellStyle name="20% - Accent4 5 3 3 3" xfId="35707"/>
    <cellStyle name="20% - Accent4 5 3 4" xfId="13860"/>
    <cellStyle name="20% - Accent4 5 3 4 2" xfId="18121"/>
    <cellStyle name="20% - Accent4 5 3 4 2 2" xfId="46982"/>
    <cellStyle name="20% - Accent4 5 3 4 3" xfId="42721"/>
    <cellStyle name="20% - Accent4 5 3 5" xfId="15441"/>
    <cellStyle name="20% - Accent4 5 3 5 2" xfId="44302"/>
    <cellStyle name="20% - Accent4 5 3 6" xfId="29666"/>
    <cellStyle name="20% - Accent4 5 4" xfId="1010"/>
    <cellStyle name="20% - Accent4 5 4 2" xfId="3897"/>
    <cellStyle name="20% - Accent4 5 4 2 2" xfId="9938"/>
    <cellStyle name="20% - Accent4 5 4 2 2 2" xfId="26985"/>
    <cellStyle name="20% - Accent4 5 4 2 2 2 2" xfId="55846"/>
    <cellStyle name="20% - Accent4 5 4 2 2 3" xfId="38799"/>
    <cellStyle name="20% - Accent4 5 4 2 3" xfId="21007"/>
    <cellStyle name="20% - Accent4 5 4 2 3 2" xfId="49868"/>
    <cellStyle name="20% - Accent4 5 4 2 4" xfId="32758"/>
    <cellStyle name="20% - Accent4 5 4 3" xfId="7052"/>
    <cellStyle name="20% - Accent4 5 4 3 2" xfId="24099"/>
    <cellStyle name="20% - Accent4 5 4 3 2 2" xfId="52960"/>
    <cellStyle name="20% - Accent4 5 4 3 3" xfId="35913"/>
    <cellStyle name="20% - Accent4 5 4 4" xfId="13678"/>
    <cellStyle name="20% - Accent4 5 4 4 2" xfId="18327"/>
    <cellStyle name="20% - Accent4 5 4 4 2 2" xfId="47188"/>
    <cellStyle name="20% - Accent4 5 4 4 3" xfId="42539"/>
    <cellStyle name="20% - Accent4 5 4 5" xfId="15647"/>
    <cellStyle name="20% - Accent4 5 4 5 2" xfId="44508"/>
    <cellStyle name="20% - Accent4 5 4 6" xfId="29872"/>
    <cellStyle name="20% - Accent4 5 5" xfId="1216"/>
    <cellStyle name="20% - Accent4 5 5 2" xfId="4103"/>
    <cellStyle name="20% - Accent4 5 5 2 2" xfId="10144"/>
    <cellStyle name="20% - Accent4 5 5 2 2 2" xfId="27191"/>
    <cellStyle name="20% - Accent4 5 5 2 2 2 2" xfId="56052"/>
    <cellStyle name="20% - Accent4 5 5 2 2 3" xfId="39005"/>
    <cellStyle name="20% - Accent4 5 5 2 3" xfId="21213"/>
    <cellStyle name="20% - Accent4 5 5 2 3 2" xfId="50074"/>
    <cellStyle name="20% - Accent4 5 5 2 4" xfId="32964"/>
    <cellStyle name="20% - Accent4 5 5 3" xfId="7258"/>
    <cellStyle name="20% - Accent4 5 5 3 2" xfId="24305"/>
    <cellStyle name="20% - Accent4 5 5 3 2 2" xfId="53166"/>
    <cellStyle name="20% - Accent4 5 5 3 3" xfId="36119"/>
    <cellStyle name="20% - Accent4 5 5 4" xfId="13048"/>
    <cellStyle name="20% - Accent4 5 5 4 2" xfId="18533"/>
    <cellStyle name="20% - Accent4 5 5 4 2 2" xfId="47394"/>
    <cellStyle name="20% - Accent4 5 5 4 3" xfId="41909"/>
    <cellStyle name="20% - Accent4 5 5 5" xfId="15853"/>
    <cellStyle name="20% - Accent4 5 5 5 2" xfId="44714"/>
    <cellStyle name="20% - Accent4 5 5 6" xfId="30078"/>
    <cellStyle name="20% - Accent4 5 6" xfId="1422"/>
    <cellStyle name="20% - Accent4 5 6 2" xfId="4309"/>
    <cellStyle name="20% - Accent4 5 6 2 2" xfId="10350"/>
    <cellStyle name="20% - Accent4 5 6 2 2 2" xfId="27397"/>
    <cellStyle name="20% - Accent4 5 6 2 2 2 2" xfId="56258"/>
    <cellStyle name="20% - Accent4 5 6 2 2 3" xfId="39211"/>
    <cellStyle name="20% - Accent4 5 6 2 3" xfId="21419"/>
    <cellStyle name="20% - Accent4 5 6 2 3 2" xfId="50280"/>
    <cellStyle name="20% - Accent4 5 6 2 4" xfId="33170"/>
    <cellStyle name="20% - Accent4 5 6 3" xfId="7464"/>
    <cellStyle name="20% - Accent4 5 6 3 2" xfId="24511"/>
    <cellStyle name="20% - Accent4 5 6 3 2 2" xfId="53372"/>
    <cellStyle name="20% - Accent4 5 6 3 3" xfId="36325"/>
    <cellStyle name="20% - Accent4 5 6 4" xfId="11956"/>
    <cellStyle name="20% - Accent4 5 6 4 2" xfId="18739"/>
    <cellStyle name="20% - Accent4 5 6 4 2 2" xfId="47600"/>
    <cellStyle name="20% - Accent4 5 6 4 3" xfId="40817"/>
    <cellStyle name="20% - Accent4 5 6 5" xfId="16059"/>
    <cellStyle name="20% - Accent4 5 6 5 2" xfId="44920"/>
    <cellStyle name="20% - Accent4 5 6 6" xfId="30284"/>
    <cellStyle name="20% - Accent4 5 7" xfId="1628"/>
    <cellStyle name="20% - Accent4 5 7 2" xfId="4515"/>
    <cellStyle name="20% - Accent4 5 7 2 2" xfId="10556"/>
    <cellStyle name="20% - Accent4 5 7 2 2 2" xfId="27603"/>
    <cellStyle name="20% - Accent4 5 7 2 2 2 2" xfId="56464"/>
    <cellStyle name="20% - Accent4 5 7 2 2 3" xfId="39417"/>
    <cellStyle name="20% - Accent4 5 7 2 3" xfId="21625"/>
    <cellStyle name="20% - Accent4 5 7 2 3 2" xfId="50486"/>
    <cellStyle name="20% - Accent4 5 7 2 4" xfId="33376"/>
    <cellStyle name="20% - Accent4 5 7 3" xfId="7670"/>
    <cellStyle name="20% - Accent4 5 7 3 2" xfId="24717"/>
    <cellStyle name="20% - Accent4 5 7 3 2 2" xfId="53578"/>
    <cellStyle name="20% - Accent4 5 7 3 3" xfId="36531"/>
    <cellStyle name="20% - Accent4 5 7 4" xfId="13407"/>
    <cellStyle name="20% - Accent4 5 7 4 2" xfId="18945"/>
    <cellStyle name="20% - Accent4 5 7 4 2 2" xfId="47806"/>
    <cellStyle name="20% - Accent4 5 7 4 3" xfId="42268"/>
    <cellStyle name="20% - Accent4 5 7 5" xfId="16265"/>
    <cellStyle name="20% - Accent4 5 7 5 2" xfId="45126"/>
    <cellStyle name="20% - Accent4 5 7 6" xfId="30490"/>
    <cellStyle name="20% - Accent4 5 8" xfId="1834"/>
    <cellStyle name="20% - Accent4 5 8 2" xfId="4721"/>
    <cellStyle name="20% - Accent4 5 8 2 2" xfId="10762"/>
    <cellStyle name="20% - Accent4 5 8 2 2 2" xfId="27809"/>
    <cellStyle name="20% - Accent4 5 8 2 2 2 2" xfId="56670"/>
    <cellStyle name="20% - Accent4 5 8 2 2 3" xfId="39623"/>
    <cellStyle name="20% - Accent4 5 8 2 3" xfId="21831"/>
    <cellStyle name="20% - Accent4 5 8 2 3 2" xfId="50692"/>
    <cellStyle name="20% - Accent4 5 8 2 4" xfId="33582"/>
    <cellStyle name="20% - Accent4 5 8 3" xfId="7876"/>
    <cellStyle name="20% - Accent4 5 8 3 2" xfId="24923"/>
    <cellStyle name="20% - Accent4 5 8 3 2 2" xfId="53784"/>
    <cellStyle name="20% - Accent4 5 8 3 3" xfId="36737"/>
    <cellStyle name="20% - Accent4 5 8 4" xfId="13007"/>
    <cellStyle name="20% - Accent4 5 8 4 2" xfId="19151"/>
    <cellStyle name="20% - Accent4 5 8 4 2 2" xfId="48012"/>
    <cellStyle name="20% - Accent4 5 8 4 3" xfId="41868"/>
    <cellStyle name="20% - Accent4 5 8 5" xfId="16471"/>
    <cellStyle name="20% - Accent4 5 8 5 2" xfId="45332"/>
    <cellStyle name="20% - Accent4 5 8 6" xfId="30696"/>
    <cellStyle name="20% - Accent4 5 9" xfId="2040"/>
    <cellStyle name="20% - Accent4 5 9 2" xfId="4927"/>
    <cellStyle name="20% - Accent4 5 9 2 2" xfId="10968"/>
    <cellStyle name="20% - Accent4 5 9 2 2 2" xfId="28015"/>
    <cellStyle name="20% - Accent4 5 9 2 2 2 2" xfId="56876"/>
    <cellStyle name="20% - Accent4 5 9 2 2 3" xfId="39829"/>
    <cellStyle name="20% - Accent4 5 9 2 3" xfId="22037"/>
    <cellStyle name="20% - Accent4 5 9 2 3 2" xfId="50898"/>
    <cellStyle name="20% - Accent4 5 9 2 4" xfId="33788"/>
    <cellStyle name="20% - Accent4 5 9 3" xfId="8082"/>
    <cellStyle name="20% - Accent4 5 9 3 2" xfId="25129"/>
    <cellStyle name="20% - Accent4 5 9 3 2 2" xfId="53990"/>
    <cellStyle name="20% - Accent4 5 9 3 3" xfId="36943"/>
    <cellStyle name="20% - Accent4 5 9 4" xfId="12301"/>
    <cellStyle name="20% - Accent4 5 9 4 2" xfId="19357"/>
    <cellStyle name="20% - Accent4 5 9 4 2 2" xfId="48218"/>
    <cellStyle name="20% - Accent4 5 9 4 3" xfId="41162"/>
    <cellStyle name="20% - Accent4 5 9 5" xfId="16677"/>
    <cellStyle name="20% - Accent4 5 9 5 2" xfId="45538"/>
    <cellStyle name="20% - Accent4 5 9 6" xfId="30902"/>
    <cellStyle name="20% - Accent4 6" xfId="186"/>
    <cellStyle name="20% - Accent4 6 2" xfId="598"/>
    <cellStyle name="20% - Accent4 6 2 2" xfId="3485"/>
    <cellStyle name="20% - Accent4 6 2 2 2" xfId="9526"/>
    <cellStyle name="20% - Accent4 6 2 2 2 2" xfId="26573"/>
    <cellStyle name="20% - Accent4 6 2 2 2 2 2" xfId="55434"/>
    <cellStyle name="20% - Accent4 6 2 2 2 3" xfId="38387"/>
    <cellStyle name="20% - Accent4 6 2 2 3" xfId="20595"/>
    <cellStyle name="20% - Accent4 6 2 2 3 2" xfId="49456"/>
    <cellStyle name="20% - Accent4 6 2 2 4" xfId="32346"/>
    <cellStyle name="20% - Accent4 6 2 3" xfId="6640"/>
    <cellStyle name="20% - Accent4 6 2 3 2" xfId="23687"/>
    <cellStyle name="20% - Accent4 6 2 3 2 2" xfId="52548"/>
    <cellStyle name="20% - Accent4 6 2 3 3" xfId="35501"/>
    <cellStyle name="20% - Accent4 6 2 4" xfId="12756"/>
    <cellStyle name="20% - Accent4 6 2 4 2" xfId="17915"/>
    <cellStyle name="20% - Accent4 6 2 4 2 2" xfId="46776"/>
    <cellStyle name="20% - Accent4 6 2 4 3" xfId="41617"/>
    <cellStyle name="20% - Accent4 6 2 5" xfId="15235"/>
    <cellStyle name="20% - Accent4 6 2 5 2" xfId="44096"/>
    <cellStyle name="20% - Accent4 6 2 6" xfId="29460"/>
    <cellStyle name="20% - Accent4 6 3" xfId="2143"/>
    <cellStyle name="20% - Accent4 6 3 2" xfId="5030"/>
    <cellStyle name="20% - Accent4 6 3 2 2" xfId="11071"/>
    <cellStyle name="20% - Accent4 6 3 2 2 2" xfId="28118"/>
    <cellStyle name="20% - Accent4 6 3 2 2 2 2" xfId="56979"/>
    <cellStyle name="20% - Accent4 6 3 2 2 3" xfId="39932"/>
    <cellStyle name="20% - Accent4 6 3 2 3" xfId="22140"/>
    <cellStyle name="20% - Accent4 6 3 2 3 2" xfId="51001"/>
    <cellStyle name="20% - Accent4 6 3 2 4" xfId="33891"/>
    <cellStyle name="20% - Accent4 6 3 3" xfId="8185"/>
    <cellStyle name="20% - Accent4 6 3 3 2" xfId="25232"/>
    <cellStyle name="20% - Accent4 6 3 3 2 2" xfId="54093"/>
    <cellStyle name="20% - Accent4 6 3 3 3" xfId="37046"/>
    <cellStyle name="20% - Accent4 6 3 4" xfId="14165"/>
    <cellStyle name="20% - Accent4 6 3 4 2" xfId="19460"/>
    <cellStyle name="20% - Accent4 6 3 4 2 2" xfId="48321"/>
    <cellStyle name="20% - Accent4 6 3 4 3" xfId="43026"/>
    <cellStyle name="20% - Accent4 6 3 5" xfId="16780"/>
    <cellStyle name="20% - Accent4 6 3 5 2" xfId="45641"/>
    <cellStyle name="20% - Accent4 6 3 6" xfId="31005"/>
    <cellStyle name="20% - Accent4 6 4" xfId="3073"/>
    <cellStyle name="20% - Accent4 6 4 2" xfId="9114"/>
    <cellStyle name="20% - Accent4 6 4 2 2" xfId="26161"/>
    <cellStyle name="20% - Accent4 6 4 2 2 2" xfId="55022"/>
    <cellStyle name="20% - Accent4 6 4 2 3" xfId="37975"/>
    <cellStyle name="20% - Accent4 6 4 3" xfId="20183"/>
    <cellStyle name="20% - Accent4 6 4 3 2" xfId="49044"/>
    <cellStyle name="20% - Accent4 6 4 4" xfId="31934"/>
    <cellStyle name="20% - Accent4 6 5" xfId="6228"/>
    <cellStyle name="20% - Accent4 6 5 2" xfId="23275"/>
    <cellStyle name="20% - Accent4 6 5 2 2" xfId="52136"/>
    <cellStyle name="20% - Accent4 6 5 3" xfId="35089"/>
    <cellStyle name="20% - Accent4 6 6" xfId="13415"/>
    <cellStyle name="20% - Accent4 6 6 2" xfId="17606"/>
    <cellStyle name="20% - Accent4 6 6 2 2" xfId="46467"/>
    <cellStyle name="20% - Accent4 6 6 3" xfId="42276"/>
    <cellStyle name="20% - Accent4 6 7" xfId="14823"/>
    <cellStyle name="20% - Accent4 6 7 2" xfId="43684"/>
    <cellStyle name="20% - Accent4 6 8" xfId="29048"/>
    <cellStyle name="20% - Accent4 7" xfId="392"/>
    <cellStyle name="20% - Accent4 7 2" xfId="3279"/>
    <cellStyle name="20% - Accent4 7 2 2" xfId="9320"/>
    <cellStyle name="20% - Accent4 7 2 2 2" xfId="26367"/>
    <cellStyle name="20% - Accent4 7 2 2 2 2" xfId="55228"/>
    <cellStyle name="20% - Accent4 7 2 2 3" xfId="38181"/>
    <cellStyle name="20% - Accent4 7 2 3" xfId="20389"/>
    <cellStyle name="20% - Accent4 7 2 3 2" xfId="49250"/>
    <cellStyle name="20% - Accent4 7 2 4" xfId="32140"/>
    <cellStyle name="20% - Accent4 7 3" xfId="6434"/>
    <cellStyle name="20% - Accent4 7 3 2" xfId="23481"/>
    <cellStyle name="20% - Accent4 7 3 2 2" xfId="52342"/>
    <cellStyle name="20% - Accent4 7 3 3" xfId="35295"/>
    <cellStyle name="20% - Accent4 7 4" xfId="12077"/>
    <cellStyle name="20% - Accent4 7 4 2" xfId="17709"/>
    <cellStyle name="20% - Accent4 7 4 2 2" xfId="46570"/>
    <cellStyle name="20% - Accent4 7 4 3" xfId="40938"/>
    <cellStyle name="20% - Accent4 7 5" xfId="15029"/>
    <cellStyle name="20% - Accent4 7 5 2" xfId="43890"/>
    <cellStyle name="20% - Accent4 7 6" xfId="29254"/>
    <cellStyle name="20% - Accent4 8" xfId="701"/>
    <cellStyle name="20% - Accent4 8 2" xfId="3588"/>
    <cellStyle name="20% - Accent4 8 2 2" xfId="9629"/>
    <cellStyle name="20% - Accent4 8 2 2 2" xfId="26676"/>
    <cellStyle name="20% - Accent4 8 2 2 2 2" xfId="55537"/>
    <cellStyle name="20% - Accent4 8 2 2 3" xfId="38490"/>
    <cellStyle name="20% - Accent4 8 2 3" xfId="20698"/>
    <cellStyle name="20% - Accent4 8 2 3 2" xfId="49559"/>
    <cellStyle name="20% - Accent4 8 2 4" xfId="32449"/>
    <cellStyle name="20% - Accent4 8 3" xfId="6743"/>
    <cellStyle name="20% - Accent4 8 3 2" xfId="23790"/>
    <cellStyle name="20% - Accent4 8 3 2 2" xfId="52651"/>
    <cellStyle name="20% - Accent4 8 3 3" xfId="35604"/>
    <cellStyle name="20% - Accent4 8 4" xfId="14198"/>
    <cellStyle name="20% - Accent4 8 4 2" xfId="18018"/>
    <cellStyle name="20% - Accent4 8 4 2 2" xfId="46879"/>
    <cellStyle name="20% - Accent4 8 4 3" xfId="43059"/>
    <cellStyle name="20% - Accent4 8 5" xfId="15338"/>
    <cellStyle name="20% - Accent4 8 5 2" xfId="44199"/>
    <cellStyle name="20% - Accent4 8 6" xfId="29563"/>
    <cellStyle name="20% - Accent4 9" xfId="907"/>
    <cellStyle name="20% - Accent4 9 2" xfId="3794"/>
    <cellStyle name="20% - Accent4 9 2 2" xfId="9835"/>
    <cellStyle name="20% - Accent4 9 2 2 2" xfId="26882"/>
    <cellStyle name="20% - Accent4 9 2 2 2 2" xfId="55743"/>
    <cellStyle name="20% - Accent4 9 2 2 3" xfId="38696"/>
    <cellStyle name="20% - Accent4 9 2 3" xfId="20904"/>
    <cellStyle name="20% - Accent4 9 2 3 2" xfId="49765"/>
    <cellStyle name="20% - Accent4 9 2 4" xfId="32655"/>
    <cellStyle name="20% - Accent4 9 3" xfId="6949"/>
    <cellStyle name="20% - Accent4 9 3 2" xfId="23996"/>
    <cellStyle name="20% - Accent4 9 3 2 2" xfId="52857"/>
    <cellStyle name="20% - Accent4 9 3 3" xfId="35810"/>
    <cellStyle name="20% - Accent4 9 4" xfId="11944"/>
    <cellStyle name="20% - Accent4 9 4 2" xfId="18224"/>
    <cellStyle name="20% - Accent4 9 4 2 2" xfId="47085"/>
    <cellStyle name="20% - Accent4 9 4 3" xfId="40805"/>
    <cellStyle name="20% - Accent4 9 5" xfId="15544"/>
    <cellStyle name="20% - Accent4 9 5 2" xfId="44405"/>
    <cellStyle name="20% - Accent4 9 6" xfId="29769"/>
    <cellStyle name="20% - Accent5" xfId="82" builtinId="46" customBuiltin="1"/>
    <cellStyle name="20% - Accent5 10" xfId="1115"/>
    <cellStyle name="20% - Accent5 10 2" xfId="4002"/>
    <cellStyle name="20% - Accent5 10 2 2" xfId="10043"/>
    <cellStyle name="20% - Accent5 10 2 2 2" xfId="27090"/>
    <cellStyle name="20% - Accent5 10 2 2 2 2" xfId="55951"/>
    <cellStyle name="20% - Accent5 10 2 2 3" xfId="38904"/>
    <cellStyle name="20% - Accent5 10 2 3" xfId="21112"/>
    <cellStyle name="20% - Accent5 10 2 3 2" xfId="49973"/>
    <cellStyle name="20% - Accent5 10 2 4" xfId="32863"/>
    <cellStyle name="20% - Accent5 10 3" xfId="7157"/>
    <cellStyle name="20% - Accent5 10 3 2" xfId="24204"/>
    <cellStyle name="20% - Accent5 10 3 2 2" xfId="53065"/>
    <cellStyle name="20% - Accent5 10 3 3" xfId="36018"/>
    <cellStyle name="20% - Accent5 10 4" xfId="14297"/>
    <cellStyle name="20% - Accent5 10 4 2" xfId="18432"/>
    <cellStyle name="20% - Accent5 10 4 2 2" xfId="47293"/>
    <cellStyle name="20% - Accent5 10 4 3" xfId="43158"/>
    <cellStyle name="20% - Accent5 10 5" xfId="15752"/>
    <cellStyle name="20% - Accent5 10 5 2" xfId="44613"/>
    <cellStyle name="20% - Accent5 10 6" xfId="29977"/>
    <cellStyle name="20% - Accent5 11" xfId="1321"/>
    <cellStyle name="20% - Accent5 11 2" xfId="4208"/>
    <cellStyle name="20% - Accent5 11 2 2" xfId="10249"/>
    <cellStyle name="20% - Accent5 11 2 2 2" xfId="27296"/>
    <cellStyle name="20% - Accent5 11 2 2 2 2" xfId="56157"/>
    <cellStyle name="20% - Accent5 11 2 2 3" xfId="39110"/>
    <cellStyle name="20% - Accent5 11 2 3" xfId="21318"/>
    <cellStyle name="20% - Accent5 11 2 3 2" xfId="50179"/>
    <cellStyle name="20% - Accent5 11 2 4" xfId="33069"/>
    <cellStyle name="20% - Accent5 11 3" xfId="7363"/>
    <cellStyle name="20% - Accent5 11 3 2" xfId="24410"/>
    <cellStyle name="20% - Accent5 11 3 2 2" xfId="53271"/>
    <cellStyle name="20% - Accent5 11 3 3" xfId="36224"/>
    <cellStyle name="20% - Accent5 11 4" xfId="12446"/>
    <cellStyle name="20% - Accent5 11 4 2" xfId="18638"/>
    <cellStyle name="20% - Accent5 11 4 2 2" xfId="47499"/>
    <cellStyle name="20% - Accent5 11 4 3" xfId="41307"/>
    <cellStyle name="20% - Accent5 11 5" xfId="15958"/>
    <cellStyle name="20% - Accent5 11 5 2" xfId="44819"/>
    <cellStyle name="20% - Accent5 11 6" xfId="30183"/>
    <cellStyle name="20% - Accent5 12" xfId="1527"/>
    <cellStyle name="20% - Accent5 12 2" xfId="4414"/>
    <cellStyle name="20% - Accent5 12 2 2" xfId="10455"/>
    <cellStyle name="20% - Accent5 12 2 2 2" xfId="27502"/>
    <cellStyle name="20% - Accent5 12 2 2 2 2" xfId="56363"/>
    <cellStyle name="20% - Accent5 12 2 2 3" xfId="39316"/>
    <cellStyle name="20% - Accent5 12 2 3" xfId="21524"/>
    <cellStyle name="20% - Accent5 12 2 3 2" xfId="50385"/>
    <cellStyle name="20% - Accent5 12 2 4" xfId="33275"/>
    <cellStyle name="20% - Accent5 12 3" xfId="7569"/>
    <cellStyle name="20% - Accent5 12 3 2" xfId="24616"/>
    <cellStyle name="20% - Accent5 12 3 2 2" xfId="53477"/>
    <cellStyle name="20% - Accent5 12 3 3" xfId="36430"/>
    <cellStyle name="20% - Accent5 12 4" xfId="13750"/>
    <cellStyle name="20% - Accent5 12 4 2" xfId="18844"/>
    <cellStyle name="20% - Accent5 12 4 2 2" xfId="47705"/>
    <cellStyle name="20% - Accent5 12 4 3" xfId="42611"/>
    <cellStyle name="20% - Accent5 12 5" xfId="16164"/>
    <cellStyle name="20% - Accent5 12 5 2" xfId="45025"/>
    <cellStyle name="20% - Accent5 12 6" xfId="30389"/>
    <cellStyle name="20% - Accent5 13" xfId="1733"/>
    <cellStyle name="20% - Accent5 13 2" xfId="4620"/>
    <cellStyle name="20% - Accent5 13 2 2" xfId="10661"/>
    <cellStyle name="20% - Accent5 13 2 2 2" xfId="27708"/>
    <cellStyle name="20% - Accent5 13 2 2 2 2" xfId="56569"/>
    <cellStyle name="20% - Accent5 13 2 2 3" xfId="39522"/>
    <cellStyle name="20% - Accent5 13 2 3" xfId="21730"/>
    <cellStyle name="20% - Accent5 13 2 3 2" xfId="50591"/>
    <cellStyle name="20% - Accent5 13 2 4" xfId="33481"/>
    <cellStyle name="20% - Accent5 13 3" xfId="7775"/>
    <cellStyle name="20% - Accent5 13 3 2" xfId="24822"/>
    <cellStyle name="20% - Accent5 13 3 2 2" xfId="53683"/>
    <cellStyle name="20% - Accent5 13 3 3" xfId="36636"/>
    <cellStyle name="20% - Accent5 13 4" xfId="12569"/>
    <cellStyle name="20% - Accent5 13 4 2" xfId="19050"/>
    <cellStyle name="20% - Accent5 13 4 2 2" xfId="47911"/>
    <cellStyle name="20% - Accent5 13 4 3" xfId="41430"/>
    <cellStyle name="20% - Accent5 13 5" xfId="16370"/>
    <cellStyle name="20% - Accent5 13 5 2" xfId="45231"/>
    <cellStyle name="20% - Accent5 13 6" xfId="30595"/>
    <cellStyle name="20% - Accent5 14" xfId="1939"/>
    <cellStyle name="20% - Accent5 14 2" xfId="4826"/>
    <cellStyle name="20% - Accent5 14 2 2" xfId="10867"/>
    <cellStyle name="20% - Accent5 14 2 2 2" xfId="27914"/>
    <cellStyle name="20% - Accent5 14 2 2 2 2" xfId="56775"/>
    <cellStyle name="20% - Accent5 14 2 2 3" xfId="39728"/>
    <cellStyle name="20% - Accent5 14 2 3" xfId="21936"/>
    <cellStyle name="20% - Accent5 14 2 3 2" xfId="50797"/>
    <cellStyle name="20% - Accent5 14 2 4" xfId="33687"/>
    <cellStyle name="20% - Accent5 14 3" xfId="7981"/>
    <cellStyle name="20% - Accent5 14 3 2" xfId="25028"/>
    <cellStyle name="20% - Accent5 14 3 2 2" xfId="53889"/>
    <cellStyle name="20% - Accent5 14 3 3" xfId="36842"/>
    <cellStyle name="20% - Accent5 14 4" xfId="12924"/>
    <cellStyle name="20% - Accent5 14 4 2" xfId="19256"/>
    <cellStyle name="20% - Accent5 14 4 2 2" xfId="48117"/>
    <cellStyle name="20% - Accent5 14 4 3" xfId="41785"/>
    <cellStyle name="20% - Accent5 14 5" xfId="16576"/>
    <cellStyle name="20% - Accent5 14 5 2" xfId="45437"/>
    <cellStyle name="20% - Accent5 14 6" xfId="30801"/>
    <cellStyle name="20% - Accent5 15" xfId="2351"/>
    <cellStyle name="20% - Accent5 15 2" xfId="5238"/>
    <cellStyle name="20% - Accent5 15 2 2" xfId="11279"/>
    <cellStyle name="20% - Accent5 15 2 2 2" xfId="28326"/>
    <cellStyle name="20% - Accent5 15 2 2 2 2" xfId="57187"/>
    <cellStyle name="20% - Accent5 15 2 2 3" xfId="40140"/>
    <cellStyle name="20% - Accent5 15 2 3" xfId="22348"/>
    <cellStyle name="20% - Accent5 15 2 3 2" xfId="51209"/>
    <cellStyle name="20% - Accent5 15 2 4" xfId="34099"/>
    <cellStyle name="20% - Accent5 15 3" xfId="8393"/>
    <cellStyle name="20% - Accent5 15 3 2" xfId="25440"/>
    <cellStyle name="20% - Accent5 15 3 2 2" xfId="54301"/>
    <cellStyle name="20% - Accent5 15 3 3" xfId="37254"/>
    <cellStyle name="20% - Accent5 15 4" xfId="13496"/>
    <cellStyle name="20% - Accent5 15 4 2" xfId="19668"/>
    <cellStyle name="20% - Accent5 15 4 2 2" xfId="48529"/>
    <cellStyle name="20% - Accent5 15 4 3" xfId="42357"/>
    <cellStyle name="20% - Accent5 15 5" xfId="16988"/>
    <cellStyle name="20% - Accent5 15 5 2" xfId="45849"/>
    <cellStyle name="20% - Accent5 15 6" xfId="31213"/>
    <cellStyle name="20% - Accent5 16" xfId="2560"/>
    <cellStyle name="20% - Accent5 16 2" xfId="5446"/>
    <cellStyle name="20% - Accent5 16 2 2" xfId="11487"/>
    <cellStyle name="20% - Accent5 16 2 2 2" xfId="28534"/>
    <cellStyle name="20% - Accent5 16 2 2 2 2" xfId="57395"/>
    <cellStyle name="20% - Accent5 16 2 2 3" xfId="40348"/>
    <cellStyle name="20% - Accent5 16 2 3" xfId="22556"/>
    <cellStyle name="20% - Accent5 16 2 3 2" xfId="51417"/>
    <cellStyle name="20% - Accent5 16 2 4" xfId="34307"/>
    <cellStyle name="20% - Accent5 16 3" xfId="8601"/>
    <cellStyle name="20% - Accent5 16 3 2" xfId="25648"/>
    <cellStyle name="20% - Accent5 16 3 2 2" xfId="54509"/>
    <cellStyle name="20% - Accent5 16 3 3" xfId="37462"/>
    <cellStyle name="20% - Accent5 16 4" xfId="12064"/>
    <cellStyle name="20% - Accent5 16 4 2" xfId="19876"/>
    <cellStyle name="20% - Accent5 16 4 2 2" xfId="48737"/>
    <cellStyle name="20% - Accent5 16 4 3" xfId="40925"/>
    <cellStyle name="20% - Accent5 16 5" xfId="17196"/>
    <cellStyle name="20% - Accent5 16 5 2" xfId="46057"/>
    <cellStyle name="20% - Accent5 16 6" xfId="31421"/>
    <cellStyle name="20% - Accent5 17" xfId="2972"/>
    <cellStyle name="20% - Accent5 17 2" xfId="9013"/>
    <cellStyle name="20% - Accent5 17 2 2" xfId="26060"/>
    <cellStyle name="20% - Accent5 17 2 2 2" xfId="54921"/>
    <cellStyle name="20% - Accent5 17 2 3" xfId="37874"/>
    <cellStyle name="20% - Accent5 17 3" xfId="14130"/>
    <cellStyle name="20% - Accent5 17 3 2" xfId="20082"/>
    <cellStyle name="20% - Accent5 17 3 2 2" xfId="48943"/>
    <cellStyle name="20% - Accent5 17 3 3" xfId="42991"/>
    <cellStyle name="20% - Accent5 17 4" xfId="14722"/>
    <cellStyle name="20% - Accent5 17 4 2" xfId="43583"/>
    <cellStyle name="20% - Accent5 17 5" xfId="31833"/>
    <cellStyle name="20% - Accent5 18" xfId="2766"/>
    <cellStyle name="20% - Accent5 18 2" xfId="8807"/>
    <cellStyle name="20% - Accent5 18 2 2" xfId="25854"/>
    <cellStyle name="20% - Accent5 18 2 2 2" xfId="54715"/>
    <cellStyle name="20% - Accent5 18 2 3" xfId="37668"/>
    <cellStyle name="20% - Accent5 18 3" xfId="17402"/>
    <cellStyle name="20% - Accent5 18 3 2" xfId="46263"/>
    <cellStyle name="20% - Accent5 18 4" xfId="31627"/>
    <cellStyle name="20% - Accent5 19" xfId="5652"/>
    <cellStyle name="20% - Accent5 19 2" xfId="11693"/>
    <cellStyle name="20% - Accent5 19 2 2" xfId="28740"/>
    <cellStyle name="20% - Accent5 19 2 2 2" xfId="57601"/>
    <cellStyle name="20% - Accent5 19 2 3" xfId="40554"/>
    <cellStyle name="20% - Accent5 19 3" xfId="22762"/>
    <cellStyle name="20% - Accent5 19 3 2" xfId="51623"/>
    <cellStyle name="20% - Accent5 19 4" xfId="34513"/>
    <cellStyle name="20% - Accent5 2" xfId="99"/>
    <cellStyle name="20% - Accent5 2 10" xfId="1335"/>
    <cellStyle name="20% - Accent5 2 10 2" xfId="4222"/>
    <cellStyle name="20% - Accent5 2 10 2 2" xfId="10263"/>
    <cellStyle name="20% - Accent5 2 10 2 2 2" xfId="27310"/>
    <cellStyle name="20% - Accent5 2 10 2 2 2 2" xfId="56171"/>
    <cellStyle name="20% - Accent5 2 10 2 2 3" xfId="39124"/>
    <cellStyle name="20% - Accent5 2 10 2 3" xfId="21332"/>
    <cellStyle name="20% - Accent5 2 10 2 3 2" xfId="50193"/>
    <cellStyle name="20% - Accent5 2 10 2 4" xfId="33083"/>
    <cellStyle name="20% - Accent5 2 10 3" xfId="7377"/>
    <cellStyle name="20% - Accent5 2 10 3 2" xfId="24424"/>
    <cellStyle name="20% - Accent5 2 10 3 2 2" xfId="53285"/>
    <cellStyle name="20% - Accent5 2 10 3 3" xfId="36238"/>
    <cellStyle name="20% - Accent5 2 10 4" xfId="12710"/>
    <cellStyle name="20% - Accent5 2 10 4 2" xfId="18652"/>
    <cellStyle name="20% - Accent5 2 10 4 2 2" xfId="47513"/>
    <cellStyle name="20% - Accent5 2 10 4 3" xfId="41571"/>
    <cellStyle name="20% - Accent5 2 10 5" xfId="15972"/>
    <cellStyle name="20% - Accent5 2 10 5 2" xfId="44833"/>
    <cellStyle name="20% - Accent5 2 10 6" xfId="30197"/>
    <cellStyle name="20% - Accent5 2 11" xfId="1541"/>
    <cellStyle name="20% - Accent5 2 11 2" xfId="4428"/>
    <cellStyle name="20% - Accent5 2 11 2 2" xfId="10469"/>
    <cellStyle name="20% - Accent5 2 11 2 2 2" xfId="27516"/>
    <cellStyle name="20% - Accent5 2 11 2 2 2 2" xfId="56377"/>
    <cellStyle name="20% - Accent5 2 11 2 2 3" xfId="39330"/>
    <cellStyle name="20% - Accent5 2 11 2 3" xfId="21538"/>
    <cellStyle name="20% - Accent5 2 11 2 3 2" xfId="50399"/>
    <cellStyle name="20% - Accent5 2 11 2 4" xfId="33289"/>
    <cellStyle name="20% - Accent5 2 11 3" xfId="7583"/>
    <cellStyle name="20% - Accent5 2 11 3 2" xfId="24630"/>
    <cellStyle name="20% - Accent5 2 11 3 2 2" xfId="53491"/>
    <cellStyle name="20% - Accent5 2 11 3 3" xfId="36444"/>
    <cellStyle name="20% - Accent5 2 11 4" xfId="13630"/>
    <cellStyle name="20% - Accent5 2 11 4 2" xfId="18858"/>
    <cellStyle name="20% - Accent5 2 11 4 2 2" xfId="47719"/>
    <cellStyle name="20% - Accent5 2 11 4 3" xfId="42491"/>
    <cellStyle name="20% - Accent5 2 11 5" xfId="16178"/>
    <cellStyle name="20% - Accent5 2 11 5 2" xfId="45039"/>
    <cellStyle name="20% - Accent5 2 11 6" xfId="30403"/>
    <cellStyle name="20% - Accent5 2 12" xfId="1747"/>
    <cellStyle name="20% - Accent5 2 12 2" xfId="4634"/>
    <cellStyle name="20% - Accent5 2 12 2 2" xfId="10675"/>
    <cellStyle name="20% - Accent5 2 12 2 2 2" xfId="27722"/>
    <cellStyle name="20% - Accent5 2 12 2 2 2 2" xfId="56583"/>
    <cellStyle name="20% - Accent5 2 12 2 2 3" xfId="39536"/>
    <cellStyle name="20% - Accent5 2 12 2 3" xfId="21744"/>
    <cellStyle name="20% - Accent5 2 12 2 3 2" xfId="50605"/>
    <cellStyle name="20% - Accent5 2 12 2 4" xfId="33495"/>
    <cellStyle name="20% - Accent5 2 12 3" xfId="7789"/>
    <cellStyle name="20% - Accent5 2 12 3 2" xfId="24836"/>
    <cellStyle name="20% - Accent5 2 12 3 2 2" xfId="53697"/>
    <cellStyle name="20% - Accent5 2 12 3 3" xfId="36650"/>
    <cellStyle name="20% - Accent5 2 12 4" xfId="12481"/>
    <cellStyle name="20% - Accent5 2 12 4 2" xfId="19064"/>
    <cellStyle name="20% - Accent5 2 12 4 2 2" xfId="47925"/>
    <cellStyle name="20% - Accent5 2 12 4 3" xfId="41342"/>
    <cellStyle name="20% - Accent5 2 12 5" xfId="16384"/>
    <cellStyle name="20% - Accent5 2 12 5 2" xfId="45245"/>
    <cellStyle name="20% - Accent5 2 12 6" xfId="30609"/>
    <cellStyle name="20% - Accent5 2 13" xfId="1953"/>
    <cellStyle name="20% - Accent5 2 13 2" xfId="4840"/>
    <cellStyle name="20% - Accent5 2 13 2 2" xfId="10881"/>
    <cellStyle name="20% - Accent5 2 13 2 2 2" xfId="27928"/>
    <cellStyle name="20% - Accent5 2 13 2 2 2 2" xfId="56789"/>
    <cellStyle name="20% - Accent5 2 13 2 2 3" xfId="39742"/>
    <cellStyle name="20% - Accent5 2 13 2 3" xfId="21950"/>
    <cellStyle name="20% - Accent5 2 13 2 3 2" xfId="50811"/>
    <cellStyle name="20% - Accent5 2 13 2 4" xfId="33701"/>
    <cellStyle name="20% - Accent5 2 13 3" xfId="7995"/>
    <cellStyle name="20% - Accent5 2 13 3 2" xfId="25042"/>
    <cellStyle name="20% - Accent5 2 13 3 2 2" xfId="53903"/>
    <cellStyle name="20% - Accent5 2 13 3 3" xfId="36856"/>
    <cellStyle name="20% - Accent5 2 13 4" xfId="12187"/>
    <cellStyle name="20% - Accent5 2 13 4 2" xfId="19270"/>
    <cellStyle name="20% - Accent5 2 13 4 2 2" xfId="48131"/>
    <cellStyle name="20% - Accent5 2 13 4 3" xfId="41048"/>
    <cellStyle name="20% - Accent5 2 13 5" xfId="16590"/>
    <cellStyle name="20% - Accent5 2 13 5 2" xfId="45451"/>
    <cellStyle name="20% - Accent5 2 13 6" xfId="30815"/>
    <cellStyle name="20% - Accent5 2 14" xfId="2365"/>
    <cellStyle name="20% - Accent5 2 14 2" xfId="5252"/>
    <cellStyle name="20% - Accent5 2 14 2 2" xfId="11293"/>
    <cellStyle name="20% - Accent5 2 14 2 2 2" xfId="28340"/>
    <cellStyle name="20% - Accent5 2 14 2 2 2 2" xfId="57201"/>
    <cellStyle name="20% - Accent5 2 14 2 2 3" xfId="40154"/>
    <cellStyle name="20% - Accent5 2 14 2 3" xfId="22362"/>
    <cellStyle name="20% - Accent5 2 14 2 3 2" xfId="51223"/>
    <cellStyle name="20% - Accent5 2 14 2 4" xfId="34113"/>
    <cellStyle name="20% - Accent5 2 14 3" xfId="8407"/>
    <cellStyle name="20% - Accent5 2 14 3 2" xfId="25454"/>
    <cellStyle name="20% - Accent5 2 14 3 2 2" xfId="54315"/>
    <cellStyle name="20% - Accent5 2 14 3 3" xfId="37268"/>
    <cellStyle name="20% - Accent5 2 14 4" xfId="12580"/>
    <cellStyle name="20% - Accent5 2 14 4 2" xfId="19682"/>
    <cellStyle name="20% - Accent5 2 14 4 2 2" xfId="48543"/>
    <cellStyle name="20% - Accent5 2 14 4 3" xfId="41441"/>
    <cellStyle name="20% - Accent5 2 14 5" xfId="17002"/>
    <cellStyle name="20% - Accent5 2 14 5 2" xfId="45863"/>
    <cellStyle name="20% - Accent5 2 14 6" xfId="31227"/>
    <cellStyle name="20% - Accent5 2 15" xfId="2574"/>
    <cellStyle name="20% - Accent5 2 15 2" xfId="5460"/>
    <cellStyle name="20% - Accent5 2 15 2 2" xfId="11501"/>
    <cellStyle name="20% - Accent5 2 15 2 2 2" xfId="28548"/>
    <cellStyle name="20% - Accent5 2 15 2 2 2 2" xfId="57409"/>
    <cellStyle name="20% - Accent5 2 15 2 2 3" xfId="40362"/>
    <cellStyle name="20% - Accent5 2 15 2 3" xfId="22570"/>
    <cellStyle name="20% - Accent5 2 15 2 3 2" xfId="51431"/>
    <cellStyle name="20% - Accent5 2 15 2 4" xfId="34321"/>
    <cellStyle name="20% - Accent5 2 15 3" xfId="8615"/>
    <cellStyle name="20% - Accent5 2 15 3 2" xfId="25662"/>
    <cellStyle name="20% - Accent5 2 15 3 2 2" xfId="54523"/>
    <cellStyle name="20% - Accent5 2 15 3 3" xfId="37476"/>
    <cellStyle name="20% - Accent5 2 15 4" xfId="12232"/>
    <cellStyle name="20% - Accent5 2 15 4 2" xfId="19890"/>
    <cellStyle name="20% - Accent5 2 15 4 2 2" xfId="48751"/>
    <cellStyle name="20% - Accent5 2 15 4 3" xfId="41093"/>
    <cellStyle name="20% - Accent5 2 15 5" xfId="17210"/>
    <cellStyle name="20% - Accent5 2 15 5 2" xfId="46071"/>
    <cellStyle name="20% - Accent5 2 15 6" xfId="31435"/>
    <cellStyle name="20% - Accent5 2 16" xfId="2986"/>
    <cellStyle name="20% - Accent5 2 16 2" xfId="9027"/>
    <cellStyle name="20% - Accent5 2 16 2 2" xfId="26074"/>
    <cellStyle name="20% - Accent5 2 16 2 2 2" xfId="54935"/>
    <cellStyle name="20% - Accent5 2 16 2 3" xfId="37888"/>
    <cellStyle name="20% - Accent5 2 16 3" xfId="14121"/>
    <cellStyle name="20% - Accent5 2 16 3 2" xfId="20096"/>
    <cellStyle name="20% - Accent5 2 16 3 2 2" xfId="48957"/>
    <cellStyle name="20% - Accent5 2 16 3 3" xfId="42982"/>
    <cellStyle name="20% - Accent5 2 16 4" xfId="14736"/>
    <cellStyle name="20% - Accent5 2 16 4 2" xfId="43597"/>
    <cellStyle name="20% - Accent5 2 16 5" xfId="31847"/>
    <cellStyle name="20% - Accent5 2 17" xfId="2780"/>
    <cellStyle name="20% - Accent5 2 17 2" xfId="8821"/>
    <cellStyle name="20% - Accent5 2 17 2 2" xfId="25868"/>
    <cellStyle name="20% - Accent5 2 17 2 2 2" xfId="54729"/>
    <cellStyle name="20% - Accent5 2 17 2 3" xfId="37682"/>
    <cellStyle name="20% - Accent5 2 17 3" xfId="17416"/>
    <cellStyle name="20% - Accent5 2 17 3 2" xfId="46277"/>
    <cellStyle name="20% - Accent5 2 17 4" xfId="31641"/>
    <cellStyle name="20% - Accent5 2 18" xfId="5666"/>
    <cellStyle name="20% - Accent5 2 18 2" xfId="11707"/>
    <cellStyle name="20% - Accent5 2 18 2 2" xfId="28754"/>
    <cellStyle name="20% - Accent5 2 18 2 2 2" xfId="57615"/>
    <cellStyle name="20% - Accent5 2 18 2 3" xfId="40568"/>
    <cellStyle name="20% - Accent5 2 18 3" xfId="22776"/>
    <cellStyle name="20% - Accent5 2 18 3 2" xfId="51637"/>
    <cellStyle name="20% - Accent5 2 18 4" xfId="34527"/>
    <cellStyle name="20% - Accent5 2 19" xfId="5883"/>
    <cellStyle name="20% - Accent5 2 19 2" xfId="22982"/>
    <cellStyle name="20% - Accent5 2 19 2 2" xfId="51843"/>
    <cellStyle name="20% - Accent5 2 19 3" xfId="34744"/>
    <cellStyle name="20% - Accent5 2 2" xfId="125"/>
    <cellStyle name="20% - Accent5 2 2 10" xfId="1773"/>
    <cellStyle name="20% - Accent5 2 2 10 2" xfId="4660"/>
    <cellStyle name="20% - Accent5 2 2 10 2 2" xfId="10701"/>
    <cellStyle name="20% - Accent5 2 2 10 2 2 2" xfId="27748"/>
    <cellStyle name="20% - Accent5 2 2 10 2 2 2 2" xfId="56609"/>
    <cellStyle name="20% - Accent5 2 2 10 2 2 3" xfId="39562"/>
    <cellStyle name="20% - Accent5 2 2 10 2 3" xfId="21770"/>
    <cellStyle name="20% - Accent5 2 2 10 2 3 2" xfId="50631"/>
    <cellStyle name="20% - Accent5 2 2 10 2 4" xfId="33521"/>
    <cellStyle name="20% - Accent5 2 2 10 3" xfId="7815"/>
    <cellStyle name="20% - Accent5 2 2 10 3 2" xfId="24862"/>
    <cellStyle name="20% - Accent5 2 2 10 3 2 2" xfId="53723"/>
    <cellStyle name="20% - Accent5 2 2 10 3 3" xfId="36676"/>
    <cellStyle name="20% - Accent5 2 2 10 4" xfId="13070"/>
    <cellStyle name="20% - Accent5 2 2 10 4 2" xfId="19090"/>
    <cellStyle name="20% - Accent5 2 2 10 4 2 2" xfId="47951"/>
    <cellStyle name="20% - Accent5 2 2 10 4 3" xfId="41931"/>
    <cellStyle name="20% - Accent5 2 2 10 5" xfId="16410"/>
    <cellStyle name="20% - Accent5 2 2 10 5 2" xfId="45271"/>
    <cellStyle name="20% - Accent5 2 2 10 6" xfId="30635"/>
    <cellStyle name="20% - Accent5 2 2 11" xfId="1979"/>
    <cellStyle name="20% - Accent5 2 2 11 2" xfId="4866"/>
    <cellStyle name="20% - Accent5 2 2 11 2 2" xfId="10907"/>
    <cellStyle name="20% - Accent5 2 2 11 2 2 2" xfId="27954"/>
    <cellStyle name="20% - Accent5 2 2 11 2 2 2 2" xfId="56815"/>
    <cellStyle name="20% - Accent5 2 2 11 2 2 3" xfId="39768"/>
    <cellStyle name="20% - Accent5 2 2 11 2 3" xfId="21976"/>
    <cellStyle name="20% - Accent5 2 2 11 2 3 2" xfId="50837"/>
    <cellStyle name="20% - Accent5 2 2 11 2 4" xfId="33727"/>
    <cellStyle name="20% - Accent5 2 2 11 3" xfId="8021"/>
    <cellStyle name="20% - Accent5 2 2 11 3 2" xfId="25068"/>
    <cellStyle name="20% - Accent5 2 2 11 3 2 2" xfId="53929"/>
    <cellStyle name="20% - Accent5 2 2 11 3 3" xfId="36882"/>
    <cellStyle name="20% - Accent5 2 2 11 4" xfId="14438"/>
    <cellStyle name="20% - Accent5 2 2 11 4 2" xfId="19296"/>
    <cellStyle name="20% - Accent5 2 2 11 4 2 2" xfId="48157"/>
    <cellStyle name="20% - Accent5 2 2 11 4 3" xfId="43299"/>
    <cellStyle name="20% - Accent5 2 2 11 5" xfId="16616"/>
    <cellStyle name="20% - Accent5 2 2 11 5 2" xfId="45477"/>
    <cellStyle name="20% - Accent5 2 2 11 6" xfId="30841"/>
    <cellStyle name="20% - Accent5 2 2 12" xfId="2391"/>
    <cellStyle name="20% - Accent5 2 2 12 2" xfId="5278"/>
    <cellStyle name="20% - Accent5 2 2 12 2 2" xfId="11319"/>
    <cellStyle name="20% - Accent5 2 2 12 2 2 2" xfId="28366"/>
    <cellStyle name="20% - Accent5 2 2 12 2 2 2 2" xfId="57227"/>
    <cellStyle name="20% - Accent5 2 2 12 2 2 3" xfId="40180"/>
    <cellStyle name="20% - Accent5 2 2 12 2 3" xfId="22388"/>
    <cellStyle name="20% - Accent5 2 2 12 2 3 2" xfId="51249"/>
    <cellStyle name="20% - Accent5 2 2 12 2 4" xfId="34139"/>
    <cellStyle name="20% - Accent5 2 2 12 3" xfId="8433"/>
    <cellStyle name="20% - Accent5 2 2 12 3 2" xfId="25480"/>
    <cellStyle name="20% - Accent5 2 2 12 3 2 2" xfId="54341"/>
    <cellStyle name="20% - Accent5 2 2 12 3 3" xfId="37294"/>
    <cellStyle name="20% - Accent5 2 2 12 4" xfId="12248"/>
    <cellStyle name="20% - Accent5 2 2 12 4 2" xfId="19708"/>
    <cellStyle name="20% - Accent5 2 2 12 4 2 2" xfId="48569"/>
    <cellStyle name="20% - Accent5 2 2 12 4 3" xfId="41109"/>
    <cellStyle name="20% - Accent5 2 2 12 5" xfId="17028"/>
    <cellStyle name="20% - Accent5 2 2 12 5 2" xfId="45889"/>
    <cellStyle name="20% - Accent5 2 2 12 6" xfId="31253"/>
    <cellStyle name="20% - Accent5 2 2 13" xfId="2600"/>
    <cellStyle name="20% - Accent5 2 2 13 2" xfId="5486"/>
    <cellStyle name="20% - Accent5 2 2 13 2 2" xfId="11527"/>
    <cellStyle name="20% - Accent5 2 2 13 2 2 2" xfId="28574"/>
    <cellStyle name="20% - Accent5 2 2 13 2 2 2 2" xfId="57435"/>
    <cellStyle name="20% - Accent5 2 2 13 2 2 3" xfId="40388"/>
    <cellStyle name="20% - Accent5 2 2 13 2 3" xfId="22596"/>
    <cellStyle name="20% - Accent5 2 2 13 2 3 2" xfId="51457"/>
    <cellStyle name="20% - Accent5 2 2 13 2 4" xfId="34347"/>
    <cellStyle name="20% - Accent5 2 2 13 3" xfId="8641"/>
    <cellStyle name="20% - Accent5 2 2 13 3 2" xfId="25688"/>
    <cellStyle name="20% - Accent5 2 2 13 3 2 2" xfId="54549"/>
    <cellStyle name="20% - Accent5 2 2 13 3 3" xfId="37502"/>
    <cellStyle name="20% - Accent5 2 2 13 4" xfId="13674"/>
    <cellStyle name="20% - Accent5 2 2 13 4 2" xfId="19916"/>
    <cellStyle name="20% - Accent5 2 2 13 4 2 2" xfId="48777"/>
    <cellStyle name="20% - Accent5 2 2 13 4 3" xfId="42535"/>
    <cellStyle name="20% - Accent5 2 2 13 5" xfId="17236"/>
    <cellStyle name="20% - Accent5 2 2 13 5 2" xfId="46097"/>
    <cellStyle name="20% - Accent5 2 2 13 6" xfId="31461"/>
    <cellStyle name="20% - Accent5 2 2 14" xfId="3012"/>
    <cellStyle name="20% - Accent5 2 2 14 2" xfId="9053"/>
    <cellStyle name="20% - Accent5 2 2 14 2 2" xfId="26100"/>
    <cellStyle name="20% - Accent5 2 2 14 2 2 2" xfId="54961"/>
    <cellStyle name="20% - Accent5 2 2 14 2 3" xfId="37914"/>
    <cellStyle name="20% - Accent5 2 2 14 3" xfId="13563"/>
    <cellStyle name="20% - Accent5 2 2 14 3 2" xfId="20122"/>
    <cellStyle name="20% - Accent5 2 2 14 3 2 2" xfId="48983"/>
    <cellStyle name="20% - Accent5 2 2 14 3 3" xfId="42424"/>
    <cellStyle name="20% - Accent5 2 2 14 4" xfId="14762"/>
    <cellStyle name="20% - Accent5 2 2 14 4 2" xfId="43623"/>
    <cellStyle name="20% - Accent5 2 2 14 5" xfId="31873"/>
    <cellStyle name="20% - Accent5 2 2 15" xfId="2806"/>
    <cellStyle name="20% - Accent5 2 2 15 2" xfId="8847"/>
    <cellStyle name="20% - Accent5 2 2 15 2 2" xfId="25894"/>
    <cellStyle name="20% - Accent5 2 2 15 2 2 2" xfId="54755"/>
    <cellStyle name="20% - Accent5 2 2 15 2 3" xfId="37708"/>
    <cellStyle name="20% - Accent5 2 2 15 3" xfId="17442"/>
    <cellStyle name="20% - Accent5 2 2 15 3 2" xfId="46303"/>
    <cellStyle name="20% - Accent5 2 2 15 4" xfId="31667"/>
    <cellStyle name="20% - Accent5 2 2 16" xfId="5692"/>
    <cellStyle name="20% - Accent5 2 2 16 2" xfId="11733"/>
    <cellStyle name="20% - Accent5 2 2 16 2 2" xfId="28780"/>
    <cellStyle name="20% - Accent5 2 2 16 2 2 2" xfId="57641"/>
    <cellStyle name="20% - Accent5 2 2 16 2 3" xfId="40594"/>
    <cellStyle name="20% - Accent5 2 2 16 3" xfId="22802"/>
    <cellStyle name="20% - Accent5 2 2 16 3 2" xfId="51663"/>
    <cellStyle name="20% - Accent5 2 2 16 4" xfId="34553"/>
    <cellStyle name="20% - Accent5 2 2 17" xfId="5909"/>
    <cellStyle name="20% - Accent5 2 2 17 2" xfId="23008"/>
    <cellStyle name="20% - Accent5 2 2 17 2 2" xfId="51869"/>
    <cellStyle name="20% - Accent5 2 2 17 3" xfId="34770"/>
    <cellStyle name="20% - Accent5 2 2 18" xfId="6167"/>
    <cellStyle name="20% - Accent5 2 2 18 2" xfId="23214"/>
    <cellStyle name="20% - Accent5 2 2 18 2 2" xfId="52075"/>
    <cellStyle name="20% - Accent5 2 2 18 3" xfId="35028"/>
    <cellStyle name="20% - Accent5 2 2 19" xfId="14556"/>
    <cellStyle name="20% - Accent5 2 2 19 2" xfId="43417"/>
    <cellStyle name="20% - Accent5 2 2 2" xfId="331"/>
    <cellStyle name="20% - Accent5 2 2 2 10" xfId="2494"/>
    <cellStyle name="20% - Accent5 2 2 2 10 2" xfId="5381"/>
    <cellStyle name="20% - Accent5 2 2 2 10 2 2" xfId="11422"/>
    <cellStyle name="20% - Accent5 2 2 2 10 2 2 2" xfId="28469"/>
    <cellStyle name="20% - Accent5 2 2 2 10 2 2 2 2" xfId="57330"/>
    <cellStyle name="20% - Accent5 2 2 2 10 2 2 3" xfId="40283"/>
    <cellStyle name="20% - Accent5 2 2 2 10 2 3" xfId="22491"/>
    <cellStyle name="20% - Accent5 2 2 2 10 2 3 2" xfId="51352"/>
    <cellStyle name="20% - Accent5 2 2 2 10 2 4" xfId="34242"/>
    <cellStyle name="20% - Accent5 2 2 2 10 3" xfId="8536"/>
    <cellStyle name="20% - Accent5 2 2 2 10 3 2" xfId="25583"/>
    <cellStyle name="20% - Accent5 2 2 2 10 3 2 2" xfId="54444"/>
    <cellStyle name="20% - Accent5 2 2 2 10 3 3" xfId="37397"/>
    <cellStyle name="20% - Accent5 2 2 2 10 4" xfId="13637"/>
    <cellStyle name="20% - Accent5 2 2 2 10 4 2" xfId="19811"/>
    <cellStyle name="20% - Accent5 2 2 2 10 4 2 2" xfId="48672"/>
    <cellStyle name="20% - Accent5 2 2 2 10 4 3" xfId="42498"/>
    <cellStyle name="20% - Accent5 2 2 2 10 5" xfId="17131"/>
    <cellStyle name="20% - Accent5 2 2 2 10 5 2" xfId="45992"/>
    <cellStyle name="20% - Accent5 2 2 2 10 6" xfId="31356"/>
    <cellStyle name="20% - Accent5 2 2 2 11" xfId="2703"/>
    <cellStyle name="20% - Accent5 2 2 2 11 2" xfId="5589"/>
    <cellStyle name="20% - Accent5 2 2 2 11 2 2" xfId="11630"/>
    <cellStyle name="20% - Accent5 2 2 2 11 2 2 2" xfId="28677"/>
    <cellStyle name="20% - Accent5 2 2 2 11 2 2 2 2" xfId="57538"/>
    <cellStyle name="20% - Accent5 2 2 2 11 2 2 3" xfId="40491"/>
    <cellStyle name="20% - Accent5 2 2 2 11 2 3" xfId="22699"/>
    <cellStyle name="20% - Accent5 2 2 2 11 2 3 2" xfId="51560"/>
    <cellStyle name="20% - Accent5 2 2 2 11 2 4" xfId="34450"/>
    <cellStyle name="20% - Accent5 2 2 2 11 3" xfId="8744"/>
    <cellStyle name="20% - Accent5 2 2 2 11 3 2" xfId="25791"/>
    <cellStyle name="20% - Accent5 2 2 2 11 3 2 2" xfId="54652"/>
    <cellStyle name="20% - Accent5 2 2 2 11 3 3" xfId="37605"/>
    <cellStyle name="20% - Accent5 2 2 2 11 4" xfId="12815"/>
    <cellStyle name="20% - Accent5 2 2 2 11 4 2" xfId="20019"/>
    <cellStyle name="20% - Accent5 2 2 2 11 4 2 2" xfId="48880"/>
    <cellStyle name="20% - Accent5 2 2 2 11 4 3" xfId="41676"/>
    <cellStyle name="20% - Accent5 2 2 2 11 5" xfId="17339"/>
    <cellStyle name="20% - Accent5 2 2 2 11 5 2" xfId="46200"/>
    <cellStyle name="20% - Accent5 2 2 2 11 6" xfId="31564"/>
    <cellStyle name="20% - Accent5 2 2 2 12" xfId="3218"/>
    <cellStyle name="20% - Accent5 2 2 2 12 2" xfId="9259"/>
    <cellStyle name="20% - Accent5 2 2 2 12 2 2" xfId="26306"/>
    <cellStyle name="20% - Accent5 2 2 2 12 2 2 2" xfId="55167"/>
    <cellStyle name="20% - Accent5 2 2 2 12 2 3" xfId="38120"/>
    <cellStyle name="20% - Accent5 2 2 2 12 3" xfId="13513"/>
    <cellStyle name="20% - Accent5 2 2 2 12 3 2" xfId="20328"/>
    <cellStyle name="20% - Accent5 2 2 2 12 3 2 2" xfId="49189"/>
    <cellStyle name="20% - Accent5 2 2 2 12 3 3" xfId="42374"/>
    <cellStyle name="20% - Accent5 2 2 2 12 4" xfId="14968"/>
    <cellStyle name="20% - Accent5 2 2 2 12 4 2" xfId="43829"/>
    <cellStyle name="20% - Accent5 2 2 2 12 5" xfId="32079"/>
    <cellStyle name="20% - Accent5 2 2 2 13" xfId="2909"/>
    <cellStyle name="20% - Accent5 2 2 2 13 2" xfId="8950"/>
    <cellStyle name="20% - Accent5 2 2 2 13 2 2" xfId="25997"/>
    <cellStyle name="20% - Accent5 2 2 2 13 2 2 2" xfId="54858"/>
    <cellStyle name="20% - Accent5 2 2 2 13 2 3" xfId="37811"/>
    <cellStyle name="20% - Accent5 2 2 2 13 3" xfId="17545"/>
    <cellStyle name="20% - Accent5 2 2 2 13 3 2" xfId="46406"/>
    <cellStyle name="20% - Accent5 2 2 2 13 4" xfId="31770"/>
    <cellStyle name="20% - Accent5 2 2 2 14" xfId="5795"/>
    <cellStyle name="20% - Accent5 2 2 2 14 2" xfId="11836"/>
    <cellStyle name="20% - Accent5 2 2 2 14 2 2" xfId="28883"/>
    <cellStyle name="20% - Accent5 2 2 2 14 2 2 2" xfId="57744"/>
    <cellStyle name="20% - Accent5 2 2 2 14 2 3" xfId="40697"/>
    <cellStyle name="20% - Accent5 2 2 2 14 3" xfId="22905"/>
    <cellStyle name="20% - Accent5 2 2 2 14 3 2" xfId="51766"/>
    <cellStyle name="20% - Accent5 2 2 2 14 4" xfId="34656"/>
    <cellStyle name="20% - Accent5 2 2 2 15" xfId="6012"/>
    <cellStyle name="20% - Accent5 2 2 2 15 2" xfId="23111"/>
    <cellStyle name="20% - Accent5 2 2 2 15 2 2" xfId="51972"/>
    <cellStyle name="20% - Accent5 2 2 2 15 3" xfId="34873"/>
    <cellStyle name="20% - Accent5 2 2 2 16" xfId="6373"/>
    <cellStyle name="20% - Accent5 2 2 2 16 2" xfId="23420"/>
    <cellStyle name="20% - Accent5 2 2 2 16 2 2" xfId="52281"/>
    <cellStyle name="20% - Accent5 2 2 2 16 3" xfId="35234"/>
    <cellStyle name="20% - Accent5 2 2 2 17" xfId="14659"/>
    <cellStyle name="20% - Accent5 2 2 2 17 2" xfId="43520"/>
    <cellStyle name="20% - Accent5 2 2 2 18" xfId="29193"/>
    <cellStyle name="20% - Accent5 2 2 2 2" xfId="537"/>
    <cellStyle name="20% - Accent5 2 2 2 2 2" xfId="2288"/>
    <cellStyle name="20% - Accent5 2 2 2 2 2 2" xfId="5175"/>
    <cellStyle name="20% - Accent5 2 2 2 2 2 2 2" xfId="11216"/>
    <cellStyle name="20% - Accent5 2 2 2 2 2 2 2 2" xfId="28263"/>
    <cellStyle name="20% - Accent5 2 2 2 2 2 2 2 2 2" xfId="57124"/>
    <cellStyle name="20% - Accent5 2 2 2 2 2 2 2 3" xfId="40077"/>
    <cellStyle name="20% - Accent5 2 2 2 2 2 2 3" xfId="22285"/>
    <cellStyle name="20% - Accent5 2 2 2 2 2 2 3 2" xfId="51146"/>
    <cellStyle name="20% - Accent5 2 2 2 2 2 2 4" xfId="34036"/>
    <cellStyle name="20% - Accent5 2 2 2 2 2 3" xfId="8330"/>
    <cellStyle name="20% - Accent5 2 2 2 2 2 3 2" xfId="25377"/>
    <cellStyle name="20% - Accent5 2 2 2 2 2 3 2 2" xfId="54238"/>
    <cellStyle name="20% - Accent5 2 2 2 2 2 3 3" xfId="37191"/>
    <cellStyle name="20% - Accent5 2 2 2 2 2 4" xfId="14095"/>
    <cellStyle name="20% - Accent5 2 2 2 2 2 4 2" xfId="19605"/>
    <cellStyle name="20% - Accent5 2 2 2 2 2 4 2 2" xfId="48466"/>
    <cellStyle name="20% - Accent5 2 2 2 2 2 4 3" xfId="42956"/>
    <cellStyle name="20% - Accent5 2 2 2 2 2 5" xfId="16925"/>
    <cellStyle name="20% - Accent5 2 2 2 2 2 5 2" xfId="45786"/>
    <cellStyle name="20% - Accent5 2 2 2 2 2 6" xfId="31150"/>
    <cellStyle name="20% - Accent5 2 2 2 2 3" xfId="3424"/>
    <cellStyle name="20% - Accent5 2 2 2 2 3 2" xfId="9465"/>
    <cellStyle name="20% - Accent5 2 2 2 2 3 2 2" xfId="26512"/>
    <cellStyle name="20% - Accent5 2 2 2 2 3 2 2 2" xfId="55373"/>
    <cellStyle name="20% - Accent5 2 2 2 2 3 2 3" xfId="38326"/>
    <cellStyle name="20% - Accent5 2 2 2 2 3 3" xfId="20534"/>
    <cellStyle name="20% - Accent5 2 2 2 2 3 3 2" xfId="49395"/>
    <cellStyle name="20% - Accent5 2 2 2 2 3 4" xfId="32285"/>
    <cellStyle name="20% - Accent5 2 2 2 2 4" xfId="6579"/>
    <cellStyle name="20% - Accent5 2 2 2 2 4 2" xfId="23626"/>
    <cellStyle name="20% - Accent5 2 2 2 2 4 2 2" xfId="52487"/>
    <cellStyle name="20% - Accent5 2 2 2 2 4 3" xfId="35440"/>
    <cellStyle name="20% - Accent5 2 2 2 2 5" xfId="5841"/>
    <cellStyle name="20% - Accent5 2 2 2 2 5 2" xfId="17854"/>
    <cellStyle name="20% - Accent5 2 2 2 2 5 2 2" xfId="46715"/>
    <cellStyle name="20% - Accent5 2 2 2 2 5 3" xfId="34702"/>
    <cellStyle name="20% - Accent5 2 2 2 2 6" xfId="15174"/>
    <cellStyle name="20% - Accent5 2 2 2 2 6 2" xfId="44035"/>
    <cellStyle name="20% - Accent5 2 2 2 2 7" xfId="29399"/>
    <cellStyle name="20% - Accent5 2 2 2 3" xfId="846"/>
    <cellStyle name="20% - Accent5 2 2 2 3 2" xfId="3733"/>
    <cellStyle name="20% - Accent5 2 2 2 3 2 2" xfId="9774"/>
    <cellStyle name="20% - Accent5 2 2 2 3 2 2 2" xfId="26821"/>
    <cellStyle name="20% - Accent5 2 2 2 3 2 2 2 2" xfId="55682"/>
    <cellStyle name="20% - Accent5 2 2 2 3 2 2 3" xfId="38635"/>
    <cellStyle name="20% - Accent5 2 2 2 3 2 3" xfId="20843"/>
    <cellStyle name="20% - Accent5 2 2 2 3 2 3 2" xfId="49704"/>
    <cellStyle name="20% - Accent5 2 2 2 3 2 4" xfId="32594"/>
    <cellStyle name="20% - Accent5 2 2 2 3 3" xfId="6888"/>
    <cellStyle name="20% - Accent5 2 2 2 3 3 2" xfId="23935"/>
    <cellStyle name="20% - Accent5 2 2 2 3 3 2 2" xfId="52796"/>
    <cellStyle name="20% - Accent5 2 2 2 3 3 3" xfId="35749"/>
    <cellStyle name="20% - Accent5 2 2 2 3 4" xfId="13146"/>
    <cellStyle name="20% - Accent5 2 2 2 3 4 2" xfId="18163"/>
    <cellStyle name="20% - Accent5 2 2 2 3 4 2 2" xfId="47024"/>
    <cellStyle name="20% - Accent5 2 2 2 3 4 3" xfId="42007"/>
    <cellStyle name="20% - Accent5 2 2 2 3 5" xfId="15483"/>
    <cellStyle name="20% - Accent5 2 2 2 3 5 2" xfId="44344"/>
    <cellStyle name="20% - Accent5 2 2 2 3 6" xfId="29708"/>
    <cellStyle name="20% - Accent5 2 2 2 4" xfId="1052"/>
    <cellStyle name="20% - Accent5 2 2 2 4 2" xfId="3939"/>
    <cellStyle name="20% - Accent5 2 2 2 4 2 2" xfId="9980"/>
    <cellStyle name="20% - Accent5 2 2 2 4 2 2 2" xfId="27027"/>
    <cellStyle name="20% - Accent5 2 2 2 4 2 2 2 2" xfId="55888"/>
    <cellStyle name="20% - Accent5 2 2 2 4 2 2 3" xfId="38841"/>
    <cellStyle name="20% - Accent5 2 2 2 4 2 3" xfId="21049"/>
    <cellStyle name="20% - Accent5 2 2 2 4 2 3 2" xfId="49910"/>
    <cellStyle name="20% - Accent5 2 2 2 4 2 4" xfId="32800"/>
    <cellStyle name="20% - Accent5 2 2 2 4 3" xfId="7094"/>
    <cellStyle name="20% - Accent5 2 2 2 4 3 2" xfId="24141"/>
    <cellStyle name="20% - Accent5 2 2 2 4 3 2 2" xfId="53002"/>
    <cellStyle name="20% - Accent5 2 2 2 4 3 3" xfId="35955"/>
    <cellStyle name="20% - Accent5 2 2 2 4 4" xfId="12750"/>
    <cellStyle name="20% - Accent5 2 2 2 4 4 2" xfId="18369"/>
    <cellStyle name="20% - Accent5 2 2 2 4 4 2 2" xfId="47230"/>
    <cellStyle name="20% - Accent5 2 2 2 4 4 3" xfId="41611"/>
    <cellStyle name="20% - Accent5 2 2 2 4 5" xfId="15689"/>
    <cellStyle name="20% - Accent5 2 2 2 4 5 2" xfId="44550"/>
    <cellStyle name="20% - Accent5 2 2 2 4 6" xfId="29914"/>
    <cellStyle name="20% - Accent5 2 2 2 5" xfId="1258"/>
    <cellStyle name="20% - Accent5 2 2 2 5 2" xfId="4145"/>
    <cellStyle name="20% - Accent5 2 2 2 5 2 2" xfId="10186"/>
    <cellStyle name="20% - Accent5 2 2 2 5 2 2 2" xfId="27233"/>
    <cellStyle name="20% - Accent5 2 2 2 5 2 2 2 2" xfId="56094"/>
    <cellStyle name="20% - Accent5 2 2 2 5 2 2 3" xfId="39047"/>
    <cellStyle name="20% - Accent5 2 2 2 5 2 3" xfId="21255"/>
    <cellStyle name="20% - Accent5 2 2 2 5 2 3 2" xfId="50116"/>
    <cellStyle name="20% - Accent5 2 2 2 5 2 4" xfId="33006"/>
    <cellStyle name="20% - Accent5 2 2 2 5 3" xfId="7300"/>
    <cellStyle name="20% - Accent5 2 2 2 5 3 2" xfId="24347"/>
    <cellStyle name="20% - Accent5 2 2 2 5 3 2 2" xfId="53208"/>
    <cellStyle name="20% - Accent5 2 2 2 5 3 3" xfId="36161"/>
    <cellStyle name="20% - Accent5 2 2 2 5 4" xfId="12988"/>
    <cellStyle name="20% - Accent5 2 2 2 5 4 2" xfId="18575"/>
    <cellStyle name="20% - Accent5 2 2 2 5 4 2 2" xfId="47436"/>
    <cellStyle name="20% - Accent5 2 2 2 5 4 3" xfId="41849"/>
    <cellStyle name="20% - Accent5 2 2 2 5 5" xfId="15895"/>
    <cellStyle name="20% - Accent5 2 2 2 5 5 2" xfId="44756"/>
    <cellStyle name="20% - Accent5 2 2 2 5 6" xfId="30120"/>
    <cellStyle name="20% - Accent5 2 2 2 6" xfId="1464"/>
    <cellStyle name="20% - Accent5 2 2 2 6 2" xfId="4351"/>
    <cellStyle name="20% - Accent5 2 2 2 6 2 2" xfId="10392"/>
    <cellStyle name="20% - Accent5 2 2 2 6 2 2 2" xfId="27439"/>
    <cellStyle name="20% - Accent5 2 2 2 6 2 2 2 2" xfId="56300"/>
    <cellStyle name="20% - Accent5 2 2 2 6 2 2 3" xfId="39253"/>
    <cellStyle name="20% - Accent5 2 2 2 6 2 3" xfId="21461"/>
    <cellStyle name="20% - Accent5 2 2 2 6 2 3 2" xfId="50322"/>
    <cellStyle name="20% - Accent5 2 2 2 6 2 4" xfId="33212"/>
    <cellStyle name="20% - Accent5 2 2 2 6 3" xfId="7506"/>
    <cellStyle name="20% - Accent5 2 2 2 6 3 2" xfId="24553"/>
    <cellStyle name="20% - Accent5 2 2 2 6 3 2 2" xfId="53414"/>
    <cellStyle name="20% - Accent5 2 2 2 6 3 3" xfId="36367"/>
    <cellStyle name="20% - Accent5 2 2 2 6 4" xfId="13641"/>
    <cellStyle name="20% - Accent5 2 2 2 6 4 2" xfId="18781"/>
    <cellStyle name="20% - Accent5 2 2 2 6 4 2 2" xfId="47642"/>
    <cellStyle name="20% - Accent5 2 2 2 6 4 3" xfId="42502"/>
    <cellStyle name="20% - Accent5 2 2 2 6 5" xfId="16101"/>
    <cellStyle name="20% - Accent5 2 2 2 6 5 2" xfId="44962"/>
    <cellStyle name="20% - Accent5 2 2 2 6 6" xfId="30326"/>
    <cellStyle name="20% - Accent5 2 2 2 7" xfId="1670"/>
    <cellStyle name="20% - Accent5 2 2 2 7 2" xfId="4557"/>
    <cellStyle name="20% - Accent5 2 2 2 7 2 2" xfId="10598"/>
    <cellStyle name="20% - Accent5 2 2 2 7 2 2 2" xfId="27645"/>
    <cellStyle name="20% - Accent5 2 2 2 7 2 2 2 2" xfId="56506"/>
    <cellStyle name="20% - Accent5 2 2 2 7 2 2 3" xfId="39459"/>
    <cellStyle name="20% - Accent5 2 2 2 7 2 3" xfId="21667"/>
    <cellStyle name="20% - Accent5 2 2 2 7 2 3 2" xfId="50528"/>
    <cellStyle name="20% - Accent5 2 2 2 7 2 4" xfId="33418"/>
    <cellStyle name="20% - Accent5 2 2 2 7 3" xfId="7712"/>
    <cellStyle name="20% - Accent5 2 2 2 7 3 2" xfId="24759"/>
    <cellStyle name="20% - Accent5 2 2 2 7 3 2 2" xfId="53620"/>
    <cellStyle name="20% - Accent5 2 2 2 7 3 3" xfId="36573"/>
    <cellStyle name="20% - Accent5 2 2 2 7 4" xfId="13398"/>
    <cellStyle name="20% - Accent5 2 2 2 7 4 2" xfId="18987"/>
    <cellStyle name="20% - Accent5 2 2 2 7 4 2 2" xfId="47848"/>
    <cellStyle name="20% - Accent5 2 2 2 7 4 3" xfId="42259"/>
    <cellStyle name="20% - Accent5 2 2 2 7 5" xfId="16307"/>
    <cellStyle name="20% - Accent5 2 2 2 7 5 2" xfId="45168"/>
    <cellStyle name="20% - Accent5 2 2 2 7 6" xfId="30532"/>
    <cellStyle name="20% - Accent5 2 2 2 8" xfId="1876"/>
    <cellStyle name="20% - Accent5 2 2 2 8 2" xfId="4763"/>
    <cellStyle name="20% - Accent5 2 2 2 8 2 2" xfId="10804"/>
    <cellStyle name="20% - Accent5 2 2 2 8 2 2 2" xfId="27851"/>
    <cellStyle name="20% - Accent5 2 2 2 8 2 2 2 2" xfId="56712"/>
    <cellStyle name="20% - Accent5 2 2 2 8 2 2 3" xfId="39665"/>
    <cellStyle name="20% - Accent5 2 2 2 8 2 3" xfId="21873"/>
    <cellStyle name="20% - Accent5 2 2 2 8 2 3 2" xfId="50734"/>
    <cellStyle name="20% - Accent5 2 2 2 8 2 4" xfId="33624"/>
    <cellStyle name="20% - Accent5 2 2 2 8 3" xfId="7918"/>
    <cellStyle name="20% - Accent5 2 2 2 8 3 2" xfId="24965"/>
    <cellStyle name="20% - Accent5 2 2 2 8 3 2 2" xfId="53826"/>
    <cellStyle name="20% - Accent5 2 2 2 8 3 3" xfId="36779"/>
    <cellStyle name="20% - Accent5 2 2 2 8 4" xfId="14232"/>
    <cellStyle name="20% - Accent5 2 2 2 8 4 2" xfId="19193"/>
    <cellStyle name="20% - Accent5 2 2 2 8 4 2 2" xfId="48054"/>
    <cellStyle name="20% - Accent5 2 2 2 8 4 3" xfId="43093"/>
    <cellStyle name="20% - Accent5 2 2 2 8 5" xfId="16513"/>
    <cellStyle name="20% - Accent5 2 2 2 8 5 2" xfId="45374"/>
    <cellStyle name="20% - Accent5 2 2 2 8 6" xfId="30738"/>
    <cellStyle name="20% - Accent5 2 2 2 9" xfId="2082"/>
    <cellStyle name="20% - Accent5 2 2 2 9 2" xfId="4969"/>
    <cellStyle name="20% - Accent5 2 2 2 9 2 2" xfId="11010"/>
    <cellStyle name="20% - Accent5 2 2 2 9 2 2 2" xfId="28057"/>
    <cellStyle name="20% - Accent5 2 2 2 9 2 2 2 2" xfId="56918"/>
    <cellStyle name="20% - Accent5 2 2 2 9 2 2 3" xfId="39871"/>
    <cellStyle name="20% - Accent5 2 2 2 9 2 3" xfId="22079"/>
    <cellStyle name="20% - Accent5 2 2 2 9 2 3 2" xfId="50940"/>
    <cellStyle name="20% - Accent5 2 2 2 9 2 4" xfId="33830"/>
    <cellStyle name="20% - Accent5 2 2 2 9 3" xfId="8124"/>
    <cellStyle name="20% - Accent5 2 2 2 9 3 2" xfId="25171"/>
    <cellStyle name="20% - Accent5 2 2 2 9 3 2 2" xfId="54032"/>
    <cellStyle name="20% - Accent5 2 2 2 9 3 3" xfId="36985"/>
    <cellStyle name="20% - Accent5 2 2 2 9 4" xfId="12561"/>
    <cellStyle name="20% - Accent5 2 2 2 9 4 2" xfId="19399"/>
    <cellStyle name="20% - Accent5 2 2 2 9 4 2 2" xfId="48260"/>
    <cellStyle name="20% - Accent5 2 2 2 9 4 3" xfId="41422"/>
    <cellStyle name="20% - Accent5 2 2 2 9 5" xfId="16719"/>
    <cellStyle name="20% - Accent5 2 2 2 9 5 2" xfId="45580"/>
    <cellStyle name="20% - Accent5 2 2 2 9 6" xfId="30944"/>
    <cellStyle name="20% - Accent5 2 2 20" xfId="28987"/>
    <cellStyle name="20% - Accent5 2 2 3" xfId="228"/>
    <cellStyle name="20% - Accent5 2 2 3 2" xfId="640"/>
    <cellStyle name="20% - Accent5 2 2 3 2 2" xfId="3527"/>
    <cellStyle name="20% - Accent5 2 2 3 2 2 2" xfId="9568"/>
    <cellStyle name="20% - Accent5 2 2 3 2 2 2 2" xfId="26615"/>
    <cellStyle name="20% - Accent5 2 2 3 2 2 2 2 2" xfId="55476"/>
    <cellStyle name="20% - Accent5 2 2 3 2 2 2 3" xfId="38429"/>
    <cellStyle name="20% - Accent5 2 2 3 2 2 3" xfId="20637"/>
    <cellStyle name="20% - Accent5 2 2 3 2 2 3 2" xfId="49498"/>
    <cellStyle name="20% - Accent5 2 2 3 2 2 4" xfId="32388"/>
    <cellStyle name="20% - Accent5 2 2 3 2 3" xfId="6682"/>
    <cellStyle name="20% - Accent5 2 2 3 2 3 2" xfId="23729"/>
    <cellStyle name="20% - Accent5 2 2 3 2 3 2 2" xfId="52590"/>
    <cellStyle name="20% - Accent5 2 2 3 2 3 3" xfId="35543"/>
    <cellStyle name="20% - Accent5 2 2 3 2 4" xfId="14190"/>
    <cellStyle name="20% - Accent5 2 2 3 2 4 2" xfId="17957"/>
    <cellStyle name="20% - Accent5 2 2 3 2 4 2 2" xfId="46818"/>
    <cellStyle name="20% - Accent5 2 2 3 2 4 3" xfId="43051"/>
    <cellStyle name="20% - Accent5 2 2 3 2 5" xfId="15277"/>
    <cellStyle name="20% - Accent5 2 2 3 2 5 2" xfId="44138"/>
    <cellStyle name="20% - Accent5 2 2 3 2 6" xfId="29502"/>
    <cellStyle name="20% - Accent5 2 2 3 3" xfId="2185"/>
    <cellStyle name="20% - Accent5 2 2 3 3 2" xfId="5072"/>
    <cellStyle name="20% - Accent5 2 2 3 3 2 2" xfId="11113"/>
    <cellStyle name="20% - Accent5 2 2 3 3 2 2 2" xfId="28160"/>
    <cellStyle name="20% - Accent5 2 2 3 3 2 2 2 2" xfId="57021"/>
    <cellStyle name="20% - Accent5 2 2 3 3 2 2 3" xfId="39974"/>
    <cellStyle name="20% - Accent5 2 2 3 3 2 3" xfId="22182"/>
    <cellStyle name="20% - Accent5 2 2 3 3 2 3 2" xfId="51043"/>
    <cellStyle name="20% - Accent5 2 2 3 3 2 4" xfId="33933"/>
    <cellStyle name="20% - Accent5 2 2 3 3 3" xfId="8227"/>
    <cellStyle name="20% - Accent5 2 2 3 3 3 2" xfId="25274"/>
    <cellStyle name="20% - Accent5 2 2 3 3 3 2 2" xfId="54135"/>
    <cellStyle name="20% - Accent5 2 2 3 3 3 3" xfId="37088"/>
    <cellStyle name="20% - Accent5 2 2 3 3 4" xfId="12751"/>
    <cellStyle name="20% - Accent5 2 2 3 3 4 2" xfId="19502"/>
    <cellStyle name="20% - Accent5 2 2 3 3 4 2 2" xfId="48363"/>
    <cellStyle name="20% - Accent5 2 2 3 3 4 3" xfId="41612"/>
    <cellStyle name="20% - Accent5 2 2 3 3 5" xfId="16822"/>
    <cellStyle name="20% - Accent5 2 2 3 3 5 2" xfId="45683"/>
    <cellStyle name="20% - Accent5 2 2 3 3 6" xfId="31047"/>
    <cellStyle name="20% - Accent5 2 2 3 4" xfId="3115"/>
    <cellStyle name="20% - Accent5 2 2 3 4 2" xfId="9156"/>
    <cellStyle name="20% - Accent5 2 2 3 4 2 2" xfId="26203"/>
    <cellStyle name="20% - Accent5 2 2 3 4 2 2 2" xfId="55064"/>
    <cellStyle name="20% - Accent5 2 2 3 4 2 3" xfId="38017"/>
    <cellStyle name="20% - Accent5 2 2 3 4 3" xfId="20225"/>
    <cellStyle name="20% - Accent5 2 2 3 4 3 2" xfId="49086"/>
    <cellStyle name="20% - Accent5 2 2 3 4 4" xfId="31976"/>
    <cellStyle name="20% - Accent5 2 2 3 5" xfId="6270"/>
    <cellStyle name="20% - Accent5 2 2 3 5 2" xfId="23317"/>
    <cellStyle name="20% - Accent5 2 2 3 5 2 2" xfId="52178"/>
    <cellStyle name="20% - Accent5 2 2 3 5 3" xfId="35131"/>
    <cellStyle name="20% - Accent5 2 2 3 6" xfId="13588"/>
    <cellStyle name="20% - Accent5 2 2 3 6 2" xfId="17648"/>
    <cellStyle name="20% - Accent5 2 2 3 6 2 2" xfId="46509"/>
    <cellStyle name="20% - Accent5 2 2 3 6 3" xfId="42449"/>
    <cellStyle name="20% - Accent5 2 2 3 7" xfId="14865"/>
    <cellStyle name="20% - Accent5 2 2 3 7 2" xfId="43726"/>
    <cellStyle name="20% - Accent5 2 2 3 8" xfId="29090"/>
    <cellStyle name="20% - Accent5 2 2 4" xfId="434"/>
    <cellStyle name="20% - Accent5 2 2 4 2" xfId="3321"/>
    <cellStyle name="20% - Accent5 2 2 4 2 2" xfId="9362"/>
    <cellStyle name="20% - Accent5 2 2 4 2 2 2" xfId="26409"/>
    <cellStyle name="20% - Accent5 2 2 4 2 2 2 2" xfId="55270"/>
    <cellStyle name="20% - Accent5 2 2 4 2 2 3" xfId="38223"/>
    <cellStyle name="20% - Accent5 2 2 4 2 3" xfId="20431"/>
    <cellStyle name="20% - Accent5 2 2 4 2 3 2" xfId="49292"/>
    <cellStyle name="20% - Accent5 2 2 4 2 4" xfId="32182"/>
    <cellStyle name="20% - Accent5 2 2 4 3" xfId="6476"/>
    <cellStyle name="20% - Accent5 2 2 4 3 2" xfId="23523"/>
    <cellStyle name="20% - Accent5 2 2 4 3 2 2" xfId="52384"/>
    <cellStyle name="20% - Accent5 2 2 4 3 3" xfId="35337"/>
    <cellStyle name="20% - Accent5 2 2 4 4" xfId="13590"/>
    <cellStyle name="20% - Accent5 2 2 4 4 2" xfId="17751"/>
    <cellStyle name="20% - Accent5 2 2 4 4 2 2" xfId="46612"/>
    <cellStyle name="20% - Accent5 2 2 4 4 3" xfId="42451"/>
    <cellStyle name="20% - Accent5 2 2 4 5" xfId="15071"/>
    <cellStyle name="20% - Accent5 2 2 4 5 2" xfId="43932"/>
    <cellStyle name="20% - Accent5 2 2 4 6" xfId="29296"/>
    <cellStyle name="20% - Accent5 2 2 5" xfId="743"/>
    <cellStyle name="20% - Accent5 2 2 5 2" xfId="3630"/>
    <cellStyle name="20% - Accent5 2 2 5 2 2" xfId="9671"/>
    <cellStyle name="20% - Accent5 2 2 5 2 2 2" xfId="26718"/>
    <cellStyle name="20% - Accent5 2 2 5 2 2 2 2" xfId="55579"/>
    <cellStyle name="20% - Accent5 2 2 5 2 2 3" xfId="38532"/>
    <cellStyle name="20% - Accent5 2 2 5 2 3" xfId="20740"/>
    <cellStyle name="20% - Accent5 2 2 5 2 3 2" xfId="49601"/>
    <cellStyle name="20% - Accent5 2 2 5 2 4" xfId="32491"/>
    <cellStyle name="20% - Accent5 2 2 5 3" xfId="6785"/>
    <cellStyle name="20% - Accent5 2 2 5 3 2" xfId="23832"/>
    <cellStyle name="20% - Accent5 2 2 5 3 2 2" xfId="52693"/>
    <cellStyle name="20% - Accent5 2 2 5 3 3" xfId="35646"/>
    <cellStyle name="20% - Accent5 2 2 5 4" xfId="14404"/>
    <cellStyle name="20% - Accent5 2 2 5 4 2" xfId="18060"/>
    <cellStyle name="20% - Accent5 2 2 5 4 2 2" xfId="46921"/>
    <cellStyle name="20% - Accent5 2 2 5 4 3" xfId="43265"/>
    <cellStyle name="20% - Accent5 2 2 5 5" xfId="15380"/>
    <cellStyle name="20% - Accent5 2 2 5 5 2" xfId="44241"/>
    <cellStyle name="20% - Accent5 2 2 5 6" xfId="29605"/>
    <cellStyle name="20% - Accent5 2 2 6" xfId="949"/>
    <cellStyle name="20% - Accent5 2 2 6 2" xfId="3836"/>
    <cellStyle name="20% - Accent5 2 2 6 2 2" xfId="9877"/>
    <cellStyle name="20% - Accent5 2 2 6 2 2 2" xfId="26924"/>
    <cellStyle name="20% - Accent5 2 2 6 2 2 2 2" xfId="55785"/>
    <cellStyle name="20% - Accent5 2 2 6 2 2 3" xfId="38738"/>
    <cellStyle name="20% - Accent5 2 2 6 2 3" xfId="20946"/>
    <cellStyle name="20% - Accent5 2 2 6 2 3 2" xfId="49807"/>
    <cellStyle name="20% - Accent5 2 2 6 2 4" xfId="32697"/>
    <cellStyle name="20% - Accent5 2 2 6 3" xfId="6991"/>
    <cellStyle name="20% - Accent5 2 2 6 3 2" xfId="24038"/>
    <cellStyle name="20% - Accent5 2 2 6 3 2 2" xfId="52899"/>
    <cellStyle name="20% - Accent5 2 2 6 3 3" xfId="35852"/>
    <cellStyle name="20% - Accent5 2 2 6 4" xfId="13411"/>
    <cellStyle name="20% - Accent5 2 2 6 4 2" xfId="18266"/>
    <cellStyle name="20% - Accent5 2 2 6 4 2 2" xfId="47127"/>
    <cellStyle name="20% - Accent5 2 2 6 4 3" xfId="42272"/>
    <cellStyle name="20% - Accent5 2 2 6 5" xfId="15586"/>
    <cellStyle name="20% - Accent5 2 2 6 5 2" xfId="44447"/>
    <cellStyle name="20% - Accent5 2 2 6 6" xfId="29811"/>
    <cellStyle name="20% - Accent5 2 2 7" xfId="1155"/>
    <cellStyle name="20% - Accent5 2 2 7 2" xfId="4042"/>
    <cellStyle name="20% - Accent5 2 2 7 2 2" xfId="10083"/>
    <cellStyle name="20% - Accent5 2 2 7 2 2 2" xfId="27130"/>
    <cellStyle name="20% - Accent5 2 2 7 2 2 2 2" xfId="55991"/>
    <cellStyle name="20% - Accent5 2 2 7 2 2 3" xfId="38944"/>
    <cellStyle name="20% - Accent5 2 2 7 2 3" xfId="21152"/>
    <cellStyle name="20% - Accent5 2 2 7 2 3 2" xfId="50013"/>
    <cellStyle name="20% - Accent5 2 2 7 2 4" xfId="32903"/>
    <cellStyle name="20% - Accent5 2 2 7 3" xfId="7197"/>
    <cellStyle name="20% - Accent5 2 2 7 3 2" xfId="24244"/>
    <cellStyle name="20% - Accent5 2 2 7 3 2 2" xfId="53105"/>
    <cellStyle name="20% - Accent5 2 2 7 3 3" xfId="36058"/>
    <cellStyle name="20% - Accent5 2 2 7 4" xfId="11921"/>
    <cellStyle name="20% - Accent5 2 2 7 4 2" xfId="18472"/>
    <cellStyle name="20% - Accent5 2 2 7 4 2 2" xfId="47333"/>
    <cellStyle name="20% - Accent5 2 2 7 4 3" xfId="40782"/>
    <cellStyle name="20% - Accent5 2 2 7 5" xfId="15792"/>
    <cellStyle name="20% - Accent5 2 2 7 5 2" xfId="44653"/>
    <cellStyle name="20% - Accent5 2 2 7 6" xfId="30017"/>
    <cellStyle name="20% - Accent5 2 2 8" xfId="1361"/>
    <cellStyle name="20% - Accent5 2 2 8 2" xfId="4248"/>
    <cellStyle name="20% - Accent5 2 2 8 2 2" xfId="10289"/>
    <cellStyle name="20% - Accent5 2 2 8 2 2 2" xfId="27336"/>
    <cellStyle name="20% - Accent5 2 2 8 2 2 2 2" xfId="56197"/>
    <cellStyle name="20% - Accent5 2 2 8 2 2 3" xfId="39150"/>
    <cellStyle name="20% - Accent5 2 2 8 2 3" xfId="21358"/>
    <cellStyle name="20% - Accent5 2 2 8 2 3 2" xfId="50219"/>
    <cellStyle name="20% - Accent5 2 2 8 2 4" xfId="33109"/>
    <cellStyle name="20% - Accent5 2 2 8 3" xfId="7403"/>
    <cellStyle name="20% - Accent5 2 2 8 3 2" xfId="24450"/>
    <cellStyle name="20% - Accent5 2 2 8 3 2 2" xfId="53311"/>
    <cellStyle name="20% - Accent5 2 2 8 3 3" xfId="36264"/>
    <cellStyle name="20% - Accent5 2 2 8 4" xfId="12006"/>
    <cellStyle name="20% - Accent5 2 2 8 4 2" xfId="18678"/>
    <cellStyle name="20% - Accent5 2 2 8 4 2 2" xfId="47539"/>
    <cellStyle name="20% - Accent5 2 2 8 4 3" xfId="40867"/>
    <cellStyle name="20% - Accent5 2 2 8 5" xfId="15998"/>
    <cellStyle name="20% - Accent5 2 2 8 5 2" xfId="44859"/>
    <cellStyle name="20% - Accent5 2 2 8 6" xfId="30223"/>
    <cellStyle name="20% - Accent5 2 2 9" xfId="1567"/>
    <cellStyle name="20% - Accent5 2 2 9 2" xfId="4454"/>
    <cellStyle name="20% - Accent5 2 2 9 2 2" xfId="10495"/>
    <cellStyle name="20% - Accent5 2 2 9 2 2 2" xfId="27542"/>
    <cellStyle name="20% - Accent5 2 2 9 2 2 2 2" xfId="56403"/>
    <cellStyle name="20% - Accent5 2 2 9 2 2 3" xfId="39356"/>
    <cellStyle name="20% - Accent5 2 2 9 2 3" xfId="21564"/>
    <cellStyle name="20% - Accent5 2 2 9 2 3 2" xfId="50425"/>
    <cellStyle name="20% - Accent5 2 2 9 2 4" xfId="33315"/>
    <cellStyle name="20% - Accent5 2 2 9 3" xfId="7609"/>
    <cellStyle name="20% - Accent5 2 2 9 3 2" xfId="24656"/>
    <cellStyle name="20% - Accent5 2 2 9 3 2 2" xfId="53517"/>
    <cellStyle name="20% - Accent5 2 2 9 3 3" xfId="36470"/>
    <cellStyle name="20% - Accent5 2 2 9 4" xfId="13861"/>
    <cellStyle name="20% - Accent5 2 2 9 4 2" xfId="18884"/>
    <cellStyle name="20% - Accent5 2 2 9 4 2 2" xfId="47745"/>
    <cellStyle name="20% - Accent5 2 2 9 4 3" xfId="42722"/>
    <cellStyle name="20% - Accent5 2 2 9 5" xfId="16204"/>
    <cellStyle name="20% - Accent5 2 2 9 5 2" xfId="45065"/>
    <cellStyle name="20% - Accent5 2 2 9 6" xfId="30429"/>
    <cellStyle name="20% - Accent5 2 20" xfId="6141"/>
    <cellStyle name="20% - Accent5 2 20 2" xfId="23188"/>
    <cellStyle name="20% - Accent5 2 20 2 2" xfId="52049"/>
    <cellStyle name="20% - Accent5 2 20 3" xfId="35002"/>
    <cellStyle name="20% - Accent5 2 21" xfId="14530"/>
    <cellStyle name="20% - Accent5 2 21 2" xfId="43391"/>
    <cellStyle name="20% - Accent5 2 22" xfId="28961"/>
    <cellStyle name="20% - Accent5 2 3" xfId="151"/>
    <cellStyle name="20% - Accent5 2 3 10" xfId="1799"/>
    <cellStyle name="20% - Accent5 2 3 10 2" xfId="4686"/>
    <cellStyle name="20% - Accent5 2 3 10 2 2" xfId="10727"/>
    <cellStyle name="20% - Accent5 2 3 10 2 2 2" xfId="27774"/>
    <cellStyle name="20% - Accent5 2 3 10 2 2 2 2" xfId="56635"/>
    <cellStyle name="20% - Accent5 2 3 10 2 2 3" xfId="39588"/>
    <cellStyle name="20% - Accent5 2 3 10 2 3" xfId="21796"/>
    <cellStyle name="20% - Accent5 2 3 10 2 3 2" xfId="50657"/>
    <cellStyle name="20% - Accent5 2 3 10 2 4" xfId="33547"/>
    <cellStyle name="20% - Accent5 2 3 10 3" xfId="7841"/>
    <cellStyle name="20% - Accent5 2 3 10 3 2" xfId="24888"/>
    <cellStyle name="20% - Accent5 2 3 10 3 2 2" xfId="53749"/>
    <cellStyle name="20% - Accent5 2 3 10 3 3" xfId="36702"/>
    <cellStyle name="20% - Accent5 2 3 10 4" xfId="13225"/>
    <cellStyle name="20% - Accent5 2 3 10 4 2" xfId="19116"/>
    <cellStyle name="20% - Accent5 2 3 10 4 2 2" xfId="47977"/>
    <cellStyle name="20% - Accent5 2 3 10 4 3" xfId="42086"/>
    <cellStyle name="20% - Accent5 2 3 10 5" xfId="16436"/>
    <cellStyle name="20% - Accent5 2 3 10 5 2" xfId="45297"/>
    <cellStyle name="20% - Accent5 2 3 10 6" xfId="30661"/>
    <cellStyle name="20% - Accent5 2 3 11" xfId="2005"/>
    <cellStyle name="20% - Accent5 2 3 11 2" xfId="4892"/>
    <cellStyle name="20% - Accent5 2 3 11 2 2" xfId="10933"/>
    <cellStyle name="20% - Accent5 2 3 11 2 2 2" xfId="27980"/>
    <cellStyle name="20% - Accent5 2 3 11 2 2 2 2" xfId="56841"/>
    <cellStyle name="20% - Accent5 2 3 11 2 2 3" xfId="39794"/>
    <cellStyle name="20% - Accent5 2 3 11 2 3" xfId="22002"/>
    <cellStyle name="20% - Accent5 2 3 11 2 3 2" xfId="50863"/>
    <cellStyle name="20% - Accent5 2 3 11 2 4" xfId="33753"/>
    <cellStyle name="20% - Accent5 2 3 11 3" xfId="8047"/>
    <cellStyle name="20% - Accent5 2 3 11 3 2" xfId="25094"/>
    <cellStyle name="20% - Accent5 2 3 11 3 2 2" xfId="53955"/>
    <cellStyle name="20% - Accent5 2 3 11 3 3" xfId="36908"/>
    <cellStyle name="20% - Accent5 2 3 11 4" xfId="12174"/>
    <cellStyle name="20% - Accent5 2 3 11 4 2" xfId="19322"/>
    <cellStyle name="20% - Accent5 2 3 11 4 2 2" xfId="48183"/>
    <cellStyle name="20% - Accent5 2 3 11 4 3" xfId="41035"/>
    <cellStyle name="20% - Accent5 2 3 11 5" xfId="16642"/>
    <cellStyle name="20% - Accent5 2 3 11 5 2" xfId="45503"/>
    <cellStyle name="20% - Accent5 2 3 11 6" xfId="30867"/>
    <cellStyle name="20% - Accent5 2 3 12" xfId="2417"/>
    <cellStyle name="20% - Accent5 2 3 12 2" xfId="5304"/>
    <cellStyle name="20% - Accent5 2 3 12 2 2" xfId="11345"/>
    <cellStyle name="20% - Accent5 2 3 12 2 2 2" xfId="28392"/>
    <cellStyle name="20% - Accent5 2 3 12 2 2 2 2" xfId="57253"/>
    <cellStyle name="20% - Accent5 2 3 12 2 2 3" xfId="40206"/>
    <cellStyle name="20% - Accent5 2 3 12 2 3" xfId="22414"/>
    <cellStyle name="20% - Accent5 2 3 12 2 3 2" xfId="51275"/>
    <cellStyle name="20% - Accent5 2 3 12 2 4" xfId="34165"/>
    <cellStyle name="20% - Accent5 2 3 12 3" xfId="8459"/>
    <cellStyle name="20% - Accent5 2 3 12 3 2" xfId="25506"/>
    <cellStyle name="20% - Accent5 2 3 12 3 2 2" xfId="54367"/>
    <cellStyle name="20% - Accent5 2 3 12 3 3" xfId="37320"/>
    <cellStyle name="20% - Accent5 2 3 12 4" xfId="13327"/>
    <cellStyle name="20% - Accent5 2 3 12 4 2" xfId="19734"/>
    <cellStyle name="20% - Accent5 2 3 12 4 2 2" xfId="48595"/>
    <cellStyle name="20% - Accent5 2 3 12 4 3" xfId="42188"/>
    <cellStyle name="20% - Accent5 2 3 12 5" xfId="17054"/>
    <cellStyle name="20% - Accent5 2 3 12 5 2" xfId="45915"/>
    <cellStyle name="20% - Accent5 2 3 12 6" xfId="31279"/>
    <cellStyle name="20% - Accent5 2 3 13" xfId="2626"/>
    <cellStyle name="20% - Accent5 2 3 13 2" xfId="5512"/>
    <cellStyle name="20% - Accent5 2 3 13 2 2" xfId="11553"/>
    <cellStyle name="20% - Accent5 2 3 13 2 2 2" xfId="28600"/>
    <cellStyle name="20% - Accent5 2 3 13 2 2 2 2" xfId="57461"/>
    <cellStyle name="20% - Accent5 2 3 13 2 2 3" xfId="40414"/>
    <cellStyle name="20% - Accent5 2 3 13 2 3" xfId="22622"/>
    <cellStyle name="20% - Accent5 2 3 13 2 3 2" xfId="51483"/>
    <cellStyle name="20% - Accent5 2 3 13 2 4" xfId="34373"/>
    <cellStyle name="20% - Accent5 2 3 13 3" xfId="8667"/>
    <cellStyle name="20% - Accent5 2 3 13 3 2" xfId="25714"/>
    <cellStyle name="20% - Accent5 2 3 13 3 2 2" xfId="54575"/>
    <cellStyle name="20% - Accent5 2 3 13 3 3" xfId="37528"/>
    <cellStyle name="20% - Accent5 2 3 13 4" xfId="13515"/>
    <cellStyle name="20% - Accent5 2 3 13 4 2" xfId="19942"/>
    <cellStyle name="20% - Accent5 2 3 13 4 2 2" xfId="48803"/>
    <cellStyle name="20% - Accent5 2 3 13 4 3" xfId="42376"/>
    <cellStyle name="20% - Accent5 2 3 13 5" xfId="17262"/>
    <cellStyle name="20% - Accent5 2 3 13 5 2" xfId="46123"/>
    <cellStyle name="20% - Accent5 2 3 13 6" xfId="31487"/>
    <cellStyle name="20% - Accent5 2 3 14" xfId="3038"/>
    <cellStyle name="20% - Accent5 2 3 14 2" xfId="9079"/>
    <cellStyle name="20% - Accent5 2 3 14 2 2" xfId="26126"/>
    <cellStyle name="20% - Accent5 2 3 14 2 2 2" xfId="54987"/>
    <cellStyle name="20% - Accent5 2 3 14 2 3" xfId="37940"/>
    <cellStyle name="20% - Accent5 2 3 14 3" xfId="13523"/>
    <cellStyle name="20% - Accent5 2 3 14 3 2" xfId="20148"/>
    <cellStyle name="20% - Accent5 2 3 14 3 2 2" xfId="49009"/>
    <cellStyle name="20% - Accent5 2 3 14 3 3" xfId="42384"/>
    <cellStyle name="20% - Accent5 2 3 14 4" xfId="14788"/>
    <cellStyle name="20% - Accent5 2 3 14 4 2" xfId="43649"/>
    <cellStyle name="20% - Accent5 2 3 14 5" xfId="31899"/>
    <cellStyle name="20% - Accent5 2 3 15" xfId="2832"/>
    <cellStyle name="20% - Accent5 2 3 15 2" xfId="8873"/>
    <cellStyle name="20% - Accent5 2 3 15 2 2" xfId="25920"/>
    <cellStyle name="20% - Accent5 2 3 15 2 2 2" xfId="54781"/>
    <cellStyle name="20% - Accent5 2 3 15 2 3" xfId="37734"/>
    <cellStyle name="20% - Accent5 2 3 15 3" xfId="17468"/>
    <cellStyle name="20% - Accent5 2 3 15 3 2" xfId="46329"/>
    <cellStyle name="20% - Accent5 2 3 15 4" xfId="31693"/>
    <cellStyle name="20% - Accent5 2 3 16" xfId="5718"/>
    <cellStyle name="20% - Accent5 2 3 16 2" xfId="11759"/>
    <cellStyle name="20% - Accent5 2 3 16 2 2" xfId="28806"/>
    <cellStyle name="20% - Accent5 2 3 16 2 2 2" xfId="57667"/>
    <cellStyle name="20% - Accent5 2 3 16 2 3" xfId="40620"/>
    <cellStyle name="20% - Accent5 2 3 16 3" xfId="22828"/>
    <cellStyle name="20% - Accent5 2 3 16 3 2" xfId="51689"/>
    <cellStyle name="20% - Accent5 2 3 16 4" xfId="34579"/>
    <cellStyle name="20% - Accent5 2 3 17" xfId="5935"/>
    <cellStyle name="20% - Accent5 2 3 17 2" xfId="23034"/>
    <cellStyle name="20% - Accent5 2 3 17 2 2" xfId="51895"/>
    <cellStyle name="20% - Accent5 2 3 17 3" xfId="34796"/>
    <cellStyle name="20% - Accent5 2 3 18" xfId="6193"/>
    <cellStyle name="20% - Accent5 2 3 18 2" xfId="23240"/>
    <cellStyle name="20% - Accent5 2 3 18 2 2" xfId="52101"/>
    <cellStyle name="20% - Accent5 2 3 18 3" xfId="35054"/>
    <cellStyle name="20% - Accent5 2 3 19" xfId="14582"/>
    <cellStyle name="20% - Accent5 2 3 19 2" xfId="43443"/>
    <cellStyle name="20% - Accent5 2 3 2" xfId="357"/>
    <cellStyle name="20% - Accent5 2 3 2 10" xfId="2520"/>
    <cellStyle name="20% - Accent5 2 3 2 10 2" xfId="5407"/>
    <cellStyle name="20% - Accent5 2 3 2 10 2 2" xfId="11448"/>
    <cellStyle name="20% - Accent5 2 3 2 10 2 2 2" xfId="28495"/>
    <cellStyle name="20% - Accent5 2 3 2 10 2 2 2 2" xfId="57356"/>
    <cellStyle name="20% - Accent5 2 3 2 10 2 2 3" xfId="40309"/>
    <cellStyle name="20% - Accent5 2 3 2 10 2 3" xfId="22517"/>
    <cellStyle name="20% - Accent5 2 3 2 10 2 3 2" xfId="51378"/>
    <cellStyle name="20% - Accent5 2 3 2 10 2 4" xfId="34268"/>
    <cellStyle name="20% - Accent5 2 3 2 10 3" xfId="8562"/>
    <cellStyle name="20% - Accent5 2 3 2 10 3 2" xfId="25609"/>
    <cellStyle name="20% - Accent5 2 3 2 10 3 2 2" xfId="54470"/>
    <cellStyle name="20% - Accent5 2 3 2 10 3 3" xfId="37423"/>
    <cellStyle name="20% - Accent5 2 3 2 10 4" xfId="14242"/>
    <cellStyle name="20% - Accent5 2 3 2 10 4 2" xfId="19837"/>
    <cellStyle name="20% - Accent5 2 3 2 10 4 2 2" xfId="48698"/>
    <cellStyle name="20% - Accent5 2 3 2 10 4 3" xfId="43103"/>
    <cellStyle name="20% - Accent5 2 3 2 10 5" xfId="17157"/>
    <cellStyle name="20% - Accent5 2 3 2 10 5 2" xfId="46018"/>
    <cellStyle name="20% - Accent5 2 3 2 10 6" xfId="31382"/>
    <cellStyle name="20% - Accent5 2 3 2 11" xfId="2729"/>
    <cellStyle name="20% - Accent5 2 3 2 11 2" xfId="5615"/>
    <cellStyle name="20% - Accent5 2 3 2 11 2 2" xfId="11656"/>
    <cellStyle name="20% - Accent5 2 3 2 11 2 2 2" xfId="28703"/>
    <cellStyle name="20% - Accent5 2 3 2 11 2 2 2 2" xfId="57564"/>
    <cellStyle name="20% - Accent5 2 3 2 11 2 2 3" xfId="40517"/>
    <cellStyle name="20% - Accent5 2 3 2 11 2 3" xfId="22725"/>
    <cellStyle name="20% - Accent5 2 3 2 11 2 3 2" xfId="51586"/>
    <cellStyle name="20% - Accent5 2 3 2 11 2 4" xfId="34476"/>
    <cellStyle name="20% - Accent5 2 3 2 11 3" xfId="8770"/>
    <cellStyle name="20% - Accent5 2 3 2 11 3 2" xfId="25817"/>
    <cellStyle name="20% - Accent5 2 3 2 11 3 2 2" xfId="54678"/>
    <cellStyle name="20% - Accent5 2 3 2 11 3 3" xfId="37631"/>
    <cellStyle name="20% - Accent5 2 3 2 11 4" xfId="12537"/>
    <cellStyle name="20% - Accent5 2 3 2 11 4 2" xfId="20045"/>
    <cellStyle name="20% - Accent5 2 3 2 11 4 2 2" xfId="48906"/>
    <cellStyle name="20% - Accent5 2 3 2 11 4 3" xfId="41398"/>
    <cellStyle name="20% - Accent5 2 3 2 11 5" xfId="17365"/>
    <cellStyle name="20% - Accent5 2 3 2 11 5 2" xfId="46226"/>
    <cellStyle name="20% - Accent5 2 3 2 11 6" xfId="31590"/>
    <cellStyle name="20% - Accent5 2 3 2 12" xfId="3244"/>
    <cellStyle name="20% - Accent5 2 3 2 12 2" xfId="9285"/>
    <cellStyle name="20% - Accent5 2 3 2 12 2 2" xfId="26332"/>
    <cellStyle name="20% - Accent5 2 3 2 12 2 2 2" xfId="55193"/>
    <cellStyle name="20% - Accent5 2 3 2 12 2 3" xfId="38146"/>
    <cellStyle name="20% - Accent5 2 3 2 12 3" xfId="12823"/>
    <cellStyle name="20% - Accent5 2 3 2 12 3 2" xfId="20354"/>
    <cellStyle name="20% - Accent5 2 3 2 12 3 2 2" xfId="49215"/>
    <cellStyle name="20% - Accent5 2 3 2 12 3 3" xfId="41684"/>
    <cellStyle name="20% - Accent5 2 3 2 12 4" xfId="14994"/>
    <cellStyle name="20% - Accent5 2 3 2 12 4 2" xfId="43855"/>
    <cellStyle name="20% - Accent5 2 3 2 12 5" xfId="32105"/>
    <cellStyle name="20% - Accent5 2 3 2 13" xfId="2935"/>
    <cellStyle name="20% - Accent5 2 3 2 13 2" xfId="8976"/>
    <cellStyle name="20% - Accent5 2 3 2 13 2 2" xfId="26023"/>
    <cellStyle name="20% - Accent5 2 3 2 13 2 2 2" xfId="54884"/>
    <cellStyle name="20% - Accent5 2 3 2 13 2 3" xfId="37837"/>
    <cellStyle name="20% - Accent5 2 3 2 13 3" xfId="17571"/>
    <cellStyle name="20% - Accent5 2 3 2 13 3 2" xfId="46432"/>
    <cellStyle name="20% - Accent5 2 3 2 13 4" xfId="31796"/>
    <cellStyle name="20% - Accent5 2 3 2 14" xfId="5821"/>
    <cellStyle name="20% - Accent5 2 3 2 14 2" xfId="11862"/>
    <cellStyle name="20% - Accent5 2 3 2 14 2 2" xfId="28909"/>
    <cellStyle name="20% - Accent5 2 3 2 14 2 2 2" xfId="57770"/>
    <cellStyle name="20% - Accent5 2 3 2 14 2 3" xfId="40723"/>
    <cellStyle name="20% - Accent5 2 3 2 14 3" xfId="22931"/>
    <cellStyle name="20% - Accent5 2 3 2 14 3 2" xfId="51792"/>
    <cellStyle name="20% - Accent5 2 3 2 14 4" xfId="34682"/>
    <cellStyle name="20% - Accent5 2 3 2 15" xfId="6038"/>
    <cellStyle name="20% - Accent5 2 3 2 15 2" xfId="23137"/>
    <cellStyle name="20% - Accent5 2 3 2 15 2 2" xfId="51998"/>
    <cellStyle name="20% - Accent5 2 3 2 15 3" xfId="34899"/>
    <cellStyle name="20% - Accent5 2 3 2 16" xfId="6399"/>
    <cellStyle name="20% - Accent5 2 3 2 16 2" xfId="23446"/>
    <cellStyle name="20% - Accent5 2 3 2 16 2 2" xfId="52307"/>
    <cellStyle name="20% - Accent5 2 3 2 16 3" xfId="35260"/>
    <cellStyle name="20% - Accent5 2 3 2 17" xfId="14685"/>
    <cellStyle name="20% - Accent5 2 3 2 17 2" xfId="43546"/>
    <cellStyle name="20% - Accent5 2 3 2 18" xfId="29219"/>
    <cellStyle name="20% - Accent5 2 3 2 2" xfId="563"/>
    <cellStyle name="20% - Accent5 2 3 2 2 2" xfId="2314"/>
    <cellStyle name="20% - Accent5 2 3 2 2 2 2" xfId="5201"/>
    <cellStyle name="20% - Accent5 2 3 2 2 2 2 2" xfId="11242"/>
    <cellStyle name="20% - Accent5 2 3 2 2 2 2 2 2" xfId="28289"/>
    <cellStyle name="20% - Accent5 2 3 2 2 2 2 2 2 2" xfId="57150"/>
    <cellStyle name="20% - Accent5 2 3 2 2 2 2 2 3" xfId="40103"/>
    <cellStyle name="20% - Accent5 2 3 2 2 2 2 3" xfId="22311"/>
    <cellStyle name="20% - Accent5 2 3 2 2 2 2 3 2" xfId="51172"/>
    <cellStyle name="20% - Accent5 2 3 2 2 2 2 4" xfId="34062"/>
    <cellStyle name="20% - Accent5 2 3 2 2 2 3" xfId="8356"/>
    <cellStyle name="20% - Accent5 2 3 2 2 2 3 2" xfId="25403"/>
    <cellStyle name="20% - Accent5 2 3 2 2 2 3 2 2" xfId="54264"/>
    <cellStyle name="20% - Accent5 2 3 2 2 2 3 3" xfId="37217"/>
    <cellStyle name="20% - Accent5 2 3 2 2 2 4" xfId="11899"/>
    <cellStyle name="20% - Accent5 2 3 2 2 2 4 2" xfId="19631"/>
    <cellStyle name="20% - Accent5 2 3 2 2 2 4 2 2" xfId="48492"/>
    <cellStyle name="20% - Accent5 2 3 2 2 2 4 3" xfId="40760"/>
    <cellStyle name="20% - Accent5 2 3 2 2 2 5" xfId="16951"/>
    <cellStyle name="20% - Accent5 2 3 2 2 2 5 2" xfId="45812"/>
    <cellStyle name="20% - Accent5 2 3 2 2 2 6" xfId="31176"/>
    <cellStyle name="20% - Accent5 2 3 2 2 3" xfId="3450"/>
    <cellStyle name="20% - Accent5 2 3 2 2 3 2" xfId="9491"/>
    <cellStyle name="20% - Accent5 2 3 2 2 3 2 2" xfId="26538"/>
    <cellStyle name="20% - Accent5 2 3 2 2 3 2 2 2" xfId="55399"/>
    <cellStyle name="20% - Accent5 2 3 2 2 3 2 3" xfId="38352"/>
    <cellStyle name="20% - Accent5 2 3 2 2 3 3" xfId="20560"/>
    <cellStyle name="20% - Accent5 2 3 2 2 3 3 2" xfId="49421"/>
    <cellStyle name="20% - Accent5 2 3 2 2 3 4" xfId="32311"/>
    <cellStyle name="20% - Accent5 2 3 2 2 4" xfId="6605"/>
    <cellStyle name="20% - Accent5 2 3 2 2 4 2" xfId="23652"/>
    <cellStyle name="20% - Accent5 2 3 2 2 4 2 2" xfId="52513"/>
    <cellStyle name="20% - Accent5 2 3 2 2 4 3" xfId="35466"/>
    <cellStyle name="20% - Accent5 2 3 2 2 5" xfId="13652"/>
    <cellStyle name="20% - Accent5 2 3 2 2 5 2" xfId="17880"/>
    <cellStyle name="20% - Accent5 2 3 2 2 5 2 2" xfId="46741"/>
    <cellStyle name="20% - Accent5 2 3 2 2 5 3" xfId="42513"/>
    <cellStyle name="20% - Accent5 2 3 2 2 6" xfId="15200"/>
    <cellStyle name="20% - Accent5 2 3 2 2 6 2" xfId="44061"/>
    <cellStyle name="20% - Accent5 2 3 2 2 7" xfId="29425"/>
    <cellStyle name="20% - Accent5 2 3 2 3" xfId="872"/>
    <cellStyle name="20% - Accent5 2 3 2 3 2" xfId="3759"/>
    <cellStyle name="20% - Accent5 2 3 2 3 2 2" xfId="9800"/>
    <cellStyle name="20% - Accent5 2 3 2 3 2 2 2" xfId="26847"/>
    <cellStyle name="20% - Accent5 2 3 2 3 2 2 2 2" xfId="55708"/>
    <cellStyle name="20% - Accent5 2 3 2 3 2 2 3" xfId="38661"/>
    <cellStyle name="20% - Accent5 2 3 2 3 2 3" xfId="20869"/>
    <cellStyle name="20% - Accent5 2 3 2 3 2 3 2" xfId="49730"/>
    <cellStyle name="20% - Accent5 2 3 2 3 2 4" xfId="32620"/>
    <cellStyle name="20% - Accent5 2 3 2 3 3" xfId="6914"/>
    <cellStyle name="20% - Accent5 2 3 2 3 3 2" xfId="23961"/>
    <cellStyle name="20% - Accent5 2 3 2 3 3 2 2" xfId="52822"/>
    <cellStyle name="20% - Accent5 2 3 2 3 3 3" xfId="35775"/>
    <cellStyle name="20% - Accent5 2 3 2 3 4" xfId="14407"/>
    <cellStyle name="20% - Accent5 2 3 2 3 4 2" xfId="18189"/>
    <cellStyle name="20% - Accent5 2 3 2 3 4 2 2" xfId="47050"/>
    <cellStyle name="20% - Accent5 2 3 2 3 4 3" xfId="43268"/>
    <cellStyle name="20% - Accent5 2 3 2 3 5" xfId="15509"/>
    <cellStyle name="20% - Accent5 2 3 2 3 5 2" xfId="44370"/>
    <cellStyle name="20% - Accent5 2 3 2 3 6" xfId="29734"/>
    <cellStyle name="20% - Accent5 2 3 2 4" xfId="1078"/>
    <cellStyle name="20% - Accent5 2 3 2 4 2" xfId="3965"/>
    <cellStyle name="20% - Accent5 2 3 2 4 2 2" xfId="10006"/>
    <cellStyle name="20% - Accent5 2 3 2 4 2 2 2" xfId="27053"/>
    <cellStyle name="20% - Accent5 2 3 2 4 2 2 2 2" xfId="55914"/>
    <cellStyle name="20% - Accent5 2 3 2 4 2 2 3" xfId="38867"/>
    <cellStyle name="20% - Accent5 2 3 2 4 2 3" xfId="21075"/>
    <cellStyle name="20% - Accent5 2 3 2 4 2 3 2" xfId="49936"/>
    <cellStyle name="20% - Accent5 2 3 2 4 2 4" xfId="32826"/>
    <cellStyle name="20% - Accent5 2 3 2 4 3" xfId="7120"/>
    <cellStyle name="20% - Accent5 2 3 2 4 3 2" xfId="24167"/>
    <cellStyle name="20% - Accent5 2 3 2 4 3 2 2" xfId="53028"/>
    <cellStyle name="20% - Accent5 2 3 2 4 3 3" xfId="35981"/>
    <cellStyle name="20% - Accent5 2 3 2 4 4" xfId="13485"/>
    <cellStyle name="20% - Accent5 2 3 2 4 4 2" xfId="18395"/>
    <cellStyle name="20% - Accent5 2 3 2 4 4 2 2" xfId="47256"/>
    <cellStyle name="20% - Accent5 2 3 2 4 4 3" xfId="42346"/>
    <cellStyle name="20% - Accent5 2 3 2 4 5" xfId="15715"/>
    <cellStyle name="20% - Accent5 2 3 2 4 5 2" xfId="44576"/>
    <cellStyle name="20% - Accent5 2 3 2 4 6" xfId="29940"/>
    <cellStyle name="20% - Accent5 2 3 2 5" xfId="1284"/>
    <cellStyle name="20% - Accent5 2 3 2 5 2" xfId="4171"/>
    <cellStyle name="20% - Accent5 2 3 2 5 2 2" xfId="10212"/>
    <cellStyle name="20% - Accent5 2 3 2 5 2 2 2" xfId="27259"/>
    <cellStyle name="20% - Accent5 2 3 2 5 2 2 2 2" xfId="56120"/>
    <cellStyle name="20% - Accent5 2 3 2 5 2 2 3" xfId="39073"/>
    <cellStyle name="20% - Accent5 2 3 2 5 2 3" xfId="21281"/>
    <cellStyle name="20% - Accent5 2 3 2 5 2 3 2" xfId="50142"/>
    <cellStyle name="20% - Accent5 2 3 2 5 2 4" xfId="33032"/>
    <cellStyle name="20% - Accent5 2 3 2 5 3" xfId="7326"/>
    <cellStyle name="20% - Accent5 2 3 2 5 3 2" xfId="24373"/>
    <cellStyle name="20% - Accent5 2 3 2 5 3 2 2" xfId="53234"/>
    <cellStyle name="20% - Accent5 2 3 2 5 3 3" xfId="36187"/>
    <cellStyle name="20% - Accent5 2 3 2 5 4" xfId="12959"/>
    <cellStyle name="20% - Accent5 2 3 2 5 4 2" xfId="18601"/>
    <cellStyle name="20% - Accent5 2 3 2 5 4 2 2" xfId="47462"/>
    <cellStyle name="20% - Accent5 2 3 2 5 4 3" xfId="41820"/>
    <cellStyle name="20% - Accent5 2 3 2 5 5" xfId="15921"/>
    <cellStyle name="20% - Accent5 2 3 2 5 5 2" xfId="44782"/>
    <cellStyle name="20% - Accent5 2 3 2 5 6" xfId="30146"/>
    <cellStyle name="20% - Accent5 2 3 2 6" xfId="1490"/>
    <cellStyle name="20% - Accent5 2 3 2 6 2" xfId="4377"/>
    <cellStyle name="20% - Accent5 2 3 2 6 2 2" xfId="10418"/>
    <cellStyle name="20% - Accent5 2 3 2 6 2 2 2" xfId="27465"/>
    <cellStyle name="20% - Accent5 2 3 2 6 2 2 2 2" xfId="56326"/>
    <cellStyle name="20% - Accent5 2 3 2 6 2 2 3" xfId="39279"/>
    <cellStyle name="20% - Accent5 2 3 2 6 2 3" xfId="21487"/>
    <cellStyle name="20% - Accent5 2 3 2 6 2 3 2" xfId="50348"/>
    <cellStyle name="20% - Accent5 2 3 2 6 2 4" xfId="33238"/>
    <cellStyle name="20% - Accent5 2 3 2 6 3" xfId="7532"/>
    <cellStyle name="20% - Accent5 2 3 2 6 3 2" xfId="24579"/>
    <cellStyle name="20% - Accent5 2 3 2 6 3 2 2" xfId="53440"/>
    <cellStyle name="20% - Accent5 2 3 2 6 3 3" xfId="36393"/>
    <cellStyle name="20% - Accent5 2 3 2 6 4" xfId="13210"/>
    <cellStyle name="20% - Accent5 2 3 2 6 4 2" xfId="18807"/>
    <cellStyle name="20% - Accent5 2 3 2 6 4 2 2" xfId="47668"/>
    <cellStyle name="20% - Accent5 2 3 2 6 4 3" xfId="42071"/>
    <cellStyle name="20% - Accent5 2 3 2 6 5" xfId="16127"/>
    <cellStyle name="20% - Accent5 2 3 2 6 5 2" xfId="44988"/>
    <cellStyle name="20% - Accent5 2 3 2 6 6" xfId="30352"/>
    <cellStyle name="20% - Accent5 2 3 2 7" xfId="1696"/>
    <cellStyle name="20% - Accent5 2 3 2 7 2" xfId="4583"/>
    <cellStyle name="20% - Accent5 2 3 2 7 2 2" xfId="10624"/>
    <cellStyle name="20% - Accent5 2 3 2 7 2 2 2" xfId="27671"/>
    <cellStyle name="20% - Accent5 2 3 2 7 2 2 2 2" xfId="56532"/>
    <cellStyle name="20% - Accent5 2 3 2 7 2 2 3" xfId="39485"/>
    <cellStyle name="20% - Accent5 2 3 2 7 2 3" xfId="21693"/>
    <cellStyle name="20% - Accent5 2 3 2 7 2 3 2" xfId="50554"/>
    <cellStyle name="20% - Accent5 2 3 2 7 2 4" xfId="33444"/>
    <cellStyle name="20% - Accent5 2 3 2 7 3" xfId="7738"/>
    <cellStyle name="20% - Accent5 2 3 2 7 3 2" xfId="24785"/>
    <cellStyle name="20% - Accent5 2 3 2 7 3 2 2" xfId="53646"/>
    <cellStyle name="20% - Accent5 2 3 2 7 3 3" xfId="36599"/>
    <cellStyle name="20% - Accent5 2 3 2 7 4" xfId="13117"/>
    <cellStyle name="20% - Accent5 2 3 2 7 4 2" xfId="19013"/>
    <cellStyle name="20% - Accent5 2 3 2 7 4 2 2" xfId="47874"/>
    <cellStyle name="20% - Accent5 2 3 2 7 4 3" xfId="41978"/>
    <cellStyle name="20% - Accent5 2 3 2 7 5" xfId="16333"/>
    <cellStyle name="20% - Accent5 2 3 2 7 5 2" xfId="45194"/>
    <cellStyle name="20% - Accent5 2 3 2 7 6" xfId="30558"/>
    <cellStyle name="20% - Accent5 2 3 2 8" xfId="1902"/>
    <cellStyle name="20% - Accent5 2 3 2 8 2" xfId="4789"/>
    <cellStyle name="20% - Accent5 2 3 2 8 2 2" xfId="10830"/>
    <cellStyle name="20% - Accent5 2 3 2 8 2 2 2" xfId="27877"/>
    <cellStyle name="20% - Accent5 2 3 2 8 2 2 2 2" xfId="56738"/>
    <cellStyle name="20% - Accent5 2 3 2 8 2 2 3" xfId="39691"/>
    <cellStyle name="20% - Accent5 2 3 2 8 2 3" xfId="21899"/>
    <cellStyle name="20% - Accent5 2 3 2 8 2 3 2" xfId="50760"/>
    <cellStyle name="20% - Accent5 2 3 2 8 2 4" xfId="33650"/>
    <cellStyle name="20% - Accent5 2 3 2 8 3" xfId="7944"/>
    <cellStyle name="20% - Accent5 2 3 2 8 3 2" xfId="24991"/>
    <cellStyle name="20% - Accent5 2 3 2 8 3 2 2" xfId="53852"/>
    <cellStyle name="20% - Accent5 2 3 2 8 3 3" xfId="36805"/>
    <cellStyle name="20% - Accent5 2 3 2 8 4" xfId="12606"/>
    <cellStyle name="20% - Accent5 2 3 2 8 4 2" xfId="19219"/>
    <cellStyle name="20% - Accent5 2 3 2 8 4 2 2" xfId="48080"/>
    <cellStyle name="20% - Accent5 2 3 2 8 4 3" xfId="41467"/>
    <cellStyle name="20% - Accent5 2 3 2 8 5" xfId="16539"/>
    <cellStyle name="20% - Accent5 2 3 2 8 5 2" xfId="45400"/>
    <cellStyle name="20% - Accent5 2 3 2 8 6" xfId="30764"/>
    <cellStyle name="20% - Accent5 2 3 2 9" xfId="2108"/>
    <cellStyle name="20% - Accent5 2 3 2 9 2" xfId="4995"/>
    <cellStyle name="20% - Accent5 2 3 2 9 2 2" xfId="11036"/>
    <cellStyle name="20% - Accent5 2 3 2 9 2 2 2" xfId="28083"/>
    <cellStyle name="20% - Accent5 2 3 2 9 2 2 2 2" xfId="56944"/>
    <cellStyle name="20% - Accent5 2 3 2 9 2 2 3" xfId="39897"/>
    <cellStyle name="20% - Accent5 2 3 2 9 2 3" xfId="22105"/>
    <cellStyle name="20% - Accent5 2 3 2 9 2 3 2" xfId="50966"/>
    <cellStyle name="20% - Accent5 2 3 2 9 2 4" xfId="33856"/>
    <cellStyle name="20% - Accent5 2 3 2 9 3" xfId="8150"/>
    <cellStyle name="20% - Accent5 2 3 2 9 3 2" xfId="25197"/>
    <cellStyle name="20% - Accent5 2 3 2 9 3 2 2" xfId="54058"/>
    <cellStyle name="20% - Accent5 2 3 2 9 3 3" xfId="37011"/>
    <cellStyle name="20% - Accent5 2 3 2 9 4" xfId="12734"/>
    <cellStyle name="20% - Accent5 2 3 2 9 4 2" xfId="19425"/>
    <cellStyle name="20% - Accent5 2 3 2 9 4 2 2" xfId="48286"/>
    <cellStyle name="20% - Accent5 2 3 2 9 4 3" xfId="41595"/>
    <cellStyle name="20% - Accent5 2 3 2 9 5" xfId="16745"/>
    <cellStyle name="20% - Accent5 2 3 2 9 5 2" xfId="45606"/>
    <cellStyle name="20% - Accent5 2 3 2 9 6" xfId="30970"/>
    <cellStyle name="20% - Accent5 2 3 20" xfId="29013"/>
    <cellStyle name="20% - Accent5 2 3 3" xfId="254"/>
    <cellStyle name="20% - Accent5 2 3 3 2" xfId="666"/>
    <cellStyle name="20% - Accent5 2 3 3 2 2" xfId="3553"/>
    <cellStyle name="20% - Accent5 2 3 3 2 2 2" xfId="9594"/>
    <cellStyle name="20% - Accent5 2 3 3 2 2 2 2" xfId="26641"/>
    <cellStyle name="20% - Accent5 2 3 3 2 2 2 2 2" xfId="55502"/>
    <cellStyle name="20% - Accent5 2 3 3 2 2 2 3" xfId="38455"/>
    <cellStyle name="20% - Accent5 2 3 3 2 2 3" xfId="20663"/>
    <cellStyle name="20% - Accent5 2 3 3 2 2 3 2" xfId="49524"/>
    <cellStyle name="20% - Accent5 2 3 3 2 2 4" xfId="32414"/>
    <cellStyle name="20% - Accent5 2 3 3 2 3" xfId="6708"/>
    <cellStyle name="20% - Accent5 2 3 3 2 3 2" xfId="23755"/>
    <cellStyle name="20% - Accent5 2 3 3 2 3 2 2" xfId="52616"/>
    <cellStyle name="20% - Accent5 2 3 3 2 3 3" xfId="35569"/>
    <cellStyle name="20% - Accent5 2 3 3 2 4" xfId="13349"/>
    <cellStyle name="20% - Accent5 2 3 3 2 4 2" xfId="17983"/>
    <cellStyle name="20% - Accent5 2 3 3 2 4 2 2" xfId="46844"/>
    <cellStyle name="20% - Accent5 2 3 3 2 4 3" xfId="42210"/>
    <cellStyle name="20% - Accent5 2 3 3 2 5" xfId="15303"/>
    <cellStyle name="20% - Accent5 2 3 3 2 5 2" xfId="44164"/>
    <cellStyle name="20% - Accent5 2 3 3 2 6" xfId="29528"/>
    <cellStyle name="20% - Accent5 2 3 3 3" xfId="2211"/>
    <cellStyle name="20% - Accent5 2 3 3 3 2" xfId="5098"/>
    <cellStyle name="20% - Accent5 2 3 3 3 2 2" xfId="11139"/>
    <cellStyle name="20% - Accent5 2 3 3 3 2 2 2" xfId="28186"/>
    <cellStyle name="20% - Accent5 2 3 3 3 2 2 2 2" xfId="57047"/>
    <cellStyle name="20% - Accent5 2 3 3 3 2 2 3" xfId="40000"/>
    <cellStyle name="20% - Accent5 2 3 3 3 2 3" xfId="22208"/>
    <cellStyle name="20% - Accent5 2 3 3 3 2 3 2" xfId="51069"/>
    <cellStyle name="20% - Accent5 2 3 3 3 2 4" xfId="33959"/>
    <cellStyle name="20% - Accent5 2 3 3 3 3" xfId="8253"/>
    <cellStyle name="20% - Accent5 2 3 3 3 3 2" xfId="25300"/>
    <cellStyle name="20% - Accent5 2 3 3 3 3 2 2" xfId="54161"/>
    <cellStyle name="20% - Accent5 2 3 3 3 3 3" xfId="37114"/>
    <cellStyle name="20% - Accent5 2 3 3 3 4" xfId="12130"/>
    <cellStyle name="20% - Accent5 2 3 3 3 4 2" xfId="19528"/>
    <cellStyle name="20% - Accent5 2 3 3 3 4 2 2" xfId="48389"/>
    <cellStyle name="20% - Accent5 2 3 3 3 4 3" xfId="40991"/>
    <cellStyle name="20% - Accent5 2 3 3 3 5" xfId="16848"/>
    <cellStyle name="20% - Accent5 2 3 3 3 5 2" xfId="45709"/>
    <cellStyle name="20% - Accent5 2 3 3 3 6" xfId="31073"/>
    <cellStyle name="20% - Accent5 2 3 3 4" xfId="3141"/>
    <cellStyle name="20% - Accent5 2 3 3 4 2" xfId="9182"/>
    <cellStyle name="20% - Accent5 2 3 3 4 2 2" xfId="26229"/>
    <cellStyle name="20% - Accent5 2 3 3 4 2 2 2" xfId="55090"/>
    <cellStyle name="20% - Accent5 2 3 3 4 2 3" xfId="38043"/>
    <cellStyle name="20% - Accent5 2 3 3 4 3" xfId="20251"/>
    <cellStyle name="20% - Accent5 2 3 3 4 3 2" xfId="49112"/>
    <cellStyle name="20% - Accent5 2 3 3 4 4" xfId="32002"/>
    <cellStyle name="20% - Accent5 2 3 3 5" xfId="6296"/>
    <cellStyle name="20% - Accent5 2 3 3 5 2" xfId="23343"/>
    <cellStyle name="20% - Accent5 2 3 3 5 2 2" xfId="52204"/>
    <cellStyle name="20% - Accent5 2 3 3 5 3" xfId="35157"/>
    <cellStyle name="20% - Accent5 2 3 3 6" xfId="11876"/>
    <cellStyle name="20% - Accent5 2 3 3 6 2" xfId="17674"/>
    <cellStyle name="20% - Accent5 2 3 3 6 2 2" xfId="46535"/>
    <cellStyle name="20% - Accent5 2 3 3 6 3" xfId="40737"/>
    <cellStyle name="20% - Accent5 2 3 3 7" xfId="14891"/>
    <cellStyle name="20% - Accent5 2 3 3 7 2" xfId="43752"/>
    <cellStyle name="20% - Accent5 2 3 3 8" xfId="29116"/>
    <cellStyle name="20% - Accent5 2 3 4" xfId="460"/>
    <cellStyle name="20% - Accent5 2 3 4 2" xfId="3347"/>
    <cellStyle name="20% - Accent5 2 3 4 2 2" xfId="9388"/>
    <cellStyle name="20% - Accent5 2 3 4 2 2 2" xfId="26435"/>
    <cellStyle name="20% - Accent5 2 3 4 2 2 2 2" xfId="55296"/>
    <cellStyle name="20% - Accent5 2 3 4 2 2 3" xfId="38249"/>
    <cellStyle name="20% - Accent5 2 3 4 2 3" xfId="20457"/>
    <cellStyle name="20% - Accent5 2 3 4 2 3 2" xfId="49318"/>
    <cellStyle name="20% - Accent5 2 3 4 2 4" xfId="32208"/>
    <cellStyle name="20% - Accent5 2 3 4 3" xfId="6502"/>
    <cellStyle name="20% - Accent5 2 3 4 3 2" xfId="23549"/>
    <cellStyle name="20% - Accent5 2 3 4 3 2 2" xfId="52410"/>
    <cellStyle name="20% - Accent5 2 3 4 3 3" xfId="35363"/>
    <cellStyle name="20% - Accent5 2 3 4 4" xfId="13783"/>
    <cellStyle name="20% - Accent5 2 3 4 4 2" xfId="17777"/>
    <cellStyle name="20% - Accent5 2 3 4 4 2 2" xfId="46638"/>
    <cellStyle name="20% - Accent5 2 3 4 4 3" xfId="42644"/>
    <cellStyle name="20% - Accent5 2 3 4 5" xfId="15097"/>
    <cellStyle name="20% - Accent5 2 3 4 5 2" xfId="43958"/>
    <cellStyle name="20% - Accent5 2 3 4 6" xfId="29322"/>
    <cellStyle name="20% - Accent5 2 3 5" xfId="769"/>
    <cellStyle name="20% - Accent5 2 3 5 2" xfId="3656"/>
    <cellStyle name="20% - Accent5 2 3 5 2 2" xfId="9697"/>
    <cellStyle name="20% - Accent5 2 3 5 2 2 2" xfId="26744"/>
    <cellStyle name="20% - Accent5 2 3 5 2 2 2 2" xfId="55605"/>
    <cellStyle name="20% - Accent5 2 3 5 2 2 3" xfId="38558"/>
    <cellStyle name="20% - Accent5 2 3 5 2 3" xfId="20766"/>
    <cellStyle name="20% - Accent5 2 3 5 2 3 2" xfId="49627"/>
    <cellStyle name="20% - Accent5 2 3 5 2 4" xfId="32517"/>
    <cellStyle name="20% - Accent5 2 3 5 3" xfId="6811"/>
    <cellStyle name="20% - Accent5 2 3 5 3 2" xfId="23858"/>
    <cellStyle name="20% - Accent5 2 3 5 3 2 2" xfId="52719"/>
    <cellStyle name="20% - Accent5 2 3 5 3 3" xfId="35672"/>
    <cellStyle name="20% - Accent5 2 3 5 4" xfId="13775"/>
    <cellStyle name="20% - Accent5 2 3 5 4 2" xfId="18086"/>
    <cellStyle name="20% - Accent5 2 3 5 4 2 2" xfId="46947"/>
    <cellStyle name="20% - Accent5 2 3 5 4 3" xfId="42636"/>
    <cellStyle name="20% - Accent5 2 3 5 5" xfId="15406"/>
    <cellStyle name="20% - Accent5 2 3 5 5 2" xfId="44267"/>
    <cellStyle name="20% - Accent5 2 3 5 6" xfId="29631"/>
    <cellStyle name="20% - Accent5 2 3 6" xfId="975"/>
    <cellStyle name="20% - Accent5 2 3 6 2" xfId="3862"/>
    <cellStyle name="20% - Accent5 2 3 6 2 2" xfId="9903"/>
    <cellStyle name="20% - Accent5 2 3 6 2 2 2" xfId="26950"/>
    <cellStyle name="20% - Accent5 2 3 6 2 2 2 2" xfId="55811"/>
    <cellStyle name="20% - Accent5 2 3 6 2 2 3" xfId="38764"/>
    <cellStyle name="20% - Accent5 2 3 6 2 3" xfId="20972"/>
    <cellStyle name="20% - Accent5 2 3 6 2 3 2" xfId="49833"/>
    <cellStyle name="20% - Accent5 2 3 6 2 4" xfId="32723"/>
    <cellStyle name="20% - Accent5 2 3 6 3" xfId="7017"/>
    <cellStyle name="20% - Accent5 2 3 6 3 2" xfId="24064"/>
    <cellStyle name="20% - Accent5 2 3 6 3 2 2" xfId="52925"/>
    <cellStyle name="20% - Accent5 2 3 6 3 3" xfId="35878"/>
    <cellStyle name="20% - Accent5 2 3 6 4" xfId="14302"/>
    <cellStyle name="20% - Accent5 2 3 6 4 2" xfId="18292"/>
    <cellStyle name="20% - Accent5 2 3 6 4 2 2" xfId="47153"/>
    <cellStyle name="20% - Accent5 2 3 6 4 3" xfId="43163"/>
    <cellStyle name="20% - Accent5 2 3 6 5" xfId="15612"/>
    <cellStyle name="20% - Accent5 2 3 6 5 2" xfId="44473"/>
    <cellStyle name="20% - Accent5 2 3 6 6" xfId="29837"/>
    <cellStyle name="20% - Accent5 2 3 7" xfId="1181"/>
    <cellStyle name="20% - Accent5 2 3 7 2" xfId="4068"/>
    <cellStyle name="20% - Accent5 2 3 7 2 2" xfId="10109"/>
    <cellStyle name="20% - Accent5 2 3 7 2 2 2" xfId="27156"/>
    <cellStyle name="20% - Accent5 2 3 7 2 2 2 2" xfId="56017"/>
    <cellStyle name="20% - Accent5 2 3 7 2 2 3" xfId="38970"/>
    <cellStyle name="20% - Accent5 2 3 7 2 3" xfId="21178"/>
    <cellStyle name="20% - Accent5 2 3 7 2 3 2" xfId="50039"/>
    <cellStyle name="20% - Accent5 2 3 7 2 4" xfId="32929"/>
    <cellStyle name="20% - Accent5 2 3 7 3" xfId="7223"/>
    <cellStyle name="20% - Accent5 2 3 7 3 2" xfId="24270"/>
    <cellStyle name="20% - Accent5 2 3 7 3 2 2" xfId="53131"/>
    <cellStyle name="20% - Accent5 2 3 7 3 3" xfId="36084"/>
    <cellStyle name="20% - Accent5 2 3 7 4" xfId="13184"/>
    <cellStyle name="20% - Accent5 2 3 7 4 2" xfId="18498"/>
    <cellStyle name="20% - Accent5 2 3 7 4 2 2" xfId="47359"/>
    <cellStyle name="20% - Accent5 2 3 7 4 3" xfId="42045"/>
    <cellStyle name="20% - Accent5 2 3 7 5" xfId="15818"/>
    <cellStyle name="20% - Accent5 2 3 7 5 2" xfId="44679"/>
    <cellStyle name="20% - Accent5 2 3 7 6" xfId="30043"/>
    <cellStyle name="20% - Accent5 2 3 8" xfId="1387"/>
    <cellStyle name="20% - Accent5 2 3 8 2" xfId="4274"/>
    <cellStyle name="20% - Accent5 2 3 8 2 2" xfId="10315"/>
    <cellStyle name="20% - Accent5 2 3 8 2 2 2" xfId="27362"/>
    <cellStyle name="20% - Accent5 2 3 8 2 2 2 2" xfId="56223"/>
    <cellStyle name="20% - Accent5 2 3 8 2 2 3" xfId="39176"/>
    <cellStyle name="20% - Accent5 2 3 8 2 3" xfId="21384"/>
    <cellStyle name="20% - Accent5 2 3 8 2 3 2" xfId="50245"/>
    <cellStyle name="20% - Accent5 2 3 8 2 4" xfId="33135"/>
    <cellStyle name="20% - Accent5 2 3 8 3" xfId="7429"/>
    <cellStyle name="20% - Accent5 2 3 8 3 2" xfId="24476"/>
    <cellStyle name="20% - Accent5 2 3 8 3 2 2" xfId="53337"/>
    <cellStyle name="20% - Accent5 2 3 8 3 3" xfId="36290"/>
    <cellStyle name="20% - Accent5 2 3 8 4" xfId="12457"/>
    <cellStyle name="20% - Accent5 2 3 8 4 2" xfId="18704"/>
    <cellStyle name="20% - Accent5 2 3 8 4 2 2" xfId="47565"/>
    <cellStyle name="20% - Accent5 2 3 8 4 3" xfId="41318"/>
    <cellStyle name="20% - Accent5 2 3 8 5" xfId="16024"/>
    <cellStyle name="20% - Accent5 2 3 8 5 2" xfId="44885"/>
    <cellStyle name="20% - Accent5 2 3 8 6" xfId="30249"/>
    <cellStyle name="20% - Accent5 2 3 9" xfId="1593"/>
    <cellStyle name="20% - Accent5 2 3 9 2" xfId="4480"/>
    <cellStyle name="20% - Accent5 2 3 9 2 2" xfId="10521"/>
    <cellStyle name="20% - Accent5 2 3 9 2 2 2" xfId="27568"/>
    <cellStyle name="20% - Accent5 2 3 9 2 2 2 2" xfId="56429"/>
    <cellStyle name="20% - Accent5 2 3 9 2 2 3" xfId="39382"/>
    <cellStyle name="20% - Accent5 2 3 9 2 3" xfId="21590"/>
    <cellStyle name="20% - Accent5 2 3 9 2 3 2" xfId="50451"/>
    <cellStyle name="20% - Accent5 2 3 9 2 4" xfId="33341"/>
    <cellStyle name="20% - Accent5 2 3 9 3" xfId="7635"/>
    <cellStyle name="20% - Accent5 2 3 9 3 2" xfId="24682"/>
    <cellStyle name="20% - Accent5 2 3 9 3 2 2" xfId="53543"/>
    <cellStyle name="20% - Accent5 2 3 9 3 3" xfId="36496"/>
    <cellStyle name="20% - Accent5 2 3 9 4" xfId="12084"/>
    <cellStyle name="20% - Accent5 2 3 9 4 2" xfId="18910"/>
    <cellStyle name="20% - Accent5 2 3 9 4 2 2" xfId="47771"/>
    <cellStyle name="20% - Accent5 2 3 9 4 3" xfId="40945"/>
    <cellStyle name="20% - Accent5 2 3 9 5" xfId="16230"/>
    <cellStyle name="20% - Accent5 2 3 9 5 2" xfId="45091"/>
    <cellStyle name="20% - Accent5 2 3 9 6" xfId="30455"/>
    <cellStyle name="20% - Accent5 2 4" xfId="305"/>
    <cellStyle name="20% - Accent5 2 4 10" xfId="2468"/>
    <cellStyle name="20% - Accent5 2 4 10 2" xfId="5355"/>
    <cellStyle name="20% - Accent5 2 4 10 2 2" xfId="11396"/>
    <cellStyle name="20% - Accent5 2 4 10 2 2 2" xfId="28443"/>
    <cellStyle name="20% - Accent5 2 4 10 2 2 2 2" xfId="57304"/>
    <cellStyle name="20% - Accent5 2 4 10 2 2 3" xfId="40257"/>
    <cellStyle name="20% - Accent5 2 4 10 2 3" xfId="22465"/>
    <cellStyle name="20% - Accent5 2 4 10 2 3 2" xfId="51326"/>
    <cellStyle name="20% - Accent5 2 4 10 2 4" xfId="34216"/>
    <cellStyle name="20% - Accent5 2 4 10 3" xfId="8510"/>
    <cellStyle name="20% - Accent5 2 4 10 3 2" xfId="25557"/>
    <cellStyle name="20% - Accent5 2 4 10 3 2 2" xfId="54418"/>
    <cellStyle name="20% - Accent5 2 4 10 3 3" xfId="37371"/>
    <cellStyle name="20% - Accent5 2 4 10 4" xfId="13726"/>
    <cellStyle name="20% - Accent5 2 4 10 4 2" xfId="19785"/>
    <cellStyle name="20% - Accent5 2 4 10 4 2 2" xfId="48646"/>
    <cellStyle name="20% - Accent5 2 4 10 4 3" xfId="42587"/>
    <cellStyle name="20% - Accent5 2 4 10 5" xfId="17105"/>
    <cellStyle name="20% - Accent5 2 4 10 5 2" xfId="45966"/>
    <cellStyle name="20% - Accent5 2 4 10 6" xfId="31330"/>
    <cellStyle name="20% - Accent5 2 4 11" xfId="2677"/>
    <cellStyle name="20% - Accent5 2 4 11 2" xfId="5563"/>
    <cellStyle name="20% - Accent5 2 4 11 2 2" xfId="11604"/>
    <cellStyle name="20% - Accent5 2 4 11 2 2 2" xfId="28651"/>
    <cellStyle name="20% - Accent5 2 4 11 2 2 2 2" xfId="57512"/>
    <cellStyle name="20% - Accent5 2 4 11 2 2 3" xfId="40465"/>
    <cellStyle name="20% - Accent5 2 4 11 2 3" xfId="22673"/>
    <cellStyle name="20% - Accent5 2 4 11 2 3 2" xfId="51534"/>
    <cellStyle name="20% - Accent5 2 4 11 2 4" xfId="34424"/>
    <cellStyle name="20% - Accent5 2 4 11 3" xfId="8718"/>
    <cellStyle name="20% - Accent5 2 4 11 3 2" xfId="25765"/>
    <cellStyle name="20% - Accent5 2 4 11 3 2 2" xfId="54626"/>
    <cellStyle name="20% - Accent5 2 4 11 3 3" xfId="37579"/>
    <cellStyle name="20% - Accent5 2 4 11 4" xfId="11991"/>
    <cellStyle name="20% - Accent5 2 4 11 4 2" xfId="19993"/>
    <cellStyle name="20% - Accent5 2 4 11 4 2 2" xfId="48854"/>
    <cellStyle name="20% - Accent5 2 4 11 4 3" xfId="40852"/>
    <cellStyle name="20% - Accent5 2 4 11 5" xfId="17313"/>
    <cellStyle name="20% - Accent5 2 4 11 5 2" xfId="46174"/>
    <cellStyle name="20% - Accent5 2 4 11 6" xfId="31538"/>
    <cellStyle name="20% - Accent5 2 4 12" xfId="3192"/>
    <cellStyle name="20% - Accent5 2 4 12 2" xfId="9233"/>
    <cellStyle name="20% - Accent5 2 4 12 2 2" xfId="26280"/>
    <cellStyle name="20% - Accent5 2 4 12 2 2 2" xfId="55141"/>
    <cellStyle name="20% - Accent5 2 4 12 2 3" xfId="38094"/>
    <cellStyle name="20% - Accent5 2 4 12 3" xfId="13827"/>
    <cellStyle name="20% - Accent5 2 4 12 3 2" xfId="20302"/>
    <cellStyle name="20% - Accent5 2 4 12 3 2 2" xfId="49163"/>
    <cellStyle name="20% - Accent5 2 4 12 3 3" xfId="42688"/>
    <cellStyle name="20% - Accent5 2 4 12 4" xfId="14942"/>
    <cellStyle name="20% - Accent5 2 4 12 4 2" xfId="43803"/>
    <cellStyle name="20% - Accent5 2 4 12 5" xfId="32053"/>
    <cellStyle name="20% - Accent5 2 4 13" xfId="2883"/>
    <cellStyle name="20% - Accent5 2 4 13 2" xfId="8924"/>
    <cellStyle name="20% - Accent5 2 4 13 2 2" xfId="25971"/>
    <cellStyle name="20% - Accent5 2 4 13 2 2 2" xfId="54832"/>
    <cellStyle name="20% - Accent5 2 4 13 2 3" xfId="37785"/>
    <cellStyle name="20% - Accent5 2 4 13 3" xfId="17519"/>
    <cellStyle name="20% - Accent5 2 4 13 3 2" xfId="46380"/>
    <cellStyle name="20% - Accent5 2 4 13 4" xfId="31744"/>
    <cellStyle name="20% - Accent5 2 4 14" xfId="5769"/>
    <cellStyle name="20% - Accent5 2 4 14 2" xfId="11810"/>
    <cellStyle name="20% - Accent5 2 4 14 2 2" xfId="28857"/>
    <cellStyle name="20% - Accent5 2 4 14 2 2 2" xfId="57718"/>
    <cellStyle name="20% - Accent5 2 4 14 2 3" xfId="40671"/>
    <cellStyle name="20% - Accent5 2 4 14 3" xfId="22879"/>
    <cellStyle name="20% - Accent5 2 4 14 3 2" xfId="51740"/>
    <cellStyle name="20% - Accent5 2 4 14 4" xfId="34630"/>
    <cellStyle name="20% - Accent5 2 4 15" xfId="5986"/>
    <cellStyle name="20% - Accent5 2 4 15 2" xfId="23085"/>
    <cellStyle name="20% - Accent5 2 4 15 2 2" xfId="51946"/>
    <cellStyle name="20% - Accent5 2 4 15 3" xfId="34847"/>
    <cellStyle name="20% - Accent5 2 4 16" xfId="6347"/>
    <cellStyle name="20% - Accent5 2 4 16 2" xfId="23394"/>
    <cellStyle name="20% - Accent5 2 4 16 2 2" xfId="52255"/>
    <cellStyle name="20% - Accent5 2 4 16 3" xfId="35208"/>
    <cellStyle name="20% - Accent5 2 4 17" xfId="14633"/>
    <cellStyle name="20% - Accent5 2 4 17 2" xfId="43494"/>
    <cellStyle name="20% - Accent5 2 4 18" xfId="29167"/>
    <cellStyle name="20% - Accent5 2 4 2" xfId="511"/>
    <cellStyle name="20% - Accent5 2 4 2 2" xfId="2262"/>
    <cellStyle name="20% - Accent5 2 4 2 2 2" xfId="5149"/>
    <cellStyle name="20% - Accent5 2 4 2 2 2 2" xfId="11190"/>
    <cellStyle name="20% - Accent5 2 4 2 2 2 2 2" xfId="28237"/>
    <cellStyle name="20% - Accent5 2 4 2 2 2 2 2 2" xfId="57098"/>
    <cellStyle name="20% - Accent5 2 4 2 2 2 2 3" xfId="40051"/>
    <cellStyle name="20% - Accent5 2 4 2 2 2 3" xfId="22259"/>
    <cellStyle name="20% - Accent5 2 4 2 2 2 3 2" xfId="51120"/>
    <cellStyle name="20% - Accent5 2 4 2 2 2 4" xfId="34010"/>
    <cellStyle name="20% - Accent5 2 4 2 2 3" xfId="8304"/>
    <cellStyle name="20% - Accent5 2 4 2 2 3 2" xfId="25351"/>
    <cellStyle name="20% - Accent5 2 4 2 2 3 2 2" xfId="54212"/>
    <cellStyle name="20% - Accent5 2 4 2 2 3 3" xfId="37165"/>
    <cellStyle name="20% - Accent5 2 4 2 2 4" xfId="12670"/>
    <cellStyle name="20% - Accent5 2 4 2 2 4 2" xfId="19579"/>
    <cellStyle name="20% - Accent5 2 4 2 2 4 2 2" xfId="48440"/>
    <cellStyle name="20% - Accent5 2 4 2 2 4 3" xfId="41531"/>
    <cellStyle name="20% - Accent5 2 4 2 2 5" xfId="16899"/>
    <cellStyle name="20% - Accent5 2 4 2 2 5 2" xfId="45760"/>
    <cellStyle name="20% - Accent5 2 4 2 2 6" xfId="31124"/>
    <cellStyle name="20% - Accent5 2 4 2 3" xfId="3398"/>
    <cellStyle name="20% - Accent5 2 4 2 3 2" xfId="9439"/>
    <cellStyle name="20% - Accent5 2 4 2 3 2 2" xfId="26486"/>
    <cellStyle name="20% - Accent5 2 4 2 3 2 2 2" xfId="55347"/>
    <cellStyle name="20% - Accent5 2 4 2 3 2 3" xfId="38300"/>
    <cellStyle name="20% - Accent5 2 4 2 3 3" xfId="20508"/>
    <cellStyle name="20% - Accent5 2 4 2 3 3 2" xfId="49369"/>
    <cellStyle name="20% - Accent5 2 4 2 3 4" xfId="32259"/>
    <cellStyle name="20% - Accent5 2 4 2 4" xfId="6553"/>
    <cellStyle name="20% - Accent5 2 4 2 4 2" xfId="23600"/>
    <cellStyle name="20% - Accent5 2 4 2 4 2 2" xfId="52461"/>
    <cellStyle name="20% - Accent5 2 4 2 4 3" xfId="35414"/>
    <cellStyle name="20% - Accent5 2 4 2 5" xfId="13252"/>
    <cellStyle name="20% - Accent5 2 4 2 5 2" xfId="17828"/>
    <cellStyle name="20% - Accent5 2 4 2 5 2 2" xfId="46689"/>
    <cellStyle name="20% - Accent5 2 4 2 5 3" xfId="42113"/>
    <cellStyle name="20% - Accent5 2 4 2 6" xfId="15148"/>
    <cellStyle name="20% - Accent5 2 4 2 6 2" xfId="44009"/>
    <cellStyle name="20% - Accent5 2 4 2 7" xfId="29373"/>
    <cellStyle name="20% - Accent5 2 4 3" xfId="820"/>
    <cellStyle name="20% - Accent5 2 4 3 2" xfId="3707"/>
    <cellStyle name="20% - Accent5 2 4 3 2 2" xfId="9748"/>
    <cellStyle name="20% - Accent5 2 4 3 2 2 2" xfId="26795"/>
    <cellStyle name="20% - Accent5 2 4 3 2 2 2 2" xfId="55656"/>
    <cellStyle name="20% - Accent5 2 4 3 2 2 3" xfId="38609"/>
    <cellStyle name="20% - Accent5 2 4 3 2 3" xfId="20817"/>
    <cellStyle name="20% - Accent5 2 4 3 2 3 2" xfId="49678"/>
    <cellStyle name="20% - Accent5 2 4 3 2 4" xfId="32568"/>
    <cellStyle name="20% - Accent5 2 4 3 3" xfId="6862"/>
    <cellStyle name="20% - Accent5 2 4 3 3 2" xfId="23909"/>
    <cellStyle name="20% - Accent5 2 4 3 3 2 2" xfId="52770"/>
    <cellStyle name="20% - Accent5 2 4 3 3 3" xfId="35723"/>
    <cellStyle name="20% - Accent5 2 4 3 4" xfId="14286"/>
    <cellStyle name="20% - Accent5 2 4 3 4 2" xfId="18137"/>
    <cellStyle name="20% - Accent5 2 4 3 4 2 2" xfId="46998"/>
    <cellStyle name="20% - Accent5 2 4 3 4 3" xfId="43147"/>
    <cellStyle name="20% - Accent5 2 4 3 5" xfId="15457"/>
    <cellStyle name="20% - Accent5 2 4 3 5 2" xfId="44318"/>
    <cellStyle name="20% - Accent5 2 4 3 6" xfId="29682"/>
    <cellStyle name="20% - Accent5 2 4 4" xfId="1026"/>
    <cellStyle name="20% - Accent5 2 4 4 2" xfId="3913"/>
    <cellStyle name="20% - Accent5 2 4 4 2 2" xfId="9954"/>
    <cellStyle name="20% - Accent5 2 4 4 2 2 2" xfId="27001"/>
    <cellStyle name="20% - Accent5 2 4 4 2 2 2 2" xfId="55862"/>
    <cellStyle name="20% - Accent5 2 4 4 2 2 3" xfId="38815"/>
    <cellStyle name="20% - Accent5 2 4 4 2 3" xfId="21023"/>
    <cellStyle name="20% - Accent5 2 4 4 2 3 2" xfId="49884"/>
    <cellStyle name="20% - Accent5 2 4 4 2 4" xfId="32774"/>
    <cellStyle name="20% - Accent5 2 4 4 3" xfId="7068"/>
    <cellStyle name="20% - Accent5 2 4 4 3 2" xfId="24115"/>
    <cellStyle name="20% - Accent5 2 4 4 3 2 2" xfId="52976"/>
    <cellStyle name="20% - Accent5 2 4 4 3 3" xfId="35929"/>
    <cellStyle name="20% - Accent5 2 4 4 4" xfId="13884"/>
    <cellStyle name="20% - Accent5 2 4 4 4 2" xfId="18343"/>
    <cellStyle name="20% - Accent5 2 4 4 4 2 2" xfId="47204"/>
    <cellStyle name="20% - Accent5 2 4 4 4 3" xfId="42745"/>
    <cellStyle name="20% - Accent5 2 4 4 5" xfId="15663"/>
    <cellStyle name="20% - Accent5 2 4 4 5 2" xfId="44524"/>
    <cellStyle name="20% - Accent5 2 4 4 6" xfId="29888"/>
    <cellStyle name="20% - Accent5 2 4 5" xfId="1232"/>
    <cellStyle name="20% - Accent5 2 4 5 2" xfId="4119"/>
    <cellStyle name="20% - Accent5 2 4 5 2 2" xfId="10160"/>
    <cellStyle name="20% - Accent5 2 4 5 2 2 2" xfId="27207"/>
    <cellStyle name="20% - Accent5 2 4 5 2 2 2 2" xfId="56068"/>
    <cellStyle name="20% - Accent5 2 4 5 2 2 3" xfId="39021"/>
    <cellStyle name="20% - Accent5 2 4 5 2 3" xfId="21229"/>
    <cellStyle name="20% - Accent5 2 4 5 2 3 2" xfId="50090"/>
    <cellStyle name="20% - Accent5 2 4 5 2 4" xfId="32980"/>
    <cellStyle name="20% - Accent5 2 4 5 3" xfId="7274"/>
    <cellStyle name="20% - Accent5 2 4 5 3 2" xfId="24321"/>
    <cellStyle name="20% - Accent5 2 4 5 3 2 2" xfId="53182"/>
    <cellStyle name="20% - Accent5 2 4 5 3 3" xfId="36135"/>
    <cellStyle name="20% - Accent5 2 4 5 4" xfId="12799"/>
    <cellStyle name="20% - Accent5 2 4 5 4 2" xfId="18549"/>
    <cellStyle name="20% - Accent5 2 4 5 4 2 2" xfId="47410"/>
    <cellStyle name="20% - Accent5 2 4 5 4 3" xfId="41660"/>
    <cellStyle name="20% - Accent5 2 4 5 5" xfId="15869"/>
    <cellStyle name="20% - Accent5 2 4 5 5 2" xfId="44730"/>
    <cellStyle name="20% - Accent5 2 4 5 6" xfId="30094"/>
    <cellStyle name="20% - Accent5 2 4 6" xfId="1438"/>
    <cellStyle name="20% - Accent5 2 4 6 2" xfId="4325"/>
    <cellStyle name="20% - Accent5 2 4 6 2 2" xfId="10366"/>
    <cellStyle name="20% - Accent5 2 4 6 2 2 2" xfId="27413"/>
    <cellStyle name="20% - Accent5 2 4 6 2 2 2 2" xfId="56274"/>
    <cellStyle name="20% - Accent5 2 4 6 2 2 3" xfId="39227"/>
    <cellStyle name="20% - Accent5 2 4 6 2 3" xfId="21435"/>
    <cellStyle name="20% - Accent5 2 4 6 2 3 2" xfId="50296"/>
    <cellStyle name="20% - Accent5 2 4 6 2 4" xfId="33186"/>
    <cellStyle name="20% - Accent5 2 4 6 3" xfId="7480"/>
    <cellStyle name="20% - Accent5 2 4 6 3 2" xfId="24527"/>
    <cellStyle name="20% - Accent5 2 4 6 3 2 2" xfId="53388"/>
    <cellStyle name="20% - Accent5 2 4 6 3 3" xfId="36341"/>
    <cellStyle name="20% - Accent5 2 4 6 4" xfId="12300"/>
    <cellStyle name="20% - Accent5 2 4 6 4 2" xfId="18755"/>
    <cellStyle name="20% - Accent5 2 4 6 4 2 2" xfId="47616"/>
    <cellStyle name="20% - Accent5 2 4 6 4 3" xfId="41161"/>
    <cellStyle name="20% - Accent5 2 4 6 5" xfId="16075"/>
    <cellStyle name="20% - Accent5 2 4 6 5 2" xfId="44936"/>
    <cellStyle name="20% - Accent5 2 4 6 6" xfId="30300"/>
    <cellStyle name="20% - Accent5 2 4 7" xfId="1644"/>
    <cellStyle name="20% - Accent5 2 4 7 2" xfId="4531"/>
    <cellStyle name="20% - Accent5 2 4 7 2 2" xfId="10572"/>
    <cellStyle name="20% - Accent5 2 4 7 2 2 2" xfId="27619"/>
    <cellStyle name="20% - Accent5 2 4 7 2 2 2 2" xfId="56480"/>
    <cellStyle name="20% - Accent5 2 4 7 2 2 3" xfId="39433"/>
    <cellStyle name="20% - Accent5 2 4 7 2 3" xfId="21641"/>
    <cellStyle name="20% - Accent5 2 4 7 2 3 2" xfId="50502"/>
    <cellStyle name="20% - Accent5 2 4 7 2 4" xfId="33392"/>
    <cellStyle name="20% - Accent5 2 4 7 3" xfId="7686"/>
    <cellStyle name="20% - Accent5 2 4 7 3 2" xfId="24733"/>
    <cellStyle name="20% - Accent5 2 4 7 3 2 2" xfId="53594"/>
    <cellStyle name="20% - Accent5 2 4 7 3 3" xfId="36547"/>
    <cellStyle name="20% - Accent5 2 4 7 4" xfId="12167"/>
    <cellStyle name="20% - Accent5 2 4 7 4 2" xfId="18961"/>
    <cellStyle name="20% - Accent5 2 4 7 4 2 2" xfId="47822"/>
    <cellStyle name="20% - Accent5 2 4 7 4 3" xfId="41028"/>
    <cellStyle name="20% - Accent5 2 4 7 5" xfId="16281"/>
    <cellStyle name="20% - Accent5 2 4 7 5 2" xfId="45142"/>
    <cellStyle name="20% - Accent5 2 4 7 6" xfId="30506"/>
    <cellStyle name="20% - Accent5 2 4 8" xfId="1850"/>
    <cellStyle name="20% - Accent5 2 4 8 2" xfId="4737"/>
    <cellStyle name="20% - Accent5 2 4 8 2 2" xfId="10778"/>
    <cellStyle name="20% - Accent5 2 4 8 2 2 2" xfId="27825"/>
    <cellStyle name="20% - Accent5 2 4 8 2 2 2 2" xfId="56686"/>
    <cellStyle name="20% - Accent5 2 4 8 2 2 3" xfId="39639"/>
    <cellStyle name="20% - Accent5 2 4 8 2 3" xfId="21847"/>
    <cellStyle name="20% - Accent5 2 4 8 2 3 2" xfId="50708"/>
    <cellStyle name="20% - Accent5 2 4 8 2 4" xfId="33598"/>
    <cellStyle name="20% - Accent5 2 4 8 3" xfId="7892"/>
    <cellStyle name="20% - Accent5 2 4 8 3 2" xfId="24939"/>
    <cellStyle name="20% - Accent5 2 4 8 3 2 2" xfId="53800"/>
    <cellStyle name="20% - Accent5 2 4 8 3 3" xfId="36753"/>
    <cellStyle name="20% - Accent5 2 4 8 4" xfId="14124"/>
    <cellStyle name="20% - Accent5 2 4 8 4 2" xfId="19167"/>
    <cellStyle name="20% - Accent5 2 4 8 4 2 2" xfId="48028"/>
    <cellStyle name="20% - Accent5 2 4 8 4 3" xfId="42985"/>
    <cellStyle name="20% - Accent5 2 4 8 5" xfId="16487"/>
    <cellStyle name="20% - Accent5 2 4 8 5 2" xfId="45348"/>
    <cellStyle name="20% - Accent5 2 4 8 6" xfId="30712"/>
    <cellStyle name="20% - Accent5 2 4 9" xfId="2056"/>
    <cellStyle name="20% - Accent5 2 4 9 2" xfId="4943"/>
    <cellStyle name="20% - Accent5 2 4 9 2 2" xfId="10984"/>
    <cellStyle name="20% - Accent5 2 4 9 2 2 2" xfId="28031"/>
    <cellStyle name="20% - Accent5 2 4 9 2 2 2 2" xfId="56892"/>
    <cellStyle name="20% - Accent5 2 4 9 2 2 3" xfId="39845"/>
    <cellStyle name="20% - Accent5 2 4 9 2 3" xfId="22053"/>
    <cellStyle name="20% - Accent5 2 4 9 2 3 2" xfId="50914"/>
    <cellStyle name="20% - Accent5 2 4 9 2 4" xfId="33804"/>
    <cellStyle name="20% - Accent5 2 4 9 3" xfId="8098"/>
    <cellStyle name="20% - Accent5 2 4 9 3 2" xfId="25145"/>
    <cellStyle name="20% - Accent5 2 4 9 3 2 2" xfId="54006"/>
    <cellStyle name="20% - Accent5 2 4 9 3 3" xfId="36959"/>
    <cellStyle name="20% - Accent5 2 4 9 4" xfId="12679"/>
    <cellStyle name="20% - Accent5 2 4 9 4 2" xfId="19373"/>
    <cellStyle name="20% - Accent5 2 4 9 4 2 2" xfId="48234"/>
    <cellStyle name="20% - Accent5 2 4 9 4 3" xfId="41540"/>
    <cellStyle name="20% - Accent5 2 4 9 5" xfId="16693"/>
    <cellStyle name="20% - Accent5 2 4 9 5 2" xfId="45554"/>
    <cellStyle name="20% - Accent5 2 4 9 6" xfId="30918"/>
    <cellStyle name="20% - Accent5 2 5" xfId="202"/>
    <cellStyle name="20% - Accent5 2 5 2" xfId="614"/>
    <cellStyle name="20% - Accent5 2 5 2 2" xfId="3501"/>
    <cellStyle name="20% - Accent5 2 5 2 2 2" xfId="9542"/>
    <cellStyle name="20% - Accent5 2 5 2 2 2 2" xfId="26589"/>
    <cellStyle name="20% - Accent5 2 5 2 2 2 2 2" xfId="55450"/>
    <cellStyle name="20% - Accent5 2 5 2 2 2 3" xfId="38403"/>
    <cellStyle name="20% - Accent5 2 5 2 2 3" xfId="20611"/>
    <cellStyle name="20% - Accent5 2 5 2 2 3 2" xfId="49472"/>
    <cellStyle name="20% - Accent5 2 5 2 2 4" xfId="32362"/>
    <cellStyle name="20% - Accent5 2 5 2 3" xfId="6656"/>
    <cellStyle name="20% - Accent5 2 5 2 3 2" xfId="23703"/>
    <cellStyle name="20% - Accent5 2 5 2 3 2 2" xfId="52564"/>
    <cellStyle name="20% - Accent5 2 5 2 3 3" xfId="35517"/>
    <cellStyle name="20% - Accent5 2 5 2 4" xfId="12930"/>
    <cellStyle name="20% - Accent5 2 5 2 4 2" xfId="17931"/>
    <cellStyle name="20% - Accent5 2 5 2 4 2 2" xfId="46792"/>
    <cellStyle name="20% - Accent5 2 5 2 4 3" xfId="41791"/>
    <cellStyle name="20% - Accent5 2 5 2 5" xfId="15251"/>
    <cellStyle name="20% - Accent5 2 5 2 5 2" xfId="44112"/>
    <cellStyle name="20% - Accent5 2 5 2 6" xfId="29476"/>
    <cellStyle name="20% - Accent5 2 5 3" xfId="2159"/>
    <cellStyle name="20% - Accent5 2 5 3 2" xfId="5046"/>
    <cellStyle name="20% - Accent5 2 5 3 2 2" xfId="11087"/>
    <cellStyle name="20% - Accent5 2 5 3 2 2 2" xfId="28134"/>
    <cellStyle name="20% - Accent5 2 5 3 2 2 2 2" xfId="56995"/>
    <cellStyle name="20% - Accent5 2 5 3 2 2 3" xfId="39948"/>
    <cellStyle name="20% - Accent5 2 5 3 2 3" xfId="22156"/>
    <cellStyle name="20% - Accent5 2 5 3 2 3 2" xfId="51017"/>
    <cellStyle name="20% - Accent5 2 5 3 2 4" xfId="33907"/>
    <cellStyle name="20% - Accent5 2 5 3 3" xfId="8201"/>
    <cellStyle name="20% - Accent5 2 5 3 3 2" xfId="25248"/>
    <cellStyle name="20% - Accent5 2 5 3 3 2 2" xfId="54109"/>
    <cellStyle name="20% - Accent5 2 5 3 3 3" xfId="37062"/>
    <cellStyle name="20% - Accent5 2 5 3 4" xfId="13153"/>
    <cellStyle name="20% - Accent5 2 5 3 4 2" xfId="19476"/>
    <cellStyle name="20% - Accent5 2 5 3 4 2 2" xfId="48337"/>
    <cellStyle name="20% - Accent5 2 5 3 4 3" xfId="42014"/>
    <cellStyle name="20% - Accent5 2 5 3 5" xfId="16796"/>
    <cellStyle name="20% - Accent5 2 5 3 5 2" xfId="45657"/>
    <cellStyle name="20% - Accent5 2 5 3 6" xfId="31021"/>
    <cellStyle name="20% - Accent5 2 5 4" xfId="3089"/>
    <cellStyle name="20% - Accent5 2 5 4 2" xfId="9130"/>
    <cellStyle name="20% - Accent5 2 5 4 2 2" xfId="26177"/>
    <cellStyle name="20% - Accent5 2 5 4 2 2 2" xfId="55038"/>
    <cellStyle name="20% - Accent5 2 5 4 2 3" xfId="37991"/>
    <cellStyle name="20% - Accent5 2 5 4 3" xfId="20199"/>
    <cellStyle name="20% - Accent5 2 5 4 3 2" xfId="49060"/>
    <cellStyle name="20% - Accent5 2 5 4 4" xfId="31950"/>
    <cellStyle name="20% - Accent5 2 5 5" xfId="6244"/>
    <cellStyle name="20% - Accent5 2 5 5 2" xfId="23291"/>
    <cellStyle name="20% - Accent5 2 5 5 2 2" xfId="52152"/>
    <cellStyle name="20% - Accent5 2 5 5 3" xfId="35105"/>
    <cellStyle name="20% - Accent5 2 5 6" xfId="12122"/>
    <cellStyle name="20% - Accent5 2 5 6 2" xfId="17622"/>
    <cellStyle name="20% - Accent5 2 5 6 2 2" xfId="46483"/>
    <cellStyle name="20% - Accent5 2 5 6 3" xfId="40983"/>
    <cellStyle name="20% - Accent5 2 5 7" xfId="14839"/>
    <cellStyle name="20% - Accent5 2 5 7 2" xfId="43700"/>
    <cellStyle name="20% - Accent5 2 5 8" xfId="29064"/>
    <cellStyle name="20% - Accent5 2 6" xfId="408"/>
    <cellStyle name="20% - Accent5 2 6 2" xfId="3295"/>
    <cellStyle name="20% - Accent5 2 6 2 2" xfId="9336"/>
    <cellStyle name="20% - Accent5 2 6 2 2 2" xfId="26383"/>
    <cellStyle name="20% - Accent5 2 6 2 2 2 2" xfId="55244"/>
    <cellStyle name="20% - Accent5 2 6 2 2 3" xfId="38197"/>
    <cellStyle name="20% - Accent5 2 6 2 3" xfId="20405"/>
    <cellStyle name="20% - Accent5 2 6 2 3 2" xfId="49266"/>
    <cellStyle name="20% - Accent5 2 6 2 4" xfId="32156"/>
    <cellStyle name="20% - Accent5 2 6 3" xfId="6450"/>
    <cellStyle name="20% - Accent5 2 6 3 2" xfId="23497"/>
    <cellStyle name="20% - Accent5 2 6 3 2 2" xfId="52358"/>
    <cellStyle name="20% - Accent5 2 6 3 3" xfId="35311"/>
    <cellStyle name="20% - Accent5 2 6 4" xfId="13713"/>
    <cellStyle name="20% - Accent5 2 6 4 2" xfId="17725"/>
    <cellStyle name="20% - Accent5 2 6 4 2 2" xfId="46586"/>
    <cellStyle name="20% - Accent5 2 6 4 3" xfId="42574"/>
    <cellStyle name="20% - Accent5 2 6 5" xfId="15045"/>
    <cellStyle name="20% - Accent5 2 6 5 2" xfId="43906"/>
    <cellStyle name="20% - Accent5 2 6 6" xfId="29270"/>
    <cellStyle name="20% - Accent5 2 7" xfId="717"/>
    <cellStyle name="20% - Accent5 2 7 2" xfId="3604"/>
    <cellStyle name="20% - Accent5 2 7 2 2" xfId="9645"/>
    <cellStyle name="20% - Accent5 2 7 2 2 2" xfId="26692"/>
    <cellStyle name="20% - Accent5 2 7 2 2 2 2" xfId="55553"/>
    <cellStyle name="20% - Accent5 2 7 2 2 3" xfId="38506"/>
    <cellStyle name="20% - Accent5 2 7 2 3" xfId="20714"/>
    <cellStyle name="20% - Accent5 2 7 2 3 2" xfId="49575"/>
    <cellStyle name="20% - Accent5 2 7 2 4" xfId="32465"/>
    <cellStyle name="20% - Accent5 2 7 3" xfId="6759"/>
    <cellStyle name="20% - Accent5 2 7 3 2" xfId="23806"/>
    <cellStyle name="20% - Accent5 2 7 3 2 2" xfId="52667"/>
    <cellStyle name="20% - Accent5 2 7 3 3" xfId="35620"/>
    <cellStyle name="20% - Accent5 2 7 4" xfId="13613"/>
    <cellStyle name="20% - Accent5 2 7 4 2" xfId="18034"/>
    <cellStyle name="20% - Accent5 2 7 4 2 2" xfId="46895"/>
    <cellStyle name="20% - Accent5 2 7 4 3" xfId="42474"/>
    <cellStyle name="20% - Accent5 2 7 5" xfId="15354"/>
    <cellStyle name="20% - Accent5 2 7 5 2" xfId="44215"/>
    <cellStyle name="20% - Accent5 2 7 6" xfId="29579"/>
    <cellStyle name="20% - Accent5 2 8" xfId="923"/>
    <cellStyle name="20% - Accent5 2 8 2" xfId="3810"/>
    <cellStyle name="20% - Accent5 2 8 2 2" xfId="9851"/>
    <cellStyle name="20% - Accent5 2 8 2 2 2" xfId="26898"/>
    <cellStyle name="20% - Accent5 2 8 2 2 2 2" xfId="55759"/>
    <cellStyle name="20% - Accent5 2 8 2 2 3" xfId="38712"/>
    <cellStyle name="20% - Accent5 2 8 2 3" xfId="20920"/>
    <cellStyle name="20% - Accent5 2 8 2 3 2" xfId="49781"/>
    <cellStyle name="20% - Accent5 2 8 2 4" xfId="32671"/>
    <cellStyle name="20% - Accent5 2 8 3" xfId="6965"/>
    <cellStyle name="20% - Accent5 2 8 3 2" xfId="24012"/>
    <cellStyle name="20% - Accent5 2 8 3 2 2" xfId="52873"/>
    <cellStyle name="20% - Accent5 2 8 3 3" xfId="35826"/>
    <cellStyle name="20% - Accent5 2 8 4" xfId="14454"/>
    <cellStyle name="20% - Accent5 2 8 4 2" xfId="18240"/>
    <cellStyle name="20% - Accent5 2 8 4 2 2" xfId="47101"/>
    <cellStyle name="20% - Accent5 2 8 4 3" xfId="43315"/>
    <cellStyle name="20% - Accent5 2 8 5" xfId="15560"/>
    <cellStyle name="20% - Accent5 2 8 5 2" xfId="44421"/>
    <cellStyle name="20% - Accent5 2 8 6" xfId="29785"/>
    <cellStyle name="20% - Accent5 2 9" xfId="1129"/>
    <cellStyle name="20% - Accent5 2 9 2" xfId="4016"/>
    <cellStyle name="20% - Accent5 2 9 2 2" xfId="10057"/>
    <cellStyle name="20% - Accent5 2 9 2 2 2" xfId="27104"/>
    <cellStyle name="20% - Accent5 2 9 2 2 2 2" xfId="55965"/>
    <cellStyle name="20% - Accent5 2 9 2 2 3" xfId="38918"/>
    <cellStyle name="20% - Accent5 2 9 2 3" xfId="21126"/>
    <cellStyle name="20% - Accent5 2 9 2 3 2" xfId="49987"/>
    <cellStyle name="20% - Accent5 2 9 2 4" xfId="32877"/>
    <cellStyle name="20% - Accent5 2 9 3" xfId="7171"/>
    <cellStyle name="20% - Accent5 2 9 3 2" xfId="24218"/>
    <cellStyle name="20% - Accent5 2 9 3 2 2" xfId="53079"/>
    <cellStyle name="20% - Accent5 2 9 3 3" xfId="36032"/>
    <cellStyle name="20% - Accent5 2 9 4" xfId="13361"/>
    <cellStyle name="20% - Accent5 2 9 4 2" xfId="18446"/>
    <cellStyle name="20% - Accent5 2 9 4 2 2" xfId="47307"/>
    <cellStyle name="20% - Accent5 2 9 4 3" xfId="42222"/>
    <cellStyle name="20% - Accent5 2 9 5" xfId="15766"/>
    <cellStyle name="20% - Accent5 2 9 5 2" xfId="44627"/>
    <cellStyle name="20% - Accent5 2 9 6" xfId="29991"/>
    <cellStyle name="20% - Accent5 20" xfId="5869"/>
    <cellStyle name="20% - Accent5 20 2" xfId="22968"/>
    <cellStyle name="20% - Accent5 20 2 2" xfId="51829"/>
    <cellStyle name="20% - Accent5 20 3" xfId="34730"/>
    <cellStyle name="20% - Accent5 21" xfId="6127"/>
    <cellStyle name="20% - Accent5 21 2" xfId="23174"/>
    <cellStyle name="20% - Accent5 21 2 2" xfId="52035"/>
    <cellStyle name="20% - Accent5 21 3" xfId="34988"/>
    <cellStyle name="20% - Accent5 22" xfId="14516"/>
    <cellStyle name="20% - Accent5 22 2" xfId="43377"/>
    <cellStyle name="20% - Accent5 23" xfId="28947"/>
    <cellStyle name="20% - Accent5 3" xfId="112"/>
    <cellStyle name="20% - Accent5 3 10" xfId="1760"/>
    <cellStyle name="20% - Accent5 3 10 2" xfId="4647"/>
    <cellStyle name="20% - Accent5 3 10 2 2" xfId="10688"/>
    <cellStyle name="20% - Accent5 3 10 2 2 2" xfId="27735"/>
    <cellStyle name="20% - Accent5 3 10 2 2 2 2" xfId="56596"/>
    <cellStyle name="20% - Accent5 3 10 2 2 3" xfId="39549"/>
    <cellStyle name="20% - Accent5 3 10 2 3" xfId="21757"/>
    <cellStyle name="20% - Accent5 3 10 2 3 2" xfId="50618"/>
    <cellStyle name="20% - Accent5 3 10 2 4" xfId="33508"/>
    <cellStyle name="20% - Accent5 3 10 3" xfId="7802"/>
    <cellStyle name="20% - Accent5 3 10 3 2" xfId="24849"/>
    <cellStyle name="20% - Accent5 3 10 3 2 2" xfId="53710"/>
    <cellStyle name="20% - Accent5 3 10 3 3" xfId="36663"/>
    <cellStyle name="20% - Accent5 3 10 4" xfId="13286"/>
    <cellStyle name="20% - Accent5 3 10 4 2" xfId="19077"/>
    <cellStyle name="20% - Accent5 3 10 4 2 2" xfId="47938"/>
    <cellStyle name="20% - Accent5 3 10 4 3" xfId="42147"/>
    <cellStyle name="20% - Accent5 3 10 5" xfId="16397"/>
    <cellStyle name="20% - Accent5 3 10 5 2" xfId="45258"/>
    <cellStyle name="20% - Accent5 3 10 6" xfId="30622"/>
    <cellStyle name="20% - Accent5 3 11" xfId="1966"/>
    <cellStyle name="20% - Accent5 3 11 2" xfId="4853"/>
    <cellStyle name="20% - Accent5 3 11 2 2" xfId="10894"/>
    <cellStyle name="20% - Accent5 3 11 2 2 2" xfId="27941"/>
    <cellStyle name="20% - Accent5 3 11 2 2 2 2" xfId="56802"/>
    <cellStyle name="20% - Accent5 3 11 2 2 3" xfId="39755"/>
    <cellStyle name="20% - Accent5 3 11 2 3" xfId="21963"/>
    <cellStyle name="20% - Accent5 3 11 2 3 2" xfId="50824"/>
    <cellStyle name="20% - Accent5 3 11 2 4" xfId="33714"/>
    <cellStyle name="20% - Accent5 3 11 3" xfId="8008"/>
    <cellStyle name="20% - Accent5 3 11 3 2" xfId="25055"/>
    <cellStyle name="20% - Accent5 3 11 3 2 2" xfId="53916"/>
    <cellStyle name="20% - Accent5 3 11 3 3" xfId="36869"/>
    <cellStyle name="20% - Accent5 3 11 4" xfId="12425"/>
    <cellStyle name="20% - Accent5 3 11 4 2" xfId="19283"/>
    <cellStyle name="20% - Accent5 3 11 4 2 2" xfId="48144"/>
    <cellStyle name="20% - Accent5 3 11 4 3" xfId="41286"/>
    <cellStyle name="20% - Accent5 3 11 5" xfId="16603"/>
    <cellStyle name="20% - Accent5 3 11 5 2" xfId="45464"/>
    <cellStyle name="20% - Accent5 3 11 6" xfId="30828"/>
    <cellStyle name="20% - Accent5 3 12" xfId="2378"/>
    <cellStyle name="20% - Accent5 3 12 2" xfId="5265"/>
    <cellStyle name="20% - Accent5 3 12 2 2" xfId="11306"/>
    <cellStyle name="20% - Accent5 3 12 2 2 2" xfId="28353"/>
    <cellStyle name="20% - Accent5 3 12 2 2 2 2" xfId="57214"/>
    <cellStyle name="20% - Accent5 3 12 2 2 3" xfId="40167"/>
    <cellStyle name="20% - Accent5 3 12 2 3" xfId="22375"/>
    <cellStyle name="20% - Accent5 3 12 2 3 2" xfId="51236"/>
    <cellStyle name="20% - Accent5 3 12 2 4" xfId="34126"/>
    <cellStyle name="20% - Accent5 3 12 3" xfId="8420"/>
    <cellStyle name="20% - Accent5 3 12 3 2" xfId="25467"/>
    <cellStyle name="20% - Accent5 3 12 3 2 2" xfId="54328"/>
    <cellStyle name="20% - Accent5 3 12 3 3" xfId="37281"/>
    <cellStyle name="20% - Accent5 3 12 4" xfId="13695"/>
    <cellStyle name="20% - Accent5 3 12 4 2" xfId="19695"/>
    <cellStyle name="20% - Accent5 3 12 4 2 2" xfId="48556"/>
    <cellStyle name="20% - Accent5 3 12 4 3" xfId="42556"/>
    <cellStyle name="20% - Accent5 3 12 5" xfId="17015"/>
    <cellStyle name="20% - Accent5 3 12 5 2" xfId="45876"/>
    <cellStyle name="20% - Accent5 3 12 6" xfId="31240"/>
    <cellStyle name="20% - Accent5 3 13" xfId="2587"/>
    <cellStyle name="20% - Accent5 3 13 2" xfId="5473"/>
    <cellStyle name="20% - Accent5 3 13 2 2" xfId="11514"/>
    <cellStyle name="20% - Accent5 3 13 2 2 2" xfId="28561"/>
    <cellStyle name="20% - Accent5 3 13 2 2 2 2" xfId="57422"/>
    <cellStyle name="20% - Accent5 3 13 2 2 3" xfId="40375"/>
    <cellStyle name="20% - Accent5 3 13 2 3" xfId="22583"/>
    <cellStyle name="20% - Accent5 3 13 2 3 2" xfId="51444"/>
    <cellStyle name="20% - Accent5 3 13 2 4" xfId="34334"/>
    <cellStyle name="20% - Accent5 3 13 3" xfId="8628"/>
    <cellStyle name="20% - Accent5 3 13 3 2" xfId="25675"/>
    <cellStyle name="20% - Accent5 3 13 3 2 2" xfId="54536"/>
    <cellStyle name="20% - Accent5 3 13 3 3" xfId="37489"/>
    <cellStyle name="20% - Accent5 3 13 4" xfId="12115"/>
    <cellStyle name="20% - Accent5 3 13 4 2" xfId="19903"/>
    <cellStyle name="20% - Accent5 3 13 4 2 2" xfId="48764"/>
    <cellStyle name="20% - Accent5 3 13 4 3" xfId="40976"/>
    <cellStyle name="20% - Accent5 3 13 5" xfId="17223"/>
    <cellStyle name="20% - Accent5 3 13 5 2" xfId="46084"/>
    <cellStyle name="20% - Accent5 3 13 6" xfId="31448"/>
    <cellStyle name="20% - Accent5 3 14" xfId="2999"/>
    <cellStyle name="20% - Accent5 3 14 2" xfId="9040"/>
    <cellStyle name="20% - Accent5 3 14 2 2" xfId="26087"/>
    <cellStyle name="20% - Accent5 3 14 2 2 2" xfId="54948"/>
    <cellStyle name="20% - Accent5 3 14 2 3" xfId="37901"/>
    <cellStyle name="20% - Accent5 3 14 3" xfId="6051"/>
    <cellStyle name="20% - Accent5 3 14 3 2" xfId="20109"/>
    <cellStyle name="20% - Accent5 3 14 3 2 2" xfId="48970"/>
    <cellStyle name="20% - Accent5 3 14 3 3" xfId="34912"/>
    <cellStyle name="20% - Accent5 3 14 4" xfId="14749"/>
    <cellStyle name="20% - Accent5 3 14 4 2" xfId="43610"/>
    <cellStyle name="20% - Accent5 3 14 5" xfId="31860"/>
    <cellStyle name="20% - Accent5 3 15" xfId="2793"/>
    <cellStyle name="20% - Accent5 3 15 2" xfId="8834"/>
    <cellStyle name="20% - Accent5 3 15 2 2" xfId="25881"/>
    <cellStyle name="20% - Accent5 3 15 2 2 2" xfId="54742"/>
    <cellStyle name="20% - Accent5 3 15 2 3" xfId="37695"/>
    <cellStyle name="20% - Accent5 3 15 3" xfId="17429"/>
    <cellStyle name="20% - Accent5 3 15 3 2" xfId="46290"/>
    <cellStyle name="20% - Accent5 3 15 4" xfId="31654"/>
    <cellStyle name="20% - Accent5 3 16" xfId="5679"/>
    <cellStyle name="20% - Accent5 3 16 2" xfId="11720"/>
    <cellStyle name="20% - Accent5 3 16 2 2" xfId="28767"/>
    <cellStyle name="20% - Accent5 3 16 2 2 2" xfId="57628"/>
    <cellStyle name="20% - Accent5 3 16 2 3" xfId="40581"/>
    <cellStyle name="20% - Accent5 3 16 3" xfId="22789"/>
    <cellStyle name="20% - Accent5 3 16 3 2" xfId="51650"/>
    <cellStyle name="20% - Accent5 3 16 4" xfId="34540"/>
    <cellStyle name="20% - Accent5 3 17" xfId="5896"/>
    <cellStyle name="20% - Accent5 3 17 2" xfId="22995"/>
    <cellStyle name="20% - Accent5 3 17 2 2" xfId="51856"/>
    <cellStyle name="20% - Accent5 3 17 3" xfId="34757"/>
    <cellStyle name="20% - Accent5 3 18" xfId="6154"/>
    <cellStyle name="20% - Accent5 3 18 2" xfId="23201"/>
    <cellStyle name="20% - Accent5 3 18 2 2" xfId="52062"/>
    <cellStyle name="20% - Accent5 3 18 3" xfId="35015"/>
    <cellStyle name="20% - Accent5 3 19" xfId="14543"/>
    <cellStyle name="20% - Accent5 3 19 2" xfId="43404"/>
    <cellStyle name="20% - Accent5 3 2" xfId="318"/>
    <cellStyle name="20% - Accent5 3 2 10" xfId="2481"/>
    <cellStyle name="20% - Accent5 3 2 10 2" xfId="5368"/>
    <cellStyle name="20% - Accent5 3 2 10 2 2" xfId="11409"/>
    <cellStyle name="20% - Accent5 3 2 10 2 2 2" xfId="28456"/>
    <cellStyle name="20% - Accent5 3 2 10 2 2 2 2" xfId="57317"/>
    <cellStyle name="20% - Accent5 3 2 10 2 2 3" xfId="40270"/>
    <cellStyle name="20% - Accent5 3 2 10 2 3" xfId="22478"/>
    <cellStyle name="20% - Accent5 3 2 10 2 3 2" xfId="51339"/>
    <cellStyle name="20% - Accent5 3 2 10 2 4" xfId="34229"/>
    <cellStyle name="20% - Accent5 3 2 10 3" xfId="8523"/>
    <cellStyle name="20% - Accent5 3 2 10 3 2" xfId="25570"/>
    <cellStyle name="20% - Accent5 3 2 10 3 2 2" xfId="54431"/>
    <cellStyle name="20% - Accent5 3 2 10 3 3" xfId="37384"/>
    <cellStyle name="20% - Accent5 3 2 10 4" xfId="14377"/>
    <cellStyle name="20% - Accent5 3 2 10 4 2" xfId="19798"/>
    <cellStyle name="20% - Accent5 3 2 10 4 2 2" xfId="48659"/>
    <cellStyle name="20% - Accent5 3 2 10 4 3" xfId="43238"/>
    <cellStyle name="20% - Accent5 3 2 10 5" xfId="17118"/>
    <cellStyle name="20% - Accent5 3 2 10 5 2" xfId="45979"/>
    <cellStyle name="20% - Accent5 3 2 10 6" xfId="31343"/>
    <cellStyle name="20% - Accent5 3 2 11" xfId="2690"/>
    <cellStyle name="20% - Accent5 3 2 11 2" xfId="5576"/>
    <cellStyle name="20% - Accent5 3 2 11 2 2" xfId="11617"/>
    <cellStyle name="20% - Accent5 3 2 11 2 2 2" xfId="28664"/>
    <cellStyle name="20% - Accent5 3 2 11 2 2 2 2" xfId="57525"/>
    <cellStyle name="20% - Accent5 3 2 11 2 2 3" xfId="40478"/>
    <cellStyle name="20% - Accent5 3 2 11 2 3" xfId="22686"/>
    <cellStyle name="20% - Accent5 3 2 11 2 3 2" xfId="51547"/>
    <cellStyle name="20% - Accent5 3 2 11 2 4" xfId="34437"/>
    <cellStyle name="20% - Accent5 3 2 11 3" xfId="8731"/>
    <cellStyle name="20% - Accent5 3 2 11 3 2" xfId="25778"/>
    <cellStyle name="20% - Accent5 3 2 11 3 2 2" xfId="54639"/>
    <cellStyle name="20% - Accent5 3 2 11 3 3" xfId="37592"/>
    <cellStyle name="20% - Accent5 3 2 11 4" xfId="12039"/>
    <cellStyle name="20% - Accent5 3 2 11 4 2" xfId="20006"/>
    <cellStyle name="20% - Accent5 3 2 11 4 2 2" xfId="48867"/>
    <cellStyle name="20% - Accent5 3 2 11 4 3" xfId="40900"/>
    <cellStyle name="20% - Accent5 3 2 11 5" xfId="17326"/>
    <cellStyle name="20% - Accent5 3 2 11 5 2" xfId="46187"/>
    <cellStyle name="20% - Accent5 3 2 11 6" xfId="31551"/>
    <cellStyle name="20% - Accent5 3 2 12" xfId="3205"/>
    <cellStyle name="20% - Accent5 3 2 12 2" xfId="9246"/>
    <cellStyle name="20% - Accent5 3 2 12 2 2" xfId="26293"/>
    <cellStyle name="20% - Accent5 3 2 12 2 2 2" xfId="55154"/>
    <cellStyle name="20% - Accent5 3 2 12 2 3" xfId="38107"/>
    <cellStyle name="20% - Accent5 3 2 12 3" xfId="13071"/>
    <cellStyle name="20% - Accent5 3 2 12 3 2" xfId="20315"/>
    <cellStyle name="20% - Accent5 3 2 12 3 2 2" xfId="49176"/>
    <cellStyle name="20% - Accent5 3 2 12 3 3" xfId="41932"/>
    <cellStyle name="20% - Accent5 3 2 12 4" xfId="14955"/>
    <cellStyle name="20% - Accent5 3 2 12 4 2" xfId="43816"/>
    <cellStyle name="20% - Accent5 3 2 12 5" xfId="32066"/>
    <cellStyle name="20% - Accent5 3 2 13" xfId="2896"/>
    <cellStyle name="20% - Accent5 3 2 13 2" xfId="8937"/>
    <cellStyle name="20% - Accent5 3 2 13 2 2" xfId="25984"/>
    <cellStyle name="20% - Accent5 3 2 13 2 2 2" xfId="54845"/>
    <cellStyle name="20% - Accent5 3 2 13 2 3" xfId="37798"/>
    <cellStyle name="20% - Accent5 3 2 13 3" xfId="17532"/>
    <cellStyle name="20% - Accent5 3 2 13 3 2" xfId="46393"/>
    <cellStyle name="20% - Accent5 3 2 13 4" xfId="31757"/>
    <cellStyle name="20% - Accent5 3 2 14" xfId="5782"/>
    <cellStyle name="20% - Accent5 3 2 14 2" xfId="11823"/>
    <cellStyle name="20% - Accent5 3 2 14 2 2" xfId="28870"/>
    <cellStyle name="20% - Accent5 3 2 14 2 2 2" xfId="57731"/>
    <cellStyle name="20% - Accent5 3 2 14 2 3" xfId="40684"/>
    <cellStyle name="20% - Accent5 3 2 14 3" xfId="22892"/>
    <cellStyle name="20% - Accent5 3 2 14 3 2" xfId="51753"/>
    <cellStyle name="20% - Accent5 3 2 14 4" xfId="34643"/>
    <cellStyle name="20% - Accent5 3 2 15" xfId="5999"/>
    <cellStyle name="20% - Accent5 3 2 15 2" xfId="23098"/>
    <cellStyle name="20% - Accent5 3 2 15 2 2" xfId="51959"/>
    <cellStyle name="20% - Accent5 3 2 15 3" xfId="34860"/>
    <cellStyle name="20% - Accent5 3 2 16" xfId="6360"/>
    <cellStyle name="20% - Accent5 3 2 16 2" xfId="23407"/>
    <cellStyle name="20% - Accent5 3 2 16 2 2" xfId="52268"/>
    <cellStyle name="20% - Accent5 3 2 16 3" xfId="35221"/>
    <cellStyle name="20% - Accent5 3 2 17" xfId="14646"/>
    <cellStyle name="20% - Accent5 3 2 17 2" xfId="43507"/>
    <cellStyle name="20% - Accent5 3 2 18" xfId="29180"/>
    <cellStyle name="20% - Accent5 3 2 2" xfId="524"/>
    <cellStyle name="20% - Accent5 3 2 2 2" xfId="2275"/>
    <cellStyle name="20% - Accent5 3 2 2 2 2" xfId="5162"/>
    <cellStyle name="20% - Accent5 3 2 2 2 2 2" xfId="11203"/>
    <cellStyle name="20% - Accent5 3 2 2 2 2 2 2" xfId="28250"/>
    <cellStyle name="20% - Accent5 3 2 2 2 2 2 2 2" xfId="57111"/>
    <cellStyle name="20% - Accent5 3 2 2 2 2 2 3" xfId="40064"/>
    <cellStyle name="20% - Accent5 3 2 2 2 2 3" xfId="22272"/>
    <cellStyle name="20% - Accent5 3 2 2 2 2 3 2" xfId="51133"/>
    <cellStyle name="20% - Accent5 3 2 2 2 2 4" xfId="34023"/>
    <cellStyle name="20% - Accent5 3 2 2 2 3" xfId="8317"/>
    <cellStyle name="20% - Accent5 3 2 2 2 3 2" xfId="25364"/>
    <cellStyle name="20% - Accent5 3 2 2 2 3 2 2" xfId="54225"/>
    <cellStyle name="20% - Accent5 3 2 2 2 3 3" xfId="37178"/>
    <cellStyle name="20% - Accent5 3 2 2 2 4" xfId="12715"/>
    <cellStyle name="20% - Accent5 3 2 2 2 4 2" xfId="19592"/>
    <cellStyle name="20% - Accent5 3 2 2 2 4 2 2" xfId="48453"/>
    <cellStyle name="20% - Accent5 3 2 2 2 4 3" xfId="41576"/>
    <cellStyle name="20% - Accent5 3 2 2 2 5" xfId="16912"/>
    <cellStyle name="20% - Accent5 3 2 2 2 5 2" xfId="45773"/>
    <cellStyle name="20% - Accent5 3 2 2 2 6" xfId="31137"/>
    <cellStyle name="20% - Accent5 3 2 2 3" xfId="3411"/>
    <cellStyle name="20% - Accent5 3 2 2 3 2" xfId="9452"/>
    <cellStyle name="20% - Accent5 3 2 2 3 2 2" xfId="26499"/>
    <cellStyle name="20% - Accent5 3 2 2 3 2 2 2" xfId="55360"/>
    <cellStyle name="20% - Accent5 3 2 2 3 2 3" xfId="38313"/>
    <cellStyle name="20% - Accent5 3 2 2 3 3" xfId="20521"/>
    <cellStyle name="20% - Accent5 3 2 2 3 3 2" xfId="49382"/>
    <cellStyle name="20% - Accent5 3 2 2 3 4" xfId="32272"/>
    <cellStyle name="20% - Accent5 3 2 2 4" xfId="6566"/>
    <cellStyle name="20% - Accent5 3 2 2 4 2" xfId="23613"/>
    <cellStyle name="20% - Accent5 3 2 2 4 2 2" xfId="52474"/>
    <cellStyle name="20% - Accent5 3 2 2 4 3" xfId="35427"/>
    <cellStyle name="20% - Accent5 3 2 2 5" xfId="12305"/>
    <cellStyle name="20% - Accent5 3 2 2 5 2" xfId="17841"/>
    <cellStyle name="20% - Accent5 3 2 2 5 2 2" xfId="46702"/>
    <cellStyle name="20% - Accent5 3 2 2 5 3" xfId="41166"/>
    <cellStyle name="20% - Accent5 3 2 2 6" xfId="15161"/>
    <cellStyle name="20% - Accent5 3 2 2 6 2" xfId="44022"/>
    <cellStyle name="20% - Accent5 3 2 2 7" xfId="29386"/>
    <cellStyle name="20% - Accent5 3 2 3" xfId="833"/>
    <cellStyle name="20% - Accent5 3 2 3 2" xfId="3720"/>
    <cellStyle name="20% - Accent5 3 2 3 2 2" xfId="9761"/>
    <cellStyle name="20% - Accent5 3 2 3 2 2 2" xfId="26808"/>
    <cellStyle name="20% - Accent5 3 2 3 2 2 2 2" xfId="55669"/>
    <cellStyle name="20% - Accent5 3 2 3 2 2 3" xfId="38622"/>
    <cellStyle name="20% - Accent5 3 2 3 2 3" xfId="20830"/>
    <cellStyle name="20% - Accent5 3 2 3 2 3 2" xfId="49691"/>
    <cellStyle name="20% - Accent5 3 2 3 2 4" xfId="32581"/>
    <cellStyle name="20% - Accent5 3 2 3 3" xfId="6875"/>
    <cellStyle name="20% - Accent5 3 2 3 3 2" xfId="23922"/>
    <cellStyle name="20% - Accent5 3 2 3 3 2 2" xfId="52783"/>
    <cellStyle name="20% - Accent5 3 2 3 3 3" xfId="35736"/>
    <cellStyle name="20% - Accent5 3 2 3 4" xfId="13659"/>
    <cellStyle name="20% - Accent5 3 2 3 4 2" xfId="18150"/>
    <cellStyle name="20% - Accent5 3 2 3 4 2 2" xfId="47011"/>
    <cellStyle name="20% - Accent5 3 2 3 4 3" xfId="42520"/>
    <cellStyle name="20% - Accent5 3 2 3 5" xfId="15470"/>
    <cellStyle name="20% - Accent5 3 2 3 5 2" xfId="44331"/>
    <cellStyle name="20% - Accent5 3 2 3 6" xfId="29695"/>
    <cellStyle name="20% - Accent5 3 2 4" xfId="1039"/>
    <cellStyle name="20% - Accent5 3 2 4 2" xfId="3926"/>
    <cellStyle name="20% - Accent5 3 2 4 2 2" xfId="9967"/>
    <cellStyle name="20% - Accent5 3 2 4 2 2 2" xfId="27014"/>
    <cellStyle name="20% - Accent5 3 2 4 2 2 2 2" xfId="55875"/>
    <cellStyle name="20% - Accent5 3 2 4 2 2 3" xfId="38828"/>
    <cellStyle name="20% - Accent5 3 2 4 2 3" xfId="21036"/>
    <cellStyle name="20% - Accent5 3 2 4 2 3 2" xfId="49897"/>
    <cellStyle name="20% - Accent5 3 2 4 2 4" xfId="32787"/>
    <cellStyle name="20% - Accent5 3 2 4 3" xfId="7081"/>
    <cellStyle name="20% - Accent5 3 2 4 3 2" xfId="24128"/>
    <cellStyle name="20% - Accent5 3 2 4 3 2 2" xfId="52989"/>
    <cellStyle name="20% - Accent5 3 2 4 3 3" xfId="35942"/>
    <cellStyle name="20% - Accent5 3 2 4 4" xfId="12003"/>
    <cellStyle name="20% - Accent5 3 2 4 4 2" xfId="18356"/>
    <cellStyle name="20% - Accent5 3 2 4 4 2 2" xfId="47217"/>
    <cellStyle name="20% - Accent5 3 2 4 4 3" xfId="40864"/>
    <cellStyle name="20% - Accent5 3 2 4 5" xfId="15676"/>
    <cellStyle name="20% - Accent5 3 2 4 5 2" xfId="44537"/>
    <cellStyle name="20% - Accent5 3 2 4 6" xfId="29901"/>
    <cellStyle name="20% - Accent5 3 2 5" xfId="1245"/>
    <cellStyle name="20% - Accent5 3 2 5 2" xfId="4132"/>
    <cellStyle name="20% - Accent5 3 2 5 2 2" xfId="10173"/>
    <cellStyle name="20% - Accent5 3 2 5 2 2 2" xfId="27220"/>
    <cellStyle name="20% - Accent5 3 2 5 2 2 2 2" xfId="56081"/>
    <cellStyle name="20% - Accent5 3 2 5 2 2 3" xfId="39034"/>
    <cellStyle name="20% - Accent5 3 2 5 2 3" xfId="21242"/>
    <cellStyle name="20% - Accent5 3 2 5 2 3 2" xfId="50103"/>
    <cellStyle name="20% - Accent5 3 2 5 2 4" xfId="32993"/>
    <cellStyle name="20% - Accent5 3 2 5 3" xfId="7287"/>
    <cellStyle name="20% - Accent5 3 2 5 3 2" xfId="24334"/>
    <cellStyle name="20% - Accent5 3 2 5 3 2 2" xfId="53195"/>
    <cellStyle name="20% - Accent5 3 2 5 3 3" xfId="36148"/>
    <cellStyle name="20% - Accent5 3 2 5 4" xfId="6050"/>
    <cellStyle name="20% - Accent5 3 2 5 4 2" xfId="18562"/>
    <cellStyle name="20% - Accent5 3 2 5 4 2 2" xfId="47423"/>
    <cellStyle name="20% - Accent5 3 2 5 4 3" xfId="34911"/>
    <cellStyle name="20% - Accent5 3 2 5 5" xfId="15882"/>
    <cellStyle name="20% - Accent5 3 2 5 5 2" xfId="44743"/>
    <cellStyle name="20% - Accent5 3 2 5 6" xfId="30107"/>
    <cellStyle name="20% - Accent5 3 2 6" xfId="1451"/>
    <cellStyle name="20% - Accent5 3 2 6 2" xfId="4338"/>
    <cellStyle name="20% - Accent5 3 2 6 2 2" xfId="10379"/>
    <cellStyle name="20% - Accent5 3 2 6 2 2 2" xfId="27426"/>
    <cellStyle name="20% - Accent5 3 2 6 2 2 2 2" xfId="56287"/>
    <cellStyle name="20% - Accent5 3 2 6 2 2 3" xfId="39240"/>
    <cellStyle name="20% - Accent5 3 2 6 2 3" xfId="21448"/>
    <cellStyle name="20% - Accent5 3 2 6 2 3 2" xfId="50309"/>
    <cellStyle name="20% - Accent5 3 2 6 2 4" xfId="33199"/>
    <cellStyle name="20% - Accent5 3 2 6 3" xfId="7493"/>
    <cellStyle name="20% - Accent5 3 2 6 3 2" xfId="24540"/>
    <cellStyle name="20% - Accent5 3 2 6 3 2 2" xfId="53401"/>
    <cellStyle name="20% - Accent5 3 2 6 3 3" xfId="36354"/>
    <cellStyle name="20% - Accent5 3 2 6 4" xfId="14396"/>
    <cellStyle name="20% - Accent5 3 2 6 4 2" xfId="18768"/>
    <cellStyle name="20% - Accent5 3 2 6 4 2 2" xfId="47629"/>
    <cellStyle name="20% - Accent5 3 2 6 4 3" xfId="43257"/>
    <cellStyle name="20% - Accent5 3 2 6 5" xfId="16088"/>
    <cellStyle name="20% - Accent5 3 2 6 5 2" xfId="44949"/>
    <cellStyle name="20% - Accent5 3 2 6 6" xfId="30313"/>
    <cellStyle name="20% - Accent5 3 2 7" xfId="1657"/>
    <cellStyle name="20% - Accent5 3 2 7 2" xfId="4544"/>
    <cellStyle name="20% - Accent5 3 2 7 2 2" xfId="10585"/>
    <cellStyle name="20% - Accent5 3 2 7 2 2 2" xfId="27632"/>
    <cellStyle name="20% - Accent5 3 2 7 2 2 2 2" xfId="56493"/>
    <cellStyle name="20% - Accent5 3 2 7 2 2 3" xfId="39446"/>
    <cellStyle name="20% - Accent5 3 2 7 2 3" xfId="21654"/>
    <cellStyle name="20% - Accent5 3 2 7 2 3 2" xfId="50515"/>
    <cellStyle name="20% - Accent5 3 2 7 2 4" xfId="33405"/>
    <cellStyle name="20% - Accent5 3 2 7 3" xfId="7699"/>
    <cellStyle name="20% - Accent5 3 2 7 3 2" xfId="24746"/>
    <cellStyle name="20% - Accent5 3 2 7 3 2 2" xfId="53607"/>
    <cellStyle name="20% - Accent5 3 2 7 3 3" xfId="36560"/>
    <cellStyle name="20% - Accent5 3 2 7 4" xfId="12919"/>
    <cellStyle name="20% - Accent5 3 2 7 4 2" xfId="18974"/>
    <cellStyle name="20% - Accent5 3 2 7 4 2 2" xfId="47835"/>
    <cellStyle name="20% - Accent5 3 2 7 4 3" xfId="41780"/>
    <cellStyle name="20% - Accent5 3 2 7 5" xfId="16294"/>
    <cellStyle name="20% - Accent5 3 2 7 5 2" xfId="45155"/>
    <cellStyle name="20% - Accent5 3 2 7 6" xfId="30519"/>
    <cellStyle name="20% - Accent5 3 2 8" xfId="1863"/>
    <cellStyle name="20% - Accent5 3 2 8 2" xfId="4750"/>
    <cellStyle name="20% - Accent5 3 2 8 2 2" xfId="10791"/>
    <cellStyle name="20% - Accent5 3 2 8 2 2 2" xfId="27838"/>
    <cellStyle name="20% - Accent5 3 2 8 2 2 2 2" xfId="56699"/>
    <cellStyle name="20% - Accent5 3 2 8 2 2 3" xfId="39652"/>
    <cellStyle name="20% - Accent5 3 2 8 2 3" xfId="21860"/>
    <cellStyle name="20% - Accent5 3 2 8 2 3 2" xfId="50721"/>
    <cellStyle name="20% - Accent5 3 2 8 2 4" xfId="33611"/>
    <cellStyle name="20% - Accent5 3 2 8 3" xfId="7905"/>
    <cellStyle name="20% - Accent5 3 2 8 3 2" xfId="24952"/>
    <cellStyle name="20% - Accent5 3 2 8 3 2 2" xfId="53813"/>
    <cellStyle name="20% - Accent5 3 2 8 3 3" xfId="36766"/>
    <cellStyle name="20% - Accent5 3 2 8 4" xfId="14053"/>
    <cellStyle name="20% - Accent5 3 2 8 4 2" xfId="19180"/>
    <cellStyle name="20% - Accent5 3 2 8 4 2 2" xfId="48041"/>
    <cellStyle name="20% - Accent5 3 2 8 4 3" xfId="42914"/>
    <cellStyle name="20% - Accent5 3 2 8 5" xfId="16500"/>
    <cellStyle name="20% - Accent5 3 2 8 5 2" xfId="45361"/>
    <cellStyle name="20% - Accent5 3 2 8 6" xfId="30725"/>
    <cellStyle name="20% - Accent5 3 2 9" xfId="2069"/>
    <cellStyle name="20% - Accent5 3 2 9 2" xfId="4956"/>
    <cellStyle name="20% - Accent5 3 2 9 2 2" xfId="10997"/>
    <cellStyle name="20% - Accent5 3 2 9 2 2 2" xfId="28044"/>
    <cellStyle name="20% - Accent5 3 2 9 2 2 2 2" xfId="56905"/>
    <cellStyle name="20% - Accent5 3 2 9 2 2 3" xfId="39858"/>
    <cellStyle name="20% - Accent5 3 2 9 2 3" xfId="22066"/>
    <cellStyle name="20% - Accent5 3 2 9 2 3 2" xfId="50927"/>
    <cellStyle name="20% - Accent5 3 2 9 2 4" xfId="33817"/>
    <cellStyle name="20% - Accent5 3 2 9 3" xfId="8111"/>
    <cellStyle name="20% - Accent5 3 2 9 3 2" xfId="25158"/>
    <cellStyle name="20% - Accent5 3 2 9 3 2 2" xfId="54019"/>
    <cellStyle name="20% - Accent5 3 2 9 3 3" xfId="36972"/>
    <cellStyle name="20% - Accent5 3 2 9 4" xfId="13591"/>
    <cellStyle name="20% - Accent5 3 2 9 4 2" xfId="19386"/>
    <cellStyle name="20% - Accent5 3 2 9 4 2 2" xfId="48247"/>
    <cellStyle name="20% - Accent5 3 2 9 4 3" xfId="42452"/>
    <cellStyle name="20% - Accent5 3 2 9 5" xfId="16706"/>
    <cellStyle name="20% - Accent5 3 2 9 5 2" xfId="45567"/>
    <cellStyle name="20% - Accent5 3 2 9 6" xfId="30931"/>
    <cellStyle name="20% - Accent5 3 20" xfId="28974"/>
    <cellStyle name="20% - Accent5 3 3" xfId="215"/>
    <cellStyle name="20% - Accent5 3 3 2" xfId="627"/>
    <cellStyle name="20% - Accent5 3 3 2 2" xfId="3514"/>
    <cellStyle name="20% - Accent5 3 3 2 2 2" xfId="9555"/>
    <cellStyle name="20% - Accent5 3 3 2 2 2 2" xfId="26602"/>
    <cellStyle name="20% - Accent5 3 3 2 2 2 2 2" xfId="55463"/>
    <cellStyle name="20% - Accent5 3 3 2 2 2 3" xfId="38416"/>
    <cellStyle name="20% - Accent5 3 3 2 2 3" xfId="20624"/>
    <cellStyle name="20% - Accent5 3 3 2 2 3 2" xfId="49485"/>
    <cellStyle name="20% - Accent5 3 3 2 2 4" xfId="32375"/>
    <cellStyle name="20% - Accent5 3 3 2 3" xfId="6669"/>
    <cellStyle name="20% - Accent5 3 3 2 3 2" xfId="23716"/>
    <cellStyle name="20% - Accent5 3 3 2 3 2 2" xfId="52577"/>
    <cellStyle name="20% - Accent5 3 3 2 3 3" xfId="35530"/>
    <cellStyle name="20% - Accent5 3 3 2 4" xfId="12249"/>
    <cellStyle name="20% - Accent5 3 3 2 4 2" xfId="17944"/>
    <cellStyle name="20% - Accent5 3 3 2 4 2 2" xfId="46805"/>
    <cellStyle name="20% - Accent5 3 3 2 4 3" xfId="41110"/>
    <cellStyle name="20% - Accent5 3 3 2 5" xfId="15264"/>
    <cellStyle name="20% - Accent5 3 3 2 5 2" xfId="44125"/>
    <cellStyle name="20% - Accent5 3 3 2 6" xfId="29489"/>
    <cellStyle name="20% - Accent5 3 3 3" xfId="2172"/>
    <cellStyle name="20% - Accent5 3 3 3 2" xfId="5059"/>
    <cellStyle name="20% - Accent5 3 3 3 2 2" xfId="11100"/>
    <cellStyle name="20% - Accent5 3 3 3 2 2 2" xfId="28147"/>
    <cellStyle name="20% - Accent5 3 3 3 2 2 2 2" xfId="57008"/>
    <cellStyle name="20% - Accent5 3 3 3 2 2 3" xfId="39961"/>
    <cellStyle name="20% - Accent5 3 3 3 2 3" xfId="22169"/>
    <cellStyle name="20% - Accent5 3 3 3 2 3 2" xfId="51030"/>
    <cellStyle name="20% - Accent5 3 3 3 2 4" xfId="33920"/>
    <cellStyle name="20% - Accent5 3 3 3 3" xfId="8214"/>
    <cellStyle name="20% - Accent5 3 3 3 3 2" xfId="25261"/>
    <cellStyle name="20% - Accent5 3 3 3 3 2 2" xfId="54122"/>
    <cellStyle name="20% - Accent5 3 3 3 3 3" xfId="37075"/>
    <cellStyle name="20% - Accent5 3 3 3 4" xfId="13374"/>
    <cellStyle name="20% - Accent5 3 3 3 4 2" xfId="19489"/>
    <cellStyle name="20% - Accent5 3 3 3 4 2 2" xfId="48350"/>
    <cellStyle name="20% - Accent5 3 3 3 4 3" xfId="42235"/>
    <cellStyle name="20% - Accent5 3 3 3 5" xfId="16809"/>
    <cellStyle name="20% - Accent5 3 3 3 5 2" xfId="45670"/>
    <cellStyle name="20% - Accent5 3 3 3 6" xfId="31034"/>
    <cellStyle name="20% - Accent5 3 3 4" xfId="3102"/>
    <cellStyle name="20% - Accent5 3 3 4 2" xfId="9143"/>
    <cellStyle name="20% - Accent5 3 3 4 2 2" xfId="26190"/>
    <cellStyle name="20% - Accent5 3 3 4 2 2 2" xfId="55051"/>
    <cellStyle name="20% - Accent5 3 3 4 2 3" xfId="38004"/>
    <cellStyle name="20% - Accent5 3 3 4 3" xfId="20212"/>
    <cellStyle name="20% - Accent5 3 3 4 3 2" xfId="49073"/>
    <cellStyle name="20% - Accent5 3 3 4 4" xfId="31963"/>
    <cellStyle name="20% - Accent5 3 3 5" xfId="6257"/>
    <cellStyle name="20% - Accent5 3 3 5 2" xfId="23304"/>
    <cellStyle name="20% - Accent5 3 3 5 2 2" xfId="52165"/>
    <cellStyle name="20% - Accent5 3 3 5 3" xfId="35118"/>
    <cellStyle name="20% - Accent5 3 3 6" xfId="14299"/>
    <cellStyle name="20% - Accent5 3 3 6 2" xfId="17635"/>
    <cellStyle name="20% - Accent5 3 3 6 2 2" xfId="46496"/>
    <cellStyle name="20% - Accent5 3 3 6 3" xfId="43160"/>
    <cellStyle name="20% - Accent5 3 3 7" xfId="14852"/>
    <cellStyle name="20% - Accent5 3 3 7 2" xfId="43713"/>
    <cellStyle name="20% - Accent5 3 3 8" xfId="29077"/>
    <cellStyle name="20% - Accent5 3 4" xfId="421"/>
    <cellStyle name="20% - Accent5 3 4 2" xfId="3308"/>
    <cellStyle name="20% - Accent5 3 4 2 2" xfId="9349"/>
    <cellStyle name="20% - Accent5 3 4 2 2 2" xfId="26396"/>
    <cellStyle name="20% - Accent5 3 4 2 2 2 2" xfId="55257"/>
    <cellStyle name="20% - Accent5 3 4 2 2 3" xfId="38210"/>
    <cellStyle name="20% - Accent5 3 4 2 3" xfId="20418"/>
    <cellStyle name="20% - Accent5 3 4 2 3 2" xfId="49279"/>
    <cellStyle name="20% - Accent5 3 4 2 4" xfId="32169"/>
    <cellStyle name="20% - Accent5 3 4 3" xfId="6463"/>
    <cellStyle name="20% - Accent5 3 4 3 2" xfId="23510"/>
    <cellStyle name="20% - Accent5 3 4 3 2 2" xfId="52371"/>
    <cellStyle name="20% - Accent5 3 4 3 3" xfId="35324"/>
    <cellStyle name="20% - Accent5 3 4 4" xfId="12532"/>
    <cellStyle name="20% - Accent5 3 4 4 2" xfId="17738"/>
    <cellStyle name="20% - Accent5 3 4 4 2 2" xfId="46599"/>
    <cellStyle name="20% - Accent5 3 4 4 3" xfId="41393"/>
    <cellStyle name="20% - Accent5 3 4 5" xfId="15058"/>
    <cellStyle name="20% - Accent5 3 4 5 2" xfId="43919"/>
    <cellStyle name="20% - Accent5 3 4 6" xfId="29283"/>
    <cellStyle name="20% - Accent5 3 5" xfId="730"/>
    <cellStyle name="20% - Accent5 3 5 2" xfId="3617"/>
    <cellStyle name="20% - Accent5 3 5 2 2" xfId="9658"/>
    <cellStyle name="20% - Accent5 3 5 2 2 2" xfId="26705"/>
    <cellStyle name="20% - Accent5 3 5 2 2 2 2" xfId="55566"/>
    <cellStyle name="20% - Accent5 3 5 2 2 3" xfId="38519"/>
    <cellStyle name="20% - Accent5 3 5 2 3" xfId="20727"/>
    <cellStyle name="20% - Accent5 3 5 2 3 2" xfId="49588"/>
    <cellStyle name="20% - Accent5 3 5 2 4" xfId="32478"/>
    <cellStyle name="20% - Accent5 3 5 3" xfId="6772"/>
    <cellStyle name="20% - Accent5 3 5 3 2" xfId="23819"/>
    <cellStyle name="20% - Accent5 3 5 3 2 2" xfId="52680"/>
    <cellStyle name="20% - Accent5 3 5 3 3" xfId="35633"/>
    <cellStyle name="20% - Accent5 3 5 4" xfId="13930"/>
    <cellStyle name="20% - Accent5 3 5 4 2" xfId="18047"/>
    <cellStyle name="20% - Accent5 3 5 4 2 2" xfId="46908"/>
    <cellStyle name="20% - Accent5 3 5 4 3" xfId="42791"/>
    <cellStyle name="20% - Accent5 3 5 5" xfId="15367"/>
    <cellStyle name="20% - Accent5 3 5 5 2" xfId="44228"/>
    <cellStyle name="20% - Accent5 3 5 6" xfId="29592"/>
    <cellStyle name="20% - Accent5 3 6" xfId="936"/>
    <cellStyle name="20% - Accent5 3 6 2" xfId="3823"/>
    <cellStyle name="20% - Accent5 3 6 2 2" xfId="9864"/>
    <cellStyle name="20% - Accent5 3 6 2 2 2" xfId="26911"/>
    <cellStyle name="20% - Accent5 3 6 2 2 2 2" xfId="55772"/>
    <cellStyle name="20% - Accent5 3 6 2 2 3" xfId="38725"/>
    <cellStyle name="20% - Accent5 3 6 2 3" xfId="20933"/>
    <cellStyle name="20% - Accent5 3 6 2 3 2" xfId="49794"/>
    <cellStyle name="20% - Accent5 3 6 2 4" xfId="32684"/>
    <cellStyle name="20% - Accent5 3 6 3" xfId="6978"/>
    <cellStyle name="20% - Accent5 3 6 3 2" xfId="24025"/>
    <cellStyle name="20% - Accent5 3 6 3 2 2" xfId="52886"/>
    <cellStyle name="20% - Accent5 3 6 3 3" xfId="35839"/>
    <cellStyle name="20% - Accent5 3 6 4" xfId="12328"/>
    <cellStyle name="20% - Accent5 3 6 4 2" xfId="18253"/>
    <cellStyle name="20% - Accent5 3 6 4 2 2" xfId="47114"/>
    <cellStyle name="20% - Accent5 3 6 4 3" xfId="41189"/>
    <cellStyle name="20% - Accent5 3 6 5" xfId="15573"/>
    <cellStyle name="20% - Accent5 3 6 5 2" xfId="44434"/>
    <cellStyle name="20% - Accent5 3 6 6" xfId="29798"/>
    <cellStyle name="20% - Accent5 3 7" xfId="1142"/>
    <cellStyle name="20% - Accent5 3 7 2" xfId="4029"/>
    <cellStyle name="20% - Accent5 3 7 2 2" xfId="10070"/>
    <cellStyle name="20% - Accent5 3 7 2 2 2" xfId="27117"/>
    <cellStyle name="20% - Accent5 3 7 2 2 2 2" xfId="55978"/>
    <cellStyle name="20% - Accent5 3 7 2 2 3" xfId="38931"/>
    <cellStyle name="20% - Accent5 3 7 2 3" xfId="21139"/>
    <cellStyle name="20% - Accent5 3 7 2 3 2" xfId="50000"/>
    <cellStyle name="20% - Accent5 3 7 2 4" xfId="32890"/>
    <cellStyle name="20% - Accent5 3 7 3" xfId="7184"/>
    <cellStyle name="20% - Accent5 3 7 3 2" xfId="24231"/>
    <cellStyle name="20% - Accent5 3 7 3 2 2" xfId="53092"/>
    <cellStyle name="20% - Accent5 3 7 3 3" xfId="36045"/>
    <cellStyle name="20% - Accent5 3 7 4" xfId="12066"/>
    <cellStyle name="20% - Accent5 3 7 4 2" xfId="18459"/>
    <cellStyle name="20% - Accent5 3 7 4 2 2" xfId="47320"/>
    <cellStyle name="20% - Accent5 3 7 4 3" xfId="40927"/>
    <cellStyle name="20% - Accent5 3 7 5" xfId="15779"/>
    <cellStyle name="20% - Accent5 3 7 5 2" xfId="44640"/>
    <cellStyle name="20% - Accent5 3 7 6" xfId="30004"/>
    <cellStyle name="20% - Accent5 3 8" xfId="1348"/>
    <cellStyle name="20% - Accent5 3 8 2" xfId="4235"/>
    <cellStyle name="20% - Accent5 3 8 2 2" xfId="10276"/>
    <cellStyle name="20% - Accent5 3 8 2 2 2" xfId="27323"/>
    <cellStyle name="20% - Accent5 3 8 2 2 2 2" xfId="56184"/>
    <cellStyle name="20% - Accent5 3 8 2 2 3" xfId="39137"/>
    <cellStyle name="20% - Accent5 3 8 2 3" xfId="21345"/>
    <cellStyle name="20% - Accent5 3 8 2 3 2" xfId="50206"/>
    <cellStyle name="20% - Accent5 3 8 2 4" xfId="33096"/>
    <cellStyle name="20% - Accent5 3 8 3" xfId="7390"/>
    <cellStyle name="20% - Accent5 3 8 3 2" xfId="24437"/>
    <cellStyle name="20% - Accent5 3 8 3 2 2" xfId="53298"/>
    <cellStyle name="20% - Accent5 3 8 3 3" xfId="36251"/>
    <cellStyle name="20% - Accent5 3 8 4" xfId="12218"/>
    <cellStyle name="20% - Accent5 3 8 4 2" xfId="18665"/>
    <cellStyle name="20% - Accent5 3 8 4 2 2" xfId="47526"/>
    <cellStyle name="20% - Accent5 3 8 4 3" xfId="41079"/>
    <cellStyle name="20% - Accent5 3 8 5" xfId="15985"/>
    <cellStyle name="20% - Accent5 3 8 5 2" xfId="44846"/>
    <cellStyle name="20% - Accent5 3 8 6" xfId="30210"/>
    <cellStyle name="20% - Accent5 3 9" xfId="1554"/>
    <cellStyle name="20% - Accent5 3 9 2" xfId="4441"/>
    <cellStyle name="20% - Accent5 3 9 2 2" xfId="10482"/>
    <cellStyle name="20% - Accent5 3 9 2 2 2" xfId="27529"/>
    <cellStyle name="20% - Accent5 3 9 2 2 2 2" xfId="56390"/>
    <cellStyle name="20% - Accent5 3 9 2 2 3" xfId="39343"/>
    <cellStyle name="20% - Accent5 3 9 2 3" xfId="21551"/>
    <cellStyle name="20% - Accent5 3 9 2 3 2" xfId="50412"/>
    <cellStyle name="20% - Accent5 3 9 2 4" xfId="33302"/>
    <cellStyle name="20% - Accent5 3 9 3" xfId="7596"/>
    <cellStyle name="20% - Accent5 3 9 3 2" xfId="24643"/>
    <cellStyle name="20% - Accent5 3 9 3 2 2" xfId="53504"/>
    <cellStyle name="20% - Accent5 3 9 3 3" xfId="36457"/>
    <cellStyle name="20% - Accent5 3 9 4" xfId="12716"/>
    <cellStyle name="20% - Accent5 3 9 4 2" xfId="18871"/>
    <cellStyle name="20% - Accent5 3 9 4 2 2" xfId="47732"/>
    <cellStyle name="20% - Accent5 3 9 4 3" xfId="41577"/>
    <cellStyle name="20% - Accent5 3 9 5" xfId="16191"/>
    <cellStyle name="20% - Accent5 3 9 5 2" xfId="45052"/>
    <cellStyle name="20% - Accent5 3 9 6" xfId="30416"/>
    <cellStyle name="20% - Accent5 4" xfId="138"/>
    <cellStyle name="20% - Accent5 4 10" xfId="1786"/>
    <cellStyle name="20% - Accent5 4 10 2" xfId="4673"/>
    <cellStyle name="20% - Accent5 4 10 2 2" xfId="10714"/>
    <cellStyle name="20% - Accent5 4 10 2 2 2" xfId="27761"/>
    <cellStyle name="20% - Accent5 4 10 2 2 2 2" xfId="56622"/>
    <cellStyle name="20% - Accent5 4 10 2 2 3" xfId="39575"/>
    <cellStyle name="20% - Accent5 4 10 2 3" xfId="21783"/>
    <cellStyle name="20% - Accent5 4 10 2 3 2" xfId="50644"/>
    <cellStyle name="20% - Accent5 4 10 2 4" xfId="33534"/>
    <cellStyle name="20% - Accent5 4 10 3" xfId="7828"/>
    <cellStyle name="20% - Accent5 4 10 3 2" xfId="24875"/>
    <cellStyle name="20% - Accent5 4 10 3 2 2" xfId="53736"/>
    <cellStyle name="20% - Accent5 4 10 3 3" xfId="36689"/>
    <cellStyle name="20% - Accent5 4 10 4" xfId="14090"/>
    <cellStyle name="20% - Accent5 4 10 4 2" xfId="19103"/>
    <cellStyle name="20% - Accent5 4 10 4 2 2" xfId="47964"/>
    <cellStyle name="20% - Accent5 4 10 4 3" xfId="42951"/>
    <cellStyle name="20% - Accent5 4 10 5" xfId="16423"/>
    <cellStyle name="20% - Accent5 4 10 5 2" xfId="45284"/>
    <cellStyle name="20% - Accent5 4 10 6" xfId="30648"/>
    <cellStyle name="20% - Accent5 4 11" xfId="1992"/>
    <cellStyle name="20% - Accent5 4 11 2" xfId="4879"/>
    <cellStyle name="20% - Accent5 4 11 2 2" xfId="10920"/>
    <cellStyle name="20% - Accent5 4 11 2 2 2" xfId="27967"/>
    <cellStyle name="20% - Accent5 4 11 2 2 2 2" xfId="56828"/>
    <cellStyle name="20% - Accent5 4 11 2 2 3" xfId="39781"/>
    <cellStyle name="20% - Accent5 4 11 2 3" xfId="21989"/>
    <cellStyle name="20% - Accent5 4 11 2 3 2" xfId="50850"/>
    <cellStyle name="20% - Accent5 4 11 2 4" xfId="33740"/>
    <cellStyle name="20% - Accent5 4 11 3" xfId="8034"/>
    <cellStyle name="20% - Accent5 4 11 3 2" xfId="25081"/>
    <cellStyle name="20% - Accent5 4 11 3 2 2" xfId="53942"/>
    <cellStyle name="20% - Accent5 4 11 3 3" xfId="36895"/>
    <cellStyle name="20% - Accent5 4 11 4" xfId="12233"/>
    <cellStyle name="20% - Accent5 4 11 4 2" xfId="19309"/>
    <cellStyle name="20% - Accent5 4 11 4 2 2" xfId="48170"/>
    <cellStyle name="20% - Accent5 4 11 4 3" xfId="41094"/>
    <cellStyle name="20% - Accent5 4 11 5" xfId="16629"/>
    <cellStyle name="20% - Accent5 4 11 5 2" xfId="45490"/>
    <cellStyle name="20% - Accent5 4 11 6" xfId="30854"/>
    <cellStyle name="20% - Accent5 4 12" xfId="2404"/>
    <cellStyle name="20% - Accent5 4 12 2" xfId="5291"/>
    <cellStyle name="20% - Accent5 4 12 2 2" xfId="11332"/>
    <cellStyle name="20% - Accent5 4 12 2 2 2" xfId="28379"/>
    <cellStyle name="20% - Accent5 4 12 2 2 2 2" xfId="57240"/>
    <cellStyle name="20% - Accent5 4 12 2 2 3" xfId="40193"/>
    <cellStyle name="20% - Accent5 4 12 2 3" xfId="22401"/>
    <cellStyle name="20% - Accent5 4 12 2 3 2" xfId="51262"/>
    <cellStyle name="20% - Accent5 4 12 2 4" xfId="34152"/>
    <cellStyle name="20% - Accent5 4 12 3" xfId="8446"/>
    <cellStyle name="20% - Accent5 4 12 3 2" xfId="25493"/>
    <cellStyle name="20% - Accent5 4 12 3 2 2" xfId="54354"/>
    <cellStyle name="20% - Accent5 4 12 3 3" xfId="37307"/>
    <cellStyle name="20% - Accent5 4 12 4" xfId="11884"/>
    <cellStyle name="20% - Accent5 4 12 4 2" xfId="19721"/>
    <cellStyle name="20% - Accent5 4 12 4 2 2" xfId="48582"/>
    <cellStyle name="20% - Accent5 4 12 4 3" xfId="40745"/>
    <cellStyle name="20% - Accent5 4 12 5" xfId="17041"/>
    <cellStyle name="20% - Accent5 4 12 5 2" xfId="45902"/>
    <cellStyle name="20% - Accent5 4 12 6" xfId="31266"/>
    <cellStyle name="20% - Accent5 4 13" xfId="2613"/>
    <cellStyle name="20% - Accent5 4 13 2" xfId="5499"/>
    <cellStyle name="20% - Accent5 4 13 2 2" xfId="11540"/>
    <cellStyle name="20% - Accent5 4 13 2 2 2" xfId="28587"/>
    <cellStyle name="20% - Accent5 4 13 2 2 2 2" xfId="57448"/>
    <cellStyle name="20% - Accent5 4 13 2 2 3" xfId="40401"/>
    <cellStyle name="20% - Accent5 4 13 2 3" xfId="22609"/>
    <cellStyle name="20% - Accent5 4 13 2 3 2" xfId="51470"/>
    <cellStyle name="20% - Accent5 4 13 2 4" xfId="34360"/>
    <cellStyle name="20% - Accent5 4 13 3" xfId="8654"/>
    <cellStyle name="20% - Accent5 4 13 3 2" xfId="25701"/>
    <cellStyle name="20% - Accent5 4 13 3 2 2" xfId="54562"/>
    <cellStyle name="20% - Accent5 4 13 3 3" xfId="37515"/>
    <cellStyle name="20% - Accent5 4 13 4" xfId="13352"/>
    <cellStyle name="20% - Accent5 4 13 4 2" xfId="19929"/>
    <cellStyle name="20% - Accent5 4 13 4 2 2" xfId="48790"/>
    <cellStyle name="20% - Accent5 4 13 4 3" xfId="42213"/>
    <cellStyle name="20% - Accent5 4 13 5" xfId="17249"/>
    <cellStyle name="20% - Accent5 4 13 5 2" xfId="46110"/>
    <cellStyle name="20% - Accent5 4 13 6" xfId="31474"/>
    <cellStyle name="20% - Accent5 4 14" xfId="3025"/>
    <cellStyle name="20% - Accent5 4 14 2" xfId="9066"/>
    <cellStyle name="20% - Accent5 4 14 2 2" xfId="26113"/>
    <cellStyle name="20% - Accent5 4 14 2 2 2" xfId="54974"/>
    <cellStyle name="20% - Accent5 4 14 2 3" xfId="37927"/>
    <cellStyle name="20% - Accent5 4 14 3" xfId="12827"/>
    <cellStyle name="20% - Accent5 4 14 3 2" xfId="20135"/>
    <cellStyle name="20% - Accent5 4 14 3 2 2" xfId="48996"/>
    <cellStyle name="20% - Accent5 4 14 3 3" xfId="41688"/>
    <cellStyle name="20% - Accent5 4 14 4" xfId="14775"/>
    <cellStyle name="20% - Accent5 4 14 4 2" xfId="43636"/>
    <cellStyle name="20% - Accent5 4 14 5" xfId="31886"/>
    <cellStyle name="20% - Accent5 4 15" xfId="2819"/>
    <cellStyle name="20% - Accent5 4 15 2" xfId="8860"/>
    <cellStyle name="20% - Accent5 4 15 2 2" xfId="25907"/>
    <cellStyle name="20% - Accent5 4 15 2 2 2" xfId="54768"/>
    <cellStyle name="20% - Accent5 4 15 2 3" xfId="37721"/>
    <cellStyle name="20% - Accent5 4 15 3" xfId="17455"/>
    <cellStyle name="20% - Accent5 4 15 3 2" xfId="46316"/>
    <cellStyle name="20% - Accent5 4 15 4" xfId="31680"/>
    <cellStyle name="20% - Accent5 4 16" xfId="5705"/>
    <cellStyle name="20% - Accent5 4 16 2" xfId="11746"/>
    <cellStyle name="20% - Accent5 4 16 2 2" xfId="28793"/>
    <cellStyle name="20% - Accent5 4 16 2 2 2" xfId="57654"/>
    <cellStyle name="20% - Accent5 4 16 2 3" xfId="40607"/>
    <cellStyle name="20% - Accent5 4 16 3" xfId="22815"/>
    <cellStyle name="20% - Accent5 4 16 3 2" xfId="51676"/>
    <cellStyle name="20% - Accent5 4 16 4" xfId="34566"/>
    <cellStyle name="20% - Accent5 4 17" xfId="5922"/>
    <cellStyle name="20% - Accent5 4 17 2" xfId="23021"/>
    <cellStyle name="20% - Accent5 4 17 2 2" xfId="51882"/>
    <cellStyle name="20% - Accent5 4 17 3" xfId="34783"/>
    <cellStyle name="20% - Accent5 4 18" xfId="6180"/>
    <cellStyle name="20% - Accent5 4 18 2" xfId="23227"/>
    <cellStyle name="20% - Accent5 4 18 2 2" xfId="52088"/>
    <cellStyle name="20% - Accent5 4 18 3" xfId="35041"/>
    <cellStyle name="20% - Accent5 4 19" xfId="14569"/>
    <cellStyle name="20% - Accent5 4 19 2" xfId="43430"/>
    <cellStyle name="20% - Accent5 4 2" xfId="344"/>
    <cellStyle name="20% - Accent5 4 2 10" xfId="2507"/>
    <cellStyle name="20% - Accent5 4 2 10 2" xfId="5394"/>
    <cellStyle name="20% - Accent5 4 2 10 2 2" xfId="11435"/>
    <cellStyle name="20% - Accent5 4 2 10 2 2 2" xfId="28482"/>
    <cellStyle name="20% - Accent5 4 2 10 2 2 2 2" xfId="57343"/>
    <cellStyle name="20% - Accent5 4 2 10 2 2 3" xfId="40296"/>
    <cellStyle name="20% - Accent5 4 2 10 2 3" xfId="22504"/>
    <cellStyle name="20% - Accent5 4 2 10 2 3 2" xfId="51365"/>
    <cellStyle name="20% - Accent5 4 2 10 2 4" xfId="34255"/>
    <cellStyle name="20% - Accent5 4 2 10 3" xfId="8549"/>
    <cellStyle name="20% - Accent5 4 2 10 3 2" xfId="25596"/>
    <cellStyle name="20% - Accent5 4 2 10 3 2 2" xfId="54457"/>
    <cellStyle name="20% - Accent5 4 2 10 3 3" xfId="37410"/>
    <cellStyle name="20% - Accent5 4 2 10 4" xfId="12857"/>
    <cellStyle name="20% - Accent5 4 2 10 4 2" xfId="19824"/>
    <cellStyle name="20% - Accent5 4 2 10 4 2 2" xfId="48685"/>
    <cellStyle name="20% - Accent5 4 2 10 4 3" xfId="41718"/>
    <cellStyle name="20% - Accent5 4 2 10 5" xfId="17144"/>
    <cellStyle name="20% - Accent5 4 2 10 5 2" xfId="46005"/>
    <cellStyle name="20% - Accent5 4 2 10 6" xfId="31369"/>
    <cellStyle name="20% - Accent5 4 2 11" xfId="2716"/>
    <cellStyle name="20% - Accent5 4 2 11 2" xfId="5602"/>
    <cellStyle name="20% - Accent5 4 2 11 2 2" xfId="11643"/>
    <cellStyle name="20% - Accent5 4 2 11 2 2 2" xfId="28690"/>
    <cellStyle name="20% - Accent5 4 2 11 2 2 2 2" xfId="57551"/>
    <cellStyle name="20% - Accent5 4 2 11 2 2 3" xfId="40504"/>
    <cellStyle name="20% - Accent5 4 2 11 2 3" xfId="22712"/>
    <cellStyle name="20% - Accent5 4 2 11 2 3 2" xfId="51573"/>
    <cellStyle name="20% - Accent5 4 2 11 2 4" xfId="34463"/>
    <cellStyle name="20% - Accent5 4 2 11 3" xfId="8757"/>
    <cellStyle name="20% - Accent5 4 2 11 3 2" xfId="25804"/>
    <cellStyle name="20% - Accent5 4 2 11 3 2 2" xfId="54665"/>
    <cellStyle name="20% - Accent5 4 2 11 3 3" xfId="37618"/>
    <cellStyle name="20% - Accent5 4 2 11 4" xfId="12324"/>
    <cellStyle name="20% - Accent5 4 2 11 4 2" xfId="20032"/>
    <cellStyle name="20% - Accent5 4 2 11 4 2 2" xfId="48893"/>
    <cellStyle name="20% - Accent5 4 2 11 4 3" xfId="41185"/>
    <cellStyle name="20% - Accent5 4 2 11 5" xfId="17352"/>
    <cellStyle name="20% - Accent5 4 2 11 5 2" xfId="46213"/>
    <cellStyle name="20% - Accent5 4 2 11 6" xfId="31577"/>
    <cellStyle name="20% - Accent5 4 2 12" xfId="3231"/>
    <cellStyle name="20% - Accent5 4 2 12 2" xfId="9272"/>
    <cellStyle name="20% - Accent5 4 2 12 2 2" xfId="26319"/>
    <cellStyle name="20% - Accent5 4 2 12 2 2 2" xfId="55180"/>
    <cellStyle name="20% - Accent5 4 2 12 2 3" xfId="38133"/>
    <cellStyle name="20% - Accent5 4 2 12 3" xfId="12782"/>
    <cellStyle name="20% - Accent5 4 2 12 3 2" xfId="20341"/>
    <cellStyle name="20% - Accent5 4 2 12 3 2 2" xfId="49202"/>
    <cellStyle name="20% - Accent5 4 2 12 3 3" xfId="41643"/>
    <cellStyle name="20% - Accent5 4 2 12 4" xfId="14981"/>
    <cellStyle name="20% - Accent5 4 2 12 4 2" xfId="43842"/>
    <cellStyle name="20% - Accent5 4 2 12 5" xfId="32092"/>
    <cellStyle name="20% - Accent5 4 2 13" xfId="2922"/>
    <cellStyle name="20% - Accent5 4 2 13 2" xfId="8963"/>
    <cellStyle name="20% - Accent5 4 2 13 2 2" xfId="26010"/>
    <cellStyle name="20% - Accent5 4 2 13 2 2 2" xfId="54871"/>
    <cellStyle name="20% - Accent5 4 2 13 2 3" xfId="37824"/>
    <cellStyle name="20% - Accent5 4 2 13 3" xfId="17558"/>
    <cellStyle name="20% - Accent5 4 2 13 3 2" xfId="46419"/>
    <cellStyle name="20% - Accent5 4 2 13 4" xfId="31783"/>
    <cellStyle name="20% - Accent5 4 2 14" xfId="5808"/>
    <cellStyle name="20% - Accent5 4 2 14 2" xfId="11849"/>
    <cellStyle name="20% - Accent5 4 2 14 2 2" xfId="28896"/>
    <cellStyle name="20% - Accent5 4 2 14 2 2 2" xfId="57757"/>
    <cellStyle name="20% - Accent5 4 2 14 2 3" xfId="40710"/>
    <cellStyle name="20% - Accent5 4 2 14 3" xfId="22918"/>
    <cellStyle name="20% - Accent5 4 2 14 3 2" xfId="51779"/>
    <cellStyle name="20% - Accent5 4 2 14 4" xfId="34669"/>
    <cellStyle name="20% - Accent5 4 2 15" xfId="6025"/>
    <cellStyle name="20% - Accent5 4 2 15 2" xfId="23124"/>
    <cellStyle name="20% - Accent5 4 2 15 2 2" xfId="51985"/>
    <cellStyle name="20% - Accent5 4 2 15 3" xfId="34886"/>
    <cellStyle name="20% - Accent5 4 2 16" xfId="6386"/>
    <cellStyle name="20% - Accent5 4 2 16 2" xfId="23433"/>
    <cellStyle name="20% - Accent5 4 2 16 2 2" xfId="52294"/>
    <cellStyle name="20% - Accent5 4 2 16 3" xfId="35247"/>
    <cellStyle name="20% - Accent5 4 2 17" xfId="14672"/>
    <cellStyle name="20% - Accent5 4 2 17 2" xfId="43533"/>
    <cellStyle name="20% - Accent5 4 2 18" xfId="29206"/>
    <cellStyle name="20% - Accent5 4 2 2" xfId="550"/>
    <cellStyle name="20% - Accent5 4 2 2 2" xfId="2301"/>
    <cellStyle name="20% - Accent5 4 2 2 2 2" xfId="5188"/>
    <cellStyle name="20% - Accent5 4 2 2 2 2 2" xfId="11229"/>
    <cellStyle name="20% - Accent5 4 2 2 2 2 2 2" xfId="28276"/>
    <cellStyle name="20% - Accent5 4 2 2 2 2 2 2 2" xfId="57137"/>
    <cellStyle name="20% - Accent5 4 2 2 2 2 2 3" xfId="40090"/>
    <cellStyle name="20% - Accent5 4 2 2 2 2 3" xfId="22298"/>
    <cellStyle name="20% - Accent5 4 2 2 2 2 3 2" xfId="51159"/>
    <cellStyle name="20% - Accent5 4 2 2 2 2 4" xfId="34049"/>
    <cellStyle name="20% - Accent5 4 2 2 2 3" xfId="8343"/>
    <cellStyle name="20% - Accent5 4 2 2 2 3 2" xfId="25390"/>
    <cellStyle name="20% - Accent5 4 2 2 2 3 2 2" xfId="54251"/>
    <cellStyle name="20% - Accent5 4 2 2 2 3 3" xfId="37204"/>
    <cellStyle name="20% - Accent5 4 2 2 2 4" xfId="12507"/>
    <cellStyle name="20% - Accent5 4 2 2 2 4 2" xfId="19618"/>
    <cellStyle name="20% - Accent5 4 2 2 2 4 2 2" xfId="48479"/>
    <cellStyle name="20% - Accent5 4 2 2 2 4 3" xfId="41368"/>
    <cellStyle name="20% - Accent5 4 2 2 2 5" xfId="16938"/>
    <cellStyle name="20% - Accent5 4 2 2 2 5 2" xfId="45799"/>
    <cellStyle name="20% - Accent5 4 2 2 2 6" xfId="31163"/>
    <cellStyle name="20% - Accent5 4 2 2 3" xfId="3437"/>
    <cellStyle name="20% - Accent5 4 2 2 3 2" xfId="9478"/>
    <cellStyle name="20% - Accent5 4 2 2 3 2 2" xfId="26525"/>
    <cellStyle name="20% - Accent5 4 2 2 3 2 2 2" xfId="55386"/>
    <cellStyle name="20% - Accent5 4 2 2 3 2 3" xfId="38339"/>
    <cellStyle name="20% - Accent5 4 2 2 3 3" xfId="20547"/>
    <cellStyle name="20% - Accent5 4 2 2 3 3 2" xfId="49408"/>
    <cellStyle name="20% - Accent5 4 2 2 3 4" xfId="32298"/>
    <cellStyle name="20% - Accent5 4 2 2 4" xfId="6592"/>
    <cellStyle name="20% - Accent5 4 2 2 4 2" xfId="23639"/>
    <cellStyle name="20% - Accent5 4 2 2 4 2 2" xfId="52500"/>
    <cellStyle name="20% - Accent5 4 2 2 4 3" xfId="35453"/>
    <cellStyle name="20% - Accent5 4 2 2 5" xfId="12942"/>
    <cellStyle name="20% - Accent5 4 2 2 5 2" xfId="17867"/>
    <cellStyle name="20% - Accent5 4 2 2 5 2 2" xfId="46728"/>
    <cellStyle name="20% - Accent5 4 2 2 5 3" xfId="41803"/>
    <cellStyle name="20% - Accent5 4 2 2 6" xfId="15187"/>
    <cellStyle name="20% - Accent5 4 2 2 6 2" xfId="44048"/>
    <cellStyle name="20% - Accent5 4 2 2 7" xfId="29412"/>
    <cellStyle name="20% - Accent5 4 2 3" xfId="859"/>
    <cellStyle name="20% - Accent5 4 2 3 2" xfId="3746"/>
    <cellStyle name="20% - Accent5 4 2 3 2 2" xfId="9787"/>
    <cellStyle name="20% - Accent5 4 2 3 2 2 2" xfId="26834"/>
    <cellStyle name="20% - Accent5 4 2 3 2 2 2 2" xfId="55695"/>
    <cellStyle name="20% - Accent5 4 2 3 2 2 3" xfId="38648"/>
    <cellStyle name="20% - Accent5 4 2 3 2 3" xfId="20856"/>
    <cellStyle name="20% - Accent5 4 2 3 2 3 2" xfId="49717"/>
    <cellStyle name="20% - Accent5 4 2 3 2 4" xfId="32607"/>
    <cellStyle name="20% - Accent5 4 2 3 3" xfId="6901"/>
    <cellStyle name="20% - Accent5 4 2 3 3 2" xfId="23948"/>
    <cellStyle name="20% - Accent5 4 2 3 3 2 2" xfId="52809"/>
    <cellStyle name="20% - Accent5 4 2 3 3 3" xfId="35762"/>
    <cellStyle name="20% - Accent5 4 2 3 4" xfId="13667"/>
    <cellStyle name="20% - Accent5 4 2 3 4 2" xfId="18176"/>
    <cellStyle name="20% - Accent5 4 2 3 4 2 2" xfId="47037"/>
    <cellStyle name="20% - Accent5 4 2 3 4 3" xfId="42528"/>
    <cellStyle name="20% - Accent5 4 2 3 5" xfId="15496"/>
    <cellStyle name="20% - Accent5 4 2 3 5 2" xfId="44357"/>
    <cellStyle name="20% - Accent5 4 2 3 6" xfId="29721"/>
    <cellStyle name="20% - Accent5 4 2 4" xfId="1065"/>
    <cellStyle name="20% - Accent5 4 2 4 2" xfId="3952"/>
    <cellStyle name="20% - Accent5 4 2 4 2 2" xfId="9993"/>
    <cellStyle name="20% - Accent5 4 2 4 2 2 2" xfId="27040"/>
    <cellStyle name="20% - Accent5 4 2 4 2 2 2 2" xfId="55901"/>
    <cellStyle name="20% - Accent5 4 2 4 2 2 3" xfId="38854"/>
    <cellStyle name="20% - Accent5 4 2 4 2 3" xfId="21062"/>
    <cellStyle name="20% - Accent5 4 2 4 2 3 2" xfId="49923"/>
    <cellStyle name="20% - Accent5 4 2 4 2 4" xfId="32813"/>
    <cellStyle name="20% - Accent5 4 2 4 3" xfId="7107"/>
    <cellStyle name="20% - Accent5 4 2 4 3 2" xfId="24154"/>
    <cellStyle name="20% - Accent5 4 2 4 3 2 2" xfId="53015"/>
    <cellStyle name="20% - Accent5 4 2 4 3 3" xfId="35968"/>
    <cellStyle name="20% - Accent5 4 2 4 4" xfId="13095"/>
    <cellStyle name="20% - Accent5 4 2 4 4 2" xfId="18382"/>
    <cellStyle name="20% - Accent5 4 2 4 4 2 2" xfId="47243"/>
    <cellStyle name="20% - Accent5 4 2 4 4 3" xfId="41956"/>
    <cellStyle name="20% - Accent5 4 2 4 5" xfId="15702"/>
    <cellStyle name="20% - Accent5 4 2 4 5 2" xfId="44563"/>
    <cellStyle name="20% - Accent5 4 2 4 6" xfId="29927"/>
    <cellStyle name="20% - Accent5 4 2 5" xfId="1271"/>
    <cellStyle name="20% - Accent5 4 2 5 2" xfId="4158"/>
    <cellStyle name="20% - Accent5 4 2 5 2 2" xfId="10199"/>
    <cellStyle name="20% - Accent5 4 2 5 2 2 2" xfId="27246"/>
    <cellStyle name="20% - Accent5 4 2 5 2 2 2 2" xfId="56107"/>
    <cellStyle name="20% - Accent5 4 2 5 2 2 3" xfId="39060"/>
    <cellStyle name="20% - Accent5 4 2 5 2 3" xfId="21268"/>
    <cellStyle name="20% - Accent5 4 2 5 2 3 2" xfId="50129"/>
    <cellStyle name="20% - Accent5 4 2 5 2 4" xfId="33019"/>
    <cellStyle name="20% - Accent5 4 2 5 3" xfId="7313"/>
    <cellStyle name="20% - Accent5 4 2 5 3 2" xfId="24360"/>
    <cellStyle name="20% - Accent5 4 2 5 3 2 2" xfId="53221"/>
    <cellStyle name="20% - Accent5 4 2 5 3 3" xfId="36174"/>
    <cellStyle name="20% - Accent5 4 2 5 4" xfId="12331"/>
    <cellStyle name="20% - Accent5 4 2 5 4 2" xfId="18588"/>
    <cellStyle name="20% - Accent5 4 2 5 4 2 2" xfId="47449"/>
    <cellStyle name="20% - Accent5 4 2 5 4 3" xfId="41192"/>
    <cellStyle name="20% - Accent5 4 2 5 5" xfId="15908"/>
    <cellStyle name="20% - Accent5 4 2 5 5 2" xfId="44769"/>
    <cellStyle name="20% - Accent5 4 2 5 6" xfId="30133"/>
    <cellStyle name="20% - Accent5 4 2 6" xfId="1477"/>
    <cellStyle name="20% - Accent5 4 2 6 2" xfId="4364"/>
    <cellStyle name="20% - Accent5 4 2 6 2 2" xfId="10405"/>
    <cellStyle name="20% - Accent5 4 2 6 2 2 2" xfId="27452"/>
    <cellStyle name="20% - Accent5 4 2 6 2 2 2 2" xfId="56313"/>
    <cellStyle name="20% - Accent5 4 2 6 2 2 3" xfId="39266"/>
    <cellStyle name="20% - Accent5 4 2 6 2 3" xfId="21474"/>
    <cellStyle name="20% - Accent5 4 2 6 2 3 2" xfId="50335"/>
    <cellStyle name="20% - Accent5 4 2 6 2 4" xfId="33225"/>
    <cellStyle name="20% - Accent5 4 2 6 3" xfId="7519"/>
    <cellStyle name="20% - Accent5 4 2 6 3 2" xfId="24566"/>
    <cellStyle name="20% - Accent5 4 2 6 3 2 2" xfId="53427"/>
    <cellStyle name="20% - Accent5 4 2 6 3 3" xfId="36380"/>
    <cellStyle name="20% - Accent5 4 2 6 4" xfId="12266"/>
    <cellStyle name="20% - Accent5 4 2 6 4 2" xfId="18794"/>
    <cellStyle name="20% - Accent5 4 2 6 4 2 2" xfId="47655"/>
    <cellStyle name="20% - Accent5 4 2 6 4 3" xfId="41127"/>
    <cellStyle name="20% - Accent5 4 2 6 5" xfId="16114"/>
    <cellStyle name="20% - Accent5 4 2 6 5 2" xfId="44975"/>
    <cellStyle name="20% - Accent5 4 2 6 6" xfId="30339"/>
    <cellStyle name="20% - Accent5 4 2 7" xfId="1683"/>
    <cellStyle name="20% - Accent5 4 2 7 2" xfId="4570"/>
    <cellStyle name="20% - Accent5 4 2 7 2 2" xfId="10611"/>
    <cellStyle name="20% - Accent5 4 2 7 2 2 2" xfId="27658"/>
    <cellStyle name="20% - Accent5 4 2 7 2 2 2 2" xfId="56519"/>
    <cellStyle name="20% - Accent5 4 2 7 2 2 3" xfId="39472"/>
    <cellStyle name="20% - Accent5 4 2 7 2 3" xfId="21680"/>
    <cellStyle name="20% - Accent5 4 2 7 2 3 2" xfId="50541"/>
    <cellStyle name="20% - Accent5 4 2 7 2 4" xfId="33431"/>
    <cellStyle name="20% - Accent5 4 2 7 3" xfId="7725"/>
    <cellStyle name="20% - Accent5 4 2 7 3 2" xfId="24772"/>
    <cellStyle name="20% - Accent5 4 2 7 3 2 2" xfId="53633"/>
    <cellStyle name="20% - Accent5 4 2 7 3 3" xfId="36586"/>
    <cellStyle name="20% - Accent5 4 2 7 4" xfId="14041"/>
    <cellStyle name="20% - Accent5 4 2 7 4 2" xfId="19000"/>
    <cellStyle name="20% - Accent5 4 2 7 4 2 2" xfId="47861"/>
    <cellStyle name="20% - Accent5 4 2 7 4 3" xfId="42902"/>
    <cellStyle name="20% - Accent5 4 2 7 5" xfId="16320"/>
    <cellStyle name="20% - Accent5 4 2 7 5 2" xfId="45181"/>
    <cellStyle name="20% - Accent5 4 2 7 6" xfId="30545"/>
    <cellStyle name="20% - Accent5 4 2 8" xfId="1889"/>
    <cellStyle name="20% - Accent5 4 2 8 2" xfId="4776"/>
    <cellStyle name="20% - Accent5 4 2 8 2 2" xfId="10817"/>
    <cellStyle name="20% - Accent5 4 2 8 2 2 2" xfId="27864"/>
    <cellStyle name="20% - Accent5 4 2 8 2 2 2 2" xfId="56725"/>
    <cellStyle name="20% - Accent5 4 2 8 2 2 3" xfId="39678"/>
    <cellStyle name="20% - Accent5 4 2 8 2 3" xfId="21886"/>
    <cellStyle name="20% - Accent5 4 2 8 2 3 2" xfId="50747"/>
    <cellStyle name="20% - Accent5 4 2 8 2 4" xfId="33637"/>
    <cellStyle name="20% - Accent5 4 2 8 3" xfId="7931"/>
    <cellStyle name="20% - Accent5 4 2 8 3 2" xfId="24978"/>
    <cellStyle name="20% - Accent5 4 2 8 3 2 2" xfId="53839"/>
    <cellStyle name="20% - Accent5 4 2 8 3 3" xfId="36792"/>
    <cellStyle name="20% - Accent5 4 2 8 4" xfId="12944"/>
    <cellStyle name="20% - Accent5 4 2 8 4 2" xfId="19206"/>
    <cellStyle name="20% - Accent5 4 2 8 4 2 2" xfId="48067"/>
    <cellStyle name="20% - Accent5 4 2 8 4 3" xfId="41805"/>
    <cellStyle name="20% - Accent5 4 2 8 5" xfId="16526"/>
    <cellStyle name="20% - Accent5 4 2 8 5 2" xfId="45387"/>
    <cellStyle name="20% - Accent5 4 2 8 6" xfId="30751"/>
    <cellStyle name="20% - Accent5 4 2 9" xfId="2095"/>
    <cellStyle name="20% - Accent5 4 2 9 2" xfId="4982"/>
    <cellStyle name="20% - Accent5 4 2 9 2 2" xfId="11023"/>
    <cellStyle name="20% - Accent5 4 2 9 2 2 2" xfId="28070"/>
    <cellStyle name="20% - Accent5 4 2 9 2 2 2 2" xfId="56931"/>
    <cellStyle name="20% - Accent5 4 2 9 2 2 3" xfId="39884"/>
    <cellStyle name="20% - Accent5 4 2 9 2 3" xfId="22092"/>
    <cellStyle name="20% - Accent5 4 2 9 2 3 2" xfId="50953"/>
    <cellStyle name="20% - Accent5 4 2 9 2 4" xfId="33843"/>
    <cellStyle name="20% - Accent5 4 2 9 3" xfId="8137"/>
    <cellStyle name="20% - Accent5 4 2 9 3 2" xfId="25184"/>
    <cellStyle name="20% - Accent5 4 2 9 3 2 2" xfId="54045"/>
    <cellStyle name="20% - Accent5 4 2 9 3 3" xfId="36998"/>
    <cellStyle name="20% - Accent5 4 2 9 4" xfId="13307"/>
    <cellStyle name="20% - Accent5 4 2 9 4 2" xfId="19412"/>
    <cellStyle name="20% - Accent5 4 2 9 4 2 2" xfId="48273"/>
    <cellStyle name="20% - Accent5 4 2 9 4 3" xfId="42168"/>
    <cellStyle name="20% - Accent5 4 2 9 5" xfId="16732"/>
    <cellStyle name="20% - Accent5 4 2 9 5 2" xfId="45593"/>
    <cellStyle name="20% - Accent5 4 2 9 6" xfId="30957"/>
    <cellStyle name="20% - Accent5 4 20" xfId="29000"/>
    <cellStyle name="20% - Accent5 4 3" xfId="241"/>
    <cellStyle name="20% - Accent5 4 3 2" xfId="653"/>
    <cellStyle name="20% - Accent5 4 3 2 2" xfId="3540"/>
    <cellStyle name="20% - Accent5 4 3 2 2 2" xfId="9581"/>
    <cellStyle name="20% - Accent5 4 3 2 2 2 2" xfId="26628"/>
    <cellStyle name="20% - Accent5 4 3 2 2 2 2 2" xfId="55489"/>
    <cellStyle name="20% - Accent5 4 3 2 2 2 3" xfId="38442"/>
    <cellStyle name="20% - Accent5 4 3 2 2 3" xfId="20650"/>
    <cellStyle name="20% - Accent5 4 3 2 2 3 2" xfId="49511"/>
    <cellStyle name="20% - Accent5 4 3 2 2 4" xfId="32401"/>
    <cellStyle name="20% - Accent5 4 3 2 3" xfId="6695"/>
    <cellStyle name="20% - Accent5 4 3 2 3 2" xfId="23742"/>
    <cellStyle name="20% - Accent5 4 3 2 3 2 2" xfId="52603"/>
    <cellStyle name="20% - Accent5 4 3 2 3 3" xfId="35556"/>
    <cellStyle name="20% - Accent5 4 3 2 4" xfId="12408"/>
    <cellStyle name="20% - Accent5 4 3 2 4 2" xfId="17970"/>
    <cellStyle name="20% - Accent5 4 3 2 4 2 2" xfId="46831"/>
    <cellStyle name="20% - Accent5 4 3 2 4 3" xfId="41269"/>
    <cellStyle name="20% - Accent5 4 3 2 5" xfId="15290"/>
    <cellStyle name="20% - Accent5 4 3 2 5 2" xfId="44151"/>
    <cellStyle name="20% - Accent5 4 3 2 6" xfId="29515"/>
    <cellStyle name="20% - Accent5 4 3 3" xfId="2198"/>
    <cellStyle name="20% - Accent5 4 3 3 2" xfId="5085"/>
    <cellStyle name="20% - Accent5 4 3 3 2 2" xfId="11126"/>
    <cellStyle name="20% - Accent5 4 3 3 2 2 2" xfId="28173"/>
    <cellStyle name="20% - Accent5 4 3 3 2 2 2 2" xfId="57034"/>
    <cellStyle name="20% - Accent5 4 3 3 2 2 3" xfId="39987"/>
    <cellStyle name="20% - Accent5 4 3 3 2 3" xfId="22195"/>
    <cellStyle name="20% - Accent5 4 3 3 2 3 2" xfId="51056"/>
    <cellStyle name="20% - Accent5 4 3 3 2 4" xfId="33946"/>
    <cellStyle name="20% - Accent5 4 3 3 3" xfId="8240"/>
    <cellStyle name="20% - Accent5 4 3 3 3 2" xfId="25287"/>
    <cellStyle name="20% - Accent5 4 3 3 3 2 2" xfId="54148"/>
    <cellStyle name="20% - Accent5 4 3 3 3 3" xfId="37101"/>
    <cellStyle name="20% - Accent5 4 3 3 4" xfId="12401"/>
    <cellStyle name="20% - Accent5 4 3 3 4 2" xfId="19515"/>
    <cellStyle name="20% - Accent5 4 3 3 4 2 2" xfId="48376"/>
    <cellStyle name="20% - Accent5 4 3 3 4 3" xfId="41262"/>
    <cellStyle name="20% - Accent5 4 3 3 5" xfId="16835"/>
    <cellStyle name="20% - Accent5 4 3 3 5 2" xfId="45696"/>
    <cellStyle name="20% - Accent5 4 3 3 6" xfId="31060"/>
    <cellStyle name="20% - Accent5 4 3 4" xfId="3128"/>
    <cellStyle name="20% - Accent5 4 3 4 2" xfId="9169"/>
    <cellStyle name="20% - Accent5 4 3 4 2 2" xfId="26216"/>
    <cellStyle name="20% - Accent5 4 3 4 2 2 2" xfId="55077"/>
    <cellStyle name="20% - Accent5 4 3 4 2 3" xfId="38030"/>
    <cellStyle name="20% - Accent5 4 3 4 3" xfId="20238"/>
    <cellStyle name="20% - Accent5 4 3 4 3 2" xfId="49099"/>
    <cellStyle name="20% - Accent5 4 3 4 4" xfId="31989"/>
    <cellStyle name="20% - Accent5 4 3 5" xfId="6283"/>
    <cellStyle name="20% - Accent5 4 3 5 2" xfId="23330"/>
    <cellStyle name="20% - Accent5 4 3 5 2 2" xfId="52191"/>
    <cellStyle name="20% - Accent5 4 3 5 3" xfId="35144"/>
    <cellStyle name="20% - Accent5 4 3 6" xfId="12585"/>
    <cellStyle name="20% - Accent5 4 3 6 2" xfId="17661"/>
    <cellStyle name="20% - Accent5 4 3 6 2 2" xfId="46522"/>
    <cellStyle name="20% - Accent5 4 3 6 3" xfId="41446"/>
    <cellStyle name="20% - Accent5 4 3 7" xfId="14878"/>
    <cellStyle name="20% - Accent5 4 3 7 2" xfId="43739"/>
    <cellStyle name="20% - Accent5 4 3 8" xfId="29103"/>
    <cellStyle name="20% - Accent5 4 4" xfId="447"/>
    <cellStyle name="20% - Accent5 4 4 2" xfId="3334"/>
    <cellStyle name="20% - Accent5 4 4 2 2" xfId="9375"/>
    <cellStyle name="20% - Accent5 4 4 2 2 2" xfId="26422"/>
    <cellStyle name="20% - Accent5 4 4 2 2 2 2" xfId="55283"/>
    <cellStyle name="20% - Accent5 4 4 2 2 3" xfId="38236"/>
    <cellStyle name="20% - Accent5 4 4 2 3" xfId="20444"/>
    <cellStyle name="20% - Accent5 4 4 2 3 2" xfId="49305"/>
    <cellStyle name="20% - Accent5 4 4 2 4" xfId="32195"/>
    <cellStyle name="20% - Accent5 4 4 3" xfId="6489"/>
    <cellStyle name="20% - Accent5 4 4 3 2" xfId="23536"/>
    <cellStyle name="20% - Accent5 4 4 3 2 2" xfId="52397"/>
    <cellStyle name="20% - Accent5 4 4 3 3" xfId="35350"/>
    <cellStyle name="20% - Accent5 4 4 4" xfId="14381"/>
    <cellStyle name="20% - Accent5 4 4 4 2" xfId="17764"/>
    <cellStyle name="20% - Accent5 4 4 4 2 2" xfId="46625"/>
    <cellStyle name="20% - Accent5 4 4 4 3" xfId="43242"/>
    <cellStyle name="20% - Accent5 4 4 5" xfId="15084"/>
    <cellStyle name="20% - Accent5 4 4 5 2" xfId="43945"/>
    <cellStyle name="20% - Accent5 4 4 6" xfId="29309"/>
    <cellStyle name="20% - Accent5 4 5" xfId="756"/>
    <cellStyle name="20% - Accent5 4 5 2" xfId="3643"/>
    <cellStyle name="20% - Accent5 4 5 2 2" xfId="9684"/>
    <cellStyle name="20% - Accent5 4 5 2 2 2" xfId="26731"/>
    <cellStyle name="20% - Accent5 4 5 2 2 2 2" xfId="55592"/>
    <cellStyle name="20% - Accent5 4 5 2 2 3" xfId="38545"/>
    <cellStyle name="20% - Accent5 4 5 2 3" xfId="20753"/>
    <cellStyle name="20% - Accent5 4 5 2 3 2" xfId="49614"/>
    <cellStyle name="20% - Accent5 4 5 2 4" xfId="32504"/>
    <cellStyle name="20% - Accent5 4 5 3" xfId="6798"/>
    <cellStyle name="20% - Accent5 4 5 3 2" xfId="23845"/>
    <cellStyle name="20% - Accent5 4 5 3 2 2" xfId="52706"/>
    <cellStyle name="20% - Accent5 4 5 3 3" xfId="35659"/>
    <cellStyle name="20% - Accent5 4 5 4" xfId="13573"/>
    <cellStyle name="20% - Accent5 4 5 4 2" xfId="18073"/>
    <cellStyle name="20% - Accent5 4 5 4 2 2" xfId="46934"/>
    <cellStyle name="20% - Accent5 4 5 4 3" xfId="42434"/>
    <cellStyle name="20% - Accent5 4 5 5" xfId="15393"/>
    <cellStyle name="20% - Accent5 4 5 5 2" xfId="44254"/>
    <cellStyle name="20% - Accent5 4 5 6" xfId="29618"/>
    <cellStyle name="20% - Accent5 4 6" xfId="962"/>
    <cellStyle name="20% - Accent5 4 6 2" xfId="3849"/>
    <cellStyle name="20% - Accent5 4 6 2 2" xfId="9890"/>
    <cellStyle name="20% - Accent5 4 6 2 2 2" xfId="26937"/>
    <cellStyle name="20% - Accent5 4 6 2 2 2 2" xfId="55798"/>
    <cellStyle name="20% - Accent5 4 6 2 2 3" xfId="38751"/>
    <cellStyle name="20% - Accent5 4 6 2 3" xfId="20959"/>
    <cellStyle name="20% - Accent5 4 6 2 3 2" xfId="49820"/>
    <cellStyle name="20% - Accent5 4 6 2 4" xfId="32710"/>
    <cellStyle name="20% - Accent5 4 6 3" xfId="7004"/>
    <cellStyle name="20% - Accent5 4 6 3 2" xfId="24051"/>
    <cellStyle name="20% - Accent5 4 6 3 2 2" xfId="52912"/>
    <cellStyle name="20% - Accent5 4 6 3 3" xfId="35865"/>
    <cellStyle name="20% - Accent5 4 6 4" xfId="12884"/>
    <cellStyle name="20% - Accent5 4 6 4 2" xfId="18279"/>
    <cellStyle name="20% - Accent5 4 6 4 2 2" xfId="47140"/>
    <cellStyle name="20% - Accent5 4 6 4 3" xfId="41745"/>
    <cellStyle name="20% - Accent5 4 6 5" xfId="15599"/>
    <cellStyle name="20% - Accent5 4 6 5 2" xfId="44460"/>
    <cellStyle name="20% - Accent5 4 6 6" xfId="29824"/>
    <cellStyle name="20% - Accent5 4 7" xfId="1168"/>
    <cellStyle name="20% - Accent5 4 7 2" xfId="4055"/>
    <cellStyle name="20% - Accent5 4 7 2 2" xfId="10096"/>
    <cellStyle name="20% - Accent5 4 7 2 2 2" xfId="27143"/>
    <cellStyle name="20% - Accent5 4 7 2 2 2 2" xfId="56004"/>
    <cellStyle name="20% - Accent5 4 7 2 2 3" xfId="38957"/>
    <cellStyle name="20% - Accent5 4 7 2 3" xfId="21165"/>
    <cellStyle name="20% - Accent5 4 7 2 3 2" xfId="50026"/>
    <cellStyle name="20% - Accent5 4 7 2 4" xfId="32916"/>
    <cellStyle name="20% - Accent5 4 7 3" xfId="7210"/>
    <cellStyle name="20% - Accent5 4 7 3 2" xfId="24257"/>
    <cellStyle name="20% - Accent5 4 7 3 2 2" xfId="53118"/>
    <cellStyle name="20% - Accent5 4 7 3 3" xfId="36071"/>
    <cellStyle name="20% - Accent5 4 7 4" xfId="12311"/>
    <cellStyle name="20% - Accent5 4 7 4 2" xfId="18485"/>
    <cellStyle name="20% - Accent5 4 7 4 2 2" xfId="47346"/>
    <cellStyle name="20% - Accent5 4 7 4 3" xfId="41172"/>
    <cellStyle name="20% - Accent5 4 7 5" xfId="15805"/>
    <cellStyle name="20% - Accent5 4 7 5 2" xfId="44666"/>
    <cellStyle name="20% - Accent5 4 7 6" xfId="30030"/>
    <cellStyle name="20% - Accent5 4 8" xfId="1374"/>
    <cellStyle name="20% - Accent5 4 8 2" xfId="4261"/>
    <cellStyle name="20% - Accent5 4 8 2 2" xfId="10302"/>
    <cellStyle name="20% - Accent5 4 8 2 2 2" xfId="27349"/>
    <cellStyle name="20% - Accent5 4 8 2 2 2 2" xfId="56210"/>
    <cellStyle name="20% - Accent5 4 8 2 2 3" xfId="39163"/>
    <cellStyle name="20% - Accent5 4 8 2 3" xfId="21371"/>
    <cellStyle name="20% - Accent5 4 8 2 3 2" xfId="50232"/>
    <cellStyle name="20% - Accent5 4 8 2 4" xfId="33122"/>
    <cellStyle name="20% - Accent5 4 8 3" xfId="7416"/>
    <cellStyle name="20% - Accent5 4 8 3 2" xfId="24463"/>
    <cellStyle name="20% - Accent5 4 8 3 2 2" xfId="53324"/>
    <cellStyle name="20% - Accent5 4 8 3 3" xfId="36277"/>
    <cellStyle name="20% - Accent5 4 8 4" xfId="12309"/>
    <cellStyle name="20% - Accent5 4 8 4 2" xfId="18691"/>
    <cellStyle name="20% - Accent5 4 8 4 2 2" xfId="47552"/>
    <cellStyle name="20% - Accent5 4 8 4 3" xfId="41170"/>
    <cellStyle name="20% - Accent5 4 8 5" xfId="16011"/>
    <cellStyle name="20% - Accent5 4 8 5 2" xfId="44872"/>
    <cellStyle name="20% - Accent5 4 8 6" xfId="30236"/>
    <cellStyle name="20% - Accent5 4 9" xfId="1580"/>
    <cellStyle name="20% - Accent5 4 9 2" xfId="4467"/>
    <cellStyle name="20% - Accent5 4 9 2 2" xfId="10508"/>
    <cellStyle name="20% - Accent5 4 9 2 2 2" xfId="27555"/>
    <cellStyle name="20% - Accent5 4 9 2 2 2 2" xfId="56416"/>
    <cellStyle name="20% - Accent5 4 9 2 2 3" xfId="39369"/>
    <cellStyle name="20% - Accent5 4 9 2 3" xfId="21577"/>
    <cellStyle name="20% - Accent5 4 9 2 3 2" xfId="50438"/>
    <cellStyle name="20% - Accent5 4 9 2 4" xfId="33328"/>
    <cellStyle name="20% - Accent5 4 9 3" xfId="7622"/>
    <cellStyle name="20% - Accent5 4 9 3 2" xfId="24669"/>
    <cellStyle name="20% - Accent5 4 9 3 2 2" xfId="53530"/>
    <cellStyle name="20% - Accent5 4 9 3 3" xfId="36483"/>
    <cellStyle name="20% - Accent5 4 9 4" xfId="12888"/>
    <cellStyle name="20% - Accent5 4 9 4 2" xfId="18897"/>
    <cellStyle name="20% - Accent5 4 9 4 2 2" xfId="47758"/>
    <cellStyle name="20% - Accent5 4 9 4 3" xfId="41749"/>
    <cellStyle name="20% - Accent5 4 9 5" xfId="16217"/>
    <cellStyle name="20% - Accent5 4 9 5 2" xfId="45078"/>
    <cellStyle name="20% - Accent5 4 9 6" xfId="30442"/>
    <cellStyle name="20% - Accent5 5" xfId="291"/>
    <cellStyle name="20% - Accent5 5 10" xfId="2454"/>
    <cellStyle name="20% - Accent5 5 10 2" xfId="5341"/>
    <cellStyle name="20% - Accent5 5 10 2 2" xfId="11382"/>
    <cellStyle name="20% - Accent5 5 10 2 2 2" xfId="28429"/>
    <cellStyle name="20% - Accent5 5 10 2 2 2 2" xfId="57290"/>
    <cellStyle name="20% - Accent5 5 10 2 2 3" xfId="40243"/>
    <cellStyle name="20% - Accent5 5 10 2 3" xfId="22451"/>
    <cellStyle name="20% - Accent5 5 10 2 3 2" xfId="51312"/>
    <cellStyle name="20% - Accent5 5 10 2 4" xfId="34202"/>
    <cellStyle name="20% - Accent5 5 10 3" xfId="8496"/>
    <cellStyle name="20% - Accent5 5 10 3 2" xfId="25543"/>
    <cellStyle name="20% - Accent5 5 10 3 2 2" xfId="54404"/>
    <cellStyle name="20% - Accent5 5 10 3 3" xfId="37357"/>
    <cellStyle name="20% - Accent5 5 10 4" xfId="13909"/>
    <cellStyle name="20% - Accent5 5 10 4 2" xfId="19771"/>
    <cellStyle name="20% - Accent5 5 10 4 2 2" xfId="48632"/>
    <cellStyle name="20% - Accent5 5 10 4 3" xfId="42770"/>
    <cellStyle name="20% - Accent5 5 10 5" xfId="17091"/>
    <cellStyle name="20% - Accent5 5 10 5 2" xfId="45952"/>
    <cellStyle name="20% - Accent5 5 10 6" xfId="31316"/>
    <cellStyle name="20% - Accent5 5 11" xfId="2663"/>
    <cellStyle name="20% - Accent5 5 11 2" xfId="5549"/>
    <cellStyle name="20% - Accent5 5 11 2 2" xfId="11590"/>
    <cellStyle name="20% - Accent5 5 11 2 2 2" xfId="28637"/>
    <cellStyle name="20% - Accent5 5 11 2 2 2 2" xfId="57498"/>
    <cellStyle name="20% - Accent5 5 11 2 2 3" xfId="40451"/>
    <cellStyle name="20% - Accent5 5 11 2 3" xfId="22659"/>
    <cellStyle name="20% - Accent5 5 11 2 3 2" xfId="51520"/>
    <cellStyle name="20% - Accent5 5 11 2 4" xfId="34410"/>
    <cellStyle name="20% - Accent5 5 11 3" xfId="8704"/>
    <cellStyle name="20% - Accent5 5 11 3 2" xfId="25751"/>
    <cellStyle name="20% - Accent5 5 11 3 2 2" xfId="54612"/>
    <cellStyle name="20% - Accent5 5 11 3 3" xfId="37565"/>
    <cellStyle name="20% - Accent5 5 11 4" xfId="12864"/>
    <cellStyle name="20% - Accent5 5 11 4 2" xfId="19979"/>
    <cellStyle name="20% - Accent5 5 11 4 2 2" xfId="48840"/>
    <cellStyle name="20% - Accent5 5 11 4 3" xfId="41725"/>
    <cellStyle name="20% - Accent5 5 11 5" xfId="17299"/>
    <cellStyle name="20% - Accent5 5 11 5 2" xfId="46160"/>
    <cellStyle name="20% - Accent5 5 11 6" xfId="31524"/>
    <cellStyle name="20% - Accent5 5 12" xfId="3178"/>
    <cellStyle name="20% - Accent5 5 12 2" xfId="9219"/>
    <cellStyle name="20% - Accent5 5 12 2 2" xfId="26266"/>
    <cellStyle name="20% - Accent5 5 12 2 2 2" xfId="55127"/>
    <cellStyle name="20% - Accent5 5 12 2 3" xfId="38080"/>
    <cellStyle name="20% - Accent5 5 12 3" xfId="12894"/>
    <cellStyle name="20% - Accent5 5 12 3 2" xfId="20288"/>
    <cellStyle name="20% - Accent5 5 12 3 2 2" xfId="49149"/>
    <cellStyle name="20% - Accent5 5 12 3 3" xfId="41755"/>
    <cellStyle name="20% - Accent5 5 12 4" xfId="14928"/>
    <cellStyle name="20% - Accent5 5 12 4 2" xfId="43789"/>
    <cellStyle name="20% - Accent5 5 12 5" xfId="32039"/>
    <cellStyle name="20% - Accent5 5 13" xfId="2869"/>
    <cellStyle name="20% - Accent5 5 13 2" xfId="8910"/>
    <cellStyle name="20% - Accent5 5 13 2 2" xfId="25957"/>
    <cellStyle name="20% - Accent5 5 13 2 2 2" xfId="54818"/>
    <cellStyle name="20% - Accent5 5 13 2 3" xfId="37771"/>
    <cellStyle name="20% - Accent5 5 13 3" xfId="17505"/>
    <cellStyle name="20% - Accent5 5 13 3 2" xfId="46366"/>
    <cellStyle name="20% - Accent5 5 13 4" xfId="31730"/>
    <cellStyle name="20% - Accent5 5 14" xfId="5755"/>
    <cellStyle name="20% - Accent5 5 14 2" xfId="11796"/>
    <cellStyle name="20% - Accent5 5 14 2 2" xfId="28843"/>
    <cellStyle name="20% - Accent5 5 14 2 2 2" xfId="57704"/>
    <cellStyle name="20% - Accent5 5 14 2 3" xfId="40657"/>
    <cellStyle name="20% - Accent5 5 14 3" xfId="22865"/>
    <cellStyle name="20% - Accent5 5 14 3 2" xfId="51726"/>
    <cellStyle name="20% - Accent5 5 14 4" xfId="34616"/>
    <cellStyle name="20% - Accent5 5 15" xfId="5972"/>
    <cellStyle name="20% - Accent5 5 15 2" xfId="23071"/>
    <cellStyle name="20% - Accent5 5 15 2 2" xfId="51932"/>
    <cellStyle name="20% - Accent5 5 15 3" xfId="34833"/>
    <cellStyle name="20% - Accent5 5 16" xfId="6333"/>
    <cellStyle name="20% - Accent5 5 16 2" xfId="23380"/>
    <cellStyle name="20% - Accent5 5 16 2 2" xfId="52241"/>
    <cellStyle name="20% - Accent5 5 16 3" xfId="35194"/>
    <cellStyle name="20% - Accent5 5 17" xfId="14619"/>
    <cellStyle name="20% - Accent5 5 17 2" xfId="43480"/>
    <cellStyle name="20% - Accent5 5 18" xfId="29153"/>
    <cellStyle name="20% - Accent5 5 2" xfId="497"/>
    <cellStyle name="20% - Accent5 5 2 2" xfId="2248"/>
    <cellStyle name="20% - Accent5 5 2 2 2" xfId="5135"/>
    <cellStyle name="20% - Accent5 5 2 2 2 2" xfId="11176"/>
    <cellStyle name="20% - Accent5 5 2 2 2 2 2" xfId="28223"/>
    <cellStyle name="20% - Accent5 5 2 2 2 2 2 2" xfId="57084"/>
    <cellStyle name="20% - Accent5 5 2 2 2 2 3" xfId="40037"/>
    <cellStyle name="20% - Accent5 5 2 2 2 3" xfId="22245"/>
    <cellStyle name="20% - Accent5 5 2 2 2 3 2" xfId="51106"/>
    <cellStyle name="20% - Accent5 5 2 2 2 4" xfId="33996"/>
    <cellStyle name="20% - Accent5 5 2 2 3" xfId="8290"/>
    <cellStyle name="20% - Accent5 5 2 2 3 2" xfId="25337"/>
    <cellStyle name="20% - Accent5 5 2 2 3 2 2" xfId="54198"/>
    <cellStyle name="20% - Accent5 5 2 2 3 3" xfId="37151"/>
    <cellStyle name="20% - Accent5 5 2 2 4" xfId="12303"/>
    <cellStyle name="20% - Accent5 5 2 2 4 2" xfId="19565"/>
    <cellStyle name="20% - Accent5 5 2 2 4 2 2" xfId="48426"/>
    <cellStyle name="20% - Accent5 5 2 2 4 3" xfId="41164"/>
    <cellStyle name="20% - Accent5 5 2 2 5" xfId="16885"/>
    <cellStyle name="20% - Accent5 5 2 2 5 2" xfId="45746"/>
    <cellStyle name="20% - Accent5 5 2 2 6" xfId="31110"/>
    <cellStyle name="20% - Accent5 5 2 3" xfId="3384"/>
    <cellStyle name="20% - Accent5 5 2 3 2" xfId="9425"/>
    <cellStyle name="20% - Accent5 5 2 3 2 2" xfId="26472"/>
    <cellStyle name="20% - Accent5 5 2 3 2 2 2" xfId="55333"/>
    <cellStyle name="20% - Accent5 5 2 3 2 3" xfId="38286"/>
    <cellStyle name="20% - Accent5 5 2 3 3" xfId="20494"/>
    <cellStyle name="20% - Accent5 5 2 3 3 2" xfId="49355"/>
    <cellStyle name="20% - Accent5 5 2 3 4" xfId="32245"/>
    <cellStyle name="20% - Accent5 5 2 4" xfId="6539"/>
    <cellStyle name="20% - Accent5 5 2 4 2" xfId="23586"/>
    <cellStyle name="20% - Accent5 5 2 4 2 2" xfId="52447"/>
    <cellStyle name="20% - Accent5 5 2 4 3" xfId="35400"/>
    <cellStyle name="20% - Accent5 5 2 5" xfId="13957"/>
    <cellStyle name="20% - Accent5 5 2 5 2" xfId="17814"/>
    <cellStyle name="20% - Accent5 5 2 5 2 2" xfId="46675"/>
    <cellStyle name="20% - Accent5 5 2 5 3" xfId="42818"/>
    <cellStyle name="20% - Accent5 5 2 6" xfId="15134"/>
    <cellStyle name="20% - Accent5 5 2 6 2" xfId="43995"/>
    <cellStyle name="20% - Accent5 5 2 7" xfId="29359"/>
    <cellStyle name="20% - Accent5 5 3" xfId="806"/>
    <cellStyle name="20% - Accent5 5 3 2" xfId="3693"/>
    <cellStyle name="20% - Accent5 5 3 2 2" xfId="9734"/>
    <cellStyle name="20% - Accent5 5 3 2 2 2" xfId="26781"/>
    <cellStyle name="20% - Accent5 5 3 2 2 2 2" xfId="55642"/>
    <cellStyle name="20% - Accent5 5 3 2 2 3" xfId="38595"/>
    <cellStyle name="20% - Accent5 5 3 2 3" xfId="20803"/>
    <cellStyle name="20% - Accent5 5 3 2 3 2" xfId="49664"/>
    <cellStyle name="20% - Accent5 5 3 2 4" xfId="32554"/>
    <cellStyle name="20% - Accent5 5 3 3" xfId="6848"/>
    <cellStyle name="20% - Accent5 5 3 3 2" xfId="23895"/>
    <cellStyle name="20% - Accent5 5 3 3 2 2" xfId="52756"/>
    <cellStyle name="20% - Accent5 5 3 3 3" xfId="35709"/>
    <cellStyle name="20% - Accent5 5 3 4" xfId="11907"/>
    <cellStyle name="20% - Accent5 5 3 4 2" xfId="18123"/>
    <cellStyle name="20% - Accent5 5 3 4 2 2" xfId="46984"/>
    <cellStyle name="20% - Accent5 5 3 4 3" xfId="40768"/>
    <cellStyle name="20% - Accent5 5 3 5" xfId="15443"/>
    <cellStyle name="20% - Accent5 5 3 5 2" xfId="44304"/>
    <cellStyle name="20% - Accent5 5 3 6" xfId="29668"/>
    <cellStyle name="20% - Accent5 5 4" xfId="1012"/>
    <cellStyle name="20% - Accent5 5 4 2" xfId="3899"/>
    <cellStyle name="20% - Accent5 5 4 2 2" xfId="9940"/>
    <cellStyle name="20% - Accent5 5 4 2 2 2" xfId="26987"/>
    <cellStyle name="20% - Accent5 5 4 2 2 2 2" xfId="55848"/>
    <cellStyle name="20% - Accent5 5 4 2 2 3" xfId="38801"/>
    <cellStyle name="20% - Accent5 5 4 2 3" xfId="21009"/>
    <cellStyle name="20% - Accent5 5 4 2 3 2" xfId="49870"/>
    <cellStyle name="20% - Accent5 5 4 2 4" xfId="32760"/>
    <cellStyle name="20% - Accent5 5 4 3" xfId="7054"/>
    <cellStyle name="20% - Accent5 5 4 3 2" xfId="24101"/>
    <cellStyle name="20% - Accent5 5 4 3 2 2" xfId="52962"/>
    <cellStyle name="20% - Accent5 5 4 3 3" xfId="35915"/>
    <cellStyle name="20% - Accent5 5 4 4" xfId="12486"/>
    <cellStyle name="20% - Accent5 5 4 4 2" xfId="18329"/>
    <cellStyle name="20% - Accent5 5 4 4 2 2" xfId="47190"/>
    <cellStyle name="20% - Accent5 5 4 4 3" xfId="41347"/>
    <cellStyle name="20% - Accent5 5 4 5" xfId="15649"/>
    <cellStyle name="20% - Accent5 5 4 5 2" xfId="44510"/>
    <cellStyle name="20% - Accent5 5 4 6" xfId="29874"/>
    <cellStyle name="20% - Accent5 5 5" xfId="1218"/>
    <cellStyle name="20% - Accent5 5 5 2" xfId="4105"/>
    <cellStyle name="20% - Accent5 5 5 2 2" xfId="10146"/>
    <cellStyle name="20% - Accent5 5 5 2 2 2" xfId="27193"/>
    <cellStyle name="20% - Accent5 5 5 2 2 2 2" xfId="56054"/>
    <cellStyle name="20% - Accent5 5 5 2 2 3" xfId="39007"/>
    <cellStyle name="20% - Accent5 5 5 2 3" xfId="21215"/>
    <cellStyle name="20% - Accent5 5 5 2 3 2" xfId="50076"/>
    <cellStyle name="20% - Accent5 5 5 2 4" xfId="32966"/>
    <cellStyle name="20% - Accent5 5 5 3" xfId="7260"/>
    <cellStyle name="20% - Accent5 5 5 3 2" xfId="24307"/>
    <cellStyle name="20% - Accent5 5 5 3 2 2" xfId="53168"/>
    <cellStyle name="20% - Accent5 5 5 3 3" xfId="36121"/>
    <cellStyle name="20% - Accent5 5 5 4" xfId="14292"/>
    <cellStyle name="20% - Accent5 5 5 4 2" xfId="18535"/>
    <cellStyle name="20% - Accent5 5 5 4 2 2" xfId="47396"/>
    <cellStyle name="20% - Accent5 5 5 4 3" xfId="43153"/>
    <cellStyle name="20% - Accent5 5 5 5" xfId="15855"/>
    <cellStyle name="20% - Accent5 5 5 5 2" xfId="44716"/>
    <cellStyle name="20% - Accent5 5 5 6" xfId="30080"/>
    <cellStyle name="20% - Accent5 5 6" xfId="1424"/>
    <cellStyle name="20% - Accent5 5 6 2" xfId="4311"/>
    <cellStyle name="20% - Accent5 5 6 2 2" xfId="10352"/>
    <cellStyle name="20% - Accent5 5 6 2 2 2" xfId="27399"/>
    <cellStyle name="20% - Accent5 5 6 2 2 2 2" xfId="56260"/>
    <cellStyle name="20% - Accent5 5 6 2 2 3" xfId="39213"/>
    <cellStyle name="20% - Accent5 5 6 2 3" xfId="21421"/>
    <cellStyle name="20% - Accent5 5 6 2 3 2" xfId="50282"/>
    <cellStyle name="20% - Accent5 5 6 2 4" xfId="33172"/>
    <cellStyle name="20% - Accent5 5 6 3" xfId="7466"/>
    <cellStyle name="20% - Accent5 5 6 3 2" xfId="24513"/>
    <cellStyle name="20% - Accent5 5 6 3 2 2" xfId="53374"/>
    <cellStyle name="20% - Accent5 5 6 3 3" xfId="36327"/>
    <cellStyle name="20% - Accent5 5 6 4" xfId="12412"/>
    <cellStyle name="20% - Accent5 5 6 4 2" xfId="18741"/>
    <cellStyle name="20% - Accent5 5 6 4 2 2" xfId="47602"/>
    <cellStyle name="20% - Accent5 5 6 4 3" xfId="41273"/>
    <cellStyle name="20% - Accent5 5 6 5" xfId="16061"/>
    <cellStyle name="20% - Accent5 5 6 5 2" xfId="44922"/>
    <cellStyle name="20% - Accent5 5 6 6" xfId="30286"/>
    <cellStyle name="20% - Accent5 5 7" xfId="1630"/>
    <cellStyle name="20% - Accent5 5 7 2" xfId="4517"/>
    <cellStyle name="20% - Accent5 5 7 2 2" xfId="10558"/>
    <cellStyle name="20% - Accent5 5 7 2 2 2" xfId="27605"/>
    <cellStyle name="20% - Accent5 5 7 2 2 2 2" xfId="56466"/>
    <cellStyle name="20% - Accent5 5 7 2 2 3" xfId="39419"/>
    <cellStyle name="20% - Accent5 5 7 2 3" xfId="21627"/>
    <cellStyle name="20% - Accent5 5 7 2 3 2" xfId="50488"/>
    <cellStyle name="20% - Accent5 5 7 2 4" xfId="33378"/>
    <cellStyle name="20% - Accent5 5 7 3" xfId="7672"/>
    <cellStyle name="20% - Accent5 5 7 3 2" xfId="24719"/>
    <cellStyle name="20% - Accent5 5 7 3 2 2" xfId="53580"/>
    <cellStyle name="20% - Accent5 5 7 3 3" xfId="36533"/>
    <cellStyle name="20% - Accent5 5 7 4" xfId="13949"/>
    <cellStyle name="20% - Accent5 5 7 4 2" xfId="18947"/>
    <cellStyle name="20% - Accent5 5 7 4 2 2" xfId="47808"/>
    <cellStyle name="20% - Accent5 5 7 4 3" xfId="42810"/>
    <cellStyle name="20% - Accent5 5 7 5" xfId="16267"/>
    <cellStyle name="20% - Accent5 5 7 5 2" xfId="45128"/>
    <cellStyle name="20% - Accent5 5 7 6" xfId="30492"/>
    <cellStyle name="20% - Accent5 5 8" xfId="1836"/>
    <cellStyle name="20% - Accent5 5 8 2" xfId="4723"/>
    <cellStyle name="20% - Accent5 5 8 2 2" xfId="10764"/>
    <cellStyle name="20% - Accent5 5 8 2 2 2" xfId="27811"/>
    <cellStyle name="20% - Accent5 5 8 2 2 2 2" xfId="56672"/>
    <cellStyle name="20% - Accent5 5 8 2 2 3" xfId="39625"/>
    <cellStyle name="20% - Accent5 5 8 2 3" xfId="21833"/>
    <cellStyle name="20% - Accent5 5 8 2 3 2" xfId="50694"/>
    <cellStyle name="20% - Accent5 5 8 2 4" xfId="33584"/>
    <cellStyle name="20% - Accent5 5 8 3" xfId="7878"/>
    <cellStyle name="20% - Accent5 5 8 3 2" xfId="24925"/>
    <cellStyle name="20% - Accent5 5 8 3 2 2" xfId="53786"/>
    <cellStyle name="20% - Accent5 5 8 3 3" xfId="36739"/>
    <cellStyle name="20% - Accent5 5 8 4" xfId="13557"/>
    <cellStyle name="20% - Accent5 5 8 4 2" xfId="19153"/>
    <cellStyle name="20% - Accent5 5 8 4 2 2" xfId="48014"/>
    <cellStyle name="20% - Accent5 5 8 4 3" xfId="42418"/>
    <cellStyle name="20% - Accent5 5 8 5" xfId="16473"/>
    <cellStyle name="20% - Accent5 5 8 5 2" xfId="45334"/>
    <cellStyle name="20% - Accent5 5 8 6" xfId="30698"/>
    <cellStyle name="20% - Accent5 5 9" xfId="2042"/>
    <cellStyle name="20% - Accent5 5 9 2" xfId="4929"/>
    <cellStyle name="20% - Accent5 5 9 2 2" xfId="10970"/>
    <cellStyle name="20% - Accent5 5 9 2 2 2" xfId="28017"/>
    <cellStyle name="20% - Accent5 5 9 2 2 2 2" xfId="56878"/>
    <cellStyle name="20% - Accent5 5 9 2 2 3" xfId="39831"/>
    <cellStyle name="20% - Accent5 5 9 2 3" xfId="22039"/>
    <cellStyle name="20% - Accent5 5 9 2 3 2" xfId="50900"/>
    <cellStyle name="20% - Accent5 5 9 2 4" xfId="33790"/>
    <cellStyle name="20% - Accent5 5 9 3" xfId="8084"/>
    <cellStyle name="20% - Accent5 5 9 3 2" xfId="25131"/>
    <cellStyle name="20% - Accent5 5 9 3 2 2" xfId="53992"/>
    <cellStyle name="20% - Accent5 5 9 3 3" xfId="36945"/>
    <cellStyle name="20% - Accent5 5 9 4" xfId="13657"/>
    <cellStyle name="20% - Accent5 5 9 4 2" xfId="19359"/>
    <cellStyle name="20% - Accent5 5 9 4 2 2" xfId="48220"/>
    <cellStyle name="20% - Accent5 5 9 4 3" xfId="42518"/>
    <cellStyle name="20% - Accent5 5 9 5" xfId="16679"/>
    <cellStyle name="20% - Accent5 5 9 5 2" xfId="45540"/>
    <cellStyle name="20% - Accent5 5 9 6" xfId="30904"/>
    <cellStyle name="20% - Accent5 6" xfId="188"/>
    <cellStyle name="20% - Accent5 6 2" xfId="600"/>
    <cellStyle name="20% - Accent5 6 2 2" xfId="3487"/>
    <cellStyle name="20% - Accent5 6 2 2 2" xfId="9528"/>
    <cellStyle name="20% - Accent5 6 2 2 2 2" xfId="26575"/>
    <cellStyle name="20% - Accent5 6 2 2 2 2 2" xfId="55436"/>
    <cellStyle name="20% - Accent5 6 2 2 2 3" xfId="38389"/>
    <cellStyle name="20% - Accent5 6 2 2 3" xfId="20597"/>
    <cellStyle name="20% - Accent5 6 2 2 3 2" xfId="49458"/>
    <cellStyle name="20% - Accent5 6 2 2 4" xfId="32348"/>
    <cellStyle name="20% - Accent5 6 2 3" xfId="6642"/>
    <cellStyle name="20% - Accent5 6 2 3 2" xfId="23689"/>
    <cellStyle name="20% - Accent5 6 2 3 2 2" xfId="52550"/>
    <cellStyle name="20% - Accent5 6 2 3 3" xfId="35503"/>
    <cellStyle name="20% - Accent5 6 2 4" xfId="12642"/>
    <cellStyle name="20% - Accent5 6 2 4 2" xfId="17917"/>
    <cellStyle name="20% - Accent5 6 2 4 2 2" xfId="46778"/>
    <cellStyle name="20% - Accent5 6 2 4 3" xfId="41503"/>
    <cellStyle name="20% - Accent5 6 2 5" xfId="15237"/>
    <cellStyle name="20% - Accent5 6 2 5 2" xfId="44098"/>
    <cellStyle name="20% - Accent5 6 2 6" xfId="29462"/>
    <cellStyle name="20% - Accent5 6 3" xfId="2145"/>
    <cellStyle name="20% - Accent5 6 3 2" xfId="5032"/>
    <cellStyle name="20% - Accent5 6 3 2 2" xfId="11073"/>
    <cellStyle name="20% - Accent5 6 3 2 2 2" xfId="28120"/>
    <cellStyle name="20% - Accent5 6 3 2 2 2 2" xfId="56981"/>
    <cellStyle name="20% - Accent5 6 3 2 2 3" xfId="39934"/>
    <cellStyle name="20% - Accent5 6 3 2 3" xfId="22142"/>
    <cellStyle name="20% - Accent5 6 3 2 3 2" xfId="51003"/>
    <cellStyle name="20% - Accent5 6 3 2 4" xfId="33893"/>
    <cellStyle name="20% - Accent5 6 3 3" xfId="8187"/>
    <cellStyle name="20% - Accent5 6 3 3 2" xfId="25234"/>
    <cellStyle name="20% - Accent5 6 3 3 2 2" xfId="54095"/>
    <cellStyle name="20% - Accent5 6 3 3 3" xfId="37048"/>
    <cellStyle name="20% - Accent5 6 3 4" xfId="13161"/>
    <cellStyle name="20% - Accent5 6 3 4 2" xfId="19462"/>
    <cellStyle name="20% - Accent5 6 3 4 2 2" xfId="48323"/>
    <cellStyle name="20% - Accent5 6 3 4 3" xfId="42022"/>
    <cellStyle name="20% - Accent5 6 3 5" xfId="16782"/>
    <cellStyle name="20% - Accent5 6 3 5 2" xfId="45643"/>
    <cellStyle name="20% - Accent5 6 3 6" xfId="31007"/>
    <cellStyle name="20% - Accent5 6 4" xfId="3075"/>
    <cellStyle name="20% - Accent5 6 4 2" xfId="9116"/>
    <cellStyle name="20% - Accent5 6 4 2 2" xfId="26163"/>
    <cellStyle name="20% - Accent5 6 4 2 2 2" xfId="55024"/>
    <cellStyle name="20% - Accent5 6 4 2 3" xfId="37977"/>
    <cellStyle name="20% - Accent5 6 4 3" xfId="20185"/>
    <cellStyle name="20% - Accent5 6 4 3 2" xfId="49046"/>
    <cellStyle name="20% - Accent5 6 4 4" xfId="31936"/>
    <cellStyle name="20% - Accent5 6 5" xfId="6230"/>
    <cellStyle name="20% - Accent5 6 5 2" xfId="23277"/>
    <cellStyle name="20% - Accent5 6 5 2 2" xfId="52138"/>
    <cellStyle name="20% - Accent5 6 5 3" xfId="35091"/>
    <cellStyle name="20% - Accent5 6 6" xfId="6080"/>
    <cellStyle name="20% - Accent5 6 6 2" xfId="17608"/>
    <cellStyle name="20% - Accent5 6 6 2 2" xfId="46469"/>
    <cellStyle name="20% - Accent5 6 6 3" xfId="34941"/>
    <cellStyle name="20% - Accent5 6 7" xfId="14825"/>
    <cellStyle name="20% - Accent5 6 7 2" xfId="43686"/>
    <cellStyle name="20% - Accent5 6 8" xfId="29050"/>
    <cellStyle name="20% - Accent5 7" xfId="394"/>
    <cellStyle name="20% - Accent5 7 2" xfId="3281"/>
    <cellStyle name="20% - Accent5 7 2 2" xfId="9322"/>
    <cellStyle name="20% - Accent5 7 2 2 2" xfId="26369"/>
    <cellStyle name="20% - Accent5 7 2 2 2 2" xfId="55230"/>
    <cellStyle name="20% - Accent5 7 2 2 3" xfId="38183"/>
    <cellStyle name="20% - Accent5 7 2 3" xfId="20391"/>
    <cellStyle name="20% - Accent5 7 2 3 2" xfId="49252"/>
    <cellStyle name="20% - Accent5 7 2 4" xfId="32142"/>
    <cellStyle name="20% - Accent5 7 3" xfId="6436"/>
    <cellStyle name="20% - Accent5 7 3 2" xfId="23483"/>
    <cellStyle name="20% - Accent5 7 3 2 2" xfId="52344"/>
    <cellStyle name="20% - Accent5 7 3 3" xfId="35297"/>
    <cellStyle name="20% - Accent5 7 4" xfId="13476"/>
    <cellStyle name="20% - Accent5 7 4 2" xfId="17711"/>
    <cellStyle name="20% - Accent5 7 4 2 2" xfId="46572"/>
    <cellStyle name="20% - Accent5 7 4 3" xfId="42337"/>
    <cellStyle name="20% - Accent5 7 5" xfId="15031"/>
    <cellStyle name="20% - Accent5 7 5 2" xfId="43892"/>
    <cellStyle name="20% - Accent5 7 6" xfId="29256"/>
    <cellStyle name="20% - Accent5 8" xfId="703"/>
    <cellStyle name="20% - Accent5 8 2" xfId="3590"/>
    <cellStyle name="20% - Accent5 8 2 2" xfId="9631"/>
    <cellStyle name="20% - Accent5 8 2 2 2" xfId="26678"/>
    <cellStyle name="20% - Accent5 8 2 2 2 2" xfId="55539"/>
    <cellStyle name="20% - Accent5 8 2 2 3" xfId="38492"/>
    <cellStyle name="20% - Accent5 8 2 3" xfId="20700"/>
    <cellStyle name="20% - Accent5 8 2 3 2" xfId="49561"/>
    <cellStyle name="20% - Accent5 8 2 4" xfId="32451"/>
    <cellStyle name="20% - Accent5 8 3" xfId="6745"/>
    <cellStyle name="20% - Accent5 8 3 2" xfId="23792"/>
    <cellStyle name="20% - Accent5 8 3 2 2" xfId="52653"/>
    <cellStyle name="20% - Accent5 8 3 3" xfId="35606"/>
    <cellStyle name="20% - Accent5 8 4" xfId="13465"/>
    <cellStyle name="20% - Accent5 8 4 2" xfId="18020"/>
    <cellStyle name="20% - Accent5 8 4 2 2" xfId="46881"/>
    <cellStyle name="20% - Accent5 8 4 3" xfId="42326"/>
    <cellStyle name="20% - Accent5 8 5" xfId="15340"/>
    <cellStyle name="20% - Accent5 8 5 2" xfId="44201"/>
    <cellStyle name="20% - Accent5 8 6" xfId="29565"/>
    <cellStyle name="20% - Accent5 9" xfId="909"/>
    <cellStyle name="20% - Accent5 9 2" xfId="3796"/>
    <cellStyle name="20% - Accent5 9 2 2" xfId="9837"/>
    <cellStyle name="20% - Accent5 9 2 2 2" xfId="26884"/>
    <cellStyle name="20% - Accent5 9 2 2 2 2" xfId="55745"/>
    <cellStyle name="20% - Accent5 9 2 2 3" xfId="38698"/>
    <cellStyle name="20% - Accent5 9 2 3" xfId="20906"/>
    <cellStyle name="20% - Accent5 9 2 3 2" xfId="49767"/>
    <cellStyle name="20% - Accent5 9 2 4" xfId="32657"/>
    <cellStyle name="20% - Accent5 9 3" xfId="6951"/>
    <cellStyle name="20% - Accent5 9 3 2" xfId="23998"/>
    <cellStyle name="20% - Accent5 9 3 2 2" xfId="52859"/>
    <cellStyle name="20% - Accent5 9 3 3" xfId="35812"/>
    <cellStyle name="20% - Accent5 9 4" xfId="12663"/>
    <cellStyle name="20% - Accent5 9 4 2" xfId="18226"/>
    <cellStyle name="20% - Accent5 9 4 2 2" xfId="47087"/>
    <cellStyle name="20% - Accent5 9 4 3" xfId="41524"/>
    <cellStyle name="20% - Accent5 9 5" xfId="15546"/>
    <cellStyle name="20% - Accent5 9 5 2" xfId="44407"/>
    <cellStyle name="20% - Accent5 9 6" xfId="29771"/>
    <cellStyle name="20% - Accent6" xfId="86" builtinId="50" customBuiltin="1"/>
    <cellStyle name="20% - Accent6 10" xfId="1117"/>
    <cellStyle name="20% - Accent6 10 2" xfId="4004"/>
    <cellStyle name="20% - Accent6 10 2 2" xfId="10045"/>
    <cellStyle name="20% - Accent6 10 2 2 2" xfId="27092"/>
    <cellStyle name="20% - Accent6 10 2 2 2 2" xfId="55953"/>
    <cellStyle name="20% - Accent6 10 2 2 3" xfId="38906"/>
    <cellStyle name="20% - Accent6 10 2 3" xfId="21114"/>
    <cellStyle name="20% - Accent6 10 2 3 2" xfId="49975"/>
    <cellStyle name="20% - Accent6 10 2 4" xfId="32865"/>
    <cellStyle name="20% - Accent6 10 3" xfId="7159"/>
    <cellStyle name="20% - Accent6 10 3 2" xfId="24206"/>
    <cellStyle name="20% - Accent6 10 3 2 2" xfId="53067"/>
    <cellStyle name="20% - Accent6 10 3 3" xfId="36020"/>
    <cellStyle name="20% - Accent6 10 4" xfId="12767"/>
    <cellStyle name="20% - Accent6 10 4 2" xfId="18434"/>
    <cellStyle name="20% - Accent6 10 4 2 2" xfId="47295"/>
    <cellStyle name="20% - Accent6 10 4 3" xfId="41628"/>
    <cellStyle name="20% - Accent6 10 5" xfId="15754"/>
    <cellStyle name="20% - Accent6 10 5 2" xfId="44615"/>
    <cellStyle name="20% - Accent6 10 6" xfId="29979"/>
    <cellStyle name="20% - Accent6 11" xfId="1323"/>
    <cellStyle name="20% - Accent6 11 2" xfId="4210"/>
    <cellStyle name="20% - Accent6 11 2 2" xfId="10251"/>
    <cellStyle name="20% - Accent6 11 2 2 2" xfId="27298"/>
    <cellStyle name="20% - Accent6 11 2 2 2 2" xfId="56159"/>
    <cellStyle name="20% - Accent6 11 2 2 3" xfId="39112"/>
    <cellStyle name="20% - Accent6 11 2 3" xfId="21320"/>
    <cellStyle name="20% - Accent6 11 2 3 2" xfId="50181"/>
    <cellStyle name="20% - Accent6 11 2 4" xfId="33071"/>
    <cellStyle name="20% - Accent6 11 3" xfId="7365"/>
    <cellStyle name="20% - Accent6 11 3 2" xfId="24412"/>
    <cellStyle name="20% - Accent6 11 3 2 2" xfId="53273"/>
    <cellStyle name="20% - Accent6 11 3 3" xfId="36226"/>
    <cellStyle name="20% - Accent6 11 4" xfId="13206"/>
    <cellStyle name="20% - Accent6 11 4 2" xfId="18640"/>
    <cellStyle name="20% - Accent6 11 4 2 2" xfId="47501"/>
    <cellStyle name="20% - Accent6 11 4 3" xfId="42067"/>
    <cellStyle name="20% - Accent6 11 5" xfId="15960"/>
    <cellStyle name="20% - Accent6 11 5 2" xfId="44821"/>
    <cellStyle name="20% - Accent6 11 6" xfId="30185"/>
    <cellStyle name="20% - Accent6 12" xfId="1529"/>
    <cellStyle name="20% - Accent6 12 2" xfId="4416"/>
    <cellStyle name="20% - Accent6 12 2 2" xfId="10457"/>
    <cellStyle name="20% - Accent6 12 2 2 2" xfId="27504"/>
    <cellStyle name="20% - Accent6 12 2 2 2 2" xfId="56365"/>
    <cellStyle name="20% - Accent6 12 2 2 3" xfId="39318"/>
    <cellStyle name="20% - Accent6 12 2 3" xfId="21526"/>
    <cellStyle name="20% - Accent6 12 2 3 2" xfId="50387"/>
    <cellStyle name="20% - Accent6 12 2 4" xfId="33277"/>
    <cellStyle name="20% - Accent6 12 3" xfId="7571"/>
    <cellStyle name="20% - Accent6 12 3 2" xfId="24618"/>
    <cellStyle name="20% - Accent6 12 3 2 2" xfId="53479"/>
    <cellStyle name="20% - Accent6 12 3 3" xfId="36432"/>
    <cellStyle name="20% - Accent6 12 4" xfId="14154"/>
    <cellStyle name="20% - Accent6 12 4 2" xfId="18846"/>
    <cellStyle name="20% - Accent6 12 4 2 2" xfId="47707"/>
    <cellStyle name="20% - Accent6 12 4 3" xfId="43015"/>
    <cellStyle name="20% - Accent6 12 5" xfId="16166"/>
    <cellStyle name="20% - Accent6 12 5 2" xfId="45027"/>
    <cellStyle name="20% - Accent6 12 6" xfId="30391"/>
    <cellStyle name="20% - Accent6 13" xfId="1735"/>
    <cellStyle name="20% - Accent6 13 2" xfId="4622"/>
    <cellStyle name="20% - Accent6 13 2 2" xfId="10663"/>
    <cellStyle name="20% - Accent6 13 2 2 2" xfId="27710"/>
    <cellStyle name="20% - Accent6 13 2 2 2 2" xfId="56571"/>
    <cellStyle name="20% - Accent6 13 2 2 3" xfId="39524"/>
    <cellStyle name="20% - Accent6 13 2 3" xfId="21732"/>
    <cellStyle name="20% - Accent6 13 2 3 2" xfId="50593"/>
    <cellStyle name="20% - Accent6 13 2 4" xfId="33483"/>
    <cellStyle name="20% - Accent6 13 3" xfId="7777"/>
    <cellStyle name="20% - Accent6 13 3 2" xfId="24824"/>
    <cellStyle name="20% - Accent6 13 3 2 2" xfId="53685"/>
    <cellStyle name="20% - Accent6 13 3 3" xfId="36638"/>
    <cellStyle name="20% - Accent6 13 4" xfId="6070"/>
    <cellStyle name="20% - Accent6 13 4 2" xfId="19052"/>
    <cellStyle name="20% - Accent6 13 4 2 2" xfId="47913"/>
    <cellStyle name="20% - Accent6 13 4 3" xfId="34931"/>
    <cellStyle name="20% - Accent6 13 5" xfId="16372"/>
    <cellStyle name="20% - Accent6 13 5 2" xfId="45233"/>
    <cellStyle name="20% - Accent6 13 6" xfId="30597"/>
    <cellStyle name="20% - Accent6 14" xfId="1941"/>
    <cellStyle name="20% - Accent6 14 2" xfId="4828"/>
    <cellStyle name="20% - Accent6 14 2 2" xfId="10869"/>
    <cellStyle name="20% - Accent6 14 2 2 2" xfId="27916"/>
    <cellStyle name="20% - Accent6 14 2 2 2 2" xfId="56777"/>
    <cellStyle name="20% - Accent6 14 2 2 3" xfId="39730"/>
    <cellStyle name="20% - Accent6 14 2 3" xfId="21938"/>
    <cellStyle name="20% - Accent6 14 2 3 2" xfId="50799"/>
    <cellStyle name="20% - Accent6 14 2 4" xfId="33689"/>
    <cellStyle name="20% - Accent6 14 3" xfId="7983"/>
    <cellStyle name="20% - Accent6 14 3 2" xfId="25030"/>
    <cellStyle name="20% - Accent6 14 3 2 2" xfId="53891"/>
    <cellStyle name="20% - Accent6 14 3 3" xfId="36844"/>
    <cellStyle name="20% - Accent6 14 4" xfId="11885"/>
    <cellStyle name="20% - Accent6 14 4 2" xfId="19258"/>
    <cellStyle name="20% - Accent6 14 4 2 2" xfId="48119"/>
    <cellStyle name="20% - Accent6 14 4 3" xfId="40746"/>
    <cellStyle name="20% - Accent6 14 5" xfId="16578"/>
    <cellStyle name="20% - Accent6 14 5 2" xfId="45439"/>
    <cellStyle name="20% - Accent6 14 6" xfId="30803"/>
    <cellStyle name="20% - Accent6 15" xfId="2353"/>
    <cellStyle name="20% - Accent6 15 2" xfId="5240"/>
    <cellStyle name="20% - Accent6 15 2 2" xfId="11281"/>
    <cellStyle name="20% - Accent6 15 2 2 2" xfId="28328"/>
    <cellStyle name="20% - Accent6 15 2 2 2 2" xfId="57189"/>
    <cellStyle name="20% - Accent6 15 2 2 3" xfId="40142"/>
    <cellStyle name="20% - Accent6 15 2 3" xfId="22350"/>
    <cellStyle name="20% - Accent6 15 2 3 2" xfId="51211"/>
    <cellStyle name="20% - Accent6 15 2 4" xfId="34101"/>
    <cellStyle name="20% - Accent6 15 3" xfId="8395"/>
    <cellStyle name="20% - Accent6 15 3 2" xfId="25442"/>
    <cellStyle name="20% - Accent6 15 3 2 2" xfId="54303"/>
    <cellStyle name="20% - Accent6 15 3 3" xfId="37256"/>
    <cellStyle name="20% - Accent6 15 4" xfId="12390"/>
    <cellStyle name="20% - Accent6 15 4 2" xfId="19670"/>
    <cellStyle name="20% - Accent6 15 4 2 2" xfId="48531"/>
    <cellStyle name="20% - Accent6 15 4 3" xfId="41251"/>
    <cellStyle name="20% - Accent6 15 5" xfId="16990"/>
    <cellStyle name="20% - Accent6 15 5 2" xfId="45851"/>
    <cellStyle name="20% - Accent6 15 6" xfId="31215"/>
    <cellStyle name="20% - Accent6 16" xfId="2562"/>
    <cellStyle name="20% - Accent6 16 2" xfId="5448"/>
    <cellStyle name="20% - Accent6 16 2 2" xfId="11489"/>
    <cellStyle name="20% - Accent6 16 2 2 2" xfId="28536"/>
    <cellStyle name="20% - Accent6 16 2 2 2 2" xfId="57397"/>
    <cellStyle name="20% - Accent6 16 2 2 3" xfId="40350"/>
    <cellStyle name="20% - Accent6 16 2 3" xfId="22558"/>
    <cellStyle name="20% - Accent6 16 2 3 2" xfId="51419"/>
    <cellStyle name="20% - Accent6 16 2 4" xfId="34309"/>
    <cellStyle name="20% - Accent6 16 3" xfId="8603"/>
    <cellStyle name="20% - Accent6 16 3 2" xfId="25650"/>
    <cellStyle name="20% - Accent6 16 3 2 2" xfId="54511"/>
    <cellStyle name="20% - Accent6 16 3 3" xfId="37464"/>
    <cellStyle name="20% - Accent6 16 4" xfId="13208"/>
    <cellStyle name="20% - Accent6 16 4 2" xfId="19878"/>
    <cellStyle name="20% - Accent6 16 4 2 2" xfId="48739"/>
    <cellStyle name="20% - Accent6 16 4 3" xfId="42069"/>
    <cellStyle name="20% - Accent6 16 5" xfId="17198"/>
    <cellStyle name="20% - Accent6 16 5 2" xfId="46059"/>
    <cellStyle name="20% - Accent6 16 6" xfId="31423"/>
    <cellStyle name="20% - Accent6 17" xfId="2974"/>
    <cellStyle name="20% - Accent6 17 2" xfId="9015"/>
    <cellStyle name="20% - Accent6 17 2 2" xfId="26062"/>
    <cellStyle name="20% - Accent6 17 2 2 2" xfId="54923"/>
    <cellStyle name="20% - Accent6 17 2 3" xfId="37876"/>
    <cellStyle name="20% - Accent6 17 3" xfId="12416"/>
    <cellStyle name="20% - Accent6 17 3 2" xfId="20084"/>
    <cellStyle name="20% - Accent6 17 3 2 2" xfId="48945"/>
    <cellStyle name="20% - Accent6 17 3 3" xfId="41277"/>
    <cellStyle name="20% - Accent6 17 4" xfId="14724"/>
    <cellStyle name="20% - Accent6 17 4 2" xfId="43585"/>
    <cellStyle name="20% - Accent6 17 5" xfId="31835"/>
    <cellStyle name="20% - Accent6 18" xfId="2768"/>
    <cellStyle name="20% - Accent6 18 2" xfId="8809"/>
    <cellStyle name="20% - Accent6 18 2 2" xfId="25856"/>
    <cellStyle name="20% - Accent6 18 2 2 2" xfId="54717"/>
    <cellStyle name="20% - Accent6 18 2 3" xfId="37670"/>
    <cellStyle name="20% - Accent6 18 3" xfId="17404"/>
    <cellStyle name="20% - Accent6 18 3 2" xfId="46265"/>
    <cellStyle name="20% - Accent6 18 4" xfId="31629"/>
    <cellStyle name="20% - Accent6 19" xfId="5654"/>
    <cellStyle name="20% - Accent6 19 2" xfId="11695"/>
    <cellStyle name="20% - Accent6 19 2 2" xfId="28742"/>
    <cellStyle name="20% - Accent6 19 2 2 2" xfId="57603"/>
    <cellStyle name="20% - Accent6 19 2 3" xfId="40556"/>
    <cellStyle name="20% - Accent6 19 3" xfId="22764"/>
    <cellStyle name="20% - Accent6 19 3 2" xfId="51625"/>
    <cellStyle name="20% - Accent6 19 4" xfId="34515"/>
    <cellStyle name="20% - Accent6 2" xfId="101"/>
    <cellStyle name="20% - Accent6 2 10" xfId="1337"/>
    <cellStyle name="20% - Accent6 2 10 2" xfId="4224"/>
    <cellStyle name="20% - Accent6 2 10 2 2" xfId="10265"/>
    <cellStyle name="20% - Accent6 2 10 2 2 2" xfId="27312"/>
    <cellStyle name="20% - Accent6 2 10 2 2 2 2" xfId="56173"/>
    <cellStyle name="20% - Accent6 2 10 2 2 3" xfId="39126"/>
    <cellStyle name="20% - Accent6 2 10 2 3" xfId="21334"/>
    <cellStyle name="20% - Accent6 2 10 2 3 2" xfId="50195"/>
    <cellStyle name="20% - Accent6 2 10 2 4" xfId="33085"/>
    <cellStyle name="20% - Accent6 2 10 3" xfId="7379"/>
    <cellStyle name="20% - Accent6 2 10 3 2" xfId="24426"/>
    <cellStyle name="20% - Accent6 2 10 3 2 2" xfId="53287"/>
    <cellStyle name="20% - Accent6 2 10 3 3" xfId="36240"/>
    <cellStyle name="20% - Accent6 2 10 4" xfId="14483"/>
    <cellStyle name="20% - Accent6 2 10 4 2" xfId="18654"/>
    <cellStyle name="20% - Accent6 2 10 4 2 2" xfId="47515"/>
    <cellStyle name="20% - Accent6 2 10 4 3" xfId="43344"/>
    <cellStyle name="20% - Accent6 2 10 5" xfId="15974"/>
    <cellStyle name="20% - Accent6 2 10 5 2" xfId="44835"/>
    <cellStyle name="20% - Accent6 2 10 6" xfId="30199"/>
    <cellStyle name="20% - Accent6 2 11" xfId="1543"/>
    <cellStyle name="20% - Accent6 2 11 2" xfId="4430"/>
    <cellStyle name="20% - Accent6 2 11 2 2" xfId="10471"/>
    <cellStyle name="20% - Accent6 2 11 2 2 2" xfId="27518"/>
    <cellStyle name="20% - Accent6 2 11 2 2 2 2" xfId="56379"/>
    <cellStyle name="20% - Accent6 2 11 2 2 3" xfId="39332"/>
    <cellStyle name="20% - Accent6 2 11 2 3" xfId="21540"/>
    <cellStyle name="20% - Accent6 2 11 2 3 2" xfId="50401"/>
    <cellStyle name="20% - Accent6 2 11 2 4" xfId="33291"/>
    <cellStyle name="20% - Accent6 2 11 3" xfId="7585"/>
    <cellStyle name="20% - Accent6 2 11 3 2" xfId="24632"/>
    <cellStyle name="20% - Accent6 2 11 3 2 2" xfId="53493"/>
    <cellStyle name="20% - Accent6 2 11 3 3" xfId="36446"/>
    <cellStyle name="20% - Accent6 2 11 4" xfId="14246"/>
    <cellStyle name="20% - Accent6 2 11 4 2" xfId="18860"/>
    <cellStyle name="20% - Accent6 2 11 4 2 2" xfId="47721"/>
    <cellStyle name="20% - Accent6 2 11 4 3" xfId="43107"/>
    <cellStyle name="20% - Accent6 2 11 5" xfId="16180"/>
    <cellStyle name="20% - Accent6 2 11 5 2" xfId="45041"/>
    <cellStyle name="20% - Accent6 2 11 6" xfId="30405"/>
    <cellStyle name="20% - Accent6 2 12" xfId="1749"/>
    <cellStyle name="20% - Accent6 2 12 2" xfId="4636"/>
    <cellStyle name="20% - Accent6 2 12 2 2" xfId="10677"/>
    <cellStyle name="20% - Accent6 2 12 2 2 2" xfId="27724"/>
    <cellStyle name="20% - Accent6 2 12 2 2 2 2" xfId="56585"/>
    <cellStyle name="20% - Accent6 2 12 2 2 3" xfId="39538"/>
    <cellStyle name="20% - Accent6 2 12 2 3" xfId="21746"/>
    <cellStyle name="20% - Accent6 2 12 2 3 2" xfId="50607"/>
    <cellStyle name="20% - Accent6 2 12 2 4" xfId="33497"/>
    <cellStyle name="20% - Accent6 2 12 3" xfId="7791"/>
    <cellStyle name="20% - Accent6 2 12 3 2" xfId="24838"/>
    <cellStyle name="20% - Accent6 2 12 3 2 2" xfId="53699"/>
    <cellStyle name="20% - Accent6 2 12 3 3" xfId="36652"/>
    <cellStyle name="20% - Accent6 2 12 4" xfId="13114"/>
    <cellStyle name="20% - Accent6 2 12 4 2" xfId="19066"/>
    <cellStyle name="20% - Accent6 2 12 4 2 2" xfId="47927"/>
    <cellStyle name="20% - Accent6 2 12 4 3" xfId="41975"/>
    <cellStyle name="20% - Accent6 2 12 5" xfId="16386"/>
    <cellStyle name="20% - Accent6 2 12 5 2" xfId="45247"/>
    <cellStyle name="20% - Accent6 2 12 6" xfId="30611"/>
    <cellStyle name="20% - Accent6 2 13" xfId="1955"/>
    <cellStyle name="20% - Accent6 2 13 2" xfId="4842"/>
    <cellStyle name="20% - Accent6 2 13 2 2" xfId="10883"/>
    <cellStyle name="20% - Accent6 2 13 2 2 2" xfId="27930"/>
    <cellStyle name="20% - Accent6 2 13 2 2 2 2" xfId="56791"/>
    <cellStyle name="20% - Accent6 2 13 2 2 3" xfId="39744"/>
    <cellStyle name="20% - Accent6 2 13 2 3" xfId="21952"/>
    <cellStyle name="20% - Accent6 2 13 2 3 2" xfId="50813"/>
    <cellStyle name="20% - Accent6 2 13 2 4" xfId="33703"/>
    <cellStyle name="20% - Accent6 2 13 3" xfId="7997"/>
    <cellStyle name="20% - Accent6 2 13 3 2" xfId="25044"/>
    <cellStyle name="20% - Accent6 2 13 3 2 2" xfId="53905"/>
    <cellStyle name="20% - Accent6 2 13 3 3" xfId="36858"/>
    <cellStyle name="20% - Accent6 2 13 4" xfId="13488"/>
    <cellStyle name="20% - Accent6 2 13 4 2" xfId="19272"/>
    <cellStyle name="20% - Accent6 2 13 4 2 2" xfId="48133"/>
    <cellStyle name="20% - Accent6 2 13 4 3" xfId="42349"/>
    <cellStyle name="20% - Accent6 2 13 5" xfId="16592"/>
    <cellStyle name="20% - Accent6 2 13 5 2" xfId="45453"/>
    <cellStyle name="20% - Accent6 2 13 6" xfId="30817"/>
    <cellStyle name="20% - Accent6 2 14" xfId="2367"/>
    <cellStyle name="20% - Accent6 2 14 2" xfId="5254"/>
    <cellStyle name="20% - Accent6 2 14 2 2" xfId="11295"/>
    <cellStyle name="20% - Accent6 2 14 2 2 2" xfId="28342"/>
    <cellStyle name="20% - Accent6 2 14 2 2 2 2" xfId="57203"/>
    <cellStyle name="20% - Accent6 2 14 2 2 3" xfId="40156"/>
    <cellStyle name="20% - Accent6 2 14 2 3" xfId="22364"/>
    <cellStyle name="20% - Accent6 2 14 2 3 2" xfId="51225"/>
    <cellStyle name="20% - Accent6 2 14 2 4" xfId="34115"/>
    <cellStyle name="20% - Accent6 2 14 3" xfId="8409"/>
    <cellStyle name="20% - Accent6 2 14 3 2" xfId="25456"/>
    <cellStyle name="20% - Accent6 2 14 3 2 2" xfId="54317"/>
    <cellStyle name="20% - Accent6 2 14 3 3" xfId="37270"/>
    <cellStyle name="20% - Accent6 2 14 4" xfId="14363"/>
    <cellStyle name="20% - Accent6 2 14 4 2" xfId="19684"/>
    <cellStyle name="20% - Accent6 2 14 4 2 2" xfId="48545"/>
    <cellStyle name="20% - Accent6 2 14 4 3" xfId="43224"/>
    <cellStyle name="20% - Accent6 2 14 5" xfId="17004"/>
    <cellStyle name="20% - Accent6 2 14 5 2" xfId="45865"/>
    <cellStyle name="20% - Accent6 2 14 6" xfId="31229"/>
    <cellStyle name="20% - Accent6 2 15" xfId="2576"/>
    <cellStyle name="20% - Accent6 2 15 2" xfId="5462"/>
    <cellStyle name="20% - Accent6 2 15 2 2" xfId="11503"/>
    <cellStyle name="20% - Accent6 2 15 2 2 2" xfId="28550"/>
    <cellStyle name="20% - Accent6 2 15 2 2 2 2" xfId="57411"/>
    <cellStyle name="20% - Accent6 2 15 2 2 3" xfId="40364"/>
    <cellStyle name="20% - Accent6 2 15 2 3" xfId="22572"/>
    <cellStyle name="20% - Accent6 2 15 2 3 2" xfId="51433"/>
    <cellStyle name="20% - Accent6 2 15 2 4" xfId="34323"/>
    <cellStyle name="20% - Accent6 2 15 3" xfId="8617"/>
    <cellStyle name="20% - Accent6 2 15 3 2" xfId="25664"/>
    <cellStyle name="20% - Accent6 2 15 3 2 2" xfId="54525"/>
    <cellStyle name="20% - Accent6 2 15 3 3" xfId="37478"/>
    <cellStyle name="20% - Accent6 2 15 4" xfId="14109"/>
    <cellStyle name="20% - Accent6 2 15 4 2" xfId="19892"/>
    <cellStyle name="20% - Accent6 2 15 4 2 2" xfId="48753"/>
    <cellStyle name="20% - Accent6 2 15 4 3" xfId="42970"/>
    <cellStyle name="20% - Accent6 2 15 5" xfId="17212"/>
    <cellStyle name="20% - Accent6 2 15 5 2" xfId="46073"/>
    <cellStyle name="20% - Accent6 2 15 6" xfId="31437"/>
    <cellStyle name="20% - Accent6 2 16" xfId="2988"/>
    <cellStyle name="20% - Accent6 2 16 2" xfId="9029"/>
    <cellStyle name="20% - Accent6 2 16 2 2" xfId="26076"/>
    <cellStyle name="20% - Accent6 2 16 2 2 2" xfId="54937"/>
    <cellStyle name="20% - Accent6 2 16 2 3" xfId="37890"/>
    <cellStyle name="20% - Accent6 2 16 3" xfId="13147"/>
    <cellStyle name="20% - Accent6 2 16 3 2" xfId="20098"/>
    <cellStyle name="20% - Accent6 2 16 3 2 2" xfId="48959"/>
    <cellStyle name="20% - Accent6 2 16 3 3" xfId="42008"/>
    <cellStyle name="20% - Accent6 2 16 4" xfId="14738"/>
    <cellStyle name="20% - Accent6 2 16 4 2" xfId="43599"/>
    <cellStyle name="20% - Accent6 2 16 5" xfId="31849"/>
    <cellStyle name="20% - Accent6 2 17" xfId="2782"/>
    <cellStyle name="20% - Accent6 2 17 2" xfId="8823"/>
    <cellStyle name="20% - Accent6 2 17 2 2" xfId="25870"/>
    <cellStyle name="20% - Accent6 2 17 2 2 2" xfId="54731"/>
    <cellStyle name="20% - Accent6 2 17 2 3" xfId="37684"/>
    <cellStyle name="20% - Accent6 2 17 3" xfId="17418"/>
    <cellStyle name="20% - Accent6 2 17 3 2" xfId="46279"/>
    <cellStyle name="20% - Accent6 2 17 4" xfId="31643"/>
    <cellStyle name="20% - Accent6 2 18" xfId="5668"/>
    <cellStyle name="20% - Accent6 2 18 2" xfId="11709"/>
    <cellStyle name="20% - Accent6 2 18 2 2" xfId="28756"/>
    <cellStyle name="20% - Accent6 2 18 2 2 2" xfId="57617"/>
    <cellStyle name="20% - Accent6 2 18 2 3" xfId="40570"/>
    <cellStyle name="20% - Accent6 2 18 3" xfId="22778"/>
    <cellStyle name="20% - Accent6 2 18 3 2" xfId="51639"/>
    <cellStyle name="20% - Accent6 2 18 4" xfId="34529"/>
    <cellStyle name="20% - Accent6 2 19" xfId="5885"/>
    <cellStyle name="20% - Accent6 2 19 2" xfId="22984"/>
    <cellStyle name="20% - Accent6 2 19 2 2" xfId="51845"/>
    <cellStyle name="20% - Accent6 2 19 3" xfId="34746"/>
    <cellStyle name="20% - Accent6 2 2" xfId="127"/>
    <cellStyle name="20% - Accent6 2 2 10" xfId="1775"/>
    <cellStyle name="20% - Accent6 2 2 10 2" xfId="4662"/>
    <cellStyle name="20% - Accent6 2 2 10 2 2" xfId="10703"/>
    <cellStyle name="20% - Accent6 2 2 10 2 2 2" xfId="27750"/>
    <cellStyle name="20% - Accent6 2 2 10 2 2 2 2" xfId="56611"/>
    <cellStyle name="20% - Accent6 2 2 10 2 2 3" xfId="39564"/>
    <cellStyle name="20% - Accent6 2 2 10 2 3" xfId="21772"/>
    <cellStyle name="20% - Accent6 2 2 10 2 3 2" xfId="50633"/>
    <cellStyle name="20% - Accent6 2 2 10 2 4" xfId="33523"/>
    <cellStyle name="20% - Accent6 2 2 10 3" xfId="7817"/>
    <cellStyle name="20% - Accent6 2 2 10 3 2" xfId="24864"/>
    <cellStyle name="20% - Accent6 2 2 10 3 2 2" xfId="53725"/>
    <cellStyle name="20% - Accent6 2 2 10 3 3" xfId="36678"/>
    <cellStyle name="20% - Accent6 2 2 10 4" xfId="13267"/>
    <cellStyle name="20% - Accent6 2 2 10 4 2" xfId="19092"/>
    <cellStyle name="20% - Accent6 2 2 10 4 2 2" xfId="47953"/>
    <cellStyle name="20% - Accent6 2 2 10 4 3" xfId="42128"/>
    <cellStyle name="20% - Accent6 2 2 10 5" xfId="16412"/>
    <cellStyle name="20% - Accent6 2 2 10 5 2" xfId="45273"/>
    <cellStyle name="20% - Accent6 2 2 10 6" xfId="30637"/>
    <cellStyle name="20% - Accent6 2 2 11" xfId="1981"/>
    <cellStyle name="20% - Accent6 2 2 11 2" xfId="4868"/>
    <cellStyle name="20% - Accent6 2 2 11 2 2" xfId="10909"/>
    <cellStyle name="20% - Accent6 2 2 11 2 2 2" xfId="27956"/>
    <cellStyle name="20% - Accent6 2 2 11 2 2 2 2" xfId="56817"/>
    <cellStyle name="20% - Accent6 2 2 11 2 2 3" xfId="39770"/>
    <cellStyle name="20% - Accent6 2 2 11 2 3" xfId="21978"/>
    <cellStyle name="20% - Accent6 2 2 11 2 3 2" xfId="50839"/>
    <cellStyle name="20% - Accent6 2 2 11 2 4" xfId="33729"/>
    <cellStyle name="20% - Accent6 2 2 11 3" xfId="8023"/>
    <cellStyle name="20% - Accent6 2 2 11 3 2" xfId="25070"/>
    <cellStyle name="20% - Accent6 2 2 11 3 2 2" xfId="53931"/>
    <cellStyle name="20% - Accent6 2 2 11 3 3" xfId="36884"/>
    <cellStyle name="20% - Accent6 2 2 11 4" xfId="12527"/>
    <cellStyle name="20% - Accent6 2 2 11 4 2" xfId="19298"/>
    <cellStyle name="20% - Accent6 2 2 11 4 2 2" xfId="48159"/>
    <cellStyle name="20% - Accent6 2 2 11 4 3" xfId="41388"/>
    <cellStyle name="20% - Accent6 2 2 11 5" xfId="16618"/>
    <cellStyle name="20% - Accent6 2 2 11 5 2" xfId="45479"/>
    <cellStyle name="20% - Accent6 2 2 11 6" xfId="30843"/>
    <cellStyle name="20% - Accent6 2 2 12" xfId="2393"/>
    <cellStyle name="20% - Accent6 2 2 12 2" xfId="5280"/>
    <cellStyle name="20% - Accent6 2 2 12 2 2" xfId="11321"/>
    <cellStyle name="20% - Accent6 2 2 12 2 2 2" xfId="28368"/>
    <cellStyle name="20% - Accent6 2 2 12 2 2 2 2" xfId="57229"/>
    <cellStyle name="20% - Accent6 2 2 12 2 2 3" xfId="40182"/>
    <cellStyle name="20% - Accent6 2 2 12 2 3" xfId="22390"/>
    <cellStyle name="20% - Accent6 2 2 12 2 3 2" xfId="51251"/>
    <cellStyle name="20% - Accent6 2 2 12 2 4" xfId="34141"/>
    <cellStyle name="20% - Accent6 2 2 12 3" xfId="8435"/>
    <cellStyle name="20% - Accent6 2 2 12 3 2" xfId="25482"/>
    <cellStyle name="20% - Accent6 2 2 12 3 2 2" xfId="54343"/>
    <cellStyle name="20% - Accent6 2 2 12 3 3" xfId="37296"/>
    <cellStyle name="20% - Accent6 2 2 12 4" xfId="12499"/>
    <cellStyle name="20% - Accent6 2 2 12 4 2" xfId="19710"/>
    <cellStyle name="20% - Accent6 2 2 12 4 2 2" xfId="48571"/>
    <cellStyle name="20% - Accent6 2 2 12 4 3" xfId="41360"/>
    <cellStyle name="20% - Accent6 2 2 12 5" xfId="17030"/>
    <cellStyle name="20% - Accent6 2 2 12 5 2" xfId="45891"/>
    <cellStyle name="20% - Accent6 2 2 12 6" xfId="31255"/>
    <cellStyle name="20% - Accent6 2 2 13" xfId="2602"/>
    <cellStyle name="20% - Accent6 2 2 13 2" xfId="5488"/>
    <cellStyle name="20% - Accent6 2 2 13 2 2" xfId="11529"/>
    <cellStyle name="20% - Accent6 2 2 13 2 2 2" xfId="28576"/>
    <cellStyle name="20% - Accent6 2 2 13 2 2 2 2" xfId="57437"/>
    <cellStyle name="20% - Accent6 2 2 13 2 2 3" xfId="40390"/>
    <cellStyle name="20% - Accent6 2 2 13 2 3" xfId="22598"/>
    <cellStyle name="20% - Accent6 2 2 13 2 3 2" xfId="51459"/>
    <cellStyle name="20% - Accent6 2 2 13 2 4" xfId="34349"/>
    <cellStyle name="20% - Accent6 2 2 13 3" xfId="8643"/>
    <cellStyle name="20% - Accent6 2 2 13 3 2" xfId="25690"/>
    <cellStyle name="20% - Accent6 2 2 13 3 2 2" xfId="54551"/>
    <cellStyle name="20% - Accent6 2 2 13 3 3" xfId="37504"/>
    <cellStyle name="20% - Accent6 2 2 13 4" xfId="13487"/>
    <cellStyle name="20% - Accent6 2 2 13 4 2" xfId="19918"/>
    <cellStyle name="20% - Accent6 2 2 13 4 2 2" xfId="48779"/>
    <cellStyle name="20% - Accent6 2 2 13 4 3" xfId="42348"/>
    <cellStyle name="20% - Accent6 2 2 13 5" xfId="17238"/>
    <cellStyle name="20% - Accent6 2 2 13 5 2" xfId="46099"/>
    <cellStyle name="20% - Accent6 2 2 13 6" xfId="31463"/>
    <cellStyle name="20% - Accent6 2 2 14" xfId="3014"/>
    <cellStyle name="20% - Accent6 2 2 14 2" xfId="9055"/>
    <cellStyle name="20% - Accent6 2 2 14 2 2" xfId="26102"/>
    <cellStyle name="20% - Accent6 2 2 14 2 2 2" xfId="54963"/>
    <cellStyle name="20% - Accent6 2 2 14 2 3" xfId="37916"/>
    <cellStyle name="20% - Accent6 2 2 14 3" xfId="11934"/>
    <cellStyle name="20% - Accent6 2 2 14 3 2" xfId="20124"/>
    <cellStyle name="20% - Accent6 2 2 14 3 2 2" xfId="48985"/>
    <cellStyle name="20% - Accent6 2 2 14 3 3" xfId="40795"/>
    <cellStyle name="20% - Accent6 2 2 14 4" xfId="14764"/>
    <cellStyle name="20% - Accent6 2 2 14 4 2" xfId="43625"/>
    <cellStyle name="20% - Accent6 2 2 14 5" xfId="31875"/>
    <cellStyle name="20% - Accent6 2 2 15" xfId="2808"/>
    <cellStyle name="20% - Accent6 2 2 15 2" xfId="8849"/>
    <cellStyle name="20% - Accent6 2 2 15 2 2" xfId="25896"/>
    <cellStyle name="20% - Accent6 2 2 15 2 2 2" xfId="54757"/>
    <cellStyle name="20% - Accent6 2 2 15 2 3" xfId="37710"/>
    <cellStyle name="20% - Accent6 2 2 15 3" xfId="17444"/>
    <cellStyle name="20% - Accent6 2 2 15 3 2" xfId="46305"/>
    <cellStyle name="20% - Accent6 2 2 15 4" xfId="31669"/>
    <cellStyle name="20% - Accent6 2 2 16" xfId="5694"/>
    <cellStyle name="20% - Accent6 2 2 16 2" xfId="11735"/>
    <cellStyle name="20% - Accent6 2 2 16 2 2" xfId="28782"/>
    <cellStyle name="20% - Accent6 2 2 16 2 2 2" xfId="57643"/>
    <cellStyle name="20% - Accent6 2 2 16 2 3" xfId="40596"/>
    <cellStyle name="20% - Accent6 2 2 16 3" xfId="22804"/>
    <cellStyle name="20% - Accent6 2 2 16 3 2" xfId="51665"/>
    <cellStyle name="20% - Accent6 2 2 16 4" xfId="34555"/>
    <cellStyle name="20% - Accent6 2 2 17" xfId="5911"/>
    <cellStyle name="20% - Accent6 2 2 17 2" xfId="23010"/>
    <cellStyle name="20% - Accent6 2 2 17 2 2" xfId="51871"/>
    <cellStyle name="20% - Accent6 2 2 17 3" xfId="34772"/>
    <cellStyle name="20% - Accent6 2 2 18" xfId="6169"/>
    <cellStyle name="20% - Accent6 2 2 18 2" xfId="23216"/>
    <cellStyle name="20% - Accent6 2 2 18 2 2" xfId="52077"/>
    <cellStyle name="20% - Accent6 2 2 18 3" xfId="35030"/>
    <cellStyle name="20% - Accent6 2 2 19" xfId="14558"/>
    <cellStyle name="20% - Accent6 2 2 19 2" xfId="43419"/>
    <cellStyle name="20% - Accent6 2 2 2" xfId="333"/>
    <cellStyle name="20% - Accent6 2 2 2 10" xfId="2496"/>
    <cellStyle name="20% - Accent6 2 2 2 10 2" xfId="5383"/>
    <cellStyle name="20% - Accent6 2 2 2 10 2 2" xfId="11424"/>
    <cellStyle name="20% - Accent6 2 2 2 10 2 2 2" xfId="28471"/>
    <cellStyle name="20% - Accent6 2 2 2 10 2 2 2 2" xfId="57332"/>
    <cellStyle name="20% - Accent6 2 2 2 10 2 2 3" xfId="40285"/>
    <cellStyle name="20% - Accent6 2 2 2 10 2 3" xfId="22493"/>
    <cellStyle name="20% - Accent6 2 2 2 10 2 3 2" xfId="51354"/>
    <cellStyle name="20% - Accent6 2 2 2 10 2 4" xfId="34244"/>
    <cellStyle name="20% - Accent6 2 2 2 10 3" xfId="8538"/>
    <cellStyle name="20% - Accent6 2 2 2 10 3 2" xfId="25585"/>
    <cellStyle name="20% - Accent6 2 2 2 10 3 2 2" xfId="54446"/>
    <cellStyle name="20% - Accent6 2 2 2 10 3 3" xfId="37399"/>
    <cellStyle name="20% - Accent6 2 2 2 10 4" xfId="12736"/>
    <cellStyle name="20% - Accent6 2 2 2 10 4 2" xfId="19813"/>
    <cellStyle name="20% - Accent6 2 2 2 10 4 2 2" xfId="48674"/>
    <cellStyle name="20% - Accent6 2 2 2 10 4 3" xfId="41597"/>
    <cellStyle name="20% - Accent6 2 2 2 10 5" xfId="17133"/>
    <cellStyle name="20% - Accent6 2 2 2 10 5 2" xfId="45994"/>
    <cellStyle name="20% - Accent6 2 2 2 10 6" xfId="31358"/>
    <cellStyle name="20% - Accent6 2 2 2 11" xfId="2705"/>
    <cellStyle name="20% - Accent6 2 2 2 11 2" xfId="5591"/>
    <cellStyle name="20% - Accent6 2 2 2 11 2 2" xfId="11632"/>
    <cellStyle name="20% - Accent6 2 2 2 11 2 2 2" xfId="28679"/>
    <cellStyle name="20% - Accent6 2 2 2 11 2 2 2 2" xfId="57540"/>
    <cellStyle name="20% - Accent6 2 2 2 11 2 2 3" xfId="40493"/>
    <cellStyle name="20% - Accent6 2 2 2 11 2 3" xfId="22701"/>
    <cellStyle name="20% - Accent6 2 2 2 11 2 3 2" xfId="51562"/>
    <cellStyle name="20% - Accent6 2 2 2 11 2 4" xfId="34452"/>
    <cellStyle name="20% - Accent6 2 2 2 11 3" xfId="8746"/>
    <cellStyle name="20% - Accent6 2 2 2 11 3 2" xfId="25793"/>
    <cellStyle name="20% - Accent6 2 2 2 11 3 2 2" xfId="54654"/>
    <cellStyle name="20% - Accent6 2 2 2 11 3 3" xfId="37607"/>
    <cellStyle name="20% - Accent6 2 2 2 11 4" xfId="13701"/>
    <cellStyle name="20% - Accent6 2 2 2 11 4 2" xfId="20021"/>
    <cellStyle name="20% - Accent6 2 2 2 11 4 2 2" xfId="48882"/>
    <cellStyle name="20% - Accent6 2 2 2 11 4 3" xfId="42562"/>
    <cellStyle name="20% - Accent6 2 2 2 11 5" xfId="17341"/>
    <cellStyle name="20% - Accent6 2 2 2 11 5 2" xfId="46202"/>
    <cellStyle name="20% - Accent6 2 2 2 11 6" xfId="31566"/>
    <cellStyle name="20% - Accent6 2 2 2 12" xfId="3220"/>
    <cellStyle name="20% - Accent6 2 2 2 12 2" xfId="9261"/>
    <cellStyle name="20% - Accent6 2 2 2 12 2 2" xfId="26308"/>
    <cellStyle name="20% - Accent6 2 2 2 12 2 2 2" xfId="55169"/>
    <cellStyle name="20% - Accent6 2 2 2 12 2 3" xfId="38122"/>
    <cellStyle name="20% - Accent6 2 2 2 12 3" xfId="14087"/>
    <cellStyle name="20% - Accent6 2 2 2 12 3 2" xfId="20330"/>
    <cellStyle name="20% - Accent6 2 2 2 12 3 2 2" xfId="49191"/>
    <cellStyle name="20% - Accent6 2 2 2 12 3 3" xfId="42948"/>
    <cellStyle name="20% - Accent6 2 2 2 12 4" xfId="14970"/>
    <cellStyle name="20% - Accent6 2 2 2 12 4 2" xfId="43831"/>
    <cellStyle name="20% - Accent6 2 2 2 12 5" xfId="32081"/>
    <cellStyle name="20% - Accent6 2 2 2 13" xfId="2911"/>
    <cellStyle name="20% - Accent6 2 2 2 13 2" xfId="8952"/>
    <cellStyle name="20% - Accent6 2 2 2 13 2 2" xfId="25999"/>
    <cellStyle name="20% - Accent6 2 2 2 13 2 2 2" xfId="54860"/>
    <cellStyle name="20% - Accent6 2 2 2 13 2 3" xfId="37813"/>
    <cellStyle name="20% - Accent6 2 2 2 13 3" xfId="17547"/>
    <cellStyle name="20% - Accent6 2 2 2 13 3 2" xfId="46408"/>
    <cellStyle name="20% - Accent6 2 2 2 13 4" xfId="31772"/>
    <cellStyle name="20% - Accent6 2 2 2 14" xfId="5797"/>
    <cellStyle name="20% - Accent6 2 2 2 14 2" xfId="11838"/>
    <cellStyle name="20% - Accent6 2 2 2 14 2 2" xfId="28885"/>
    <cellStyle name="20% - Accent6 2 2 2 14 2 2 2" xfId="57746"/>
    <cellStyle name="20% - Accent6 2 2 2 14 2 3" xfId="40699"/>
    <cellStyle name="20% - Accent6 2 2 2 14 3" xfId="22907"/>
    <cellStyle name="20% - Accent6 2 2 2 14 3 2" xfId="51768"/>
    <cellStyle name="20% - Accent6 2 2 2 14 4" xfId="34658"/>
    <cellStyle name="20% - Accent6 2 2 2 15" xfId="6014"/>
    <cellStyle name="20% - Accent6 2 2 2 15 2" xfId="23113"/>
    <cellStyle name="20% - Accent6 2 2 2 15 2 2" xfId="51974"/>
    <cellStyle name="20% - Accent6 2 2 2 15 3" xfId="34875"/>
    <cellStyle name="20% - Accent6 2 2 2 16" xfId="6375"/>
    <cellStyle name="20% - Accent6 2 2 2 16 2" xfId="23422"/>
    <cellStyle name="20% - Accent6 2 2 2 16 2 2" xfId="52283"/>
    <cellStyle name="20% - Accent6 2 2 2 16 3" xfId="35236"/>
    <cellStyle name="20% - Accent6 2 2 2 17" xfId="14661"/>
    <cellStyle name="20% - Accent6 2 2 2 17 2" xfId="43522"/>
    <cellStyle name="20% - Accent6 2 2 2 18" xfId="29195"/>
    <cellStyle name="20% - Accent6 2 2 2 2" xfId="539"/>
    <cellStyle name="20% - Accent6 2 2 2 2 2" xfId="2290"/>
    <cellStyle name="20% - Accent6 2 2 2 2 2 2" xfId="5177"/>
    <cellStyle name="20% - Accent6 2 2 2 2 2 2 2" xfId="11218"/>
    <cellStyle name="20% - Accent6 2 2 2 2 2 2 2 2" xfId="28265"/>
    <cellStyle name="20% - Accent6 2 2 2 2 2 2 2 2 2" xfId="57126"/>
    <cellStyle name="20% - Accent6 2 2 2 2 2 2 2 3" xfId="40079"/>
    <cellStyle name="20% - Accent6 2 2 2 2 2 2 3" xfId="22287"/>
    <cellStyle name="20% - Accent6 2 2 2 2 2 2 3 2" xfId="51148"/>
    <cellStyle name="20% - Accent6 2 2 2 2 2 2 4" xfId="34038"/>
    <cellStyle name="20% - Accent6 2 2 2 2 2 3" xfId="8332"/>
    <cellStyle name="20% - Accent6 2 2 2 2 2 3 2" xfId="25379"/>
    <cellStyle name="20% - Accent6 2 2 2 2 2 3 2 2" xfId="54240"/>
    <cellStyle name="20% - Accent6 2 2 2 2 2 3 3" xfId="37193"/>
    <cellStyle name="20% - Accent6 2 2 2 2 2 4" xfId="11985"/>
    <cellStyle name="20% - Accent6 2 2 2 2 2 4 2" xfId="19607"/>
    <cellStyle name="20% - Accent6 2 2 2 2 2 4 2 2" xfId="48468"/>
    <cellStyle name="20% - Accent6 2 2 2 2 2 4 3" xfId="40846"/>
    <cellStyle name="20% - Accent6 2 2 2 2 2 5" xfId="16927"/>
    <cellStyle name="20% - Accent6 2 2 2 2 2 5 2" xfId="45788"/>
    <cellStyle name="20% - Accent6 2 2 2 2 2 6" xfId="31152"/>
    <cellStyle name="20% - Accent6 2 2 2 2 3" xfId="3426"/>
    <cellStyle name="20% - Accent6 2 2 2 2 3 2" xfId="9467"/>
    <cellStyle name="20% - Accent6 2 2 2 2 3 2 2" xfId="26514"/>
    <cellStyle name="20% - Accent6 2 2 2 2 3 2 2 2" xfId="55375"/>
    <cellStyle name="20% - Accent6 2 2 2 2 3 2 3" xfId="38328"/>
    <cellStyle name="20% - Accent6 2 2 2 2 3 3" xfId="20536"/>
    <cellStyle name="20% - Accent6 2 2 2 2 3 3 2" xfId="49397"/>
    <cellStyle name="20% - Accent6 2 2 2 2 3 4" xfId="32287"/>
    <cellStyle name="20% - Accent6 2 2 2 2 4" xfId="6581"/>
    <cellStyle name="20% - Accent6 2 2 2 2 4 2" xfId="23628"/>
    <cellStyle name="20% - Accent6 2 2 2 2 4 2 2" xfId="52489"/>
    <cellStyle name="20% - Accent6 2 2 2 2 4 3" xfId="35442"/>
    <cellStyle name="20% - Accent6 2 2 2 2 5" xfId="14394"/>
    <cellStyle name="20% - Accent6 2 2 2 2 5 2" xfId="17856"/>
    <cellStyle name="20% - Accent6 2 2 2 2 5 2 2" xfId="46717"/>
    <cellStyle name="20% - Accent6 2 2 2 2 5 3" xfId="43255"/>
    <cellStyle name="20% - Accent6 2 2 2 2 6" xfId="15176"/>
    <cellStyle name="20% - Accent6 2 2 2 2 6 2" xfId="44037"/>
    <cellStyle name="20% - Accent6 2 2 2 2 7" xfId="29401"/>
    <cellStyle name="20% - Accent6 2 2 2 3" xfId="848"/>
    <cellStyle name="20% - Accent6 2 2 2 3 2" xfId="3735"/>
    <cellStyle name="20% - Accent6 2 2 2 3 2 2" xfId="9776"/>
    <cellStyle name="20% - Accent6 2 2 2 3 2 2 2" xfId="26823"/>
    <cellStyle name="20% - Accent6 2 2 2 3 2 2 2 2" xfId="55684"/>
    <cellStyle name="20% - Accent6 2 2 2 3 2 2 3" xfId="38637"/>
    <cellStyle name="20% - Accent6 2 2 2 3 2 3" xfId="20845"/>
    <cellStyle name="20% - Accent6 2 2 2 3 2 3 2" xfId="49706"/>
    <cellStyle name="20% - Accent6 2 2 2 3 2 4" xfId="32596"/>
    <cellStyle name="20% - Accent6 2 2 2 3 3" xfId="6890"/>
    <cellStyle name="20% - Accent6 2 2 2 3 3 2" xfId="23937"/>
    <cellStyle name="20% - Accent6 2 2 2 3 3 2 2" xfId="52798"/>
    <cellStyle name="20% - Accent6 2 2 2 3 3 3" xfId="35751"/>
    <cellStyle name="20% - Accent6 2 2 2 3 4" xfId="12640"/>
    <cellStyle name="20% - Accent6 2 2 2 3 4 2" xfId="18165"/>
    <cellStyle name="20% - Accent6 2 2 2 3 4 2 2" xfId="47026"/>
    <cellStyle name="20% - Accent6 2 2 2 3 4 3" xfId="41501"/>
    <cellStyle name="20% - Accent6 2 2 2 3 5" xfId="15485"/>
    <cellStyle name="20% - Accent6 2 2 2 3 5 2" xfId="44346"/>
    <cellStyle name="20% - Accent6 2 2 2 3 6" xfId="29710"/>
    <cellStyle name="20% - Accent6 2 2 2 4" xfId="1054"/>
    <cellStyle name="20% - Accent6 2 2 2 4 2" xfId="3941"/>
    <cellStyle name="20% - Accent6 2 2 2 4 2 2" xfId="9982"/>
    <cellStyle name="20% - Accent6 2 2 2 4 2 2 2" xfId="27029"/>
    <cellStyle name="20% - Accent6 2 2 2 4 2 2 2 2" xfId="55890"/>
    <cellStyle name="20% - Accent6 2 2 2 4 2 2 3" xfId="38843"/>
    <cellStyle name="20% - Accent6 2 2 2 4 2 3" xfId="21051"/>
    <cellStyle name="20% - Accent6 2 2 2 4 2 3 2" xfId="49912"/>
    <cellStyle name="20% - Accent6 2 2 2 4 2 4" xfId="32802"/>
    <cellStyle name="20% - Accent6 2 2 2 4 3" xfId="7096"/>
    <cellStyle name="20% - Accent6 2 2 2 4 3 2" xfId="24143"/>
    <cellStyle name="20% - Accent6 2 2 2 4 3 2 2" xfId="53004"/>
    <cellStyle name="20% - Accent6 2 2 2 4 3 3" xfId="35957"/>
    <cellStyle name="20% - Accent6 2 2 2 4 4" xfId="12473"/>
    <cellStyle name="20% - Accent6 2 2 2 4 4 2" xfId="18371"/>
    <cellStyle name="20% - Accent6 2 2 2 4 4 2 2" xfId="47232"/>
    <cellStyle name="20% - Accent6 2 2 2 4 4 3" xfId="41334"/>
    <cellStyle name="20% - Accent6 2 2 2 4 5" xfId="15691"/>
    <cellStyle name="20% - Accent6 2 2 2 4 5 2" xfId="44552"/>
    <cellStyle name="20% - Accent6 2 2 2 4 6" xfId="29916"/>
    <cellStyle name="20% - Accent6 2 2 2 5" xfId="1260"/>
    <cellStyle name="20% - Accent6 2 2 2 5 2" xfId="4147"/>
    <cellStyle name="20% - Accent6 2 2 2 5 2 2" xfId="10188"/>
    <cellStyle name="20% - Accent6 2 2 2 5 2 2 2" xfId="27235"/>
    <cellStyle name="20% - Accent6 2 2 2 5 2 2 2 2" xfId="56096"/>
    <cellStyle name="20% - Accent6 2 2 2 5 2 2 3" xfId="39049"/>
    <cellStyle name="20% - Accent6 2 2 2 5 2 3" xfId="21257"/>
    <cellStyle name="20% - Accent6 2 2 2 5 2 3 2" xfId="50118"/>
    <cellStyle name="20% - Accent6 2 2 2 5 2 4" xfId="33008"/>
    <cellStyle name="20% - Accent6 2 2 2 5 3" xfId="7302"/>
    <cellStyle name="20% - Accent6 2 2 2 5 3 2" xfId="24349"/>
    <cellStyle name="20% - Accent6 2 2 2 5 3 2 2" xfId="53210"/>
    <cellStyle name="20% - Accent6 2 2 2 5 3 3" xfId="36163"/>
    <cellStyle name="20% - Accent6 2 2 2 5 4" xfId="11949"/>
    <cellStyle name="20% - Accent6 2 2 2 5 4 2" xfId="18577"/>
    <cellStyle name="20% - Accent6 2 2 2 5 4 2 2" xfId="47438"/>
    <cellStyle name="20% - Accent6 2 2 2 5 4 3" xfId="40810"/>
    <cellStyle name="20% - Accent6 2 2 2 5 5" xfId="15897"/>
    <cellStyle name="20% - Accent6 2 2 2 5 5 2" xfId="44758"/>
    <cellStyle name="20% - Accent6 2 2 2 5 6" xfId="30122"/>
    <cellStyle name="20% - Accent6 2 2 2 6" xfId="1466"/>
    <cellStyle name="20% - Accent6 2 2 2 6 2" xfId="4353"/>
    <cellStyle name="20% - Accent6 2 2 2 6 2 2" xfId="10394"/>
    <cellStyle name="20% - Accent6 2 2 2 6 2 2 2" xfId="27441"/>
    <cellStyle name="20% - Accent6 2 2 2 6 2 2 2 2" xfId="56302"/>
    <cellStyle name="20% - Accent6 2 2 2 6 2 2 3" xfId="39255"/>
    <cellStyle name="20% - Accent6 2 2 2 6 2 3" xfId="21463"/>
    <cellStyle name="20% - Accent6 2 2 2 6 2 3 2" xfId="50324"/>
    <cellStyle name="20% - Accent6 2 2 2 6 2 4" xfId="33214"/>
    <cellStyle name="20% - Accent6 2 2 2 6 3" xfId="7508"/>
    <cellStyle name="20% - Accent6 2 2 2 6 3 2" xfId="24555"/>
    <cellStyle name="20% - Accent6 2 2 2 6 3 2 2" xfId="53416"/>
    <cellStyle name="20% - Accent6 2 2 2 6 3 3" xfId="36369"/>
    <cellStyle name="20% - Accent6 2 2 2 6 4" xfId="14221"/>
    <cellStyle name="20% - Accent6 2 2 2 6 4 2" xfId="18783"/>
    <cellStyle name="20% - Accent6 2 2 2 6 4 2 2" xfId="47644"/>
    <cellStyle name="20% - Accent6 2 2 2 6 4 3" xfId="43082"/>
    <cellStyle name="20% - Accent6 2 2 2 6 5" xfId="16103"/>
    <cellStyle name="20% - Accent6 2 2 2 6 5 2" xfId="44964"/>
    <cellStyle name="20% - Accent6 2 2 2 6 6" xfId="30328"/>
    <cellStyle name="20% - Accent6 2 2 2 7" xfId="1672"/>
    <cellStyle name="20% - Accent6 2 2 2 7 2" xfId="4559"/>
    <cellStyle name="20% - Accent6 2 2 2 7 2 2" xfId="10600"/>
    <cellStyle name="20% - Accent6 2 2 2 7 2 2 2" xfId="27647"/>
    <cellStyle name="20% - Accent6 2 2 2 7 2 2 2 2" xfId="56508"/>
    <cellStyle name="20% - Accent6 2 2 2 7 2 2 3" xfId="39461"/>
    <cellStyle name="20% - Accent6 2 2 2 7 2 3" xfId="21669"/>
    <cellStyle name="20% - Accent6 2 2 2 7 2 3 2" xfId="50530"/>
    <cellStyle name="20% - Accent6 2 2 2 7 2 4" xfId="33420"/>
    <cellStyle name="20% - Accent6 2 2 2 7 3" xfId="7714"/>
    <cellStyle name="20% - Accent6 2 2 2 7 3 2" xfId="24761"/>
    <cellStyle name="20% - Accent6 2 2 2 7 3 2 2" xfId="53622"/>
    <cellStyle name="20% - Accent6 2 2 2 7 3 3" xfId="36575"/>
    <cellStyle name="20% - Accent6 2 2 2 7 4" xfId="12596"/>
    <cellStyle name="20% - Accent6 2 2 2 7 4 2" xfId="18989"/>
    <cellStyle name="20% - Accent6 2 2 2 7 4 2 2" xfId="47850"/>
    <cellStyle name="20% - Accent6 2 2 2 7 4 3" xfId="41457"/>
    <cellStyle name="20% - Accent6 2 2 2 7 5" xfId="16309"/>
    <cellStyle name="20% - Accent6 2 2 2 7 5 2" xfId="45170"/>
    <cellStyle name="20% - Accent6 2 2 2 7 6" xfId="30534"/>
    <cellStyle name="20% - Accent6 2 2 2 8" xfId="1878"/>
    <cellStyle name="20% - Accent6 2 2 2 8 2" xfId="4765"/>
    <cellStyle name="20% - Accent6 2 2 2 8 2 2" xfId="10806"/>
    <cellStyle name="20% - Accent6 2 2 2 8 2 2 2" xfId="27853"/>
    <cellStyle name="20% - Accent6 2 2 2 8 2 2 2 2" xfId="56714"/>
    <cellStyle name="20% - Accent6 2 2 2 8 2 2 3" xfId="39667"/>
    <cellStyle name="20% - Accent6 2 2 2 8 2 3" xfId="21875"/>
    <cellStyle name="20% - Accent6 2 2 2 8 2 3 2" xfId="50736"/>
    <cellStyle name="20% - Accent6 2 2 2 8 2 4" xfId="33626"/>
    <cellStyle name="20% - Accent6 2 2 2 8 3" xfId="7920"/>
    <cellStyle name="20% - Accent6 2 2 2 8 3 2" xfId="24967"/>
    <cellStyle name="20% - Accent6 2 2 2 8 3 2 2" xfId="53828"/>
    <cellStyle name="20% - Accent6 2 2 2 8 3 3" xfId="36781"/>
    <cellStyle name="20% - Accent6 2 2 2 8 4" xfId="13213"/>
    <cellStyle name="20% - Accent6 2 2 2 8 4 2" xfId="19195"/>
    <cellStyle name="20% - Accent6 2 2 2 8 4 2 2" xfId="48056"/>
    <cellStyle name="20% - Accent6 2 2 2 8 4 3" xfId="42074"/>
    <cellStyle name="20% - Accent6 2 2 2 8 5" xfId="16515"/>
    <cellStyle name="20% - Accent6 2 2 2 8 5 2" xfId="45376"/>
    <cellStyle name="20% - Accent6 2 2 2 8 6" xfId="30740"/>
    <cellStyle name="20% - Accent6 2 2 2 9" xfId="2084"/>
    <cellStyle name="20% - Accent6 2 2 2 9 2" xfId="4971"/>
    <cellStyle name="20% - Accent6 2 2 2 9 2 2" xfId="11012"/>
    <cellStyle name="20% - Accent6 2 2 2 9 2 2 2" xfId="28059"/>
    <cellStyle name="20% - Accent6 2 2 2 9 2 2 2 2" xfId="56920"/>
    <cellStyle name="20% - Accent6 2 2 2 9 2 2 3" xfId="39873"/>
    <cellStyle name="20% - Accent6 2 2 2 9 2 3" xfId="22081"/>
    <cellStyle name="20% - Accent6 2 2 2 9 2 3 2" xfId="50942"/>
    <cellStyle name="20% - Accent6 2 2 2 9 2 4" xfId="33832"/>
    <cellStyle name="20% - Accent6 2 2 2 9 3" xfId="8126"/>
    <cellStyle name="20% - Accent6 2 2 2 9 3 2" xfId="25173"/>
    <cellStyle name="20% - Accent6 2 2 2 9 3 2 2" xfId="54034"/>
    <cellStyle name="20% - Accent6 2 2 2 9 3 3" xfId="36987"/>
    <cellStyle name="20% - Accent6 2 2 2 9 4" xfId="13897"/>
    <cellStyle name="20% - Accent6 2 2 2 9 4 2" xfId="19401"/>
    <cellStyle name="20% - Accent6 2 2 2 9 4 2 2" xfId="48262"/>
    <cellStyle name="20% - Accent6 2 2 2 9 4 3" xfId="42758"/>
    <cellStyle name="20% - Accent6 2 2 2 9 5" xfId="16721"/>
    <cellStyle name="20% - Accent6 2 2 2 9 5 2" xfId="45582"/>
    <cellStyle name="20% - Accent6 2 2 2 9 6" xfId="30946"/>
    <cellStyle name="20% - Accent6 2 2 20" xfId="28989"/>
    <cellStyle name="20% - Accent6 2 2 3" xfId="230"/>
    <cellStyle name="20% - Accent6 2 2 3 2" xfId="642"/>
    <cellStyle name="20% - Accent6 2 2 3 2 2" xfId="3529"/>
    <cellStyle name="20% - Accent6 2 2 3 2 2 2" xfId="9570"/>
    <cellStyle name="20% - Accent6 2 2 3 2 2 2 2" xfId="26617"/>
    <cellStyle name="20% - Accent6 2 2 3 2 2 2 2 2" xfId="55478"/>
    <cellStyle name="20% - Accent6 2 2 3 2 2 2 3" xfId="38431"/>
    <cellStyle name="20% - Accent6 2 2 3 2 2 3" xfId="20639"/>
    <cellStyle name="20% - Accent6 2 2 3 2 2 3 2" xfId="49500"/>
    <cellStyle name="20% - Accent6 2 2 3 2 2 4" xfId="32390"/>
    <cellStyle name="20% - Accent6 2 2 3 2 3" xfId="6684"/>
    <cellStyle name="20% - Accent6 2 2 3 2 3 2" xfId="23731"/>
    <cellStyle name="20% - Accent6 2 2 3 2 3 2 2" xfId="52592"/>
    <cellStyle name="20% - Accent6 2 2 3 2 3 3" xfId="35545"/>
    <cellStyle name="20% - Accent6 2 2 3 2 4" xfId="14213"/>
    <cellStyle name="20% - Accent6 2 2 3 2 4 2" xfId="17959"/>
    <cellStyle name="20% - Accent6 2 2 3 2 4 2 2" xfId="46820"/>
    <cellStyle name="20% - Accent6 2 2 3 2 4 3" xfId="43074"/>
    <cellStyle name="20% - Accent6 2 2 3 2 5" xfId="15279"/>
    <cellStyle name="20% - Accent6 2 2 3 2 5 2" xfId="44140"/>
    <cellStyle name="20% - Accent6 2 2 3 2 6" xfId="29504"/>
    <cellStyle name="20% - Accent6 2 2 3 3" xfId="2187"/>
    <cellStyle name="20% - Accent6 2 2 3 3 2" xfId="5074"/>
    <cellStyle name="20% - Accent6 2 2 3 3 2 2" xfId="11115"/>
    <cellStyle name="20% - Accent6 2 2 3 3 2 2 2" xfId="28162"/>
    <cellStyle name="20% - Accent6 2 2 3 3 2 2 2 2" xfId="57023"/>
    <cellStyle name="20% - Accent6 2 2 3 3 2 2 3" xfId="39976"/>
    <cellStyle name="20% - Accent6 2 2 3 3 2 3" xfId="22184"/>
    <cellStyle name="20% - Accent6 2 2 3 3 2 3 2" xfId="51045"/>
    <cellStyle name="20% - Accent6 2 2 3 3 2 4" xfId="33935"/>
    <cellStyle name="20% - Accent6 2 2 3 3 3" xfId="8229"/>
    <cellStyle name="20% - Accent6 2 2 3 3 3 2" xfId="25276"/>
    <cellStyle name="20% - Accent6 2 2 3 3 3 2 2" xfId="54137"/>
    <cellStyle name="20% - Accent6 2 2 3 3 3 3" xfId="37090"/>
    <cellStyle name="20% - Accent6 2 2 3 3 4" xfId="14313"/>
    <cellStyle name="20% - Accent6 2 2 3 3 4 2" xfId="19504"/>
    <cellStyle name="20% - Accent6 2 2 3 3 4 2 2" xfId="48365"/>
    <cellStyle name="20% - Accent6 2 2 3 3 4 3" xfId="43174"/>
    <cellStyle name="20% - Accent6 2 2 3 3 5" xfId="16824"/>
    <cellStyle name="20% - Accent6 2 2 3 3 5 2" xfId="45685"/>
    <cellStyle name="20% - Accent6 2 2 3 3 6" xfId="31049"/>
    <cellStyle name="20% - Accent6 2 2 3 4" xfId="3117"/>
    <cellStyle name="20% - Accent6 2 2 3 4 2" xfId="9158"/>
    <cellStyle name="20% - Accent6 2 2 3 4 2 2" xfId="26205"/>
    <cellStyle name="20% - Accent6 2 2 3 4 2 2 2" xfId="55066"/>
    <cellStyle name="20% - Accent6 2 2 3 4 2 3" xfId="38019"/>
    <cellStyle name="20% - Accent6 2 2 3 4 3" xfId="20227"/>
    <cellStyle name="20% - Accent6 2 2 3 4 3 2" xfId="49088"/>
    <cellStyle name="20% - Accent6 2 2 3 4 4" xfId="31978"/>
    <cellStyle name="20% - Accent6 2 2 3 5" xfId="6272"/>
    <cellStyle name="20% - Accent6 2 2 3 5 2" xfId="23319"/>
    <cellStyle name="20% - Accent6 2 2 3 5 2 2" xfId="52180"/>
    <cellStyle name="20% - Accent6 2 2 3 5 3" xfId="35133"/>
    <cellStyle name="20% - Accent6 2 2 3 6" xfId="13066"/>
    <cellStyle name="20% - Accent6 2 2 3 6 2" xfId="17650"/>
    <cellStyle name="20% - Accent6 2 2 3 6 2 2" xfId="46511"/>
    <cellStyle name="20% - Accent6 2 2 3 6 3" xfId="41927"/>
    <cellStyle name="20% - Accent6 2 2 3 7" xfId="14867"/>
    <cellStyle name="20% - Accent6 2 2 3 7 2" xfId="43728"/>
    <cellStyle name="20% - Accent6 2 2 3 8" xfId="29092"/>
    <cellStyle name="20% - Accent6 2 2 4" xfId="436"/>
    <cellStyle name="20% - Accent6 2 2 4 2" xfId="3323"/>
    <cellStyle name="20% - Accent6 2 2 4 2 2" xfId="9364"/>
    <cellStyle name="20% - Accent6 2 2 4 2 2 2" xfId="26411"/>
    <cellStyle name="20% - Accent6 2 2 4 2 2 2 2" xfId="55272"/>
    <cellStyle name="20% - Accent6 2 2 4 2 2 3" xfId="38225"/>
    <cellStyle name="20% - Accent6 2 2 4 2 3" xfId="20433"/>
    <cellStyle name="20% - Accent6 2 2 4 2 3 2" xfId="49294"/>
    <cellStyle name="20% - Accent6 2 2 4 2 4" xfId="32184"/>
    <cellStyle name="20% - Accent6 2 2 4 3" xfId="6478"/>
    <cellStyle name="20% - Accent6 2 2 4 3 2" xfId="23525"/>
    <cellStyle name="20% - Accent6 2 2 4 3 2 2" xfId="52386"/>
    <cellStyle name="20% - Accent6 2 2 4 3 3" xfId="35339"/>
    <cellStyle name="20% - Accent6 2 2 4 4" xfId="12275"/>
    <cellStyle name="20% - Accent6 2 2 4 4 2" xfId="17753"/>
    <cellStyle name="20% - Accent6 2 2 4 4 2 2" xfId="46614"/>
    <cellStyle name="20% - Accent6 2 2 4 4 3" xfId="41136"/>
    <cellStyle name="20% - Accent6 2 2 4 5" xfId="15073"/>
    <cellStyle name="20% - Accent6 2 2 4 5 2" xfId="43934"/>
    <cellStyle name="20% - Accent6 2 2 4 6" xfId="29298"/>
    <cellStyle name="20% - Accent6 2 2 5" xfId="745"/>
    <cellStyle name="20% - Accent6 2 2 5 2" xfId="3632"/>
    <cellStyle name="20% - Accent6 2 2 5 2 2" xfId="9673"/>
    <cellStyle name="20% - Accent6 2 2 5 2 2 2" xfId="26720"/>
    <cellStyle name="20% - Accent6 2 2 5 2 2 2 2" xfId="55581"/>
    <cellStyle name="20% - Accent6 2 2 5 2 2 3" xfId="38534"/>
    <cellStyle name="20% - Accent6 2 2 5 2 3" xfId="20742"/>
    <cellStyle name="20% - Accent6 2 2 5 2 3 2" xfId="49603"/>
    <cellStyle name="20% - Accent6 2 2 5 2 4" xfId="32493"/>
    <cellStyle name="20% - Accent6 2 2 5 3" xfId="6787"/>
    <cellStyle name="20% - Accent6 2 2 5 3 2" xfId="23834"/>
    <cellStyle name="20% - Accent6 2 2 5 3 2 2" xfId="52695"/>
    <cellStyle name="20% - Accent6 2 2 5 3 3" xfId="35648"/>
    <cellStyle name="20% - Accent6 2 2 5 4" xfId="13371"/>
    <cellStyle name="20% - Accent6 2 2 5 4 2" xfId="18062"/>
    <cellStyle name="20% - Accent6 2 2 5 4 2 2" xfId="46923"/>
    <cellStyle name="20% - Accent6 2 2 5 4 3" xfId="42232"/>
    <cellStyle name="20% - Accent6 2 2 5 5" xfId="15382"/>
    <cellStyle name="20% - Accent6 2 2 5 5 2" xfId="44243"/>
    <cellStyle name="20% - Accent6 2 2 5 6" xfId="29607"/>
    <cellStyle name="20% - Accent6 2 2 6" xfId="951"/>
    <cellStyle name="20% - Accent6 2 2 6 2" xfId="3838"/>
    <cellStyle name="20% - Accent6 2 2 6 2 2" xfId="9879"/>
    <cellStyle name="20% - Accent6 2 2 6 2 2 2" xfId="26926"/>
    <cellStyle name="20% - Accent6 2 2 6 2 2 2 2" xfId="55787"/>
    <cellStyle name="20% - Accent6 2 2 6 2 2 3" xfId="38740"/>
    <cellStyle name="20% - Accent6 2 2 6 2 3" xfId="20948"/>
    <cellStyle name="20% - Accent6 2 2 6 2 3 2" xfId="49809"/>
    <cellStyle name="20% - Accent6 2 2 6 2 4" xfId="32699"/>
    <cellStyle name="20% - Accent6 2 2 6 3" xfId="6993"/>
    <cellStyle name="20% - Accent6 2 2 6 3 2" xfId="24040"/>
    <cellStyle name="20% - Accent6 2 2 6 3 2 2" xfId="52901"/>
    <cellStyle name="20% - Accent6 2 2 6 3 3" xfId="35854"/>
    <cellStyle name="20% - Accent6 2 2 6 4" xfId="13245"/>
    <cellStyle name="20% - Accent6 2 2 6 4 2" xfId="18268"/>
    <cellStyle name="20% - Accent6 2 2 6 4 2 2" xfId="47129"/>
    <cellStyle name="20% - Accent6 2 2 6 4 3" xfId="42106"/>
    <cellStyle name="20% - Accent6 2 2 6 5" xfId="15588"/>
    <cellStyle name="20% - Accent6 2 2 6 5 2" xfId="44449"/>
    <cellStyle name="20% - Accent6 2 2 6 6" xfId="29813"/>
    <cellStyle name="20% - Accent6 2 2 7" xfId="1157"/>
    <cellStyle name="20% - Accent6 2 2 7 2" xfId="4044"/>
    <cellStyle name="20% - Accent6 2 2 7 2 2" xfId="10085"/>
    <cellStyle name="20% - Accent6 2 2 7 2 2 2" xfId="27132"/>
    <cellStyle name="20% - Accent6 2 2 7 2 2 2 2" xfId="55993"/>
    <cellStyle name="20% - Accent6 2 2 7 2 2 3" xfId="38946"/>
    <cellStyle name="20% - Accent6 2 2 7 2 3" xfId="21154"/>
    <cellStyle name="20% - Accent6 2 2 7 2 3 2" xfId="50015"/>
    <cellStyle name="20% - Accent6 2 2 7 2 4" xfId="32905"/>
    <cellStyle name="20% - Accent6 2 2 7 3" xfId="7199"/>
    <cellStyle name="20% - Accent6 2 2 7 3 2" xfId="24246"/>
    <cellStyle name="20% - Accent6 2 2 7 3 2 2" xfId="53107"/>
    <cellStyle name="20% - Accent6 2 2 7 3 3" xfId="36060"/>
    <cellStyle name="20% - Accent6 2 2 7 4" xfId="12170"/>
    <cellStyle name="20% - Accent6 2 2 7 4 2" xfId="18474"/>
    <cellStyle name="20% - Accent6 2 2 7 4 2 2" xfId="47335"/>
    <cellStyle name="20% - Accent6 2 2 7 4 3" xfId="41031"/>
    <cellStyle name="20% - Accent6 2 2 7 5" xfId="15794"/>
    <cellStyle name="20% - Accent6 2 2 7 5 2" xfId="44655"/>
    <cellStyle name="20% - Accent6 2 2 7 6" xfId="30019"/>
    <cellStyle name="20% - Accent6 2 2 8" xfId="1363"/>
    <cellStyle name="20% - Accent6 2 2 8 2" xfId="4250"/>
    <cellStyle name="20% - Accent6 2 2 8 2 2" xfId="10291"/>
    <cellStyle name="20% - Accent6 2 2 8 2 2 2" xfId="27338"/>
    <cellStyle name="20% - Accent6 2 2 8 2 2 2 2" xfId="56199"/>
    <cellStyle name="20% - Accent6 2 2 8 2 2 3" xfId="39152"/>
    <cellStyle name="20% - Accent6 2 2 8 2 3" xfId="21360"/>
    <cellStyle name="20% - Accent6 2 2 8 2 3 2" xfId="50221"/>
    <cellStyle name="20% - Accent6 2 2 8 2 4" xfId="33111"/>
    <cellStyle name="20% - Accent6 2 2 8 3" xfId="7405"/>
    <cellStyle name="20% - Accent6 2 2 8 3 2" xfId="24452"/>
    <cellStyle name="20% - Accent6 2 2 8 3 2 2" xfId="53313"/>
    <cellStyle name="20% - Accent6 2 2 8 3 3" xfId="36266"/>
    <cellStyle name="20% - Accent6 2 2 8 4" xfId="13400"/>
    <cellStyle name="20% - Accent6 2 2 8 4 2" xfId="18680"/>
    <cellStyle name="20% - Accent6 2 2 8 4 2 2" xfId="47541"/>
    <cellStyle name="20% - Accent6 2 2 8 4 3" xfId="42261"/>
    <cellStyle name="20% - Accent6 2 2 8 5" xfId="16000"/>
    <cellStyle name="20% - Accent6 2 2 8 5 2" xfId="44861"/>
    <cellStyle name="20% - Accent6 2 2 8 6" xfId="30225"/>
    <cellStyle name="20% - Accent6 2 2 9" xfId="1569"/>
    <cellStyle name="20% - Accent6 2 2 9 2" xfId="4456"/>
    <cellStyle name="20% - Accent6 2 2 9 2 2" xfId="10497"/>
    <cellStyle name="20% - Accent6 2 2 9 2 2 2" xfId="27544"/>
    <cellStyle name="20% - Accent6 2 2 9 2 2 2 2" xfId="56405"/>
    <cellStyle name="20% - Accent6 2 2 9 2 2 3" xfId="39358"/>
    <cellStyle name="20% - Accent6 2 2 9 2 3" xfId="21566"/>
    <cellStyle name="20% - Accent6 2 2 9 2 3 2" xfId="50427"/>
    <cellStyle name="20% - Accent6 2 2 9 2 4" xfId="33317"/>
    <cellStyle name="20% - Accent6 2 2 9 3" xfId="7611"/>
    <cellStyle name="20% - Accent6 2 2 9 3 2" xfId="24658"/>
    <cellStyle name="20% - Accent6 2 2 9 3 2 2" xfId="53519"/>
    <cellStyle name="20% - Accent6 2 2 9 3 3" xfId="36472"/>
    <cellStyle name="20% - Accent6 2 2 9 4" xfId="12060"/>
    <cellStyle name="20% - Accent6 2 2 9 4 2" xfId="18886"/>
    <cellStyle name="20% - Accent6 2 2 9 4 2 2" xfId="47747"/>
    <cellStyle name="20% - Accent6 2 2 9 4 3" xfId="40921"/>
    <cellStyle name="20% - Accent6 2 2 9 5" xfId="16206"/>
    <cellStyle name="20% - Accent6 2 2 9 5 2" xfId="45067"/>
    <cellStyle name="20% - Accent6 2 2 9 6" xfId="30431"/>
    <cellStyle name="20% - Accent6 2 20" xfId="6143"/>
    <cellStyle name="20% - Accent6 2 20 2" xfId="23190"/>
    <cellStyle name="20% - Accent6 2 20 2 2" xfId="52051"/>
    <cellStyle name="20% - Accent6 2 20 3" xfId="35004"/>
    <cellStyle name="20% - Accent6 2 21" xfId="14532"/>
    <cellStyle name="20% - Accent6 2 21 2" xfId="43393"/>
    <cellStyle name="20% - Accent6 2 22" xfId="28963"/>
    <cellStyle name="20% - Accent6 2 3" xfId="153"/>
    <cellStyle name="20% - Accent6 2 3 10" xfId="1801"/>
    <cellStyle name="20% - Accent6 2 3 10 2" xfId="4688"/>
    <cellStyle name="20% - Accent6 2 3 10 2 2" xfId="10729"/>
    <cellStyle name="20% - Accent6 2 3 10 2 2 2" xfId="27776"/>
    <cellStyle name="20% - Accent6 2 3 10 2 2 2 2" xfId="56637"/>
    <cellStyle name="20% - Accent6 2 3 10 2 2 3" xfId="39590"/>
    <cellStyle name="20% - Accent6 2 3 10 2 3" xfId="21798"/>
    <cellStyle name="20% - Accent6 2 3 10 2 3 2" xfId="50659"/>
    <cellStyle name="20% - Accent6 2 3 10 2 4" xfId="33549"/>
    <cellStyle name="20% - Accent6 2 3 10 3" xfId="7843"/>
    <cellStyle name="20% - Accent6 2 3 10 3 2" xfId="24890"/>
    <cellStyle name="20% - Accent6 2 3 10 3 2 2" xfId="53751"/>
    <cellStyle name="20% - Accent6 2 3 10 3 3" xfId="36704"/>
    <cellStyle name="20% - Accent6 2 3 10 4" xfId="14019"/>
    <cellStyle name="20% - Accent6 2 3 10 4 2" xfId="19118"/>
    <cellStyle name="20% - Accent6 2 3 10 4 2 2" xfId="47979"/>
    <cellStyle name="20% - Accent6 2 3 10 4 3" xfId="42880"/>
    <cellStyle name="20% - Accent6 2 3 10 5" xfId="16438"/>
    <cellStyle name="20% - Accent6 2 3 10 5 2" xfId="45299"/>
    <cellStyle name="20% - Accent6 2 3 10 6" xfId="30663"/>
    <cellStyle name="20% - Accent6 2 3 11" xfId="2007"/>
    <cellStyle name="20% - Accent6 2 3 11 2" xfId="4894"/>
    <cellStyle name="20% - Accent6 2 3 11 2 2" xfId="10935"/>
    <cellStyle name="20% - Accent6 2 3 11 2 2 2" xfId="27982"/>
    <cellStyle name="20% - Accent6 2 3 11 2 2 2 2" xfId="56843"/>
    <cellStyle name="20% - Accent6 2 3 11 2 2 3" xfId="39796"/>
    <cellStyle name="20% - Accent6 2 3 11 2 3" xfId="22004"/>
    <cellStyle name="20% - Accent6 2 3 11 2 3 2" xfId="50865"/>
    <cellStyle name="20% - Accent6 2 3 11 2 4" xfId="33755"/>
    <cellStyle name="20% - Accent6 2 3 11 3" xfId="8049"/>
    <cellStyle name="20% - Accent6 2 3 11 3 2" xfId="25096"/>
    <cellStyle name="20% - Accent6 2 3 11 3 2 2" xfId="53957"/>
    <cellStyle name="20% - Accent6 2 3 11 3 3" xfId="36910"/>
    <cellStyle name="20% - Accent6 2 3 11 4" xfId="13395"/>
    <cellStyle name="20% - Accent6 2 3 11 4 2" xfId="19324"/>
    <cellStyle name="20% - Accent6 2 3 11 4 2 2" xfId="48185"/>
    <cellStyle name="20% - Accent6 2 3 11 4 3" xfId="42256"/>
    <cellStyle name="20% - Accent6 2 3 11 5" xfId="16644"/>
    <cellStyle name="20% - Accent6 2 3 11 5 2" xfId="45505"/>
    <cellStyle name="20% - Accent6 2 3 11 6" xfId="30869"/>
    <cellStyle name="20% - Accent6 2 3 12" xfId="2419"/>
    <cellStyle name="20% - Accent6 2 3 12 2" xfId="5306"/>
    <cellStyle name="20% - Accent6 2 3 12 2 2" xfId="11347"/>
    <cellStyle name="20% - Accent6 2 3 12 2 2 2" xfId="28394"/>
    <cellStyle name="20% - Accent6 2 3 12 2 2 2 2" xfId="57255"/>
    <cellStyle name="20% - Accent6 2 3 12 2 2 3" xfId="40208"/>
    <cellStyle name="20% - Accent6 2 3 12 2 3" xfId="22416"/>
    <cellStyle name="20% - Accent6 2 3 12 2 3 2" xfId="51277"/>
    <cellStyle name="20% - Accent6 2 3 12 2 4" xfId="34167"/>
    <cellStyle name="20% - Accent6 2 3 12 3" xfId="8461"/>
    <cellStyle name="20% - Accent6 2 3 12 3 2" xfId="25508"/>
    <cellStyle name="20% - Accent6 2 3 12 3 2 2" xfId="54369"/>
    <cellStyle name="20% - Accent6 2 3 12 3 3" xfId="37322"/>
    <cellStyle name="20% - Accent6 2 3 12 4" xfId="13537"/>
    <cellStyle name="20% - Accent6 2 3 12 4 2" xfId="19736"/>
    <cellStyle name="20% - Accent6 2 3 12 4 2 2" xfId="48597"/>
    <cellStyle name="20% - Accent6 2 3 12 4 3" xfId="42398"/>
    <cellStyle name="20% - Accent6 2 3 12 5" xfId="17056"/>
    <cellStyle name="20% - Accent6 2 3 12 5 2" xfId="45917"/>
    <cellStyle name="20% - Accent6 2 3 12 6" xfId="31281"/>
    <cellStyle name="20% - Accent6 2 3 13" xfId="2628"/>
    <cellStyle name="20% - Accent6 2 3 13 2" xfId="5514"/>
    <cellStyle name="20% - Accent6 2 3 13 2 2" xfId="11555"/>
    <cellStyle name="20% - Accent6 2 3 13 2 2 2" xfId="28602"/>
    <cellStyle name="20% - Accent6 2 3 13 2 2 2 2" xfId="57463"/>
    <cellStyle name="20% - Accent6 2 3 13 2 2 3" xfId="40416"/>
    <cellStyle name="20% - Accent6 2 3 13 2 3" xfId="22624"/>
    <cellStyle name="20% - Accent6 2 3 13 2 3 2" xfId="51485"/>
    <cellStyle name="20% - Accent6 2 3 13 2 4" xfId="34375"/>
    <cellStyle name="20% - Accent6 2 3 13 3" xfId="8669"/>
    <cellStyle name="20% - Accent6 2 3 13 3 2" xfId="25716"/>
    <cellStyle name="20% - Accent6 2 3 13 3 2 2" xfId="54577"/>
    <cellStyle name="20% - Accent6 2 3 13 3 3" xfId="37530"/>
    <cellStyle name="20% - Accent6 2 3 13 4" xfId="13129"/>
    <cellStyle name="20% - Accent6 2 3 13 4 2" xfId="19944"/>
    <cellStyle name="20% - Accent6 2 3 13 4 2 2" xfId="48805"/>
    <cellStyle name="20% - Accent6 2 3 13 4 3" xfId="41990"/>
    <cellStyle name="20% - Accent6 2 3 13 5" xfId="17264"/>
    <cellStyle name="20% - Accent6 2 3 13 5 2" xfId="46125"/>
    <cellStyle name="20% - Accent6 2 3 13 6" xfId="31489"/>
    <cellStyle name="20% - Accent6 2 3 14" xfId="3040"/>
    <cellStyle name="20% - Accent6 2 3 14 2" xfId="9081"/>
    <cellStyle name="20% - Accent6 2 3 14 2 2" xfId="26128"/>
    <cellStyle name="20% - Accent6 2 3 14 2 2 2" xfId="54989"/>
    <cellStyle name="20% - Accent6 2 3 14 2 3" xfId="37942"/>
    <cellStyle name="20% - Accent6 2 3 14 3" xfId="14218"/>
    <cellStyle name="20% - Accent6 2 3 14 3 2" xfId="20150"/>
    <cellStyle name="20% - Accent6 2 3 14 3 2 2" xfId="49011"/>
    <cellStyle name="20% - Accent6 2 3 14 3 3" xfId="43079"/>
    <cellStyle name="20% - Accent6 2 3 14 4" xfId="14790"/>
    <cellStyle name="20% - Accent6 2 3 14 4 2" xfId="43651"/>
    <cellStyle name="20% - Accent6 2 3 14 5" xfId="31901"/>
    <cellStyle name="20% - Accent6 2 3 15" xfId="2834"/>
    <cellStyle name="20% - Accent6 2 3 15 2" xfId="8875"/>
    <cellStyle name="20% - Accent6 2 3 15 2 2" xfId="25922"/>
    <cellStyle name="20% - Accent6 2 3 15 2 2 2" xfId="54783"/>
    <cellStyle name="20% - Accent6 2 3 15 2 3" xfId="37736"/>
    <cellStyle name="20% - Accent6 2 3 15 3" xfId="17470"/>
    <cellStyle name="20% - Accent6 2 3 15 3 2" xfId="46331"/>
    <cellStyle name="20% - Accent6 2 3 15 4" xfId="31695"/>
    <cellStyle name="20% - Accent6 2 3 16" xfId="5720"/>
    <cellStyle name="20% - Accent6 2 3 16 2" xfId="11761"/>
    <cellStyle name="20% - Accent6 2 3 16 2 2" xfId="28808"/>
    <cellStyle name="20% - Accent6 2 3 16 2 2 2" xfId="57669"/>
    <cellStyle name="20% - Accent6 2 3 16 2 3" xfId="40622"/>
    <cellStyle name="20% - Accent6 2 3 16 3" xfId="22830"/>
    <cellStyle name="20% - Accent6 2 3 16 3 2" xfId="51691"/>
    <cellStyle name="20% - Accent6 2 3 16 4" xfId="34581"/>
    <cellStyle name="20% - Accent6 2 3 17" xfId="5937"/>
    <cellStyle name="20% - Accent6 2 3 17 2" xfId="23036"/>
    <cellStyle name="20% - Accent6 2 3 17 2 2" xfId="51897"/>
    <cellStyle name="20% - Accent6 2 3 17 3" xfId="34798"/>
    <cellStyle name="20% - Accent6 2 3 18" xfId="6195"/>
    <cellStyle name="20% - Accent6 2 3 18 2" xfId="23242"/>
    <cellStyle name="20% - Accent6 2 3 18 2 2" xfId="52103"/>
    <cellStyle name="20% - Accent6 2 3 18 3" xfId="35056"/>
    <cellStyle name="20% - Accent6 2 3 19" xfId="14584"/>
    <cellStyle name="20% - Accent6 2 3 19 2" xfId="43445"/>
    <cellStyle name="20% - Accent6 2 3 2" xfId="359"/>
    <cellStyle name="20% - Accent6 2 3 2 10" xfId="2522"/>
    <cellStyle name="20% - Accent6 2 3 2 10 2" xfId="5409"/>
    <cellStyle name="20% - Accent6 2 3 2 10 2 2" xfId="11450"/>
    <cellStyle name="20% - Accent6 2 3 2 10 2 2 2" xfId="28497"/>
    <cellStyle name="20% - Accent6 2 3 2 10 2 2 2 2" xfId="57358"/>
    <cellStyle name="20% - Accent6 2 3 2 10 2 2 3" xfId="40311"/>
    <cellStyle name="20% - Accent6 2 3 2 10 2 3" xfId="22519"/>
    <cellStyle name="20% - Accent6 2 3 2 10 2 3 2" xfId="51380"/>
    <cellStyle name="20% - Accent6 2 3 2 10 2 4" xfId="34270"/>
    <cellStyle name="20% - Accent6 2 3 2 10 3" xfId="8564"/>
    <cellStyle name="20% - Accent6 2 3 2 10 3 2" xfId="25611"/>
    <cellStyle name="20% - Accent6 2 3 2 10 3 2 2" xfId="54472"/>
    <cellStyle name="20% - Accent6 2 3 2 10 3 3" xfId="37425"/>
    <cellStyle name="20% - Accent6 2 3 2 10 4" xfId="14366"/>
    <cellStyle name="20% - Accent6 2 3 2 10 4 2" xfId="19839"/>
    <cellStyle name="20% - Accent6 2 3 2 10 4 2 2" xfId="48700"/>
    <cellStyle name="20% - Accent6 2 3 2 10 4 3" xfId="43227"/>
    <cellStyle name="20% - Accent6 2 3 2 10 5" xfId="17159"/>
    <cellStyle name="20% - Accent6 2 3 2 10 5 2" xfId="46020"/>
    <cellStyle name="20% - Accent6 2 3 2 10 6" xfId="31384"/>
    <cellStyle name="20% - Accent6 2 3 2 11" xfId="2731"/>
    <cellStyle name="20% - Accent6 2 3 2 11 2" xfId="5617"/>
    <cellStyle name="20% - Accent6 2 3 2 11 2 2" xfId="11658"/>
    <cellStyle name="20% - Accent6 2 3 2 11 2 2 2" xfId="28705"/>
    <cellStyle name="20% - Accent6 2 3 2 11 2 2 2 2" xfId="57566"/>
    <cellStyle name="20% - Accent6 2 3 2 11 2 2 3" xfId="40519"/>
    <cellStyle name="20% - Accent6 2 3 2 11 2 3" xfId="22727"/>
    <cellStyle name="20% - Accent6 2 3 2 11 2 3 2" xfId="51588"/>
    <cellStyle name="20% - Accent6 2 3 2 11 2 4" xfId="34478"/>
    <cellStyle name="20% - Accent6 2 3 2 11 3" xfId="8772"/>
    <cellStyle name="20% - Accent6 2 3 2 11 3 2" xfId="25819"/>
    <cellStyle name="20% - Accent6 2 3 2 11 3 2 2" xfId="54680"/>
    <cellStyle name="20% - Accent6 2 3 2 11 3 3" xfId="37633"/>
    <cellStyle name="20% - Accent6 2 3 2 11 4" xfId="13796"/>
    <cellStyle name="20% - Accent6 2 3 2 11 4 2" xfId="20047"/>
    <cellStyle name="20% - Accent6 2 3 2 11 4 2 2" xfId="48908"/>
    <cellStyle name="20% - Accent6 2 3 2 11 4 3" xfId="42657"/>
    <cellStyle name="20% - Accent6 2 3 2 11 5" xfId="17367"/>
    <cellStyle name="20% - Accent6 2 3 2 11 5 2" xfId="46228"/>
    <cellStyle name="20% - Accent6 2 3 2 11 6" xfId="31592"/>
    <cellStyle name="20% - Accent6 2 3 2 12" xfId="3246"/>
    <cellStyle name="20% - Accent6 2 3 2 12 2" xfId="9287"/>
    <cellStyle name="20% - Accent6 2 3 2 12 2 2" xfId="26334"/>
    <cellStyle name="20% - Accent6 2 3 2 12 2 2 2" xfId="55195"/>
    <cellStyle name="20% - Accent6 2 3 2 12 2 3" xfId="38148"/>
    <cellStyle name="20% - Accent6 2 3 2 12 3" xfId="13791"/>
    <cellStyle name="20% - Accent6 2 3 2 12 3 2" xfId="20356"/>
    <cellStyle name="20% - Accent6 2 3 2 12 3 2 2" xfId="49217"/>
    <cellStyle name="20% - Accent6 2 3 2 12 3 3" xfId="42652"/>
    <cellStyle name="20% - Accent6 2 3 2 12 4" xfId="14996"/>
    <cellStyle name="20% - Accent6 2 3 2 12 4 2" xfId="43857"/>
    <cellStyle name="20% - Accent6 2 3 2 12 5" xfId="32107"/>
    <cellStyle name="20% - Accent6 2 3 2 13" xfId="2937"/>
    <cellStyle name="20% - Accent6 2 3 2 13 2" xfId="8978"/>
    <cellStyle name="20% - Accent6 2 3 2 13 2 2" xfId="26025"/>
    <cellStyle name="20% - Accent6 2 3 2 13 2 2 2" xfId="54886"/>
    <cellStyle name="20% - Accent6 2 3 2 13 2 3" xfId="37839"/>
    <cellStyle name="20% - Accent6 2 3 2 13 3" xfId="17573"/>
    <cellStyle name="20% - Accent6 2 3 2 13 3 2" xfId="46434"/>
    <cellStyle name="20% - Accent6 2 3 2 13 4" xfId="31798"/>
    <cellStyle name="20% - Accent6 2 3 2 14" xfId="5823"/>
    <cellStyle name="20% - Accent6 2 3 2 14 2" xfId="11864"/>
    <cellStyle name="20% - Accent6 2 3 2 14 2 2" xfId="28911"/>
    <cellStyle name="20% - Accent6 2 3 2 14 2 2 2" xfId="57772"/>
    <cellStyle name="20% - Accent6 2 3 2 14 2 3" xfId="40725"/>
    <cellStyle name="20% - Accent6 2 3 2 14 3" xfId="22933"/>
    <cellStyle name="20% - Accent6 2 3 2 14 3 2" xfId="51794"/>
    <cellStyle name="20% - Accent6 2 3 2 14 4" xfId="34684"/>
    <cellStyle name="20% - Accent6 2 3 2 15" xfId="6040"/>
    <cellStyle name="20% - Accent6 2 3 2 15 2" xfId="23139"/>
    <cellStyle name="20% - Accent6 2 3 2 15 2 2" xfId="52000"/>
    <cellStyle name="20% - Accent6 2 3 2 15 3" xfId="34901"/>
    <cellStyle name="20% - Accent6 2 3 2 16" xfId="6401"/>
    <cellStyle name="20% - Accent6 2 3 2 16 2" xfId="23448"/>
    <cellStyle name="20% - Accent6 2 3 2 16 2 2" xfId="52309"/>
    <cellStyle name="20% - Accent6 2 3 2 16 3" xfId="35262"/>
    <cellStyle name="20% - Accent6 2 3 2 17" xfId="14687"/>
    <cellStyle name="20% - Accent6 2 3 2 17 2" xfId="43548"/>
    <cellStyle name="20% - Accent6 2 3 2 18" xfId="29221"/>
    <cellStyle name="20% - Accent6 2 3 2 2" xfId="565"/>
    <cellStyle name="20% - Accent6 2 3 2 2 2" xfId="2316"/>
    <cellStyle name="20% - Accent6 2 3 2 2 2 2" xfId="5203"/>
    <cellStyle name="20% - Accent6 2 3 2 2 2 2 2" xfId="11244"/>
    <cellStyle name="20% - Accent6 2 3 2 2 2 2 2 2" xfId="28291"/>
    <cellStyle name="20% - Accent6 2 3 2 2 2 2 2 2 2" xfId="57152"/>
    <cellStyle name="20% - Accent6 2 3 2 2 2 2 2 3" xfId="40105"/>
    <cellStyle name="20% - Accent6 2 3 2 2 2 2 3" xfId="22313"/>
    <cellStyle name="20% - Accent6 2 3 2 2 2 2 3 2" xfId="51174"/>
    <cellStyle name="20% - Accent6 2 3 2 2 2 2 4" xfId="34064"/>
    <cellStyle name="20% - Accent6 2 3 2 2 2 3" xfId="8358"/>
    <cellStyle name="20% - Accent6 2 3 2 2 2 3 2" xfId="25405"/>
    <cellStyle name="20% - Accent6 2 3 2 2 2 3 2 2" xfId="54266"/>
    <cellStyle name="20% - Accent6 2 3 2 2 2 3 3" xfId="37219"/>
    <cellStyle name="20% - Accent6 2 3 2 2 2 4" xfId="13384"/>
    <cellStyle name="20% - Accent6 2 3 2 2 2 4 2" xfId="19633"/>
    <cellStyle name="20% - Accent6 2 3 2 2 2 4 2 2" xfId="48494"/>
    <cellStyle name="20% - Accent6 2 3 2 2 2 4 3" xfId="42245"/>
    <cellStyle name="20% - Accent6 2 3 2 2 2 5" xfId="16953"/>
    <cellStyle name="20% - Accent6 2 3 2 2 2 5 2" xfId="45814"/>
    <cellStyle name="20% - Accent6 2 3 2 2 2 6" xfId="31178"/>
    <cellStyle name="20% - Accent6 2 3 2 2 3" xfId="3452"/>
    <cellStyle name="20% - Accent6 2 3 2 2 3 2" xfId="9493"/>
    <cellStyle name="20% - Accent6 2 3 2 2 3 2 2" xfId="26540"/>
    <cellStyle name="20% - Accent6 2 3 2 2 3 2 2 2" xfId="55401"/>
    <cellStyle name="20% - Accent6 2 3 2 2 3 2 3" xfId="38354"/>
    <cellStyle name="20% - Accent6 2 3 2 2 3 3" xfId="20562"/>
    <cellStyle name="20% - Accent6 2 3 2 2 3 3 2" xfId="49423"/>
    <cellStyle name="20% - Accent6 2 3 2 2 3 4" xfId="32313"/>
    <cellStyle name="20% - Accent6 2 3 2 2 4" xfId="6607"/>
    <cellStyle name="20% - Accent6 2 3 2 2 4 2" xfId="23654"/>
    <cellStyle name="20% - Accent6 2 3 2 2 4 2 2" xfId="52515"/>
    <cellStyle name="20% - Accent6 2 3 2 2 4 3" xfId="35468"/>
    <cellStyle name="20% - Accent6 2 3 2 2 5" xfId="12820"/>
    <cellStyle name="20% - Accent6 2 3 2 2 5 2" xfId="17882"/>
    <cellStyle name="20% - Accent6 2 3 2 2 5 2 2" xfId="46743"/>
    <cellStyle name="20% - Accent6 2 3 2 2 5 3" xfId="41681"/>
    <cellStyle name="20% - Accent6 2 3 2 2 6" xfId="15202"/>
    <cellStyle name="20% - Accent6 2 3 2 2 6 2" xfId="44063"/>
    <cellStyle name="20% - Accent6 2 3 2 2 7" xfId="29427"/>
    <cellStyle name="20% - Accent6 2 3 2 3" xfId="874"/>
    <cellStyle name="20% - Accent6 2 3 2 3 2" xfId="3761"/>
    <cellStyle name="20% - Accent6 2 3 2 3 2 2" xfId="9802"/>
    <cellStyle name="20% - Accent6 2 3 2 3 2 2 2" xfId="26849"/>
    <cellStyle name="20% - Accent6 2 3 2 3 2 2 2 2" xfId="55710"/>
    <cellStyle name="20% - Accent6 2 3 2 3 2 2 3" xfId="38663"/>
    <cellStyle name="20% - Accent6 2 3 2 3 2 3" xfId="20871"/>
    <cellStyle name="20% - Accent6 2 3 2 3 2 3 2" xfId="49732"/>
    <cellStyle name="20% - Accent6 2 3 2 3 2 4" xfId="32622"/>
    <cellStyle name="20% - Accent6 2 3 2 3 3" xfId="6916"/>
    <cellStyle name="20% - Accent6 2 3 2 3 3 2" xfId="23963"/>
    <cellStyle name="20% - Accent6 2 3 2 3 3 2 2" xfId="52824"/>
    <cellStyle name="20% - Accent6 2 3 2 3 3 3" xfId="35777"/>
    <cellStyle name="20% - Accent6 2 3 2 3 4" xfId="13944"/>
    <cellStyle name="20% - Accent6 2 3 2 3 4 2" xfId="18191"/>
    <cellStyle name="20% - Accent6 2 3 2 3 4 2 2" xfId="47052"/>
    <cellStyle name="20% - Accent6 2 3 2 3 4 3" xfId="42805"/>
    <cellStyle name="20% - Accent6 2 3 2 3 5" xfId="15511"/>
    <cellStyle name="20% - Accent6 2 3 2 3 5 2" xfId="44372"/>
    <cellStyle name="20% - Accent6 2 3 2 3 6" xfId="29736"/>
    <cellStyle name="20% - Accent6 2 3 2 4" xfId="1080"/>
    <cellStyle name="20% - Accent6 2 3 2 4 2" xfId="3967"/>
    <cellStyle name="20% - Accent6 2 3 2 4 2 2" xfId="10008"/>
    <cellStyle name="20% - Accent6 2 3 2 4 2 2 2" xfId="27055"/>
    <cellStyle name="20% - Accent6 2 3 2 4 2 2 2 2" xfId="55916"/>
    <cellStyle name="20% - Accent6 2 3 2 4 2 2 3" xfId="38869"/>
    <cellStyle name="20% - Accent6 2 3 2 4 2 3" xfId="21077"/>
    <cellStyle name="20% - Accent6 2 3 2 4 2 3 2" xfId="49938"/>
    <cellStyle name="20% - Accent6 2 3 2 4 2 4" xfId="32828"/>
    <cellStyle name="20% - Accent6 2 3 2 4 3" xfId="7122"/>
    <cellStyle name="20% - Accent6 2 3 2 4 3 2" xfId="24169"/>
    <cellStyle name="20% - Accent6 2 3 2 4 3 2 2" xfId="53030"/>
    <cellStyle name="20% - Accent6 2 3 2 4 3 3" xfId="35983"/>
    <cellStyle name="20% - Accent6 2 3 2 4 4" xfId="12885"/>
    <cellStyle name="20% - Accent6 2 3 2 4 4 2" xfId="18397"/>
    <cellStyle name="20% - Accent6 2 3 2 4 4 2 2" xfId="47258"/>
    <cellStyle name="20% - Accent6 2 3 2 4 4 3" xfId="41746"/>
    <cellStyle name="20% - Accent6 2 3 2 4 5" xfId="15717"/>
    <cellStyle name="20% - Accent6 2 3 2 4 5 2" xfId="44578"/>
    <cellStyle name="20% - Accent6 2 3 2 4 6" xfId="29942"/>
    <cellStyle name="20% - Accent6 2 3 2 5" xfId="1286"/>
    <cellStyle name="20% - Accent6 2 3 2 5 2" xfId="4173"/>
    <cellStyle name="20% - Accent6 2 3 2 5 2 2" xfId="10214"/>
    <cellStyle name="20% - Accent6 2 3 2 5 2 2 2" xfId="27261"/>
    <cellStyle name="20% - Accent6 2 3 2 5 2 2 2 2" xfId="56122"/>
    <cellStyle name="20% - Accent6 2 3 2 5 2 2 3" xfId="39075"/>
    <cellStyle name="20% - Accent6 2 3 2 5 2 3" xfId="21283"/>
    <cellStyle name="20% - Accent6 2 3 2 5 2 3 2" xfId="50144"/>
    <cellStyle name="20% - Accent6 2 3 2 5 2 4" xfId="33034"/>
    <cellStyle name="20% - Accent6 2 3 2 5 3" xfId="7328"/>
    <cellStyle name="20% - Accent6 2 3 2 5 3 2" xfId="24375"/>
    <cellStyle name="20% - Accent6 2 3 2 5 3 2 2" xfId="53236"/>
    <cellStyle name="20% - Accent6 2 3 2 5 3 3" xfId="36189"/>
    <cellStyle name="20% - Accent6 2 3 2 5 4" xfId="12019"/>
    <cellStyle name="20% - Accent6 2 3 2 5 4 2" xfId="18603"/>
    <cellStyle name="20% - Accent6 2 3 2 5 4 2 2" xfId="47464"/>
    <cellStyle name="20% - Accent6 2 3 2 5 4 3" xfId="40880"/>
    <cellStyle name="20% - Accent6 2 3 2 5 5" xfId="15923"/>
    <cellStyle name="20% - Accent6 2 3 2 5 5 2" xfId="44784"/>
    <cellStyle name="20% - Accent6 2 3 2 5 6" xfId="30148"/>
    <cellStyle name="20% - Accent6 2 3 2 6" xfId="1492"/>
    <cellStyle name="20% - Accent6 2 3 2 6 2" xfId="4379"/>
    <cellStyle name="20% - Accent6 2 3 2 6 2 2" xfId="10420"/>
    <cellStyle name="20% - Accent6 2 3 2 6 2 2 2" xfId="27467"/>
    <cellStyle name="20% - Accent6 2 3 2 6 2 2 2 2" xfId="56328"/>
    <cellStyle name="20% - Accent6 2 3 2 6 2 2 3" xfId="39281"/>
    <cellStyle name="20% - Accent6 2 3 2 6 2 3" xfId="21489"/>
    <cellStyle name="20% - Accent6 2 3 2 6 2 3 2" xfId="50350"/>
    <cellStyle name="20% - Accent6 2 3 2 6 2 4" xfId="33240"/>
    <cellStyle name="20% - Accent6 2 3 2 6 3" xfId="7534"/>
    <cellStyle name="20% - Accent6 2 3 2 6 3 2" xfId="24581"/>
    <cellStyle name="20% - Accent6 2 3 2 6 3 2 2" xfId="53442"/>
    <cellStyle name="20% - Accent6 2 3 2 6 3 3" xfId="36395"/>
    <cellStyle name="20% - Accent6 2 3 2 6 4" xfId="14243"/>
    <cellStyle name="20% - Accent6 2 3 2 6 4 2" xfId="18809"/>
    <cellStyle name="20% - Accent6 2 3 2 6 4 2 2" xfId="47670"/>
    <cellStyle name="20% - Accent6 2 3 2 6 4 3" xfId="43104"/>
    <cellStyle name="20% - Accent6 2 3 2 6 5" xfId="16129"/>
    <cellStyle name="20% - Accent6 2 3 2 6 5 2" xfId="44990"/>
    <cellStyle name="20% - Accent6 2 3 2 6 6" xfId="30354"/>
    <cellStyle name="20% - Accent6 2 3 2 7" xfId="1698"/>
    <cellStyle name="20% - Accent6 2 3 2 7 2" xfId="4585"/>
    <cellStyle name="20% - Accent6 2 3 2 7 2 2" xfId="10626"/>
    <cellStyle name="20% - Accent6 2 3 2 7 2 2 2" xfId="27673"/>
    <cellStyle name="20% - Accent6 2 3 2 7 2 2 2 2" xfId="56534"/>
    <cellStyle name="20% - Accent6 2 3 2 7 2 2 3" xfId="39487"/>
    <cellStyle name="20% - Accent6 2 3 2 7 2 3" xfId="21695"/>
    <cellStyle name="20% - Accent6 2 3 2 7 2 3 2" xfId="50556"/>
    <cellStyle name="20% - Accent6 2 3 2 7 2 4" xfId="33446"/>
    <cellStyle name="20% - Accent6 2 3 2 7 3" xfId="7740"/>
    <cellStyle name="20% - Accent6 2 3 2 7 3 2" xfId="24787"/>
    <cellStyle name="20% - Accent6 2 3 2 7 3 2 2" xfId="53648"/>
    <cellStyle name="20% - Accent6 2 3 2 7 3 3" xfId="36601"/>
    <cellStyle name="20% - Accent6 2 3 2 7 4" xfId="13148"/>
    <cellStyle name="20% - Accent6 2 3 2 7 4 2" xfId="19015"/>
    <cellStyle name="20% - Accent6 2 3 2 7 4 2 2" xfId="47876"/>
    <cellStyle name="20% - Accent6 2 3 2 7 4 3" xfId="42009"/>
    <cellStyle name="20% - Accent6 2 3 2 7 5" xfId="16335"/>
    <cellStyle name="20% - Accent6 2 3 2 7 5 2" xfId="45196"/>
    <cellStyle name="20% - Accent6 2 3 2 7 6" xfId="30560"/>
    <cellStyle name="20% - Accent6 2 3 2 8" xfId="1904"/>
    <cellStyle name="20% - Accent6 2 3 2 8 2" xfId="4791"/>
    <cellStyle name="20% - Accent6 2 3 2 8 2 2" xfId="10832"/>
    <cellStyle name="20% - Accent6 2 3 2 8 2 2 2" xfId="27879"/>
    <cellStyle name="20% - Accent6 2 3 2 8 2 2 2 2" xfId="56740"/>
    <cellStyle name="20% - Accent6 2 3 2 8 2 2 3" xfId="39693"/>
    <cellStyle name="20% - Accent6 2 3 2 8 2 3" xfId="21901"/>
    <cellStyle name="20% - Accent6 2 3 2 8 2 3 2" xfId="50762"/>
    <cellStyle name="20% - Accent6 2 3 2 8 2 4" xfId="33652"/>
    <cellStyle name="20% - Accent6 2 3 2 8 3" xfId="7946"/>
    <cellStyle name="20% - Accent6 2 3 2 8 3 2" xfId="24993"/>
    <cellStyle name="20% - Accent6 2 3 2 8 3 2 2" xfId="53854"/>
    <cellStyle name="20% - Accent6 2 3 2 8 3 3" xfId="36807"/>
    <cellStyle name="20% - Accent6 2 3 2 8 4" xfId="12268"/>
    <cellStyle name="20% - Accent6 2 3 2 8 4 2" xfId="19221"/>
    <cellStyle name="20% - Accent6 2 3 2 8 4 2 2" xfId="48082"/>
    <cellStyle name="20% - Accent6 2 3 2 8 4 3" xfId="41129"/>
    <cellStyle name="20% - Accent6 2 3 2 8 5" xfId="16541"/>
    <cellStyle name="20% - Accent6 2 3 2 8 5 2" xfId="45402"/>
    <cellStyle name="20% - Accent6 2 3 2 8 6" xfId="30766"/>
    <cellStyle name="20% - Accent6 2 3 2 9" xfId="2110"/>
    <cellStyle name="20% - Accent6 2 3 2 9 2" xfId="4997"/>
    <cellStyle name="20% - Accent6 2 3 2 9 2 2" xfId="11038"/>
    <cellStyle name="20% - Accent6 2 3 2 9 2 2 2" xfId="28085"/>
    <cellStyle name="20% - Accent6 2 3 2 9 2 2 2 2" xfId="56946"/>
    <cellStyle name="20% - Accent6 2 3 2 9 2 2 3" xfId="39899"/>
    <cellStyle name="20% - Accent6 2 3 2 9 2 3" xfId="22107"/>
    <cellStyle name="20% - Accent6 2 3 2 9 2 3 2" xfId="50968"/>
    <cellStyle name="20% - Accent6 2 3 2 9 2 4" xfId="33858"/>
    <cellStyle name="20% - Accent6 2 3 2 9 3" xfId="8152"/>
    <cellStyle name="20% - Accent6 2 3 2 9 3 2" xfId="25199"/>
    <cellStyle name="20% - Accent6 2 3 2 9 3 2 2" xfId="54060"/>
    <cellStyle name="20% - Accent6 2 3 2 9 3 3" xfId="37013"/>
    <cellStyle name="20% - Accent6 2 3 2 9 4" xfId="14178"/>
    <cellStyle name="20% - Accent6 2 3 2 9 4 2" xfId="19427"/>
    <cellStyle name="20% - Accent6 2 3 2 9 4 2 2" xfId="48288"/>
    <cellStyle name="20% - Accent6 2 3 2 9 4 3" xfId="43039"/>
    <cellStyle name="20% - Accent6 2 3 2 9 5" xfId="16747"/>
    <cellStyle name="20% - Accent6 2 3 2 9 5 2" xfId="45608"/>
    <cellStyle name="20% - Accent6 2 3 2 9 6" xfId="30972"/>
    <cellStyle name="20% - Accent6 2 3 20" xfId="29015"/>
    <cellStyle name="20% - Accent6 2 3 3" xfId="256"/>
    <cellStyle name="20% - Accent6 2 3 3 2" xfId="668"/>
    <cellStyle name="20% - Accent6 2 3 3 2 2" xfId="3555"/>
    <cellStyle name="20% - Accent6 2 3 3 2 2 2" xfId="9596"/>
    <cellStyle name="20% - Accent6 2 3 3 2 2 2 2" xfId="26643"/>
    <cellStyle name="20% - Accent6 2 3 3 2 2 2 2 2" xfId="55504"/>
    <cellStyle name="20% - Accent6 2 3 3 2 2 2 3" xfId="38457"/>
    <cellStyle name="20% - Accent6 2 3 3 2 2 3" xfId="20665"/>
    <cellStyle name="20% - Accent6 2 3 3 2 2 3 2" xfId="49526"/>
    <cellStyle name="20% - Accent6 2 3 3 2 2 4" xfId="32416"/>
    <cellStyle name="20% - Accent6 2 3 3 2 3" xfId="6710"/>
    <cellStyle name="20% - Accent6 2 3 3 2 3 2" xfId="23757"/>
    <cellStyle name="20% - Accent6 2 3 3 2 3 2 2" xfId="52618"/>
    <cellStyle name="20% - Accent6 2 3 3 2 3 3" xfId="35571"/>
    <cellStyle name="20% - Accent6 2 3 3 2 4" xfId="11902"/>
    <cellStyle name="20% - Accent6 2 3 3 2 4 2" xfId="17985"/>
    <cellStyle name="20% - Accent6 2 3 3 2 4 2 2" xfId="46846"/>
    <cellStyle name="20% - Accent6 2 3 3 2 4 3" xfId="40763"/>
    <cellStyle name="20% - Accent6 2 3 3 2 5" xfId="15305"/>
    <cellStyle name="20% - Accent6 2 3 3 2 5 2" xfId="44166"/>
    <cellStyle name="20% - Accent6 2 3 3 2 6" xfId="29530"/>
    <cellStyle name="20% - Accent6 2 3 3 3" xfId="2213"/>
    <cellStyle name="20% - Accent6 2 3 3 3 2" xfId="5100"/>
    <cellStyle name="20% - Accent6 2 3 3 3 2 2" xfId="11141"/>
    <cellStyle name="20% - Accent6 2 3 3 3 2 2 2" xfId="28188"/>
    <cellStyle name="20% - Accent6 2 3 3 3 2 2 2 2" xfId="57049"/>
    <cellStyle name="20% - Accent6 2 3 3 3 2 2 3" xfId="40002"/>
    <cellStyle name="20% - Accent6 2 3 3 3 2 3" xfId="22210"/>
    <cellStyle name="20% - Accent6 2 3 3 3 2 3 2" xfId="51071"/>
    <cellStyle name="20% - Accent6 2 3 3 3 2 4" xfId="33961"/>
    <cellStyle name="20% - Accent6 2 3 3 3 3" xfId="8255"/>
    <cellStyle name="20% - Accent6 2 3 3 3 3 2" xfId="25302"/>
    <cellStyle name="20% - Accent6 2 3 3 3 3 2 2" xfId="54163"/>
    <cellStyle name="20% - Accent6 2 3 3 3 3 3" xfId="37116"/>
    <cellStyle name="20% - Accent6 2 3 3 3 4" xfId="12184"/>
    <cellStyle name="20% - Accent6 2 3 3 3 4 2" xfId="19530"/>
    <cellStyle name="20% - Accent6 2 3 3 3 4 2 2" xfId="48391"/>
    <cellStyle name="20% - Accent6 2 3 3 3 4 3" xfId="41045"/>
    <cellStyle name="20% - Accent6 2 3 3 3 5" xfId="16850"/>
    <cellStyle name="20% - Accent6 2 3 3 3 5 2" xfId="45711"/>
    <cellStyle name="20% - Accent6 2 3 3 3 6" xfId="31075"/>
    <cellStyle name="20% - Accent6 2 3 3 4" xfId="3143"/>
    <cellStyle name="20% - Accent6 2 3 3 4 2" xfId="9184"/>
    <cellStyle name="20% - Accent6 2 3 3 4 2 2" xfId="26231"/>
    <cellStyle name="20% - Accent6 2 3 3 4 2 2 2" xfId="55092"/>
    <cellStyle name="20% - Accent6 2 3 3 4 2 3" xfId="38045"/>
    <cellStyle name="20% - Accent6 2 3 3 4 3" xfId="20253"/>
    <cellStyle name="20% - Accent6 2 3 3 4 3 2" xfId="49114"/>
    <cellStyle name="20% - Accent6 2 3 3 4 4" xfId="32004"/>
    <cellStyle name="20% - Accent6 2 3 3 5" xfId="6298"/>
    <cellStyle name="20% - Accent6 2 3 3 5 2" xfId="23345"/>
    <cellStyle name="20% - Accent6 2 3 3 5 2 2" xfId="52206"/>
    <cellStyle name="20% - Accent6 2 3 3 5 3" xfId="35159"/>
    <cellStyle name="20% - Accent6 2 3 3 6" xfId="13104"/>
    <cellStyle name="20% - Accent6 2 3 3 6 2" xfId="17676"/>
    <cellStyle name="20% - Accent6 2 3 3 6 2 2" xfId="46537"/>
    <cellStyle name="20% - Accent6 2 3 3 6 3" xfId="41965"/>
    <cellStyle name="20% - Accent6 2 3 3 7" xfId="14893"/>
    <cellStyle name="20% - Accent6 2 3 3 7 2" xfId="43754"/>
    <cellStyle name="20% - Accent6 2 3 3 8" xfId="29118"/>
    <cellStyle name="20% - Accent6 2 3 4" xfId="462"/>
    <cellStyle name="20% - Accent6 2 3 4 2" xfId="3349"/>
    <cellStyle name="20% - Accent6 2 3 4 2 2" xfId="9390"/>
    <cellStyle name="20% - Accent6 2 3 4 2 2 2" xfId="26437"/>
    <cellStyle name="20% - Accent6 2 3 4 2 2 2 2" xfId="55298"/>
    <cellStyle name="20% - Accent6 2 3 4 2 2 3" xfId="38251"/>
    <cellStyle name="20% - Accent6 2 3 4 2 3" xfId="20459"/>
    <cellStyle name="20% - Accent6 2 3 4 2 3 2" xfId="49320"/>
    <cellStyle name="20% - Accent6 2 3 4 2 4" xfId="32210"/>
    <cellStyle name="20% - Accent6 2 3 4 3" xfId="6504"/>
    <cellStyle name="20% - Accent6 2 3 4 3 2" xfId="23551"/>
    <cellStyle name="20% - Accent6 2 3 4 3 2 2" xfId="52412"/>
    <cellStyle name="20% - Accent6 2 3 4 3 3" xfId="35365"/>
    <cellStyle name="20% - Accent6 2 3 4 4" xfId="13224"/>
    <cellStyle name="20% - Accent6 2 3 4 4 2" xfId="17779"/>
    <cellStyle name="20% - Accent6 2 3 4 4 2 2" xfId="46640"/>
    <cellStyle name="20% - Accent6 2 3 4 4 3" xfId="42085"/>
    <cellStyle name="20% - Accent6 2 3 4 5" xfId="15099"/>
    <cellStyle name="20% - Accent6 2 3 4 5 2" xfId="43960"/>
    <cellStyle name="20% - Accent6 2 3 4 6" xfId="29324"/>
    <cellStyle name="20% - Accent6 2 3 5" xfId="771"/>
    <cellStyle name="20% - Accent6 2 3 5 2" xfId="3658"/>
    <cellStyle name="20% - Accent6 2 3 5 2 2" xfId="9699"/>
    <cellStyle name="20% - Accent6 2 3 5 2 2 2" xfId="26746"/>
    <cellStyle name="20% - Accent6 2 3 5 2 2 2 2" xfId="55607"/>
    <cellStyle name="20% - Accent6 2 3 5 2 2 3" xfId="38560"/>
    <cellStyle name="20% - Accent6 2 3 5 2 3" xfId="20768"/>
    <cellStyle name="20% - Accent6 2 3 5 2 3 2" xfId="49629"/>
    <cellStyle name="20% - Accent6 2 3 5 2 4" xfId="32519"/>
    <cellStyle name="20% - Accent6 2 3 5 3" xfId="6813"/>
    <cellStyle name="20% - Accent6 2 3 5 3 2" xfId="23860"/>
    <cellStyle name="20% - Accent6 2 3 5 3 2 2" xfId="52721"/>
    <cellStyle name="20% - Accent6 2 3 5 3 3" xfId="35674"/>
    <cellStyle name="20% - Accent6 2 3 5 4" xfId="12726"/>
    <cellStyle name="20% - Accent6 2 3 5 4 2" xfId="18088"/>
    <cellStyle name="20% - Accent6 2 3 5 4 2 2" xfId="46949"/>
    <cellStyle name="20% - Accent6 2 3 5 4 3" xfId="41587"/>
    <cellStyle name="20% - Accent6 2 3 5 5" xfId="15408"/>
    <cellStyle name="20% - Accent6 2 3 5 5 2" xfId="44269"/>
    <cellStyle name="20% - Accent6 2 3 5 6" xfId="29633"/>
    <cellStyle name="20% - Accent6 2 3 6" xfId="977"/>
    <cellStyle name="20% - Accent6 2 3 6 2" xfId="3864"/>
    <cellStyle name="20% - Accent6 2 3 6 2 2" xfId="9905"/>
    <cellStyle name="20% - Accent6 2 3 6 2 2 2" xfId="26952"/>
    <cellStyle name="20% - Accent6 2 3 6 2 2 2 2" xfId="55813"/>
    <cellStyle name="20% - Accent6 2 3 6 2 2 3" xfId="38766"/>
    <cellStyle name="20% - Accent6 2 3 6 2 3" xfId="20974"/>
    <cellStyle name="20% - Accent6 2 3 6 2 3 2" xfId="49835"/>
    <cellStyle name="20% - Accent6 2 3 6 2 4" xfId="32725"/>
    <cellStyle name="20% - Accent6 2 3 6 3" xfId="7019"/>
    <cellStyle name="20% - Accent6 2 3 6 3 2" xfId="24066"/>
    <cellStyle name="20% - Accent6 2 3 6 3 2 2" xfId="52927"/>
    <cellStyle name="20% - Accent6 2 3 6 3 3" xfId="35880"/>
    <cellStyle name="20% - Accent6 2 3 6 4" xfId="12887"/>
    <cellStyle name="20% - Accent6 2 3 6 4 2" xfId="18294"/>
    <cellStyle name="20% - Accent6 2 3 6 4 2 2" xfId="47155"/>
    <cellStyle name="20% - Accent6 2 3 6 4 3" xfId="41748"/>
    <cellStyle name="20% - Accent6 2 3 6 5" xfId="15614"/>
    <cellStyle name="20% - Accent6 2 3 6 5 2" xfId="44475"/>
    <cellStyle name="20% - Accent6 2 3 6 6" xfId="29839"/>
    <cellStyle name="20% - Accent6 2 3 7" xfId="1183"/>
    <cellStyle name="20% - Accent6 2 3 7 2" xfId="4070"/>
    <cellStyle name="20% - Accent6 2 3 7 2 2" xfId="10111"/>
    <cellStyle name="20% - Accent6 2 3 7 2 2 2" xfId="27158"/>
    <cellStyle name="20% - Accent6 2 3 7 2 2 2 2" xfId="56019"/>
    <cellStyle name="20% - Accent6 2 3 7 2 2 3" xfId="38972"/>
    <cellStyle name="20% - Accent6 2 3 7 2 3" xfId="21180"/>
    <cellStyle name="20% - Accent6 2 3 7 2 3 2" xfId="50041"/>
    <cellStyle name="20% - Accent6 2 3 7 2 4" xfId="32931"/>
    <cellStyle name="20% - Accent6 2 3 7 3" xfId="7225"/>
    <cellStyle name="20% - Accent6 2 3 7 3 2" xfId="24272"/>
    <cellStyle name="20% - Accent6 2 3 7 3 2 2" xfId="53133"/>
    <cellStyle name="20% - Accent6 2 3 7 3 3" xfId="36086"/>
    <cellStyle name="20% - Accent6 2 3 7 4" xfId="14255"/>
    <cellStyle name="20% - Accent6 2 3 7 4 2" xfId="18500"/>
    <cellStyle name="20% - Accent6 2 3 7 4 2 2" xfId="47361"/>
    <cellStyle name="20% - Accent6 2 3 7 4 3" xfId="43116"/>
    <cellStyle name="20% - Accent6 2 3 7 5" xfId="15820"/>
    <cellStyle name="20% - Accent6 2 3 7 5 2" xfId="44681"/>
    <cellStyle name="20% - Accent6 2 3 7 6" xfId="30045"/>
    <cellStyle name="20% - Accent6 2 3 8" xfId="1389"/>
    <cellStyle name="20% - Accent6 2 3 8 2" xfId="4276"/>
    <cellStyle name="20% - Accent6 2 3 8 2 2" xfId="10317"/>
    <cellStyle name="20% - Accent6 2 3 8 2 2 2" xfId="27364"/>
    <cellStyle name="20% - Accent6 2 3 8 2 2 2 2" xfId="56225"/>
    <cellStyle name="20% - Accent6 2 3 8 2 2 3" xfId="39178"/>
    <cellStyle name="20% - Accent6 2 3 8 2 3" xfId="21386"/>
    <cellStyle name="20% - Accent6 2 3 8 2 3 2" xfId="50247"/>
    <cellStyle name="20% - Accent6 2 3 8 2 4" xfId="33137"/>
    <cellStyle name="20% - Accent6 2 3 8 3" xfId="7431"/>
    <cellStyle name="20% - Accent6 2 3 8 3 2" xfId="24478"/>
    <cellStyle name="20% - Accent6 2 3 8 3 2 2" xfId="53339"/>
    <cellStyle name="20% - Accent6 2 3 8 3 3" xfId="36292"/>
    <cellStyle name="20% - Accent6 2 3 8 4" xfId="12178"/>
    <cellStyle name="20% - Accent6 2 3 8 4 2" xfId="18706"/>
    <cellStyle name="20% - Accent6 2 3 8 4 2 2" xfId="47567"/>
    <cellStyle name="20% - Accent6 2 3 8 4 3" xfId="41039"/>
    <cellStyle name="20% - Accent6 2 3 8 5" xfId="16026"/>
    <cellStyle name="20% - Accent6 2 3 8 5 2" xfId="44887"/>
    <cellStyle name="20% - Accent6 2 3 8 6" xfId="30251"/>
    <cellStyle name="20% - Accent6 2 3 9" xfId="1595"/>
    <cellStyle name="20% - Accent6 2 3 9 2" xfId="4482"/>
    <cellStyle name="20% - Accent6 2 3 9 2 2" xfId="10523"/>
    <cellStyle name="20% - Accent6 2 3 9 2 2 2" xfId="27570"/>
    <cellStyle name="20% - Accent6 2 3 9 2 2 2 2" xfId="56431"/>
    <cellStyle name="20% - Accent6 2 3 9 2 2 3" xfId="39384"/>
    <cellStyle name="20% - Accent6 2 3 9 2 3" xfId="21592"/>
    <cellStyle name="20% - Accent6 2 3 9 2 3 2" xfId="50453"/>
    <cellStyle name="20% - Accent6 2 3 9 2 4" xfId="33343"/>
    <cellStyle name="20% - Accent6 2 3 9 3" xfId="7637"/>
    <cellStyle name="20% - Accent6 2 3 9 3 2" xfId="24684"/>
    <cellStyle name="20% - Accent6 2 3 9 3 2 2" xfId="53545"/>
    <cellStyle name="20% - Accent6 2 3 9 3 3" xfId="36498"/>
    <cellStyle name="20% - Accent6 2 3 9 4" xfId="14439"/>
    <cellStyle name="20% - Accent6 2 3 9 4 2" xfId="18912"/>
    <cellStyle name="20% - Accent6 2 3 9 4 2 2" xfId="47773"/>
    <cellStyle name="20% - Accent6 2 3 9 4 3" xfId="43300"/>
    <cellStyle name="20% - Accent6 2 3 9 5" xfId="16232"/>
    <cellStyle name="20% - Accent6 2 3 9 5 2" xfId="45093"/>
    <cellStyle name="20% - Accent6 2 3 9 6" xfId="30457"/>
    <cellStyle name="20% - Accent6 2 4" xfId="307"/>
    <cellStyle name="20% - Accent6 2 4 10" xfId="2470"/>
    <cellStyle name="20% - Accent6 2 4 10 2" xfId="5357"/>
    <cellStyle name="20% - Accent6 2 4 10 2 2" xfId="11398"/>
    <cellStyle name="20% - Accent6 2 4 10 2 2 2" xfId="28445"/>
    <cellStyle name="20% - Accent6 2 4 10 2 2 2 2" xfId="57306"/>
    <cellStyle name="20% - Accent6 2 4 10 2 2 3" xfId="40259"/>
    <cellStyle name="20% - Accent6 2 4 10 2 3" xfId="22467"/>
    <cellStyle name="20% - Accent6 2 4 10 2 3 2" xfId="51328"/>
    <cellStyle name="20% - Accent6 2 4 10 2 4" xfId="34218"/>
    <cellStyle name="20% - Accent6 2 4 10 3" xfId="8512"/>
    <cellStyle name="20% - Accent6 2 4 10 3 2" xfId="25559"/>
    <cellStyle name="20% - Accent6 2 4 10 3 2 2" xfId="54420"/>
    <cellStyle name="20% - Accent6 2 4 10 3 3" xfId="37373"/>
    <cellStyle name="20% - Accent6 2 4 10 4" xfId="13731"/>
    <cellStyle name="20% - Accent6 2 4 10 4 2" xfId="19787"/>
    <cellStyle name="20% - Accent6 2 4 10 4 2 2" xfId="48648"/>
    <cellStyle name="20% - Accent6 2 4 10 4 3" xfId="42592"/>
    <cellStyle name="20% - Accent6 2 4 10 5" xfId="17107"/>
    <cellStyle name="20% - Accent6 2 4 10 5 2" xfId="45968"/>
    <cellStyle name="20% - Accent6 2 4 10 6" xfId="31332"/>
    <cellStyle name="20% - Accent6 2 4 11" xfId="2679"/>
    <cellStyle name="20% - Accent6 2 4 11 2" xfId="5565"/>
    <cellStyle name="20% - Accent6 2 4 11 2 2" xfId="11606"/>
    <cellStyle name="20% - Accent6 2 4 11 2 2 2" xfId="28653"/>
    <cellStyle name="20% - Accent6 2 4 11 2 2 2 2" xfId="57514"/>
    <cellStyle name="20% - Accent6 2 4 11 2 2 3" xfId="40467"/>
    <cellStyle name="20% - Accent6 2 4 11 2 3" xfId="22675"/>
    <cellStyle name="20% - Accent6 2 4 11 2 3 2" xfId="51536"/>
    <cellStyle name="20% - Accent6 2 4 11 2 4" xfId="34426"/>
    <cellStyle name="20% - Accent6 2 4 11 3" xfId="8720"/>
    <cellStyle name="20% - Accent6 2 4 11 3 2" xfId="25767"/>
    <cellStyle name="20% - Accent6 2 4 11 3 2 2" xfId="54628"/>
    <cellStyle name="20% - Accent6 2 4 11 3 3" xfId="37581"/>
    <cellStyle name="20% - Accent6 2 4 11 4" xfId="14337"/>
    <cellStyle name="20% - Accent6 2 4 11 4 2" xfId="19995"/>
    <cellStyle name="20% - Accent6 2 4 11 4 2 2" xfId="48856"/>
    <cellStyle name="20% - Accent6 2 4 11 4 3" xfId="43198"/>
    <cellStyle name="20% - Accent6 2 4 11 5" xfId="17315"/>
    <cellStyle name="20% - Accent6 2 4 11 5 2" xfId="46176"/>
    <cellStyle name="20% - Accent6 2 4 11 6" xfId="31540"/>
    <cellStyle name="20% - Accent6 2 4 12" xfId="3194"/>
    <cellStyle name="20% - Accent6 2 4 12 2" xfId="9235"/>
    <cellStyle name="20% - Accent6 2 4 12 2 2" xfId="26282"/>
    <cellStyle name="20% - Accent6 2 4 12 2 2 2" xfId="55143"/>
    <cellStyle name="20% - Accent6 2 4 12 2 3" xfId="38096"/>
    <cellStyle name="20% - Accent6 2 4 12 3" xfId="14479"/>
    <cellStyle name="20% - Accent6 2 4 12 3 2" xfId="20304"/>
    <cellStyle name="20% - Accent6 2 4 12 3 2 2" xfId="49165"/>
    <cellStyle name="20% - Accent6 2 4 12 3 3" xfId="43340"/>
    <cellStyle name="20% - Accent6 2 4 12 4" xfId="14944"/>
    <cellStyle name="20% - Accent6 2 4 12 4 2" xfId="43805"/>
    <cellStyle name="20% - Accent6 2 4 12 5" xfId="32055"/>
    <cellStyle name="20% - Accent6 2 4 13" xfId="2885"/>
    <cellStyle name="20% - Accent6 2 4 13 2" xfId="8926"/>
    <cellStyle name="20% - Accent6 2 4 13 2 2" xfId="25973"/>
    <cellStyle name="20% - Accent6 2 4 13 2 2 2" xfId="54834"/>
    <cellStyle name="20% - Accent6 2 4 13 2 3" xfId="37787"/>
    <cellStyle name="20% - Accent6 2 4 13 3" xfId="17521"/>
    <cellStyle name="20% - Accent6 2 4 13 3 2" xfId="46382"/>
    <cellStyle name="20% - Accent6 2 4 13 4" xfId="31746"/>
    <cellStyle name="20% - Accent6 2 4 14" xfId="5771"/>
    <cellStyle name="20% - Accent6 2 4 14 2" xfId="11812"/>
    <cellStyle name="20% - Accent6 2 4 14 2 2" xfId="28859"/>
    <cellStyle name="20% - Accent6 2 4 14 2 2 2" xfId="57720"/>
    <cellStyle name="20% - Accent6 2 4 14 2 3" xfId="40673"/>
    <cellStyle name="20% - Accent6 2 4 14 3" xfId="22881"/>
    <cellStyle name="20% - Accent6 2 4 14 3 2" xfId="51742"/>
    <cellStyle name="20% - Accent6 2 4 14 4" xfId="34632"/>
    <cellStyle name="20% - Accent6 2 4 15" xfId="5988"/>
    <cellStyle name="20% - Accent6 2 4 15 2" xfId="23087"/>
    <cellStyle name="20% - Accent6 2 4 15 2 2" xfId="51948"/>
    <cellStyle name="20% - Accent6 2 4 15 3" xfId="34849"/>
    <cellStyle name="20% - Accent6 2 4 16" xfId="6349"/>
    <cellStyle name="20% - Accent6 2 4 16 2" xfId="23396"/>
    <cellStyle name="20% - Accent6 2 4 16 2 2" xfId="52257"/>
    <cellStyle name="20% - Accent6 2 4 16 3" xfId="35210"/>
    <cellStyle name="20% - Accent6 2 4 17" xfId="14635"/>
    <cellStyle name="20% - Accent6 2 4 17 2" xfId="43496"/>
    <cellStyle name="20% - Accent6 2 4 18" xfId="29169"/>
    <cellStyle name="20% - Accent6 2 4 2" xfId="513"/>
    <cellStyle name="20% - Accent6 2 4 2 2" xfId="2264"/>
    <cellStyle name="20% - Accent6 2 4 2 2 2" xfId="5151"/>
    <cellStyle name="20% - Accent6 2 4 2 2 2 2" xfId="11192"/>
    <cellStyle name="20% - Accent6 2 4 2 2 2 2 2" xfId="28239"/>
    <cellStyle name="20% - Accent6 2 4 2 2 2 2 2 2" xfId="57100"/>
    <cellStyle name="20% - Accent6 2 4 2 2 2 2 3" xfId="40053"/>
    <cellStyle name="20% - Accent6 2 4 2 2 2 3" xfId="22261"/>
    <cellStyle name="20% - Accent6 2 4 2 2 2 3 2" xfId="51122"/>
    <cellStyle name="20% - Accent6 2 4 2 2 2 4" xfId="34012"/>
    <cellStyle name="20% - Accent6 2 4 2 2 3" xfId="8306"/>
    <cellStyle name="20% - Accent6 2 4 2 2 3 2" xfId="25353"/>
    <cellStyle name="20% - Accent6 2 4 2 2 3 2 2" xfId="54214"/>
    <cellStyle name="20% - Accent6 2 4 2 2 3 3" xfId="37167"/>
    <cellStyle name="20% - Accent6 2 4 2 2 4" xfId="11891"/>
    <cellStyle name="20% - Accent6 2 4 2 2 4 2" xfId="19581"/>
    <cellStyle name="20% - Accent6 2 4 2 2 4 2 2" xfId="48442"/>
    <cellStyle name="20% - Accent6 2 4 2 2 4 3" xfId="40752"/>
    <cellStyle name="20% - Accent6 2 4 2 2 5" xfId="16901"/>
    <cellStyle name="20% - Accent6 2 4 2 2 5 2" xfId="45762"/>
    <cellStyle name="20% - Accent6 2 4 2 2 6" xfId="31126"/>
    <cellStyle name="20% - Accent6 2 4 2 3" xfId="3400"/>
    <cellStyle name="20% - Accent6 2 4 2 3 2" xfId="9441"/>
    <cellStyle name="20% - Accent6 2 4 2 3 2 2" xfId="26488"/>
    <cellStyle name="20% - Accent6 2 4 2 3 2 2 2" xfId="55349"/>
    <cellStyle name="20% - Accent6 2 4 2 3 2 3" xfId="38302"/>
    <cellStyle name="20% - Accent6 2 4 2 3 3" xfId="20510"/>
    <cellStyle name="20% - Accent6 2 4 2 3 3 2" xfId="49371"/>
    <cellStyle name="20% - Accent6 2 4 2 3 4" xfId="32261"/>
    <cellStyle name="20% - Accent6 2 4 2 4" xfId="6555"/>
    <cellStyle name="20% - Accent6 2 4 2 4 2" xfId="23602"/>
    <cellStyle name="20% - Accent6 2 4 2 4 2 2" xfId="52463"/>
    <cellStyle name="20% - Accent6 2 4 2 4 3" xfId="35416"/>
    <cellStyle name="20% - Accent6 2 4 2 5" xfId="14224"/>
    <cellStyle name="20% - Accent6 2 4 2 5 2" xfId="17830"/>
    <cellStyle name="20% - Accent6 2 4 2 5 2 2" xfId="46691"/>
    <cellStyle name="20% - Accent6 2 4 2 5 3" xfId="43085"/>
    <cellStyle name="20% - Accent6 2 4 2 6" xfId="15150"/>
    <cellStyle name="20% - Accent6 2 4 2 6 2" xfId="44011"/>
    <cellStyle name="20% - Accent6 2 4 2 7" xfId="29375"/>
    <cellStyle name="20% - Accent6 2 4 3" xfId="822"/>
    <cellStyle name="20% - Accent6 2 4 3 2" xfId="3709"/>
    <cellStyle name="20% - Accent6 2 4 3 2 2" xfId="9750"/>
    <cellStyle name="20% - Accent6 2 4 3 2 2 2" xfId="26797"/>
    <cellStyle name="20% - Accent6 2 4 3 2 2 2 2" xfId="55658"/>
    <cellStyle name="20% - Accent6 2 4 3 2 2 3" xfId="38611"/>
    <cellStyle name="20% - Accent6 2 4 3 2 3" xfId="20819"/>
    <cellStyle name="20% - Accent6 2 4 3 2 3 2" xfId="49680"/>
    <cellStyle name="20% - Accent6 2 4 3 2 4" xfId="32570"/>
    <cellStyle name="20% - Accent6 2 4 3 3" xfId="6864"/>
    <cellStyle name="20% - Accent6 2 4 3 3 2" xfId="23911"/>
    <cellStyle name="20% - Accent6 2 4 3 3 2 2" xfId="52772"/>
    <cellStyle name="20% - Accent6 2 4 3 3 3" xfId="35725"/>
    <cellStyle name="20% - Accent6 2 4 3 4" xfId="12294"/>
    <cellStyle name="20% - Accent6 2 4 3 4 2" xfId="18139"/>
    <cellStyle name="20% - Accent6 2 4 3 4 2 2" xfId="47000"/>
    <cellStyle name="20% - Accent6 2 4 3 4 3" xfId="41155"/>
    <cellStyle name="20% - Accent6 2 4 3 5" xfId="15459"/>
    <cellStyle name="20% - Accent6 2 4 3 5 2" xfId="44320"/>
    <cellStyle name="20% - Accent6 2 4 3 6" xfId="29684"/>
    <cellStyle name="20% - Accent6 2 4 4" xfId="1028"/>
    <cellStyle name="20% - Accent6 2 4 4 2" xfId="3915"/>
    <cellStyle name="20% - Accent6 2 4 4 2 2" xfId="9956"/>
    <cellStyle name="20% - Accent6 2 4 4 2 2 2" xfId="27003"/>
    <cellStyle name="20% - Accent6 2 4 4 2 2 2 2" xfId="55864"/>
    <cellStyle name="20% - Accent6 2 4 4 2 2 3" xfId="38817"/>
    <cellStyle name="20% - Accent6 2 4 4 2 3" xfId="21025"/>
    <cellStyle name="20% - Accent6 2 4 4 2 3 2" xfId="49886"/>
    <cellStyle name="20% - Accent6 2 4 4 2 4" xfId="32776"/>
    <cellStyle name="20% - Accent6 2 4 4 3" xfId="7070"/>
    <cellStyle name="20% - Accent6 2 4 4 3 2" xfId="24117"/>
    <cellStyle name="20% - Accent6 2 4 4 3 2 2" xfId="52978"/>
    <cellStyle name="20% - Accent6 2 4 4 3 3" xfId="35931"/>
    <cellStyle name="20% - Accent6 2 4 4 4" xfId="12192"/>
    <cellStyle name="20% - Accent6 2 4 4 4 2" xfId="18345"/>
    <cellStyle name="20% - Accent6 2 4 4 4 2 2" xfId="47206"/>
    <cellStyle name="20% - Accent6 2 4 4 4 3" xfId="41053"/>
    <cellStyle name="20% - Accent6 2 4 4 5" xfId="15665"/>
    <cellStyle name="20% - Accent6 2 4 4 5 2" xfId="44526"/>
    <cellStyle name="20% - Accent6 2 4 4 6" xfId="29890"/>
    <cellStyle name="20% - Accent6 2 4 5" xfId="1234"/>
    <cellStyle name="20% - Accent6 2 4 5 2" xfId="4121"/>
    <cellStyle name="20% - Accent6 2 4 5 2 2" xfId="10162"/>
    <cellStyle name="20% - Accent6 2 4 5 2 2 2" xfId="27209"/>
    <cellStyle name="20% - Accent6 2 4 5 2 2 2 2" xfId="56070"/>
    <cellStyle name="20% - Accent6 2 4 5 2 2 3" xfId="39023"/>
    <cellStyle name="20% - Accent6 2 4 5 2 3" xfId="21231"/>
    <cellStyle name="20% - Accent6 2 4 5 2 3 2" xfId="50092"/>
    <cellStyle name="20% - Accent6 2 4 5 2 4" xfId="32982"/>
    <cellStyle name="20% - Accent6 2 4 5 3" xfId="7276"/>
    <cellStyle name="20% - Accent6 2 4 5 3 2" xfId="24323"/>
    <cellStyle name="20% - Accent6 2 4 5 3 2 2" xfId="53184"/>
    <cellStyle name="20% - Accent6 2 4 5 3 3" xfId="36137"/>
    <cellStyle name="20% - Accent6 2 4 5 4" xfId="12650"/>
    <cellStyle name="20% - Accent6 2 4 5 4 2" xfId="18551"/>
    <cellStyle name="20% - Accent6 2 4 5 4 2 2" xfId="47412"/>
    <cellStyle name="20% - Accent6 2 4 5 4 3" xfId="41511"/>
    <cellStyle name="20% - Accent6 2 4 5 5" xfId="15871"/>
    <cellStyle name="20% - Accent6 2 4 5 5 2" xfId="44732"/>
    <cellStyle name="20% - Accent6 2 4 5 6" xfId="30096"/>
    <cellStyle name="20% - Accent6 2 4 6" xfId="1440"/>
    <cellStyle name="20% - Accent6 2 4 6 2" xfId="4327"/>
    <cellStyle name="20% - Accent6 2 4 6 2 2" xfId="10368"/>
    <cellStyle name="20% - Accent6 2 4 6 2 2 2" xfId="27415"/>
    <cellStyle name="20% - Accent6 2 4 6 2 2 2 2" xfId="56276"/>
    <cellStyle name="20% - Accent6 2 4 6 2 2 3" xfId="39229"/>
    <cellStyle name="20% - Accent6 2 4 6 2 3" xfId="21437"/>
    <cellStyle name="20% - Accent6 2 4 6 2 3 2" xfId="50298"/>
    <cellStyle name="20% - Accent6 2 4 6 2 4" xfId="33188"/>
    <cellStyle name="20% - Accent6 2 4 6 3" xfId="7482"/>
    <cellStyle name="20% - Accent6 2 4 6 3 2" xfId="24529"/>
    <cellStyle name="20% - Accent6 2 4 6 3 2 2" xfId="53390"/>
    <cellStyle name="20% - Accent6 2 4 6 3 3" xfId="36343"/>
    <cellStyle name="20% - Accent6 2 4 6 4" xfId="12860"/>
    <cellStyle name="20% - Accent6 2 4 6 4 2" xfId="18757"/>
    <cellStyle name="20% - Accent6 2 4 6 4 2 2" xfId="47618"/>
    <cellStyle name="20% - Accent6 2 4 6 4 3" xfId="41721"/>
    <cellStyle name="20% - Accent6 2 4 6 5" xfId="16077"/>
    <cellStyle name="20% - Accent6 2 4 6 5 2" xfId="44938"/>
    <cellStyle name="20% - Accent6 2 4 6 6" xfId="30302"/>
    <cellStyle name="20% - Accent6 2 4 7" xfId="1646"/>
    <cellStyle name="20% - Accent6 2 4 7 2" xfId="4533"/>
    <cellStyle name="20% - Accent6 2 4 7 2 2" xfId="10574"/>
    <cellStyle name="20% - Accent6 2 4 7 2 2 2" xfId="27621"/>
    <cellStyle name="20% - Accent6 2 4 7 2 2 2 2" xfId="56482"/>
    <cellStyle name="20% - Accent6 2 4 7 2 2 3" xfId="39435"/>
    <cellStyle name="20% - Accent6 2 4 7 2 3" xfId="21643"/>
    <cellStyle name="20% - Accent6 2 4 7 2 3 2" xfId="50504"/>
    <cellStyle name="20% - Accent6 2 4 7 2 4" xfId="33394"/>
    <cellStyle name="20% - Accent6 2 4 7 3" xfId="7688"/>
    <cellStyle name="20% - Accent6 2 4 7 3 2" xfId="24735"/>
    <cellStyle name="20% - Accent6 2 4 7 3 2 2" xfId="53596"/>
    <cellStyle name="20% - Accent6 2 4 7 3 3" xfId="36549"/>
    <cellStyle name="20% - Accent6 2 4 7 4" xfId="12135"/>
    <cellStyle name="20% - Accent6 2 4 7 4 2" xfId="18963"/>
    <cellStyle name="20% - Accent6 2 4 7 4 2 2" xfId="47824"/>
    <cellStyle name="20% - Accent6 2 4 7 4 3" xfId="40996"/>
    <cellStyle name="20% - Accent6 2 4 7 5" xfId="16283"/>
    <cellStyle name="20% - Accent6 2 4 7 5 2" xfId="45144"/>
    <cellStyle name="20% - Accent6 2 4 7 6" xfId="30508"/>
    <cellStyle name="20% - Accent6 2 4 8" xfId="1852"/>
    <cellStyle name="20% - Accent6 2 4 8 2" xfId="4739"/>
    <cellStyle name="20% - Accent6 2 4 8 2 2" xfId="10780"/>
    <cellStyle name="20% - Accent6 2 4 8 2 2 2" xfId="27827"/>
    <cellStyle name="20% - Accent6 2 4 8 2 2 2 2" xfId="56688"/>
    <cellStyle name="20% - Accent6 2 4 8 2 2 3" xfId="39641"/>
    <cellStyle name="20% - Accent6 2 4 8 2 3" xfId="21849"/>
    <cellStyle name="20% - Accent6 2 4 8 2 3 2" xfId="50710"/>
    <cellStyle name="20% - Accent6 2 4 8 2 4" xfId="33600"/>
    <cellStyle name="20% - Accent6 2 4 8 3" xfId="7894"/>
    <cellStyle name="20% - Accent6 2 4 8 3 2" xfId="24941"/>
    <cellStyle name="20% - Accent6 2 4 8 3 2 2" xfId="53802"/>
    <cellStyle name="20% - Accent6 2 4 8 3 3" xfId="36755"/>
    <cellStyle name="20% - Accent6 2 4 8 4" xfId="13790"/>
    <cellStyle name="20% - Accent6 2 4 8 4 2" xfId="19169"/>
    <cellStyle name="20% - Accent6 2 4 8 4 2 2" xfId="48030"/>
    <cellStyle name="20% - Accent6 2 4 8 4 3" xfId="42651"/>
    <cellStyle name="20% - Accent6 2 4 8 5" xfId="16489"/>
    <cellStyle name="20% - Accent6 2 4 8 5 2" xfId="45350"/>
    <cellStyle name="20% - Accent6 2 4 8 6" xfId="30714"/>
    <cellStyle name="20% - Accent6 2 4 9" xfId="2058"/>
    <cellStyle name="20% - Accent6 2 4 9 2" xfId="4945"/>
    <cellStyle name="20% - Accent6 2 4 9 2 2" xfId="10986"/>
    <cellStyle name="20% - Accent6 2 4 9 2 2 2" xfId="28033"/>
    <cellStyle name="20% - Accent6 2 4 9 2 2 2 2" xfId="56894"/>
    <cellStyle name="20% - Accent6 2 4 9 2 2 3" xfId="39847"/>
    <cellStyle name="20% - Accent6 2 4 9 2 3" xfId="22055"/>
    <cellStyle name="20% - Accent6 2 4 9 2 3 2" xfId="50916"/>
    <cellStyle name="20% - Accent6 2 4 9 2 4" xfId="33806"/>
    <cellStyle name="20% - Accent6 2 4 9 3" xfId="8100"/>
    <cellStyle name="20% - Accent6 2 4 9 3 2" xfId="25147"/>
    <cellStyle name="20% - Accent6 2 4 9 3 2 2" xfId="54008"/>
    <cellStyle name="20% - Accent6 2 4 9 3 3" xfId="36961"/>
    <cellStyle name="20% - Accent6 2 4 9 4" xfId="13819"/>
    <cellStyle name="20% - Accent6 2 4 9 4 2" xfId="19375"/>
    <cellStyle name="20% - Accent6 2 4 9 4 2 2" xfId="48236"/>
    <cellStyle name="20% - Accent6 2 4 9 4 3" xfId="42680"/>
    <cellStyle name="20% - Accent6 2 4 9 5" xfId="16695"/>
    <cellStyle name="20% - Accent6 2 4 9 5 2" xfId="45556"/>
    <cellStyle name="20% - Accent6 2 4 9 6" xfId="30920"/>
    <cellStyle name="20% - Accent6 2 5" xfId="204"/>
    <cellStyle name="20% - Accent6 2 5 2" xfId="616"/>
    <cellStyle name="20% - Accent6 2 5 2 2" xfId="3503"/>
    <cellStyle name="20% - Accent6 2 5 2 2 2" xfId="9544"/>
    <cellStyle name="20% - Accent6 2 5 2 2 2 2" xfId="26591"/>
    <cellStyle name="20% - Accent6 2 5 2 2 2 2 2" xfId="55452"/>
    <cellStyle name="20% - Accent6 2 5 2 2 2 3" xfId="38405"/>
    <cellStyle name="20% - Accent6 2 5 2 2 3" xfId="20613"/>
    <cellStyle name="20% - Accent6 2 5 2 2 3 2" xfId="49474"/>
    <cellStyle name="20% - Accent6 2 5 2 2 4" xfId="32364"/>
    <cellStyle name="20% - Accent6 2 5 2 3" xfId="6658"/>
    <cellStyle name="20% - Accent6 2 5 2 3 2" xfId="23705"/>
    <cellStyle name="20% - Accent6 2 5 2 3 2 2" xfId="52566"/>
    <cellStyle name="20% - Accent6 2 5 2 3 3" xfId="35519"/>
    <cellStyle name="20% - Accent6 2 5 2 4" xfId="13270"/>
    <cellStyle name="20% - Accent6 2 5 2 4 2" xfId="17933"/>
    <cellStyle name="20% - Accent6 2 5 2 4 2 2" xfId="46794"/>
    <cellStyle name="20% - Accent6 2 5 2 4 3" xfId="42131"/>
    <cellStyle name="20% - Accent6 2 5 2 5" xfId="15253"/>
    <cellStyle name="20% - Accent6 2 5 2 5 2" xfId="44114"/>
    <cellStyle name="20% - Accent6 2 5 2 6" xfId="29478"/>
    <cellStyle name="20% - Accent6 2 5 3" xfId="2161"/>
    <cellStyle name="20% - Accent6 2 5 3 2" xfId="5048"/>
    <cellStyle name="20% - Accent6 2 5 3 2 2" xfId="11089"/>
    <cellStyle name="20% - Accent6 2 5 3 2 2 2" xfId="28136"/>
    <cellStyle name="20% - Accent6 2 5 3 2 2 2 2" xfId="56997"/>
    <cellStyle name="20% - Accent6 2 5 3 2 2 3" xfId="39950"/>
    <cellStyle name="20% - Accent6 2 5 3 2 3" xfId="22158"/>
    <cellStyle name="20% - Accent6 2 5 3 2 3 2" xfId="51019"/>
    <cellStyle name="20% - Accent6 2 5 3 2 4" xfId="33909"/>
    <cellStyle name="20% - Accent6 2 5 3 3" xfId="8203"/>
    <cellStyle name="20% - Accent6 2 5 3 3 2" xfId="25250"/>
    <cellStyle name="20% - Accent6 2 5 3 3 2 2" xfId="54111"/>
    <cellStyle name="20% - Accent6 2 5 3 3 3" xfId="37064"/>
    <cellStyle name="20% - Accent6 2 5 3 4" xfId="14477"/>
    <cellStyle name="20% - Accent6 2 5 3 4 2" xfId="19478"/>
    <cellStyle name="20% - Accent6 2 5 3 4 2 2" xfId="48339"/>
    <cellStyle name="20% - Accent6 2 5 3 4 3" xfId="43338"/>
    <cellStyle name="20% - Accent6 2 5 3 5" xfId="16798"/>
    <cellStyle name="20% - Accent6 2 5 3 5 2" xfId="45659"/>
    <cellStyle name="20% - Accent6 2 5 3 6" xfId="31023"/>
    <cellStyle name="20% - Accent6 2 5 4" xfId="3091"/>
    <cellStyle name="20% - Accent6 2 5 4 2" xfId="9132"/>
    <cellStyle name="20% - Accent6 2 5 4 2 2" xfId="26179"/>
    <cellStyle name="20% - Accent6 2 5 4 2 2 2" xfId="55040"/>
    <cellStyle name="20% - Accent6 2 5 4 2 3" xfId="37993"/>
    <cellStyle name="20% - Accent6 2 5 4 3" xfId="20201"/>
    <cellStyle name="20% - Accent6 2 5 4 3 2" xfId="49062"/>
    <cellStyle name="20% - Accent6 2 5 4 4" xfId="31952"/>
    <cellStyle name="20% - Accent6 2 5 5" xfId="6246"/>
    <cellStyle name="20% - Accent6 2 5 5 2" xfId="23293"/>
    <cellStyle name="20% - Accent6 2 5 5 2 2" xfId="52154"/>
    <cellStyle name="20% - Accent6 2 5 5 3" xfId="35107"/>
    <cellStyle name="20% - Accent6 2 5 6" xfId="6061"/>
    <cellStyle name="20% - Accent6 2 5 6 2" xfId="17624"/>
    <cellStyle name="20% - Accent6 2 5 6 2 2" xfId="46485"/>
    <cellStyle name="20% - Accent6 2 5 6 3" xfId="34922"/>
    <cellStyle name="20% - Accent6 2 5 7" xfId="14841"/>
    <cellStyle name="20% - Accent6 2 5 7 2" xfId="43702"/>
    <cellStyle name="20% - Accent6 2 5 8" xfId="29066"/>
    <cellStyle name="20% - Accent6 2 6" xfId="410"/>
    <cellStyle name="20% - Accent6 2 6 2" xfId="3297"/>
    <cellStyle name="20% - Accent6 2 6 2 2" xfId="9338"/>
    <cellStyle name="20% - Accent6 2 6 2 2 2" xfId="26385"/>
    <cellStyle name="20% - Accent6 2 6 2 2 2 2" xfId="55246"/>
    <cellStyle name="20% - Accent6 2 6 2 2 3" xfId="38199"/>
    <cellStyle name="20% - Accent6 2 6 2 3" xfId="20407"/>
    <cellStyle name="20% - Accent6 2 6 2 3 2" xfId="49268"/>
    <cellStyle name="20% - Accent6 2 6 2 4" xfId="32158"/>
    <cellStyle name="20% - Accent6 2 6 3" xfId="6452"/>
    <cellStyle name="20% - Accent6 2 6 3 2" xfId="23499"/>
    <cellStyle name="20% - Accent6 2 6 3 2 2" xfId="52360"/>
    <cellStyle name="20% - Accent6 2 6 3 3" xfId="35313"/>
    <cellStyle name="20% - Accent6 2 6 4" xfId="13422"/>
    <cellStyle name="20% - Accent6 2 6 4 2" xfId="17727"/>
    <cellStyle name="20% - Accent6 2 6 4 2 2" xfId="46588"/>
    <cellStyle name="20% - Accent6 2 6 4 3" xfId="42283"/>
    <cellStyle name="20% - Accent6 2 6 5" xfId="15047"/>
    <cellStyle name="20% - Accent6 2 6 5 2" xfId="43908"/>
    <cellStyle name="20% - Accent6 2 6 6" xfId="29272"/>
    <cellStyle name="20% - Accent6 2 7" xfId="719"/>
    <cellStyle name="20% - Accent6 2 7 2" xfId="3606"/>
    <cellStyle name="20% - Accent6 2 7 2 2" xfId="9647"/>
    <cellStyle name="20% - Accent6 2 7 2 2 2" xfId="26694"/>
    <cellStyle name="20% - Accent6 2 7 2 2 2 2" xfId="55555"/>
    <cellStyle name="20% - Accent6 2 7 2 2 3" xfId="38508"/>
    <cellStyle name="20% - Accent6 2 7 2 3" xfId="20716"/>
    <cellStyle name="20% - Accent6 2 7 2 3 2" xfId="49577"/>
    <cellStyle name="20% - Accent6 2 7 2 4" xfId="32467"/>
    <cellStyle name="20% - Accent6 2 7 3" xfId="6761"/>
    <cellStyle name="20% - Accent6 2 7 3 2" xfId="23808"/>
    <cellStyle name="20% - Accent6 2 7 3 2 2" xfId="52669"/>
    <cellStyle name="20% - Accent6 2 7 3 3" xfId="35622"/>
    <cellStyle name="20% - Accent6 2 7 4" xfId="13648"/>
    <cellStyle name="20% - Accent6 2 7 4 2" xfId="18036"/>
    <cellStyle name="20% - Accent6 2 7 4 2 2" xfId="46897"/>
    <cellStyle name="20% - Accent6 2 7 4 3" xfId="42509"/>
    <cellStyle name="20% - Accent6 2 7 5" xfId="15356"/>
    <cellStyle name="20% - Accent6 2 7 5 2" xfId="44217"/>
    <cellStyle name="20% - Accent6 2 7 6" xfId="29581"/>
    <cellStyle name="20% - Accent6 2 8" xfId="925"/>
    <cellStyle name="20% - Accent6 2 8 2" xfId="3812"/>
    <cellStyle name="20% - Accent6 2 8 2 2" xfId="9853"/>
    <cellStyle name="20% - Accent6 2 8 2 2 2" xfId="26900"/>
    <cellStyle name="20% - Accent6 2 8 2 2 2 2" xfId="55761"/>
    <cellStyle name="20% - Accent6 2 8 2 2 3" xfId="38714"/>
    <cellStyle name="20% - Accent6 2 8 2 3" xfId="20922"/>
    <cellStyle name="20% - Accent6 2 8 2 3 2" xfId="49783"/>
    <cellStyle name="20% - Accent6 2 8 2 4" xfId="32673"/>
    <cellStyle name="20% - Accent6 2 8 3" xfId="6967"/>
    <cellStyle name="20% - Accent6 2 8 3 2" xfId="24014"/>
    <cellStyle name="20% - Accent6 2 8 3 2 2" xfId="52875"/>
    <cellStyle name="20% - Accent6 2 8 3 3" xfId="35828"/>
    <cellStyle name="20% - Accent6 2 8 4" xfId="14257"/>
    <cellStyle name="20% - Accent6 2 8 4 2" xfId="18242"/>
    <cellStyle name="20% - Accent6 2 8 4 2 2" xfId="47103"/>
    <cellStyle name="20% - Accent6 2 8 4 3" xfId="43118"/>
    <cellStyle name="20% - Accent6 2 8 5" xfId="15562"/>
    <cellStyle name="20% - Accent6 2 8 5 2" xfId="44423"/>
    <cellStyle name="20% - Accent6 2 8 6" xfId="29787"/>
    <cellStyle name="20% - Accent6 2 9" xfId="1131"/>
    <cellStyle name="20% - Accent6 2 9 2" xfId="4018"/>
    <cellStyle name="20% - Accent6 2 9 2 2" xfId="10059"/>
    <cellStyle name="20% - Accent6 2 9 2 2 2" xfId="27106"/>
    <cellStyle name="20% - Accent6 2 9 2 2 2 2" xfId="55967"/>
    <cellStyle name="20% - Accent6 2 9 2 2 3" xfId="38920"/>
    <cellStyle name="20% - Accent6 2 9 2 3" xfId="21128"/>
    <cellStyle name="20% - Accent6 2 9 2 3 2" xfId="49989"/>
    <cellStyle name="20% - Accent6 2 9 2 4" xfId="32879"/>
    <cellStyle name="20% - Accent6 2 9 3" xfId="7173"/>
    <cellStyle name="20% - Accent6 2 9 3 2" xfId="24220"/>
    <cellStyle name="20% - Accent6 2 9 3 2 2" xfId="53081"/>
    <cellStyle name="20% - Accent6 2 9 3 3" xfId="36034"/>
    <cellStyle name="20% - Accent6 2 9 4" xfId="6053"/>
    <cellStyle name="20% - Accent6 2 9 4 2" xfId="18448"/>
    <cellStyle name="20% - Accent6 2 9 4 2 2" xfId="47309"/>
    <cellStyle name="20% - Accent6 2 9 4 3" xfId="34914"/>
    <cellStyle name="20% - Accent6 2 9 5" xfId="15768"/>
    <cellStyle name="20% - Accent6 2 9 5 2" xfId="44629"/>
    <cellStyle name="20% - Accent6 2 9 6" xfId="29993"/>
    <cellStyle name="20% - Accent6 20" xfId="5871"/>
    <cellStyle name="20% - Accent6 20 2" xfId="22970"/>
    <cellStyle name="20% - Accent6 20 2 2" xfId="51831"/>
    <cellStyle name="20% - Accent6 20 3" xfId="34732"/>
    <cellStyle name="20% - Accent6 21" xfId="6129"/>
    <cellStyle name="20% - Accent6 21 2" xfId="23176"/>
    <cellStyle name="20% - Accent6 21 2 2" xfId="52037"/>
    <cellStyle name="20% - Accent6 21 3" xfId="34990"/>
    <cellStyle name="20% - Accent6 22" xfId="14518"/>
    <cellStyle name="20% - Accent6 22 2" xfId="43379"/>
    <cellStyle name="20% - Accent6 23" xfId="28949"/>
    <cellStyle name="20% - Accent6 3" xfId="114"/>
    <cellStyle name="20% - Accent6 3 10" xfId="1762"/>
    <cellStyle name="20% - Accent6 3 10 2" xfId="4649"/>
    <cellStyle name="20% - Accent6 3 10 2 2" xfId="10690"/>
    <cellStyle name="20% - Accent6 3 10 2 2 2" xfId="27737"/>
    <cellStyle name="20% - Accent6 3 10 2 2 2 2" xfId="56598"/>
    <cellStyle name="20% - Accent6 3 10 2 2 3" xfId="39551"/>
    <cellStyle name="20% - Accent6 3 10 2 3" xfId="21759"/>
    <cellStyle name="20% - Accent6 3 10 2 3 2" xfId="50620"/>
    <cellStyle name="20% - Accent6 3 10 2 4" xfId="33510"/>
    <cellStyle name="20% - Accent6 3 10 3" xfId="7804"/>
    <cellStyle name="20% - Accent6 3 10 3 2" xfId="24851"/>
    <cellStyle name="20% - Accent6 3 10 3 2 2" xfId="53712"/>
    <cellStyle name="20% - Accent6 3 10 3 3" xfId="36665"/>
    <cellStyle name="20% - Accent6 3 10 4" xfId="12383"/>
    <cellStyle name="20% - Accent6 3 10 4 2" xfId="19079"/>
    <cellStyle name="20% - Accent6 3 10 4 2 2" xfId="47940"/>
    <cellStyle name="20% - Accent6 3 10 4 3" xfId="41244"/>
    <cellStyle name="20% - Accent6 3 10 5" xfId="16399"/>
    <cellStyle name="20% - Accent6 3 10 5 2" xfId="45260"/>
    <cellStyle name="20% - Accent6 3 10 6" xfId="30624"/>
    <cellStyle name="20% - Accent6 3 11" xfId="1968"/>
    <cellStyle name="20% - Accent6 3 11 2" xfId="4855"/>
    <cellStyle name="20% - Accent6 3 11 2 2" xfId="10896"/>
    <cellStyle name="20% - Accent6 3 11 2 2 2" xfId="27943"/>
    <cellStyle name="20% - Accent6 3 11 2 2 2 2" xfId="56804"/>
    <cellStyle name="20% - Accent6 3 11 2 2 3" xfId="39757"/>
    <cellStyle name="20% - Accent6 3 11 2 3" xfId="21965"/>
    <cellStyle name="20% - Accent6 3 11 2 3 2" xfId="50826"/>
    <cellStyle name="20% - Accent6 3 11 2 4" xfId="33716"/>
    <cellStyle name="20% - Accent6 3 11 3" xfId="8010"/>
    <cellStyle name="20% - Accent6 3 11 3 2" xfId="25057"/>
    <cellStyle name="20% - Accent6 3 11 3 2 2" xfId="53918"/>
    <cellStyle name="20% - Accent6 3 11 3 3" xfId="36871"/>
    <cellStyle name="20% - Accent6 3 11 4" xfId="13472"/>
    <cellStyle name="20% - Accent6 3 11 4 2" xfId="19285"/>
    <cellStyle name="20% - Accent6 3 11 4 2 2" xfId="48146"/>
    <cellStyle name="20% - Accent6 3 11 4 3" xfId="42333"/>
    <cellStyle name="20% - Accent6 3 11 5" xfId="16605"/>
    <cellStyle name="20% - Accent6 3 11 5 2" xfId="45466"/>
    <cellStyle name="20% - Accent6 3 11 6" xfId="30830"/>
    <cellStyle name="20% - Accent6 3 12" xfId="2380"/>
    <cellStyle name="20% - Accent6 3 12 2" xfId="5267"/>
    <cellStyle name="20% - Accent6 3 12 2 2" xfId="11308"/>
    <cellStyle name="20% - Accent6 3 12 2 2 2" xfId="28355"/>
    <cellStyle name="20% - Accent6 3 12 2 2 2 2" xfId="57216"/>
    <cellStyle name="20% - Accent6 3 12 2 2 3" xfId="40169"/>
    <cellStyle name="20% - Accent6 3 12 2 3" xfId="22377"/>
    <cellStyle name="20% - Accent6 3 12 2 3 2" xfId="51238"/>
    <cellStyle name="20% - Accent6 3 12 2 4" xfId="34128"/>
    <cellStyle name="20% - Accent6 3 12 3" xfId="8422"/>
    <cellStyle name="20% - Accent6 3 12 3 2" xfId="25469"/>
    <cellStyle name="20% - Accent6 3 12 3 2 2" xfId="54330"/>
    <cellStyle name="20% - Accent6 3 12 3 3" xfId="37283"/>
    <cellStyle name="20% - Accent6 3 12 4" xfId="13339"/>
    <cellStyle name="20% - Accent6 3 12 4 2" xfId="19697"/>
    <cellStyle name="20% - Accent6 3 12 4 2 2" xfId="48558"/>
    <cellStyle name="20% - Accent6 3 12 4 3" xfId="42200"/>
    <cellStyle name="20% - Accent6 3 12 5" xfId="17017"/>
    <cellStyle name="20% - Accent6 3 12 5 2" xfId="45878"/>
    <cellStyle name="20% - Accent6 3 12 6" xfId="31242"/>
    <cellStyle name="20% - Accent6 3 13" xfId="2589"/>
    <cellStyle name="20% - Accent6 3 13 2" xfId="5475"/>
    <cellStyle name="20% - Accent6 3 13 2 2" xfId="11516"/>
    <cellStyle name="20% - Accent6 3 13 2 2 2" xfId="28563"/>
    <cellStyle name="20% - Accent6 3 13 2 2 2 2" xfId="57424"/>
    <cellStyle name="20% - Accent6 3 13 2 2 3" xfId="40377"/>
    <cellStyle name="20% - Accent6 3 13 2 3" xfId="22585"/>
    <cellStyle name="20% - Accent6 3 13 2 3 2" xfId="51446"/>
    <cellStyle name="20% - Accent6 3 13 2 4" xfId="34336"/>
    <cellStyle name="20% - Accent6 3 13 3" xfId="8630"/>
    <cellStyle name="20% - Accent6 3 13 3 2" xfId="25677"/>
    <cellStyle name="20% - Accent6 3 13 3 2 2" xfId="54538"/>
    <cellStyle name="20% - Accent6 3 13 3 3" xfId="37491"/>
    <cellStyle name="20% - Accent6 3 13 4" xfId="13494"/>
    <cellStyle name="20% - Accent6 3 13 4 2" xfId="19905"/>
    <cellStyle name="20% - Accent6 3 13 4 2 2" xfId="48766"/>
    <cellStyle name="20% - Accent6 3 13 4 3" xfId="42355"/>
    <cellStyle name="20% - Accent6 3 13 5" xfId="17225"/>
    <cellStyle name="20% - Accent6 3 13 5 2" xfId="46086"/>
    <cellStyle name="20% - Accent6 3 13 6" xfId="31450"/>
    <cellStyle name="20% - Accent6 3 14" xfId="3001"/>
    <cellStyle name="20% - Accent6 3 14 2" xfId="9042"/>
    <cellStyle name="20% - Accent6 3 14 2 2" xfId="26089"/>
    <cellStyle name="20% - Accent6 3 14 2 2 2" xfId="54950"/>
    <cellStyle name="20% - Accent6 3 14 2 3" xfId="37903"/>
    <cellStyle name="20% - Accent6 3 14 3" xfId="12373"/>
    <cellStyle name="20% - Accent6 3 14 3 2" xfId="20111"/>
    <cellStyle name="20% - Accent6 3 14 3 2 2" xfId="48972"/>
    <cellStyle name="20% - Accent6 3 14 3 3" xfId="41234"/>
    <cellStyle name="20% - Accent6 3 14 4" xfId="14751"/>
    <cellStyle name="20% - Accent6 3 14 4 2" xfId="43612"/>
    <cellStyle name="20% - Accent6 3 14 5" xfId="31862"/>
    <cellStyle name="20% - Accent6 3 15" xfId="2795"/>
    <cellStyle name="20% - Accent6 3 15 2" xfId="8836"/>
    <cellStyle name="20% - Accent6 3 15 2 2" xfId="25883"/>
    <cellStyle name="20% - Accent6 3 15 2 2 2" xfId="54744"/>
    <cellStyle name="20% - Accent6 3 15 2 3" xfId="37697"/>
    <cellStyle name="20% - Accent6 3 15 3" xfId="17431"/>
    <cellStyle name="20% - Accent6 3 15 3 2" xfId="46292"/>
    <cellStyle name="20% - Accent6 3 15 4" xfId="31656"/>
    <cellStyle name="20% - Accent6 3 16" xfId="5681"/>
    <cellStyle name="20% - Accent6 3 16 2" xfId="11722"/>
    <cellStyle name="20% - Accent6 3 16 2 2" xfId="28769"/>
    <cellStyle name="20% - Accent6 3 16 2 2 2" xfId="57630"/>
    <cellStyle name="20% - Accent6 3 16 2 3" xfId="40583"/>
    <cellStyle name="20% - Accent6 3 16 3" xfId="22791"/>
    <cellStyle name="20% - Accent6 3 16 3 2" xfId="51652"/>
    <cellStyle name="20% - Accent6 3 16 4" xfId="34542"/>
    <cellStyle name="20% - Accent6 3 17" xfId="5898"/>
    <cellStyle name="20% - Accent6 3 17 2" xfId="22997"/>
    <cellStyle name="20% - Accent6 3 17 2 2" xfId="51858"/>
    <cellStyle name="20% - Accent6 3 17 3" xfId="34759"/>
    <cellStyle name="20% - Accent6 3 18" xfId="6156"/>
    <cellStyle name="20% - Accent6 3 18 2" xfId="23203"/>
    <cellStyle name="20% - Accent6 3 18 2 2" xfId="52064"/>
    <cellStyle name="20% - Accent6 3 18 3" xfId="35017"/>
    <cellStyle name="20% - Accent6 3 19" xfId="14545"/>
    <cellStyle name="20% - Accent6 3 19 2" xfId="43406"/>
    <cellStyle name="20% - Accent6 3 2" xfId="320"/>
    <cellStyle name="20% - Accent6 3 2 10" xfId="2483"/>
    <cellStyle name="20% - Accent6 3 2 10 2" xfId="5370"/>
    <cellStyle name="20% - Accent6 3 2 10 2 2" xfId="11411"/>
    <cellStyle name="20% - Accent6 3 2 10 2 2 2" xfId="28458"/>
    <cellStyle name="20% - Accent6 3 2 10 2 2 2 2" xfId="57319"/>
    <cellStyle name="20% - Accent6 3 2 10 2 2 3" xfId="40272"/>
    <cellStyle name="20% - Accent6 3 2 10 2 3" xfId="22480"/>
    <cellStyle name="20% - Accent6 3 2 10 2 3 2" xfId="51341"/>
    <cellStyle name="20% - Accent6 3 2 10 2 4" xfId="34231"/>
    <cellStyle name="20% - Accent6 3 2 10 3" xfId="8525"/>
    <cellStyle name="20% - Accent6 3 2 10 3 2" xfId="25572"/>
    <cellStyle name="20% - Accent6 3 2 10 3 2 2" xfId="54433"/>
    <cellStyle name="20% - Accent6 3 2 10 3 3" xfId="37386"/>
    <cellStyle name="20% - Accent6 3 2 10 4" xfId="12508"/>
    <cellStyle name="20% - Accent6 3 2 10 4 2" xfId="19800"/>
    <cellStyle name="20% - Accent6 3 2 10 4 2 2" xfId="48661"/>
    <cellStyle name="20% - Accent6 3 2 10 4 3" xfId="41369"/>
    <cellStyle name="20% - Accent6 3 2 10 5" xfId="17120"/>
    <cellStyle name="20% - Accent6 3 2 10 5 2" xfId="45981"/>
    <cellStyle name="20% - Accent6 3 2 10 6" xfId="31345"/>
    <cellStyle name="20% - Accent6 3 2 11" xfId="2692"/>
    <cellStyle name="20% - Accent6 3 2 11 2" xfId="5578"/>
    <cellStyle name="20% - Accent6 3 2 11 2 2" xfId="11619"/>
    <cellStyle name="20% - Accent6 3 2 11 2 2 2" xfId="28666"/>
    <cellStyle name="20% - Accent6 3 2 11 2 2 2 2" xfId="57527"/>
    <cellStyle name="20% - Accent6 3 2 11 2 2 3" xfId="40480"/>
    <cellStyle name="20% - Accent6 3 2 11 2 3" xfId="22688"/>
    <cellStyle name="20% - Accent6 3 2 11 2 3 2" xfId="51549"/>
    <cellStyle name="20% - Accent6 3 2 11 2 4" xfId="34439"/>
    <cellStyle name="20% - Accent6 3 2 11 3" xfId="8733"/>
    <cellStyle name="20% - Accent6 3 2 11 3 2" xfId="25780"/>
    <cellStyle name="20% - Accent6 3 2 11 3 2 2" xfId="54641"/>
    <cellStyle name="20% - Accent6 3 2 11 3 3" xfId="37594"/>
    <cellStyle name="20% - Accent6 3 2 11 4" xfId="13309"/>
    <cellStyle name="20% - Accent6 3 2 11 4 2" xfId="20008"/>
    <cellStyle name="20% - Accent6 3 2 11 4 2 2" xfId="48869"/>
    <cellStyle name="20% - Accent6 3 2 11 4 3" xfId="42170"/>
    <cellStyle name="20% - Accent6 3 2 11 5" xfId="17328"/>
    <cellStyle name="20% - Accent6 3 2 11 5 2" xfId="46189"/>
    <cellStyle name="20% - Accent6 3 2 11 6" xfId="31553"/>
    <cellStyle name="20% - Accent6 3 2 12" xfId="3207"/>
    <cellStyle name="20% - Accent6 3 2 12 2" xfId="9248"/>
    <cellStyle name="20% - Accent6 3 2 12 2 2" xfId="26295"/>
    <cellStyle name="20% - Accent6 3 2 12 2 2 2" xfId="55156"/>
    <cellStyle name="20% - Accent6 3 2 12 2 3" xfId="38109"/>
    <cellStyle name="20% - Accent6 3 2 12 3" xfId="13409"/>
    <cellStyle name="20% - Accent6 3 2 12 3 2" xfId="20317"/>
    <cellStyle name="20% - Accent6 3 2 12 3 2 2" xfId="49178"/>
    <cellStyle name="20% - Accent6 3 2 12 3 3" xfId="42270"/>
    <cellStyle name="20% - Accent6 3 2 12 4" xfId="14957"/>
    <cellStyle name="20% - Accent6 3 2 12 4 2" xfId="43818"/>
    <cellStyle name="20% - Accent6 3 2 12 5" xfId="32068"/>
    <cellStyle name="20% - Accent6 3 2 13" xfId="2898"/>
    <cellStyle name="20% - Accent6 3 2 13 2" xfId="8939"/>
    <cellStyle name="20% - Accent6 3 2 13 2 2" xfId="25986"/>
    <cellStyle name="20% - Accent6 3 2 13 2 2 2" xfId="54847"/>
    <cellStyle name="20% - Accent6 3 2 13 2 3" xfId="37800"/>
    <cellStyle name="20% - Accent6 3 2 13 3" xfId="17534"/>
    <cellStyle name="20% - Accent6 3 2 13 3 2" xfId="46395"/>
    <cellStyle name="20% - Accent6 3 2 13 4" xfId="31759"/>
    <cellStyle name="20% - Accent6 3 2 14" xfId="5784"/>
    <cellStyle name="20% - Accent6 3 2 14 2" xfId="11825"/>
    <cellStyle name="20% - Accent6 3 2 14 2 2" xfId="28872"/>
    <cellStyle name="20% - Accent6 3 2 14 2 2 2" xfId="57733"/>
    <cellStyle name="20% - Accent6 3 2 14 2 3" xfId="40686"/>
    <cellStyle name="20% - Accent6 3 2 14 3" xfId="22894"/>
    <cellStyle name="20% - Accent6 3 2 14 3 2" xfId="51755"/>
    <cellStyle name="20% - Accent6 3 2 14 4" xfId="34645"/>
    <cellStyle name="20% - Accent6 3 2 15" xfId="6001"/>
    <cellStyle name="20% - Accent6 3 2 15 2" xfId="23100"/>
    <cellStyle name="20% - Accent6 3 2 15 2 2" xfId="51961"/>
    <cellStyle name="20% - Accent6 3 2 15 3" xfId="34862"/>
    <cellStyle name="20% - Accent6 3 2 16" xfId="6362"/>
    <cellStyle name="20% - Accent6 3 2 16 2" xfId="23409"/>
    <cellStyle name="20% - Accent6 3 2 16 2 2" xfId="52270"/>
    <cellStyle name="20% - Accent6 3 2 16 3" xfId="35223"/>
    <cellStyle name="20% - Accent6 3 2 17" xfId="14648"/>
    <cellStyle name="20% - Accent6 3 2 17 2" xfId="43509"/>
    <cellStyle name="20% - Accent6 3 2 18" xfId="29182"/>
    <cellStyle name="20% - Accent6 3 2 2" xfId="526"/>
    <cellStyle name="20% - Accent6 3 2 2 2" xfId="2277"/>
    <cellStyle name="20% - Accent6 3 2 2 2 2" xfId="5164"/>
    <cellStyle name="20% - Accent6 3 2 2 2 2 2" xfId="11205"/>
    <cellStyle name="20% - Accent6 3 2 2 2 2 2 2" xfId="28252"/>
    <cellStyle name="20% - Accent6 3 2 2 2 2 2 2 2" xfId="57113"/>
    <cellStyle name="20% - Accent6 3 2 2 2 2 2 3" xfId="40066"/>
    <cellStyle name="20% - Accent6 3 2 2 2 2 3" xfId="22274"/>
    <cellStyle name="20% - Accent6 3 2 2 2 2 3 2" xfId="51135"/>
    <cellStyle name="20% - Accent6 3 2 2 2 2 4" xfId="34025"/>
    <cellStyle name="20% - Accent6 3 2 2 2 3" xfId="8319"/>
    <cellStyle name="20% - Accent6 3 2 2 2 3 2" xfId="25366"/>
    <cellStyle name="20% - Accent6 3 2 2 2 3 2 2" xfId="54227"/>
    <cellStyle name="20% - Accent6 3 2 2 2 3 3" xfId="37180"/>
    <cellStyle name="20% - Accent6 3 2 2 2 4" xfId="12200"/>
    <cellStyle name="20% - Accent6 3 2 2 2 4 2" xfId="19594"/>
    <cellStyle name="20% - Accent6 3 2 2 2 4 2 2" xfId="48455"/>
    <cellStyle name="20% - Accent6 3 2 2 2 4 3" xfId="41061"/>
    <cellStyle name="20% - Accent6 3 2 2 2 5" xfId="16914"/>
    <cellStyle name="20% - Accent6 3 2 2 2 5 2" xfId="45775"/>
    <cellStyle name="20% - Accent6 3 2 2 2 6" xfId="31139"/>
    <cellStyle name="20% - Accent6 3 2 2 3" xfId="3413"/>
    <cellStyle name="20% - Accent6 3 2 2 3 2" xfId="9454"/>
    <cellStyle name="20% - Accent6 3 2 2 3 2 2" xfId="26501"/>
    <cellStyle name="20% - Accent6 3 2 2 3 2 2 2" xfId="55362"/>
    <cellStyle name="20% - Accent6 3 2 2 3 2 3" xfId="38315"/>
    <cellStyle name="20% - Accent6 3 2 2 3 3" xfId="20523"/>
    <cellStyle name="20% - Accent6 3 2 2 3 3 2" xfId="49384"/>
    <cellStyle name="20% - Accent6 3 2 2 3 4" xfId="32274"/>
    <cellStyle name="20% - Accent6 3 2 2 4" xfId="6568"/>
    <cellStyle name="20% - Accent6 3 2 2 4 2" xfId="23615"/>
    <cellStyle name="20% - Accent6 3 2 2 4 2 2" xfId="52476"/>
    <cellStyle name="20% - Accent6 3 2 2 4 3" xfId="35429"/>
    <cellStyle name="20% - Accent6 3 2 2 5" xfId="13052"/>
    <cellStyle name="20% - Accent6 3 2 2 5 2" xfId="17843"/>
    <cellStyle name="20% - Accent6 3 2 2 5 2 2" xfId="46704"/>
    <cellStyle name="20% - Accent6 3 2 2 5 3" xfId="41913"/>
    <cellStyle name="20% - Accent6 3 2 2 6" xfId="15163"/>
    <cellStyle name="20% - Accent6 3 2 2 6 2" xfId="44024"/>
    <cellStyle name="20% - Accent6 3 2 2 7" xfId="29388"/>
    <cellStyle name="20% - Accent6 3 2 3" xfId="835"/>
    <cellStyle name="20% - Accent6 3 2 3 2" xfId="3722"/>
    <cellStyle name="20% - Accent6 3 2 3 2 2" xfId="9763"/>
    <cellStyle name="20% - Accent6 3 2 3 2 2 2" xfId="26810"/>
    <cellStyle name="20% - Accent6 3 2 3 2 2 2 2" xfId="55671"/>
    <cellStyle name="20% - Accent6 3 2 3 2 2 3" xfId="38624"/>
    <cellStyle name="20% - Accent6 3 2 3 2 3" xfId="20832"/>
    <cellStyle name="20% - Accent6 3 2 3 2 3 2" xfId="49693"/>
    <cellStyle name="20% - Accent6 3 2 3 2 4" xfId="32583"/>
    <cellStyle name="20% - Accent6 3 2 3 3" xfId="6877"/>
    <cellStyle name="20% - Accent6 3 2 3 3 2" xfId="23924"/>
    <cellStyle name="20% - Accent6 3 2 3 3 2 2" xfId="52785"/>
    <cellStyle name="20% - Accent6 3 2 3 3 3" xfId="35738"/>
    <cellStyle name="20% - Accent6 3 2 3 4" xfId="12892"/>
    <cellStyle name="20% - Accent6 3 2 3 4 2" xfId="18152"/>
    <cellStyle name="20% - Accent6 3 2 3 4 2 2" xfId="47013"/>
    <cellStyle name="20% - Accent6 3 2 3 4 3" xfId="41753"/>
    <cellStyle name="20% - Accent6 3 2 3 5" xfId="15472"/>
    <cellStyle name="20% - Accent6 3 2 3 5 2" xfId="44333"/>
    <cellStyle name="20% - Accent6 3 2 3 6" xfId="29697"/>
    <cellStyle name="20% - Accent6 3 2 4" xfId="1041"/>
    <cellStyle name="20% - Accent6 3 2 4 2" xfId="3928"/>
    <cellStyle name="20% - Accent6 3 2 4 2 2" xfId="9969"/>
    <cellStyle name="20% - Accent6 3 2 4 2 2 2" xfId="27016"/>
    <cellStyle name="20% - Accent6 3 2 4 2 2 2 2" xfId="55877"/>
    <cellStyle name="20% - Accent6 3 2 4 2 2 3" xfId="38830"/>
    <cellStyle name="20% - Accent6 3 2 4 2 3" xfId="21038"/>
    <cellStyle name="20% - Accent6 3 2 4 2 3 2" xfId="49899"/>
    <cellStyle name="20% - Accent6 3 2 4 2 4" xfId="32789"/>
    <cellStyle name="20% - Accent6 3 2 4 3" xfId="7083"/>
    <cellStyle name="20% - Accent6 3 2 4 3 2" xfId="24130"/>
    <cellStyle name="20% - Accent6 3 2 4 3 2 2" xfId="52991"/>
    <cellStyle name="20% - Accent6 3 2 4 3 3" xfId="35944"/>
    <cellStyle name="20% - Accent6 3 2 4 4" xfId="13414"/>
    <cellStyle name="20% - Accent6 3 2 4 4 2" xfId="18358"/>
    <cellStyle name="20% - Accent6 3 2 4 4 2 2" xfId="47219"/>
    <cellStyle name="20% - Accent6 3 2 4 4 3" xfId="42275"/>
    <cellStyle name="20% - Accent6 3 2 4 5" xfId="15678"/>
    <cellStyle name="20% - Accent6 3 2 4 5 2" xfId="44539"/>
    <cellStyle name="20% - Accent6 3 2 4 6" xfId="29903"/>
    <cellStyle name="20% - Accent6 3 2 5" xfId="1247"/>
    <cellStyle name="20% - Accent6 3 2 5 2" xfId="4134"/>
    <cellStyle name="20% - Accent6 3 2 5 2 2" xfId="10175"/>
    <cellStyle name="20% - Accent6 3 2 5 2 2 2" xfId="27222"/>
    <cellStyle name="20% - Accent6 3 2 5 2 2 2 2" xfId="56083"/>
    <cellStyle name="20% - Accent6 3 2 5 2 2 3" xfId="39036"/>
    <cellStyle name="20% - Accent6 3 2 5 2 3" xfId="21244"/>
    <cellStyle name="20% - Accent6 3 2 5 2 3 2" xfId="50105"/>
    <cellStyle name="20% - Accent6 3 2 5 2 4" xfId="32995"/>
    <cellStyle name="20% - Accent6 3 2 5 3" xfId="7289"/>
    <cellStyle name="20% - Accent6 3 2 5 3 2" xfId="24336"/>
    <cellStyle name="20% - Accent6 3 2 5 3 2 2" xfId="53197"/>
    <cellStyle name="20% - Accent6 3 2 5 3 3" xfId="36150"/>
    <cellStyle name="20% - Accent6 3 2 5 4" xfId="13151"/>
    <cellStyle name="20% - Accent6 3 2 5 4 2" xfId="18564"/>
    <cellStyle name="20% - Accent6 3 2 5 4 2 2" xfId="47425"/>
    <cellStyle name="20% - Accent6 3 2 5 4 3" xfId="42012"/>
    <cellStyle name="20% - Accent6 3 2 5 5" xfId="15884"/>
    <cellStyle name="20% - Accent6 3 2 5 5 2" xfId="44745"/>
    <cellStyle name="20% - Accent6 3 2 5 6" xfId="30109"/>
    <cellStyle name="20% - Accent6 3 2 6" xfId="1453"/>
    <cellStyle name="20% - Accent6 3 2 6 2" xfId="4340"/>
    <cellStyle name="20% - Accent6 3 2 6 2 2" xfId="10381"/>
    <cellStyle name="20% - Accent6 3 2 6 2 2 2" xfId="27428"/>
    <cellStyle name="20% - Accent6 3 2 6 2 2 2 2" xfId="56289"/>
    <cellStyle name="20% - Accent6 3 2 6 2 2 3" xfId="39242"/>
    <cellStyle name="20% - Accent6 3 2 6 2 3" xfId="21450"/>
    <cellStyle name="20% - Accent6 3 2 6 2 3 2" xfId="50311"/>
    <cellStyle name="20% - Accent6 3 2 6 2 4" xfId="33201"/>
    <cellStyle name="20% - Accent6 3 2 6 3" xfId="7495"/>
    <cellStyle name="20% - Accent6 3 2 6 3 2" xfId="24542"/>
    <cellStyle name="20% - Accent6 3 2 6 3 2 2" xfId="53403"/>
    <cellStyle name="20% - Accent6 3 2 6 3 3" xfId="36356"/>
    <cellStyle name="20% - Accent6 3 2 6 4" xfId="13722"/>
    <cellStyle name="20% - Accent6 3 2 6 4 2" xfId="18770"/>
    <cellStyle name="20% - Accent6 3 2 6 4 2 2" xfId="47631"/>
    <cellStyle name="20% - Accent6 3 2 6 4 3" xfId="42583"/>
    <cellStyle name="20% - Accent6 3 2 6 5" xfId="16090"/>
    <cellStyle name="20% - Accent6 3 2 6 5 2" xfId="44951"/>
    <cellStyle name="20% - Accent6 3 2 6 6" xfId="30315"/>
    <cellStyle name="20% - Accent6 3 2 7" xfId="1659"/>
    <cellStyle name="20% - Accent6 3 2 7 2" xfId="4546"/>
    <cellStyle name="20% - Accent6 3 2 7 2 2" xfId="10587"/>
    <cellStyle name="20% - Accent6 3 2 7 2 2 2" xfId="27634"/>
    <cellStyle name="20% - Accent6 3 2 7 2 2 2 2" xfId="56495"/>
    <cellStyle name="20% - Accent6 3 2 7 2 2 3" xfId="39448"/>
    <cellStyle name="20% - Accent6 3 2 7 2 3" xfId="21656"/>
    <cellStyle name="20% - Accent6 3 2 7 2 3 2" xfId="50517"/>
    <cellStyle name="20% - Accent6 3 2 7 2 4" xfId="33407"/>
    <cellStyle name="20% - Accent6 3 2 7 3" xfId="7701"/>
    <cellStyle name="20% - Accent6 3 2 7 3 2" xfId="24748"/>
    <cellStyle name="20% - Accent6 3 2 7 3 2 2" xfId="53609"/>
    <cellStyle name="20% - Accent6 3 2 7 3 3" xfId="36562"/>
    <cellStyle name="20% - Accent6 3 2 7 4" xfId="14265"/>
    <cellStyle name="20% - Accent6 3 2 7 4 2" xfId="18976"/>
    <cellStyle name="20% - Accent6 3 2 7 4 2 2" xfId="47837"/>
    <cellStyle name="20% - Accent6 3 2 7 4 3" xfId="43126"/>
    <cellStyle name="20% - Accent6 3 2 7 5" xfId="16296"/>
    <cellStyle name="20% - Accent6 3 2 7 5 2" xfId="45157"/>
    <cellStyle name="20% - Accent6 3 2 7 6" xfId="30521"/>
    <cellStyle name="20% - Accent6 3 2 8" xfId="1865"/>
    <cellStyle name="20% - Accent6 3 2 8 2" xfId="4752"/>
    <cellStyle name="20% - Accent6 3 2 8 2 2" xfId="10793"/>
    <cellStyle name="20% - Accent6 3 2 8 2 2 2" xfId="27840"/>
    <cellStyle name="20% - Accent6 3 2 8 2 2 2 2" xfId="56701"/>
    <cellStyle name="20% - Accent6 3 2 8 2 2 3" xfId="39654"/>
    <cellStyle name="20% - Accent6 3 2 8 2 3" xfId="21862"/>
    <cellStyle name="20% - Accent6 3 2 8 2 3 2" xfId="50723"/>
    <cellStyle name="20% - Accent6 3 2 8 2 4" xfId="33613"/>
    <cellStyle name="20% - Accent6 3 2 8 3" xfId="7907"/>
    <cellStyle name="20% - Accent6 3 2 8 3 2" xfId="24954"/>
    <cellStyle name="20% - Accent6 3 2 8 3 2 2" xfId="53815"/>
    <cellStyle name="20% - Accent6 3 2 8 3 3" xfId="36768"/>
    <cellStyle name="20% - Accent6 3 2 8 4" xfId="12761"/>
    <cellStyle name="20% - Accent6 3 2 8 4 2" xfId="19182"/>
    <cellStyle name="20% - Accent6 3 2 8 4 2 2" xfId="48043"/>
    <cellStyle name="20% - Accent6 3 2 8 4 3" xfId="41622"/>
    <cellStyle name="20% - Accent6 3 2 8 5" xfId="16502"/>
    <cellStyle name="20% - Accent6 3 2 8 5 2" xfId="45363"/>
    <cellStyle name="20% - Accent6 3 2 8 6" xfId="30727"/>
    <cellStyle name="20% - Accent6 3 2 9" xfId="2071"/>
    <cellStyle name="20% - Accent6 3 2 9 2" xfId="4958"/>
    <cellStyle name="20% - Accent6 3 2 9 2 2" xfId="10999"/>
    <cellStyle name="20% - Accent6 3 2 9 2 2 2" xfId="28046"/>
    <cellStyle name="20% - Accent6 3 2 9 2 2 2 2" xfId="56907"/>
    <cellStyle name="20% - Accent6 3 2 9 2 2 3" xfId="39860"/>
    <cellStyle name="20% - Accent6 3 2 9 2 3" xfId="22068"/>
    <cellStyle name="20% - Accent6 3 2 9 2 3 2" xfId="50929"/>
    <cellStyle name="20% - Accent6 3 2 9 2 4" xfId="33819"/>
    <cellStyle name="20% - Accent6 3 2 9 3" xfId="8113"/>
    <cellStyle name="20% - Accent6 3 2 9 3 2" xfId="25160"/>
    <cellStyle name="20% - Accent6 3 2 9 3 2 2" xfId="54021"/>
    <cellStyle name="20% - Accent6 3 2 9 3 3" xfId="36974"/>
    <cellStyle name="20% - Accent6 3 2 9 4" xfId="13018"/>
    <cellStyle name="20% - Accent6 3 2 9 4 2" xfId="19388"/>
    <cellStyle name="20% - Accent6 3 2 9 4 2 2" xfId="48249"/>
    <cellStyle name="20% - Accent6 3 2 9 4 3" xfId="41879"/>
    <cellStyle name="20% - Accent6 3 2 9 5" xfId="16708"/>
    <cellStyle name="20% - Accent6 3 2 9 5 2" xfId="45569"/>
    <cellStyle name="20% - Accent6 3 2 9 6" xfId="30933"/>
    <cellStyle name="20% - Accent6 3 20" xfId="28976"/>
    <cellStyle name="20% - Accent6 3 3" xfId="217"/>
    <cellStyle name="20% - Accent6 3 3 2" xfId="629"/>
    <cellStyle name="20% - Accent6 3 3 2 2" xfId="3516"/>
    <cellStyle name="20% - Accent6 3 3 2 2 2" xfId="9557"/>
    <cellStyle name="20% - Accent6 3 3 2 2 2 2" xfId="26604"/>
    <cellStyle name="20% - Accent6 3 3 2 2 2 2 2" xfId="55465"/>
    <cellStyle name="20% - Accent6 3 3 2 2 2 3" xfId="38418"/>
    <cellStyle name="20% - Accent6 3 3 2 2 3" xfId="20626"/>
    <cellStyle name="20% - Accent6 3 3 2 2 3 2" xfId="49487"/>
    <cellStyle name="20% - Accent6 3 3 2 2 4" xfId="32377"/>
    <cellStyle name="20% - Accent6 3 3 2 3" xfId="6671"/>
    <cellStyle name="20% - Accent6 3 3 2 3 2" xfId="23718"/>
    <cellStyle name="20% - Accent6 3 3 2 3 2 2" xfId="52579"/>
    <cellStyle name="20% - Accent6 3 3 2 3 3" xfId="35532"/>
    <cellStyle name="20% - Accent6 3 3 2 4" xfId="13716"/>
    <cellStyle name="20% - Accent6 3 3 2 4 2" xfId="17946"/>
    <cellStyle name="20% - Accent6 3 3 2 4 2 2" xfId="46807"/>
    <cellStyle name="20% - Accent6 3 3 2 4 3" xfId="42577"/>
    <cellStyle name="20% - Accent6 3 3 2 5" xfId="15266"/>
    <cellStyle name="20% - Accent6 3 3 2 5 2" xfId="44127"/>
    <cellStyle name="20% - Accent6 3 3 2 6" xfId="29491"/>
    <cellStyle name="20% - Accent6 3 3 3" xfId="2174"/>
    <cellStyle name="20% - Accent6 3 3 3 2" xfId="5061"/>
    <cellStyle name="20% - Accent6 3 3 3 2 2" xfId="11102"/>
    <cellStyle name="20% - Accent6 3 3 3 2 2 2" xfId="28149"/>
    <cellStyle name="20% - Accent6 3 3 3 2 2 2 2" xfId="57010"/>
    <cellStyle name="20% - Accent6 3 3 3 2 2 3" xfId="39963"/>
    <cellStyle name="20% - Accent6 3 3 3 2 3" xfId="22171"/>
    <cellStyle name="20% - Accent6 3 3 3 2 3 2" xfId="51032"/>
    <cellStyle name="20% - Accent6 3 3 3 2 4" xfId="33922"/>
    <cellStyle name="20% - Accent6 3 3 3 3" xfId="8216"/>
    <cellStyle name="20% - Accent6 3 3 3 3 2" xfId="25263"/>
    <cellStyle name="20% - Accent6 3 3 3 3 2 2" xfId="54124"/>
    <cellStyle name="20% - Accent6 3 3 3 3 3" xfId="37077"/>
    <cellStyle name="20% - Accent6 3 3 3 4" xfId="13394"/>
    <cellStyle name="20% - Accent6 3 3 3 4 2" xfId="19491"/>
    <cellStyle name="20% - Accent6 3 3 3 4 2 2" xfId="48352"/>
    <cellStyle name="20% - Accent6 3 3 3 4 3" xfId="42255"/>
    <cellStyle name="20% - Accent6 3 3 3 5" xfId="16811"/>
    <cellStyle name="20% - Accent6 3 3 3 5 2" xfId="45672"/>
    <cellStyle name="20% - Accent6 3 3 3 6" xfId="31036"/>
    <cellStyle name="20% - Accent6 3 3 4" xfId="3104"/>
    <cellStyle name="20% - Accent6 3 3 4 2" xfId="9145"/>
    <cellStyle name="20% - Accent6 3 3 4 2 2" xfId="26192"/>
    <cellStyle name="20% - Accent6 3 3 4 2 2 2" xfId="55053"/>
    <cellStyle name="20% - Accent6 3 3 4 2 3" xfId="38006"/>
    <cellStyle name="20% - Accent6 3 3 4 3" xfId="20214"/>
    <cellStyle name="20% - Accent6 3 3 4 3 2" xfId="49075"/>
    <cellStyle name="20% - Accent6 3 3 4 4" xfId="31965"/>
    <cellStyle name="20% - Accent6 3 3 5" xfId="6259"/>
    <cellStyle name="20% - Accent6 3 3 5 2" xfId="23306"/>
    <cellStyle name="20% - Accent6 3 3 5 2 2" xfId="52167"/>
    <cellStyle name="20% - Accent6 3 3 5 3" xfId="35120"/>
    <cellStyle name="20% - Accent6 3 3 6" xfId="11983"/>
    <cellStyle name="20% - Accent6 3 3 6 2" xfId="17637"/>
    <cellStyle name="20% - Accent6 3 3 6 2 2" xfId="46498"/>
    <cellStyle name="20% - Accent6 3 3 6 3" xfId="40844"/>
    <cellStyle name="20% - Accent6 3 3 7" xfId="14854"/>
    <cellStyle name="20% - Accent6 3 3 7 2" xfId="43715"/>
    <cellStyle name="20% - Accent6 3 3 8" xfId="29079"/>
    <cellStyle name="20% - Accent6 3 4" xfId="423"/>
    <cellStyle name="20% - Accent6 3 4 2" xfId="3310"/>
    <cellStyle name="20% - Accent6 3 4 2 2" xfId="9351"/>
    <cellStyle name="20% - Accent6 3 4 2 2 2" xfId="26398"/>
    <cellStyle name="20% - Accent6 3 4 2 2 2 2" xfId="55259"/>
    <cellStyle name="20% - Accent6 3 4 2 2 3" xfId="38212"/>
    <cellStyle name="20% - Accent6 3 4 2 3" xfId="20420"/>
    <cellStyle name="20% - Accent6 3 4 2 3 2" xfId="49281"/>
    <cellStyle name="20% - Accent6 3 4 2 4" xfId="32171"/>
    <cellStyle name="20% - Accent6 3 4 3" xfId="6465"/>
    <cellStyle name="20% - Accent6 3 4 3 2" xfId="23512"/>
    <cellStyle name="20% - Accent6 3 4 3 2 2" xfId="52373"/>
    <cellStyle name="20% - Accent6 3 4 3 3" xfId="35326"/>
    <cellStyle name="20% - Accent6 3 4 4" xfId="13823"/>
    <cellStyle name="20% - Accent6 3 4 4 2" xfId="17740"/>
    <cellStyle name="20% - Accent6 3 4 4 2 2" xfId="46601"/>
    <cellStyle name="20% - Accent6 3 4 4 3" xfId="42684"/>
    <cellStyle name="20% - Accent6 3 4 5" xfId="15060"/>
    <cellStyle name="20% - Accent6 3 4 5 2" xfId="43921"/>
    <cellStyle name="20% - Accent6 3 4 6" xfId="29285"/>
    <cellStyle name="20% - Accent6 3 5" xfId="732"/>
    <cellStyle name="20% - Accent6 3 5 2" xfId="3619"/>
    <cellStyle name="20% - Accent6 3 5 2 2" xfId="9660"/>
    <cellStyle name="20% - Accent6 3 5 2 2 2" xfId="26707"/>
    <cellStyle name="20% - Accent6 3 5 2 2 2 2" xfId="55568"/>
    <cellStyle name="20% - Accent6 3 5 2 2 3" xfId="38521"/>
    <cellStyle name="20% - Accent6 3 5 2 3" xfId="20729"/>
    <cellStyle name="20% - Accent6 3 5 2 3 2" xfId="49590"/>
    <cellStyle name="20% - Accent6 3 5 2 4" xfId="32480"/>
    <cellStyle name="20% - Accent6 3 5 3" xfId="6774"/>
    <cellStyle name="20% - Accent6 3 5 3 2" xfId="23821"/>
    <cellStyle name="20% - Accent6 3 5 3 2 2" xfId="52682"/>
    <cellStyle name="20% - Accent6 3 5 3 3" xfId="35635"/>
    <cellStyle name="20% - Accent6 3 5 4" xfId="14269"/>
    <cellStyle name="20% - Accent6 3 5 4 2" xfId="18049"/>
    <cellStyle name="20% - Accent6 3 5 4 2 2" xfId="46910"/>
    <cellStyle name="20% - Accent6 3 5 4 3" xfId="43130"/>
    <cellStyle name="20% - Accent6 3 5 5" xfId="15369"/>
    <cellStyle name="20% - Accent6 3 5 5 2" xfId="44230"/>
    <cellStyle name="20% - Accent6 3 5 6" xfId="29594"/>
    <cellStyle name="20% - Accent6 3 6" xfId="938"/>
    <cellStyle name="20% - Accent6 3 6 2" xfId="3825"/>
    <cellStyle name="20% - Accent6 3 6 2 2" xfId="9866"/>
    <cellStyle name="20% - Accent6 3 6 2 2 2" xfId="26913"/>
    <cellStyle name="20% - Accent6 3 6 2 2 2 2" xfId="55774"/>
    <cellStyle name="20% - Accent6 3 6 2 2 3" xfId="38727"/>
    <cellStyle name="20% - Accent6 3 6 2 3" xfId="20935"/>
    <cellStyle name="20% - Accent6 3 6 2 3 2" xfId="49796"/>
    <cellStyle name="20% - Accent6 3 6 2 4" xfId="32686"/>
    <cellStyle name="20% - Accent6 3 6 3" xfId="6980"/>
    <cellStyle name="20% - Accent6 3 6 3 2" xfId="24027"/>
    <cellStyle name="20% - Accent6 3 6 3 2 2" xfId="52888"/>
    <cellStyle name="20% - Accent6 3 6 3 3" xfId="35841"/>
    <cellStyle name="20% - Accent6 3 6 4" xfId="13453"/>
    <cellStyle name="20% - Accent6 3 6 4 2" xfId="18255"/>
    <cellStyle name="20% - Accent6 3 6 4 2 2" xfId="47116"/>
    <cellStyle name="20% - Accent6 3 6 4 3" xfId="42314"/>
    <cellStyle name="20% - Accent6 3 6 5" xfId="15575"/>
    <cellStyle name="20% - Accent6 3 6 5 2" xfId="44436"/>
    <cellStyle name="20% - Accent6 3 6 6" xfId="29800"/>
    <cellStyle name="20% - Accent6 3 7" xfId="1144"/>
    <cellStyle name="20% - Accent6 3 7 2" xfId="4031"/>
    <cellStyle name="20% - Accent6 3 7 2 2" xfId="10072"/>
    <cellStyle name="20% - Accent6 3 7 2 2 2" xfId="27119"/>
    <cellStyle name="20% - Accent6 3 7 2 2 2 2" xfId="55980"/>
    <cellStyle name="20% - Accent6 3 7 2 2 3" xfId="38933"/>
    <cellStyle name="20% - Accent6 3 7 2 3" xfId="21141"/>
    <cellStyle name="20% - Accent6 3 7 2 3 2" xfId="50002"/>
    <cellStyle name="20% - Accent6 3 7 2 4" xfId="32892"/>
    <cellStyle name="20% - Accent6 3 7 3" xfId="7186"/>
    <cellStyle name="20% - Accent6 3 7 3 2" xfId="24233"/>
    <cellStyle name="20% - Accent6 3 7 3 2 2" xfId="53094"/>
    <cellStyle name="20% - Accent6 3 7 3 3" xfId="36047"/>
    <cellStyle name="20% - Accent6 3 7 4" xfId="13274"/>
    <cellStyle name="20% - Accent6 3 7 4 2" xfId="18461"/>
    <cellStyle name="20% - Accent6 3 7 4 2 2" xfId="47322"/>
    <cellStyle name="20% - Accent6 3 7 4 3" xfId="42135"/>
    <cellStyle name="20% - Accent6 3 7 5" xfId="15781"/>
    <cellStyle name="20% - Accent6 3 7 5 2" xfId="44642"/>
    <cellStyle name="20% - Accent6 3 7 6" xfId="30006"/>
    <cellStyle name="20% - Accent6 3 8" xfId="1350"/>
    <cellStyle name="20% - Accent6 3 8 2" xfId="4237"/>
    <cellStyle name="20% - Accent6 3 8 2 2" xfId="10278"/>
    <cellStyle name="20% - Accent6 3 8 2 2 2" xfId="27325"/>
    <cellStyle name="20% - Accent6 3 8 2 2 2 2" xfId="56186"/>
    <cellStyle name="20% - Accent6 3 8 2 2 3" xfId="39139"/>
    <cellStyle name="20% - Accent6 3 8 2 3" xfId="21347"/>
    <cellStyle name="20% - Accent6 3 8 2 3 2" xfId="50208"/>
    <cellStyle name="20% - Accent6 3 8 2 4" xfId="33098"/>
    <cellStyle name="20% - Accent6 3 8 3" xfId="7392"/>
    <cellStyle name="20% - Accent6 3 8 3 2" xfId="24439"/>
    <cellStyle name="20% - Accent6 3 8 3 2 2" xfId="53300"/>
    <cellStyle name="20% - Accent6 3 8 3 3" xfId="36253"/>
    <cellStyle name="20% - Accent6 3 8 4" xfId="12851"/>
    <cellStyle name="20% - Accent6 3 8 4 2" xfId="18667"/>
    <cellStyle name="20% - Accent6 3 8 4 2 2" xfId="47528"/>
    <cellStyle name="20% - Accent6 3 8 4 3" xfId="41712"/>
    <cellStyle name="20% - Accent6 3 8 5" xfId="15987"/>
    <cellStyle name="20% - Accent6 3 8 5 2" xfId="44848"/>
    <cellStyle name="20% - Accent6 3 8 6" xfId="30212"/>
    <cellStyle name="20% - Accent6 3 9" xfId="1556"/>
    <cellStyle name="20% - Accent6 3 9 2" xfId="4443"/>
    <cellStyle name="20% - Accent6 3 9 2 2" xfId="10484"/>
    <cellStyle name="20% - Accent6 3 9 2 2 2" xfId="27531"/>
    <cellStyle name="20% - Accent6 3 9 2 2 2 2" xfId="56392"/>
    <cellStyle name="20% - Accent6 3 9 2 2 3" xfId="39345"/>
    <cellStyle name="20% - Accent6 3 9 2 3" xfId="21553"/>
    <cellStyle name="20% - Accent6 3 9 2 3 2" xfId="50414"/>
    <cellStyle name="20% - Accent6 3 9 2 4" xfId="33304"/>
    <cellStyle name="20% - Accent6 3 9 3" xfId="7598"/>
    <cellStyle name="20% - Accent6 3 9 3 2" xfId="24645"/>
    <cellStyle name="20% - Accent6 3 9 3 2 2" xfId="53506"/>
    <cellStyle name="20% - Accent6 3 9 3 3" xfId="36459"/>
    <cellStyle name="20% - Accent6 3 9 4" xfId="13623"/>
    <cellStyle name="20% - Accent6 3 9 4 2" xfId="18873"/>
    <cellStyle name="20% - Accent6 3 9 4 2 2" xfId="47734"/>
    <cellStyle name="20% - Accent6 3 9 4 3" xfId="42484"/>
    <cellStyle name="20% - Accent6 3 9 5" xfId="16193"/>
    <cellStyle name="20% - Accent6 3 9 5 2" xfId="45054"/>
    <cellStyle name="20% - Accent6 3 9 6" xfId="30418"/>
    <cellStyle name="20% - Accent6 4" xfId="140"/>
    <cellStyle name="20% - Accent6 4 10" xfId="1788"/>
    <cellStyle name="20% - Accent6 4 10 2" xfId="4675"/>
    <cellStyle name="20% - Accent6 4 10 2 2" xfId="10716"/>
    <cellStyle name="20% - Accent6 4 10 2 2 2" xfId="27763"/>
    <cellStyle name="20% - Accent6 4 10 2 2 2 2" xfId="56624"/>
    <cellStyle name="20% - Accent6 4 10 2 2 3" xfId="39577"/>
    <cellStyle name="20% - Accent6 4 10 2 3" xfId="21785"/>
    <cellStyle name="20% - Accent6 4 10 2 3 2" xfId="50646"/>
    <cellStyle name="20% - Accent6 4 10 2 4" xfId="33536"/>
    <cellStyle name="20% - Accent6 4 10 3" xfId="7830"/>
    <cellStyle name="20% - Accent6 4 10 3 2" xfId="24877"/>
    <cellStyle name="20% - Accent6 4 10 3 2 2" xfId="53738"/>
    <cellStyle name="20% - Accent6 4 10 3 3" xfId="36691"/>
    <cellStyle name="20% - Accent6 4 10 4" xfId="13705"/>
    <cellStyle name="20% - Accent6 4 10 4 2" xfId="19105"/>
    <cellStyle name="20% - Accent6 4 10 4 2 2" xfId="47966"/>
    <cellStyle name="20% - Accent6 4 10 4 3" xfId="42566"/>
    <cellStyle name="20% - Accent6 4 10 5" xfId="16425"/>
    <cellStyle name="20% - Accent6 4 10 5 2" xfId="45286"/>
    <cellStyle name="20% - Accent6 4 10 6" xfId="30650"/>
    <cellStyle name="20% - Accent6 4 11" xfId="1994"/>
    <cellStyle name="20% - Accent6 4 11 2" xfId="4881"/>
    <cellStyle name="20% - Accent6 4 11 2 2" xfId="10922"/>
    <cellStyle name="20% - Accent6 4 11 2 2 2" xfId="27969"/>
    <cellStyle name="20% - Accent6 4 11 2 2 2 2" xfId="56830"/>
    <cellStyle name="20% - Accent6 4 11 2 2 3" xfId="39783"/>
    <cellStyle name="20% - Accent6 4 11 2 3" xfId="21991"/>
    <cellStyle name="20% - Accent6 4 11 2 3 2" xfId="50852"/>
    <cellStyle name="20% - Accent6 4 11 2 4" xfId="33742"/>
    <cellStyle name="20% - Accent6 4 11 3" xfId="8036"/>
    <cellStyle name="20% - Accent6 4 11 3 2" xfId="25083"/>
    <cellStyle name="20% - Accent6 4 11 3 2 2" xfId="53944"/>
    <cellStyle name="20% - Accent6 4 11 3 3" xfId="36897"/>
    <cellStyle name="20% - Accent6 4 11 4" xfId="12228"/>
    <cellStyle name="20% - Accent6 4 11 4 2" xfId="19311"/>
    <cellStyle name="20% - Accent6 4 11 4 2 2" xfId="48172"/>
    <cellStyle name="20% - Accent6 4 11 4 3" xfId="41089"/>
    <cellStyle name="20% - Accent6 4 11 5" xfId="16631"/>
    <cellStyle name="20% - Accent6 4 11 5 2" xfId="45492"/>
    <cellStyle name="20% - Accent6 4 11 6" xfId="30856"/>
    <cellStyle name="20% - Accent6 4 12" xfId="2406"/>
    <cellStyle name="20% - Accent6 4 12 2" xfId="5293"/>
    <cellStyle name="20% - Accent6 4 12 2 2" xfId="11334"/>
    <cellStyle name="20% - Accent6 4 12 2 2 2" xfId="28381"/>
    <cellStyle name="20% - Accent6 4 12 2 2 2 2" xfId="57242"/>
    <cellStyle name="20% - Accent6 4 12 2 2 3" xfId="40195"/>
    <cellStyle name="20% - Accent6 4 12 2 3" xfId="22403"/>
    <cellStyle name="20% - Accent6 4 12 2 3 2" xfId="51264"/>
    <cellStyle name="20% - Accent6 4 12 2 4" xfId="34154"/>
    <cellStyle name="20% - Accent6 4 12 3" xfId="8448"/>
    <cellStyle name="20% - Accent6 4 12 3 2" xfId="25495"/>
    <cellStyle name="20% - Accent6 4 12 3 2 2" xfId="54356"/>
    <cellStyle name="20% - Accent6 4 12 3 3" xfId="37309"/>
    <cellStyle name="20% - Accent6 4 12 4" xfId="12738"/>
    <cellStyle name="20% - Accent6 4 12 4 2" xfId="19723"/>
    <cellStyle name="20% - Accent6 4 12 4 2 2" xfId="48584"/>
    <cellStyle name="20% - Accent6 4 12 4 3" xfId="41599"/>
    <cellStyle name="20% - Accent6 4 12 5" xfId="17043"/>
    <cellStyle name="20% - Accent6 4 12 5 2" xfId="45904"/>
    <cellStyle name="20% - Accent6 4 12 6" xfId="31268"/>
    <cellStyle name="20% - Accent6 4 13" xfId="2615"/>
    <cellStyle name="20% - Accent6 4 13 2" xfId="5501"/>
    <cellStyle name="20% - Accent6 4 13 2 2" xfId="11542"/>
    <cellStyle name="20% - Accent6 4 13 2 2 2" xfId="28589"/>
    <cellStyle name="20% - Accent6 4 13 2 2 2 2" xfId="57450"/>
    <cellStyle name="20% - Accent6 4 13 2 2 3" xfId="40403"/>
    <cellStyle name="20% - Accent6 4 13 2 3" xfId="22611"/>
    <cellStyle name="20% - Accent6 4 13 2 3 2" xfId="51472"/>
    <cellStyle name="20% - Accent6 4 13 2 4" xfId="34362"/>
    <cellStyle name="20% - Accent6 4 13 3" xfId="8656"/>
    <cellStyle name="20% - Accent6 4 13 3 2" xfId="25703"/>
    <cellStyle name="20% - Accent6 4 13 3 2 2" xfId="54564"/>
    <cellStyle name="20% - Accent6 4 13 3 3" xfId="37517"/>
    <cellStyle name="20% - Accent6 4 13 4" xfId="12332"/>
    <cellStyle name="20% - Accent6 4 13 4 2" xfId="19931"/>
    <cellStyle name="20% - Accent6 4 13 4 2 2" xfId="48792"/>
    <cellStyle name="20% - Accent6 4 13 4 3" xfId="41193"/>
    <cellStyle name="20% - Accent6 4 13 5" xfId="17251"/>
    <cellStyle name="20% - Accent6 4 13 5 2" xfId="46112"/>
    <cellStyle name="20% - Accent6 4 13 6" xfId="31476"/>
    <cellStyle name="20% - Accent6 4 14" xfId="3027"/>
    <cellStyle name="20% - Accent6 4 14 2" xfId="9068"/>
    <cellStyle name="20% - Accent6 4 14 2 2" xfId="26115"/>
    <cellStyle name="20% - Accent6 4 14 2 2 2" xfId="54976"/>
    <cellStyle name="20% - Accent6 4 14 2 3" xfId="37929"/>
    <cellStyle name="20% - Accent6 4 14 3" xfId="14001"/>
    <cellStyle name="20% - Accent6 4 14 3 2" xfId="20137"/>
    <cellStyle name="20% - Accent6 4 14 3 2 2" xfId="48998"/>
    <cellStyle name="20% - Accent6 4 14 3 3" xfId="42862"/>
    <cellStyle name="20% - Accent6 4 14 4" xfId="14777"/>
    <cellStyle name="20% - Accent6 4 14 4 2" xfId="43638"/>
    <cellStyle name="20% - Accent6 4 14 5" xfId="31888"/>
    <cellStyle name="20% - Accent6 4 15" xfId="2821"/>
    <cellStyle name="20% - Accent6 4 15 2" xfId="8862"/>
    <cellStyle name="20% - Accent6 4 15 2 2" xfId="25909"/>
    <cellStyle name="20% - Accent6 4 15 2 2 2" xfId="54770"/>
    <cellStyle name="20% - Accent6 4 15 2 3" xfId="37723"/>
    <cellStyle name="20% - Accent6 4 15 3" xfId="17457"/>
    <cellStyle name="20% - Accent6 4 15 3 2" xfId="46318"/>
    <cellStyle name="20% - Accent6 4 15 4" xfId="31682"/>
    <cellStyle name="20% - Accent6 4 16" xfId="5707"/>
    <cellStyle name="20% - Accent6 4 16 2" xfId="11748"/>
    <cellStyle name="20% - Accent6 4 16 2 2" xfId="28795"/>
    <cellStyle name="20% - Accent6 4 16 2 2 2" xfId="57656"/>
    <cellStyle name="20% - Accent6 4 16 2 3" xfId="40609"/>
    <cellStyle name="20% - Accent6 4 16 3" xfId="22817"/>
    <cellStyle name="20% - Accent6 4 16 3 2" xfId="51678"/>
    <cellStyle name="20% - Accent6 4 16 4" xfId="34568"/>
    <cellStyle name="20% - Accent6 4 17" xfId="5924"/>
    <cellStyle name="20% - Accent6 4 17 2" xfId="23023"/>
    <cellStyle name="20% - Accent6 4 17 2 2" xfId="51884"/>
    <cellStyle name="20% - Accent6 4 17 3" xfId="34785"/>
    <cellStyle name="20% - Accent6 4 18" xfId="6182"/>
    <cellStyle name="20% - Accent6 4 18 2" xfId="23229"/>
    <cellStyle name="20% - Accent6 4 18 2 2" xfId="52090"/>
    <cellStyle name="20% - Accent6 4 18 3" xfId="35043"/>
    <cellStyle name="20% - Accent6 4 19" xfId="14571"/>
    <cellStyle name="20% - Accent6 4 19 2" xfId="43432"/>
    <cellStyle name="20% - Accent6 4 2" xfId="346"/>
    <cellStyle name="20% - Accent6 4 2 10" xfId="2509"/>
    <cellStyle name="20% - Accent6 4 2 10 2" xfId="5396"/>
    <cellStyle name="20% - Accent6 4 2 10 2 2" xfId="11437"/>
    <cellStyle name="20% - Accent6 4 2 10 2 2 2" xfId="28484"/>
    <cellStyle name="20% - Accent6 4 2 10 2 2 2 2" xfId="57345"/>
    <cellStyle name="20% - Accent6 4 2 10 2 2 3" xfId="40298"/>
    <cellStyle name="20% - Accent6 4 2 10 2 3" xfId="22506"/>
    <cellStyle name="20% - Accent6 4 2 10 2 3 2" xfId="51367"/>
    <cellStyle name="20% - Accent6 4 2 10 2 4" xfId="34257"/>
    <cellStyle name="20% - Accent6 4 2 10 3" xfId="8551"/>
    <cellStyle name="20% - Accent6 4 2 10 3 2" xfId="25598"/>
    <cellStyle name="20% - Accent6 4 2 10 3 2 2" xfId="54459"/>
    <cellStyle name="20% - Accent6 4 2 10 3 3" xfId="37412"/>
    <cellStyle name="20% - Accent6 4 2 10 4" xfId="12521"/>
    <cellStyle name="20% - Accent6 4 2 10 4 2" xfId="19826"/>
    <cellStyle name="20% - Accent6 4 2 10 4 2 2" xfId="48687"/>
    <cellStyle name="20% - Accent6 4 2 10 4 3" xfId="41382"/>
    <cellStyle name="20% - Accent6 4 2 10 5" xfId="17146"/>
    <cellStyle name="20% - Accent6 4 2 10 5 2" xfId="46007"/>
    <cellStyle name="20% - Accent6 4 2 10 6" xfId="31371"/>
    <cellStyle name="20% - Accent6 4 2 11" xfId="2718"/>
    <cellStyle name="20% - Accent6 4 2 11 2" xfId="5604"/>
    <cellStyle name="20% - Accent6 4 2 11 2 2" xfId="11645"/>
    <cellStyle name="20% - Accent6 4 2 11 2 2 2" xfId="28692"/>
    <cellStyle name="20% - Accent6 4 2 11 2 2 2 2" xfId="57553"/>
    <cellStyle name="20% - Accent6 4 2 11 2 2 3" xfId="40506"/>
    <cellStyle name="20% - Accent6 4 2 11 2 3" xfId="22714"/>
    <cellStyle name="20% - Accent6 4 2 11 2 3 2" xfId="51575"/>
    <cellStyle name="20% - Accent6 4 2 11 2 4" xfId="34465"/>
    <cellStyle name="20% - Accent6 4 2 11 3" xfId="8759"/>
    <cellStyle name="20% - Accent6 4 2 11 3 2" xfId="25806"/>
    <cellStyle name="20% - Accent6 4 2 11 3 2 2" xfId="54667"/>
    <cellStyle name="20% - Accent6 4 2 11 3 3" xfId="37620"/>
    <cellStyle name="20% - Accent6 4 2 11 4" xfId="13889"/>
    <cellStyle name="20% - Accent6 4 2 11 4 2" xfId="20034"/>
    <cellStyle name="20% - Accent6 4 2 11 4 2 2" xfId="48895"/>
    <cellStyle name="20% - Accent6 4 2 11 4 3" xfId="42750"/>
    <cellStyle name="20% - Accent6 4 2 11 5" xfId="17354"/>
    <cellStyle name="20% - Accent6 4 2 11 5 2" xfId="46215"/>
    <cellStyle name="20% - Accent6 4 2 11 6" xfId="31579"/>
    <cellStyle name="20% - Accent6 4 2 12" xfId="3233"/>
    <cellStyle name="20% - Accent6 4 2 12 2" xfId="9274"/>
    <cellStyle name="20% - Accent6 4 2 12 2 2" xfId="26321"/>
    <cellStyle name="20% - Accent6 4 2 12 2 2 2" xfId="55182"/>
    <cellStyle name="20% - Accent6 4 2 12 2 3" xfId="38135"/>
    <cellStyle name="20% - Accent6 4 2 12 3" xfId="13088"/>
    <cellStyle name="20% - Accent6 4 2 12 3 2" xfId="20343"/>
    <cellStyle name="20% - Accent6 4 2 12 3 2 2" xfId="49204"/>
    <cellStyle name="20% - Accent6 4 2 12 3 3" xfId="41949"/>
    <cellStyle name="20% - Accent6 4 2 12 4" xfId="14983"/>
    <cellStyle name="20% - Accent6 4 2 12 4 2" xfId="43844"/>
    <cellStyle name="20% - Accent6 4 2 12 5" xfId="32094"/>
    <cellStyle name="20% - Accent6 4 2 13" xfId="2924"/>
    <cellStyle name="20% - Accent6 4 2 13 2" xfId="8965"/>
    <cellStyle name="20% - Accent6 4 2 13 2 2" xfId="26012"/>
    <cellStyle name="20% - Accent6 4 2 13 2 2 2" xfId="54873"/>
    <cellStyle name="20% - Accent6 4 2 13 2 3" xfId="37826"/>
    <cellStyle name="20% - Accent6 4 2 13 3" xfId="17560"/>
    <cellStyle name="20% - Accent6 4 2 13 3 2" xfId="46421"/>
    <cellStyle name="20% - Accent6 4 2 13 4" xfId="31785"/>
    <cellStyle name="20% - Accent6 4 2 14" xfId="5810"/>
    <cellStyle name="20% - Accent6 4 2 14 2" xfId="11851"/>
    <cellStyle name="20% - Accent6 4 2 14 2 2" xfId="28898"/>
    <cellStyle name="20% - Accent6 4 2 14 2 2 2" xfId="57759"/>
    <cellStyle name="20% - Accent6 4 2 14 2 3" xfId="40712"/>
    <cellStyle name="20% - Accent6 4 2 14 3" xfId="22920"/>
    <cellStyle name="20% - Accent6 4 2 14 3 2" xfId="51781"/>
    <cellStyle name="20% - Accent6 4 2 14 4" xfId="34671"/>
    <cellStyle name="20% - Accent6 4 2 15" xfId="6027"/>
    <cellStyle name="20% - Accent6 4 2 15 2" xfId="23126"/>
    <cellStyle name="20% - Accent6 4 2 15 2 2" xfId="51987"/>
    <cellStyle name="20% - Accent6 4 2 15 3" xfId="34888"/>
    <cellStyle name="20% - Accent6 4 2 16" xfId="6388"/>
    <cellStyle name="20% - Accent6 4 2 16 2" xfId="23435"/>
    <cellStyle name="20% - Accent6 4 2 16 2 2" xfId="52296"/>
    <cellStyle name="20% - Accent6 4 2 16 3" xfId="35249"/>
    <cellStyle name="20% - Accent6 4 2 17" xfId="14674"/>
    <cellStyle name="20% - Accent6 4 2 17 2" xfId="43535"/>
    <cellStyle name="20% - Accent6 4 2 18" xfId="29208"/>
    <cellStyle name="20% - Accent6 4 2 2" xfId="552"/>
    <cellStyle name="20% - Accent6 4 2 2 2" xfId="2303"/>
    <cellStyle name="20% - Accent6 4 2 2 2 2" xfId="5190"/>
    <cellStyle name="20% - Accent6 4 2 2 2 2 2" xfId="11231"/>
    <cellStyle name="20% - Accent6 4 2 2 2 2 2 2" xfId="28278"/>
    <cellStyle name="20% - Accent6 4 2 2 2 2 2 2 2" xfId="57139"/>
    <cellStyle name="20% - Accent6 4 2 2 2 2 2 3" xfId="40092"/>
    <cellStyle name="20% - Accent6 4 2 2 2 2 3" xfId="22300"/>
    <cellStyle name="20% - Accent6 4 2 2 2 2 3 2" xfId="51161"/>
    <cellStyle name="20% - Accent6 4 2 2 2 2 4" xfId="34051"/>
    <cellStyle name="20% - Accent6 4 2 2 2 3" xfId="8345"/>
    <cellStyle name="20% - Accent6 4 2 2 2 3 2" xfId="25392"/>
    <cellStyle name="20% - Accent6 4 2 2 2 3 2 2" xfId="54253"/>
    <cellStyle name="20% - Accent6 4 2 2 2 3 3" xfId="37206"/>
    <cellStyle name="20% - Accent6 4 2 2 2 4" xfId="12033"/>
    <cellStyle name="20% - Accent6 4 2 2 2 4 2" xfId="19620"/>
    <cellStyle name="20% - Accent6 4 2 2 2 4 2 2" xfId="48481"/>
    <cellStyle name="20% - Accent6 4 2 2 2 4 3" xfId="40894"/>
    <cellStyle name="20% - Accent6 4 2 2 2 5" xfId="16940"/>
    <cellStyle name="20% - Accent6 4 2 2 2 5 2" xfId="45801"/>
    <cellStyle name="20% - Accent6 4 2 2 2 6" xfId="31165"/>
    <cellStyle name="20% - Accent6 4 2 2 3" xfId="3439"/>
    <cellStyle name="20% - Accent6 4 2 2 3 2" xfId="9480"/>
    <cellStyle name="20% - Accent6 4 2 2 3 2 2" xfId="26527"/>
    <cellStyle name="20% - Accent6 4 2 2 3 2 2 2" xfId="55388"/>
    <cellStyle name="20% - Accent6 4 2 2 3 2 3" xfId="38341"/>
    <cellStyle name="20% - Accent6 4 2 2 3 3" xfId="20549"/>
    <cellStyle name="20% - Accent6 4 2 2 3 3 2" xfId="49410"/>
    <cellStyle name="20% - Accent6 4 2 2 3 4" xfId="32300"/>
    <cellStyle name="20% - Accent6 4 2 2 4" xfId="6594"/>
    <cellStyle name="20% - Accent6 4 2 2 4 2" xfId="23641"/>
    <cellStyle name="20% - Accent6 4 2 2 4 2 2" xfId="52502"/>
    <cellStyle name="20% - Accent6 4 2 2 4 3" xfId="35455"/>
    <cellStyle name="20% - Accent6 4 2 2 5" xfId="12720"/>
    <cellStyle name="20% - Accent6 4 2 2 5 2" xfId="17869"/>
    <cellStyle name="20% - Accent6 4 2 2 5 2 2" xfId="46730"/>
    <cellStyle name="20% - Accent6 4 2 2 5 3" xfId="41581"/>
    <cellStyle name="20% - Accent6 4 2 2 6" xfId="15189"/>
    <cellStyle name="20% - Accent6 4 2 2 6 2" xfId="44050"/>
    <cellStyle name="20% - Accent6 4 2 2 7" xfId="29414"/>
    <cellStyle name="20% - Accent6 4 2 3" xfId="861"/>
    <cellStyle name="20% - Accent6 4 2 3 2" xfId="3748"/>
    <cellStyle name="20% - Accent6 4 2 3 2 2" xfId="9789"/>
    <cellStyle name="20% - Accent6 4 2 3 2 2 2" xfId="26836"/>
    <cellStyle name="20% - Accent6 4 2 3 2 2 2 2" xfId="55697"/>
    <cellStyle name="20% - Accent6 4 2 3 2 2 3" xfId="38650"/>
    <cellStyle name="20% - Accent6 4 2 3 2 3" xfId="20858"/>
    <cellStyle name="20% - Accent6 4 2 3 2 3 2" xfId="49719"/>
    <cellStyle name="20% - Accent6 4 2 3 2 4" xfId="32609"/>
    <cellStyle name="20% - Accent6 4 2 3 3" xfId="6903"/>
    <cellStyle name="20% - Accent6 4 2 3 3 2" xfId="23950"/>
    <cellStyle name="20% - Accent6 4 2 3 3 2 2" xfId="52811"/>
    <cellStyle name="20% - Accent6 4 2 3 3 3" xfId="35764"/>
    <cellStyle name="20% - Accent6 4 2 3 4" xfId="14294"/>
    <cellStyle name="20% - Accent6 4 2 3 4 2" xfId="18178"/>
    <cellStyle name="20% - Accent6 4 2 3 4 2 2" xfId="47039"/>
    <cellStyle name="20% - Accent6 4 2 3 4 3" xfId="43155"/>
    <cellStyle name="20% - Accent6 4 2 3 5" xfId="15498"/>
    <cellStyle name="20% - Accent6 4 2 3 5 2" xfId="44359"/>
    <cellStyle name="20% - Accent6 4 2 3 6" xfId="29723"/>
    <cellStyle name="20% - Accent6 4 2 4" xfId="1067"/>
    <cellStyle name="20% - Accent6 4 2 4 2" xfId="3954"/>
    <cellStyle name="20% - Accent6 4 2 4 2 2" xfId="9995"/>
    <cellStyle name="20% - Accent6 4 2 4 2 2 2" xfId="27042"/>
    <cellStyle name="20% - Accent6 4 2 4 2 2 2 2" xfId="55903"/>
    <cellStyle name="20% - Accent6 4 2 4 2 2 3" xfId="38856"/>
    <cellStyle name="20% - Accent6 4 2 4 2 3" xfId="21064"/>
    <cellStyle name="20% - Accent6 4 2 4 2 3 2" xfId="49925"/>
    <cellStyle name="20% - Accent6 4 2 4 2 4" xfId="32815"/>
    <cellStyle name="20% - Accent6 4 2 4 3" xfId="7109"/>
    <cellStyle name="20% - Accent6 4 2 4 3 2" xfId="24156"/>
    <cellStyle name="20% - Accent6 4 2 4 3 2 2" xfId="53017"/>
    <cellStyle name="20% - Accent6 4 2 4 3 3" xfId="35970"/>
    <cellStyle name="20% - Accent6 4 2 4 4" xfId="11881"/>
    <cellStyle name="20% - Accent6 4 2 4 4 2" xfId="18384"/>
    <cellStyle name="20% - Accent6 4 2 4 4 2 2" xfId="47245"/>
    <cellStyle name="20% - Accent6 4 2 4 4 3" xfId="40742"/>
    <cellStyle name="20% - Accent6 4 2 4 5" xfId="15704"/>
    <cellStyle name="20% - Accent6 4 2 4 5 2" xfId="44565"/>
    <cellStyle name="20% - Accent6 4 2 4 6" xfId="29929"/>
    <cellStyle name="20% - Accent6 4 2 5" xfId="1273"/>
    <cellStyle name="20% - Accent6 4 2 5 2" xfId="4160"/>
    <cellStyle name="20% - Accent6 4 2 5 2 2" xfId="10201"/>
    <cellStyle name="20% - Accent6 4 2 5 2 2 2" xfId="27248"/>
    <cellStyle name="20% - Accent6 4 2 5 2 2 2 2" xfId="56109"/>
    <cellStyle name="20% - Accent6 4 2 5 2 2 3" xfId="39062"/>
    <cellStyle name="20% - Accent6 4 2 5 2 3" xfId="21270"/>
    <cellStyle name="20% - Accent6 4 2 5 2 3 2" xfId="50131"/>
    <cellStyle name="20% - Accent6 4 2 5 2 4" xfId="33021"/>
    <cellStyle name="20% - Accent6 4 2 5 3" xfId="7315"/>
    <cellStyle name="20% - Accent6 4 2 5 3 2" xfId="24362"/>
    <cellStyle name="20% - Accent6 4 2 5 3 2 2" xfId="53223"/>
    <cellStyle name="20% - Accent6 4 2 5 3 3" xfId="36176"/>
    <cellStyle name="20% - Accent6 4 2 5 4" xfId="13069"/>
    <cellStyle name="20% - Accent6 4 2 5 4 2" xfId="18590"/>
    <cellStyle name="20% - Accent6 4 2 5 4 2 2" xfId="47451"/>
    <cellStyle name="20% - Accent6 4 2 5 4 3" xfId="41930"/>
    <cellStyle name="20% - Accent6 4 2 5 5" xfId="15910"/>
    <cellStyle name="20% - Accent6 4 2 5 5 2" xfId="44771"/>
    <cellStyle name="20% - Accent6 4 2 5 6" xfId="30135"/>
    <cellStyle name="20% - Accent6 4 2 6" xfId="1479"/>
    <cellStyle name="20% - Accent6 4 2 6 2" xfId="4366"/>
    <cellStyle name="20% - Accent6 4 2 6 2 2" xfId="10407"/>
    <cellStyle name="20% - Accent6 4 2 6 2 2 2" xfId="27454"/>
    <cellStyle name="20% - Accent6 4 2 6 2 2 2 2" xfId="56315"/>
    <cellStyle name="20% - Accent6 4 2 6 2 2 3" xfId="39268"/>
    <cellStyle name="20% - Accent6 4 2 6 2 3" xfId="21476"/>
    <cellStyle name="20% - Accent6 4 2 6 2 3 2" xfId="50337"/>
    <cellStyle name="20% - Accent6 4 2 6 2 4" xfId="33227"/>
    <cellStyle name="20% - Accent6 4 2 6 3" xfId="7521"/>
    <cellStyle name="20% - Accent6 4 2 6 3 2" xfId="24568"/>
    <cellStyle name="20% - Accent6 4 2 6 3 2 2" xfId="53429"/>
    <cellStyle name="20% - Accent6 4 2 6 3 3" xfId="36382"/>
    <cellStyle name="20% - Accent6 4 2 6 4" xfId="13554"/>
    <cellStyle name="20% - Accent6 4 2 6 4 2" xfId="18796"/>
    <cellStyle name="20% - Accent6 4 2 6 4 2 2" xfId="47657"/>
    <cellStyle name="20% - Accent6 4 2 6 4 3" xfId="42415"/>
    <cellStyle name="20% - Accent6 4 2 6 5" xfId="16116"/>
    <cellStyle name="20% - Accent6 4 2 6 5 2" xfId="44977"/>
    <cellStyle name="20% - Accent6 4 2 6 6" xfId="30341"/>
    <cellStyle name="20% - Accent6 4 2 7" xfId="1685"/>
    <cellStyle name="20% - Accent6 4 2 7 2" xfId="4572"/>
    <cellStyle name="20% - Accent6 4 2 7 2 2" xfId="10613"/>
    <cellStyle name="20% - Accent6 4 2 7 2 2 2" xfId="27660"/>
    <cellStyle name="20% - Accent6 4 2 7 2 2 2 2" xfId="56521"/>
    <cellStyle name="20% - Accent6 4 2 7 2 2 3" xfId="39474"/>
    <cellStyle name="20% - Accent6 4 2 7 2 3" xfId="21682"/>
    <cellStyle name="20% - Accent6 4 2 7 2 3 2" xfId="50543"/>
    <cellStyle name="20% - Accent6 4 2 7 2 4" xfId="33433"/>
    <cellStyle name="20% - Accent6 4 2 7 3" xfId="7727"/>
    <cellStyle name="20% - Accent6 4 2 7 3 2" xfId="24774"/>
    <cellStyle name="20% - Accent6 4 2 7 3 2 2" xfId="53635"/>
    <cellStyle name="20% - Accent6 4 2 7 3 3" xfId="36588"/>
    <cellStyle name="20% - Accent6 4 2 7 4" xfId="13275"/>
    <cellStyle name="20% - Accent6 4 2 7 4 2" xfId="19002"/>
    <cellStyle name="20% - Accent6 4 2 7 4 2 2" xfId="47863"/>
    <cellStyle name="20% - Accent6 4 2 7 4 3" xfId="42136"/>
    <cellStyle name="20% - Accent6 4 2 7 5" xfId="16322"/>
    <cellStyle name="20% - Accent6 4 2 7 5 2" xfId="45183"/>
    <cellStyle name="20% - Accent6 4 2 7 6" xfId="30547"/>
    <cellStyle name="20% - Accent6 4 2 8" xfId="1891"/>
    <cellStyle name="20% - Accent6 4 2 8 2" xfId="4778"/>
    <cellStyle name="20% - Accent6 4 2 8 2 2" xfId="10819"/>
    <cellStyle name="20% - Accent6 4 2 8 2 2 2" xfId="27866"/>
    <cellStyle name="20% - Accent6 4 2 8 2 2 2 2" xfId="56727"/>
    <cellStyle name="20% - Accent6 4 2 8 2 2 3" xfId="39680"/>
    <cellStyle name="20% - Accent6 4 2 8 2 3" xfId="21888"/>
    <cellStyle name="20% - Accent6 4 2 8 2 3 2" xfId="50749"/>
    <cellStyle name="20% - Accent6 4 2 8 2 4" xfId="33639"/>
    <cellStyle name="20% - Accent6 4 2 8 3" xfId="7933"/>
    <cellStyle name="20% - Accent6 4 2 8 3 2" xfId="24980"/>
    <cellStyle name="20% - Accent6 4 2 8 3 2 2" xfId="53841"/>
    <cellStyle name="20% - Accent6 4 2 8 3 3" xfId="36794"/>
    <cellStyle name="20% - Accent6 4 2 8 4" xfId="12370"/>
    <cellStyle name="20% - Accent6 4 2 8 4 2" xfId="19208"/>
    <cellStyle name="20% - Accent6 4 2 8 4 2 2" xfId="48069"/>
    <cellStyle name="20% - Accent6 4 2 8 4 3" xfId="41231"/>
    <cellStyle name="20% - Accent6 4 2 8 5" xfId="16528"/>
    <cellStyle name="20% - Accent6 4 2 8 5 2" xfId="45389"/>
    <cellStyle name="20% - Accent6 4 2 8 6" xfId="30753"/>
    <cellStyle name="20% - Accent6 4 2 9" xfId="2097"/>
    <cellStyle name="20% - Accent6 4 2 9 2" xfId="4984"/>
    <cellStyle name="20% - Accent6 4 2 9 2 2" xfId="11025"/>
    <cellStyle name="20% - Accent6 4 2 9 2 2 2" xfId="28072"/>
    <cellStyle name="20% - Accent6 4 2 9 2 2 2 2" xfId="56933"/>
    <cellStyle name="20% - Accent6 4 2 9 2 2 3" xfId="39886"/>
    <cellStyle name="20% - Accent6 4 2 9 2 3" xfId="22094"/>
    <cellStyle name="20% - Accent6 4 2 9 2 3 2" xfId="50955"/>
    <cellStyle name="20% - Accent6 4 2 9 2 4" xfId="33845"/>
    <cellStyle name="20% - Accent6 4 2 9 3" xfId="8139"/>
    <cellStyle name="20% - Accent6 4 2 9 3 2" xfId="25186"/>
    <cellStyle name="20% - Accent6 4 2 9 3 2 2" xfId="54047"/>
    <cellStyle name="20% - Accent6 4 2 9 3 3" xfId="37000"/>
    <cellStyle name="20% - Accent6 4 2 9 4" xfId="12318"/>
    <cellStyle name="20% - Accent6 4 2 9 4 2" xfId="19414"/>
    <cellStyle name="20% - Accent6 4 2 9 4 2 2" xfId="48275"/>
    <cellStyle name="20% - Accent6 4 2 9 4 3" xfId="41179"/>
    <cellStyle name="20% - Accent6 4 2 9 5" xfId="16734"/>
    <cellStyle name="20% - Accent6 4 2 9 5 2" xfId="45595"/>
    <cellStyle name="20% - Accent6 4 2 9 6" xfId="30959"/>
    <cellStyle name="20% - Accent6 4 20" xfId="29002"/>
    <cellStyle name="20% - Accent6 4 3" xfId="243"/>
    <cellStyle name="20% - Accent6 4 3 2" xfId="655"/>
    <cellStyle name="20% - Accent6 4 3 2 2" xfId="3542"/>
    <cellStyle name="20% - Accent6 4 3 2 2 2" xfId="9583"/>
    <cellStyle name="20% - Accent6 4 3 2 2 2 2" xfId="26630"/>
    <cellStyle name="20% - Accent6 4 3 2 2 2 2 2" xfId="55491"/>
    <cellStyle name="20% - Accent6 4 3 2 2 2 3" xfId="38444"/>
    <cellStyle name="20% - Accent6 4 3 2 2 3" xfId="20652"/>
    <cellStyle name="20% - Accent6 4 3 2 2 3 2" xfId="49513"/>
    <cellStyle name="20% - Accent6 4 3 2 2 4" xfId="32403"/>
    <cellStyle name="20% - Accent6 4 3 2 3" xfId="6697"/>
    <cellStyle name="20% - Accent6 4 3 2 3 2" xfId="23744"/>
    <cellStyle name="20% - Accent6 4 3 2 3 2 2" xfId="52605"/>
    <cellStyle name="20% - Accent6 4 3 2 3 3" xfId="35558"/>
    <cellStyle name="20% - Accent6 4 3 2 4" xfId="12796"/>
    <cellStyle name="20% - Accent6 4 3 2 4 2" xfId="17972"/>
    <cellStyle name="20% - Accent6 4 3 2 4 2 2" xfId="46833"/>
    <cellStyle name="20% - Accent6 4 3 2 4 3" xfId="41657"/>
    <cellStyle name="20% - Accent6 4 3 2 5" xfId="15292"/>
    <cellStyle name="20% - Accent6 4 3 2 5 2" xfId="44153"/>
    <cellStyle name="20% - Accent6 4 3 2 6" xfId="29517"/>
    <cellStyle name="20% - Accent6 4 3 3" xfId="2200"/>
    <cellStyle name="20% - Accent6 4 3 3 2" xfId="5087"/>
    <cellStyle name="20% - Accent6 4 3 3 2 2" xfId="11128"/>
    <cellStyle name="20% - Accent6 4 3 3 2 2 2" xfId="28175"/>
    <cellStyle name="20% - Accent6 4 3 3 2 2 2 2" xfId="57036"/>
    <cellStyle name="20% - Accent6 4 3 3 2 2 3" xfId="39989"/>
    <cellStyle name="20% - Accent6 4 3 3 2 3" xfId="22197"/>
    <cellStyle name="20% - Accent6 4 3 3 2 3 2" xfId="51058"/>
    <cellStyle name="20% - Accent6 4 3 3 2 4" xfId="33948"/>
    <cellStyle name="20% - Accent6 4 3 3 3" xfId="8242"/>
    <cellStyle name="20% - Accent6 4 3 3 3 2" xfId="25289"/>
    <cellStyle name="20% - Accent6 4 3 3 3 2 2" xfId="54150"/>
    <cellStyle name="20% - Accent6 4 3 3 3 3" xfId="37103"/>
    <cellStyle name="20% - Accent6 4 3 3 4" xfId="11894"/>
    <cellStyle name="20% - Accent6 4 3 3 4 2" xfId="19517"/>
    <cellStyle name="20% - Accent6 4 3 3 4 2 2" xfId="48378"/>
    <cellStyle name="20% - Accent6 4 3 3 4 3" xfId="40755"/>
    <cellStyle name="20% - Accent6 4 3 3 5" xfId="16837"/>
    <cellStyle name="20% - Accent6 4 3 3 5 2" xfId="45698"/>
    <cellStyle name="20% - Accent6 4 3 3 6" xfId="31062"/>
    <cellStyle name="20% - Accent6 4 3 4" xfId="3130"/>
    <cellStyle name="20% - Accent6 4 3 4 2" xfId="9171"/>
    <cellStyle name="20% - Accent6 4 3 4 2 2" xfId="26218"/>
    <cellStyle name="20% - Accent6 4 3 4 2 2 2" xfId="55079"/>
    <cellStyle name="20% - Accent6 4 3 4 2 3" xfId="38032"/>
    <cellStyle name="20% - Accent6 4 3 4 3" xfId="20240"/>
    <cellStyle name="20% - Accent6 4 3 4 3 2" xfId="49101"/>
    <cellStyle name="20% - Accent6 4 3 4 4" xfId="31991"/>
    <cellStyle name="20% - Accent6 4 3 5" xfId="6285"/>
    <cellStyle name="20% - Accent6 4 3 5 2" xfId="23332"/>
    <cellStyle name="20% - Accent6 4 3 5 2 2" xfId="52193"/>
    <cellStyle name="20% - Accent6 4 3 5 3" xfId="35146"/>
    <cellStyle name="20% - Accent6 4 3 6" xfId="13585"/>
    <cellStyle name="20% - Accent6 4 3 6 2" xfId="17663"/>
    <cellStyle name="20% - Accent6 4 3 6 2 2" xfId="46524"/>
    <cellStyle name="20% - Accent6 4 3 6 3" xfId="42446"/>
    <cellStyle name="20% - Accent6 4 3 7" xfId="14880"/>
    <cellStyle name="20% - Accent6 4 3 7 2" xfId="43741"/>
    <cellStyle name="20% - Accent6 4 3 8" xfId="29105"/>
    <cellStyle name="20% - Accent6 4 4" xfId="449"/>
    <cellStyle name="20% - Accent6 4 4 2" xfId="3336"/>
    <cellStyle name="20% - Accent6 4 4 2 2" xfId="9377"/>
    <cellStyle name="20% - Accent6 4 4 2 2 2" xfId="26424"/>
    <cellStyle name="20% - Accent6 4 4 2 2 2 2" xfId="55285"/>
    <cellStyle name="20% - Accent6 4 4 2 2 3" xfId="38238"/>
    <cellStyle name="20% - Accent6 4 4 2 3" xfId="20446"/>
    <cellStyle name="20% - Accent6 4 4 2 3 2" xfId="49307"/>
    <cellStyle name="20% - Accent6 4 4 2 4" xfId="32197"/>
    <cellStyle name="20% - Accent6 4 4 3" xfId="6491"/>
    <cellStyle name="20% - Accent6 4 4 3 2" xfId="23538"/>
    <cellStyle name="20% - Accent6 4 4 3 2 2" xfId="52399"/>
    <cellStyle name="20% - Accent6 4 4 3 3" xfId="35352"/>
    <cellStyle name="20% - Accent6 4 4 4" xfId="12817"/>
    <cellStyle name="20% - Accent6 4 4 4 2" xfId="17766"/>
    <cellStyle name="20% - Accent6 4 4 4 2 2" xfId="46627"/>
    <cellStyle name="20% - Accent6 4 4 4 3" xfId="41678"/>
    <cellStyle name="20% - Accent6 4 4 5" xfId="15086"/>
    <cellStyle name="20% - Accent6 4 4 5 2" xfId="43947"/>
    <cellStyle name="20% - Accent6 4 4 6" xfId="29311"/>
    <cellStyle name="20% - Accent6 4 5" xfId="758"/>
    <cellStyle name="20% - Accent6 4 5 2" xfId="3645"/>
    <cellStyle name="20% - Accent6 4 5 2 2" xfId="9686"/>
    <cellStyle name="20% - Accent6 4 5 2 2 2" xfId="26733"/>
    <cellStyle name="20% - Accent6 4 5 2 2 2 2" xfId="55594"/>
    <cellStyle name="20% - Accent6 4 5 2 2 3" xfId="38547"/>
    <cellStyle name="20% - Accent6 4 5 2 3" xfId="20755"/>
    <cellStyle name="20% - Accent6 4 5 2 3 2" xfId="49616"/>
    <cellStyle name="20% - Accent6 4 5 2 4" xfId="32506"/>
    <cellStyle name="20% - Accent6 4 5 3" xfId="6800"/>
    <cellStyle name="20% - Accent6 4 5 3 2" xfId="23847"/>
    <cellStyle name="20% - Accent6 4 5 3 2 2" xfId="52708"/>
    <cellStyle name="20% - Accent6 4 5 3 3" xfId="35661"/>
    <cellStyle name="20% - Accent6 4 5 4" xfId="12861"/>
    <cellStyle name="20% - Accent6 4 5 4 2" xfId="18075"/>
    <cellStyle name="20% - Accent6 4 5 4 2 2" xfId="46936"/>
    <cellStyle name="20% - Accent6 4 5 4 3" xfId="41722"/>
    <cellStyle name="20% - Accent6 4 5 5" xfId="15395"/>
    <cellStyle name="20% - Accent6 4 5 5 2" xfId="44256"/>
    <cellStyle name="20% - Accent6 4 5 6" xfId="29620"/>
    <cellStyle name="20% - Accent6 4 6" xfId="964"/>
    <cellStyle name="20% - Accent6 4 6 2" xfId="3851"/>
    <cellStyle name="20% - Accent6 4 6 2 2" xfId="9892"/>
    <cellStyle name="20% - Accent6 4 6 2 2 2" xfId="26939"/>
    <cellStyle name="20% - Accent6 4 6 2 2 2 2" xfId="55800"/>
    <cellStyle name="20% - Accent6 4 6 2 2 3" xfId="38753"/>
    <cellStyle name="20% - Accent6 4 6 2 3" xfId="20961"/>
    <cellStyle name="20% - Accent6 4 6 2 3 2" xfId="49822"/>
    <cellStyle name="20% - Accent6 4 6 2 4" xfId="32712"/>
    <cellStyle name="20% - Accent6 4 6 3" xfId="7006"/>
    <cellStyle name="20% - Accent6 4 6 3 2" xfId="24053"/>
    <cellStyle name="20% - Accent6 4 6 3 2 2" xfId="52914"/>
    <cellStyle name="20% - Accent6 4 6 3 3" xfId="35867"/>
    <cellStyle name="20% - Accent6 4 6 4" xfId="6069"/>
    <cellStyle name="20% - Accent6 4 6 4 2" xfId="18281"/>
    <cellStyle name="20% - Accent6 4 6 4 2 2" xfId="47142"/>
    <cellStyle name="20% - Accent6 4 6 4 3" xfId="34930"/>
    <cellStyle name="20% - Accent6 4 6 5" xfId="15601"/>
    <cellStyle name="20% - Accent6 4 6 5 2" xfId="44462"/>
    <cellStyle name="20% - Accent6 4 6 6" xfId="29826"/>
    <cellStyle name="20% - Accent6 4 7" xfId="1170"/>
    <cellStyle name="20% - Accent6 4 7 2" xfId="4057"/>
    <cellStyle name="20% - Accent6 4 7 2 2" xfId="10098"/>
    <cellStyle name="20% - Accent6 4 7 2 2 2" xfId="27145"/>
    <cellStyle name="20% - Accent6 4 7 2 2 2 2" xfId="56006"/>
    <cellStyle name="20% - Accent6 4 7 2 2 3" xfId="38959"/>
    <cellStyle name="20% - Accent6 4 7 2 3" xfId="21167"/>
    <cellStyle name="20% - Accent6 4 7 2 3 2" xfId="50028"/>
    <cellStyle name="20% - Accent6 4 7 2 4" xfId="32918"/>
    <cellStyle name="20% - Accent6 4 7 3" xfId="7212"/>
    <cellStyle name="20% - Accent6 4 7 3 2" xfId="24259"/>
    <cellStyle name="20% - Accent6 4 7 3 2 2" xfId="53120"/>
    <cellStyle name="20% - Accent6 4 7 3 3" xfId="36073"/>
    <cellStyle name="20% - Accent6 4 7 4" xfId="12346"/>
    <cellStyle name="20% - Accent6 4 7 4 2" xfId="18487"/>
    <cellStyle name="20% - Accent6 4 7 4 2 2" xfId="47348"/>
    <cellStyle name="20% - Accent6 4 7 4 3" xfId="41207"/>
    <cellStyle name="20% - Accent6 4 7 5" xfId="15807"/>
    <cellStyle name="20% - Accent6 4 7 5 2" xfId="44668"/>
    <cellStyle name="20% - Accent6 4 7 6" xfId="30032"/>
    <cellStyle name="20% - Accent6 4 8" xfId="1376"/>
    <cellStyle name="20% - Accent6 4 8 2" xfId="4263"/>
    <cellStyle name="20% - Accent6 4 8 2 2" xfId="10304"/>
    <cellStyle name="20% - Accent6 4 8 2 2 2" xfId="27351"/>
    <cellStyle name="20% - Accent6 4 8 2 2 2 2" xfId="56212"/>
    <cellStyle name="20% - Accent6 4 8 2 2 3" xfId="39165"/>
    <cellStyle name="20% - Accent6 4 8 2 3" xfId="21373"/>
    <cellStyle name="20% - Accent6 4 8 2 3 2" xfId="50234"/>
    <cellStyle name="20% - Accent6 4 8 2 4" xfId="33124"/>
    <cellStyle name="20% - Accent6 4 8 3" xfId="7418"/>
    <cellStyle name="20% - Accent6 4 8 3 2" xfId="24465"/>
    <cellStyle name="20% - Accent6 4 8 3 2 2" xfId="53326"/>
    <cellStyle name="20% - Accent6 4 8 3 3" xfId="36279"/>
    <cellStyle name="20% - Accent6 4 8 4" xfId="12372"/>
    <cellStyle name="20% - Accent6 4 8 4 2" xfId="18693"/>
    <cellStyle name="20% - Accent6 4 8 4 2 2" xfId="47554"/>
    <cellStyle name="20% - Accent6 4 8 4 3" xfId="41233"/>
    <cellStyle name="20% - Accent6 4 8 5" xfId="16013"/>
    <cellStyle name="20% - Accent6 4 8 5 2" xfId="44874"/>
    <cellStyle name="20% - Accent6 4 8 6" xfId="30238"/>
    <cellStyle name="20% - Accent6 4 9" xfId="1582"/>
    <cellStyle name="20% - Accent6 4 9 2" xfId="4469"/>
    <cellStyle name="20% - Accent6 4 9 2 2" xfId="10510"/>
    <cellStyle name="20% - Accent6 4 9 2 2 2" xfId="27557"/>
    <cellStyle name="20% - Accent6 4 9 2 2 2 2" xfId="56418"/>
    <cellStyle name="20% - Accent6 4 9 2 2 3" xfId="39371"/>
    <cellStyle name="20% - Accent6 4 9 2 3" xfId="21579"/>
    <cellStyle name="20% - Accent6 4 9 2 3 2" xfId="50440"/>
    <cellStyle name="20% - Accent6 4 9 2 4" xfId="33330"/>
    <cellStyle name="20% - Accent6 4 9 3" xfId="7624"/>
    <cellStyle name="20% - Accent6 4 9 3 2" xfId="24671"/>
    <cellStyle name="20% - Accent6 4 9 3 2 2" xfId="53532"/>
    <cellStyle name="20% - Accent6 4 9 3 3" xfId="36485"/>
    <cellStyle name="20% - Accent6 4 9 4" xfId="12428"/>
    <cellStyle name="20% - Accent6 4 9 4 2" xfId="18899"/>
    <cellStyle name="20% - Accent6 4 9 4 2 2" xfId="47760"/>
    <cellStyle name="20% - Accent6 4 9 4 3" xfId="41289"/>
    <cellStyle name="20% - Accent6 4 9 5" xfId="16219"/>
    <cellStyle name="20% - Accent6 4 9 5 2" xfId="45080"/>
    <cellStyle name="20% - Accent6 4 9 6" xfId="30444"/>
    <cellStyle name="20% - Accent6 5" xfId="293"/>
    <cellStyle name="20% - Accent6 5 10" xfId="2456"/>
    <cellStyle name="20% - Accent6 5 10 2" xfId="5343"/>
    <cellStyle name="20% - Accent6 5 10 2 2" xfId="11384"/>
    <cellStyle name="20% - Accent6 5 10 2 2 2" xfId="28431"/>
    <cellStyle name="20% - Accent6 5 10 2 2 2 2" xfId="57292"/>
    <cellStyle name="20% - Accent6 5 10 2 2 3" xfId="40245"/>
    <cellStyle name="20% - Accent6 5 10 2 3" xfId="22453"/>
    <cellStyle name="20% - Accent6 5 10 2 3 2" xfId="51314"/>
    <cellStyle name="20% - Accent6 5 10 2 4" xfId="34204"/>
    <cellStyle name="20% - Accent6 5 10 3" xfId="8498"/>
    <cellStyle name="20% - Accent6 5 10 3 2" xfId="25545"/>
    <cellStyle name="20% - Accent6 5 10 3 2 2" xfId="54406"/>
    <cellStyle name="20% - Accent6 5 10 3 3" xfId="37359"/>
    <cellStyle name="20% - Accent6 5 10 4" xfId="12775"/>
    <cellStyle name="20% - Accent6 5 10 4 2" xfId="19773"/>
    <cellStyle name="20% - Accent6 5 10 4 2 2" xfId="48634"/>
    <cellStyle name="20% - Accent6 5 10 4 3" xfId="41636"/>
    <cellStyle name="20% - Accent6 5 10 5" xfId="17093"/>
    <cellStyle name="20% - Accent6 5 10 5 2" xfId="45954"/>
    <cellStyle name="20% - Accent6 5 10 6" xfId="31318"/>
    <cellStyle name="20% - Accent6 5 11" xfId="2665"/>
    <cellStyle name="20% - Accent6 5 11 2" xfId="5551"/>
    <cellStyle name="20% - Accent6 5 11 2 2" xfId="11592"/>
    <cellStyle name="20% - Accent6 5 11 2 2 2" xfId="28639"/>
    <cellStyle name="20% - Accent6 5 11 2 2 2 2" xfId="57500"/>
    <cellStyle name="20% - Accent6 5 11 2 2 3" xfId="40453"/>
    <cellStyle name="20% - Accent6 5 11 2 3" xfId="22661"/>
    <cellStyle name="20% - Accent6 5 11 2 3 2" xfId="51522"/>
    <cellStyle name="20% - Accent6 5 11 2 4" xfId="34412"/>
    <cellStyle name="20% - Accent6 5 11 3" xfId="8706"/>
    <cellStyle name="20% - Accent6 5 11 3 2" xfId="25753"/>
    <cellStyle name="20% - Accent6 5 11 3 2 2" xfId="54614"/>
    <cellStyle name="20% - Accent6 5 11 3 3" xfId="37567"/>
    <cellStyle name="20% - Accent6 5 11 4" xfId="14485"/>
    <cellStyle name="20% - Accent6 5 11 4 2" xfId="19981"/>
    <cellStyle name="20% - Accent6 5 11 4 2 2" xfId="48842"/>
    <cellStyle name="20% - Accent6 5 11 4 3" xfId="43346"/>
    <cellStyle name="20% - Accent6 5 11 5" xfId="17301"/>
    <cellStyle name="20% - Accent6 5 11 5 2" xfId="46162"/>
    <cellStyle name="20% - Accent6 5 11 6" xfId="31526"/>
    <cellStyle name="20% - Accent6 5 12" xfId="3180"/>
    <cellStyle name="20% - Accent6 5 12 2" xfId="9221"/>
    <cellStyle name="20% - Accent6 5 12 2 2" xfId="26268"/>
    <cellStyle name="20% - Accent6 5 12 2 2 2" xfId="55129"/>
    <cellStyle name="20% - Accent6 5 12 2 3" xfId="38082"/>
    <cellStyle name="20% - Accent6 5 12 3" xfId="13921"/>
    <cellStyle name="20% - Accent6 5 12 3 2" xfId="20290"/>
    <cellStyle name="20% - Accent6 5 12 3 2 2" xfId="49151"/>
    <cellStyle name="20% - Accent6 5 12 3 3" xfId="42782"/>
    <cellStyle name="20% - Accent6 5 12 4" xfId="14930"/>
    <cellStyle name="20% - Accent6 5 12 4 2" xfId="43791"/>
    <cellStyle name="20% - Accent6 5 12 5" xfId="32041"/>
    <cellStyle name="20% - Accent6 5 13" xfId="2871"/>
    <cellStyle name="20% - Accent6 5 13 2" xfId="8912"/>
    <cellStyle name="20% - Accent6 5 13 2 2" xfId="25959"/>
    <cellStyle name="20% - Accent6 5 13 2 2 2" xfId="54820"/>
    <cellStyle name="20% - Accent6 5 13 2 3" xfId="37773"/>
    <cellStyle name="20% - Accent6 5 13 3" xfId="17507"/>
    <cellStyle name="20% - Accent6 5 13 3 2" xfId="46368"/>
    <cellStyle name="20% - Accent6 5 13 4" xfId="31732"/>
    <cellStyle name="20% - Accent6 5 14" xfId="5757"/>
    <cellStyle name="20% - Accent6 5 14 2" xfId="11798"/>
    <cellStyle name="20% - Accent6 5 14 2 2" xfId="28845"/>
    <cellStyle name="20% - Accent6 5 14 2 2 2" xfId="57706"/>
    <cellStyle name="20% - Accent6 5 14 2 3" xfId="40659"/>
    <cellStyle name="20% - Accent6 5 14 3" xfId="22867"/>
    <cellStyle name="20% - Accent6 5 14 3 2" xfId="51728"/>
    <cellStyle name="20% - Accent6 5 14 4" xfId="34618"/>
    <cellStyle name="20% - Accent6 5 15" xfId="5974"/>
    <cellStyle name="20% - Accent6 5 15 2" xfId="23073"/>
    <cellStyle name="20% - Accent6 5 15 2 2" xfId="51934"/>
    <cellStyle name="20% - Accent6 5 15 3" xfId="34835"/>
    <cellStyle name="20% - Accent6 5 16" xfId="6335"/>
    <cellStyle name="20% - Accent6 5 16 2" xfId="23382"/>
    <cellStyle name="20% - Accent6 5 16 2 2" xfId="52243"/>
    <cellStyle name="20% - Accent6 5 16 3" xfId="35196"/>
    <cellStyle name="20% - Accent6 5 17" xfId="14621"/>
    <cellStyle name="20% - Accent6 5 17 2" xfId="43482"/>
    <cellStyle name="20% - Accent6 5 18" xfId="29155"/>
    <cellStyle name="20% - Accent6 5 2" xfId="499"/>
    <cellStyle name="20% - Accent6 5 2 2" xfId="2250"/>
    <cellStyle name="20% - Accent6 5 2 2 2" xfId="5137"/>
    <cellStyle name="20% - Accent6 5 2 2 2 2" xfId="11178"/>
    <cellStyle name="20% - Accent6 5 2 2 2 2 2" xfId="28225"/>
    <cellStyle name="20% - Accent6 5 2 2 2 2 2 2" xfId="57086"/>
    <cellStyle name="20% - Accent6 5 2 2 2 2 3" xfId="40039"/>
    <cellStyle name="20% - Accent6 5 2 2 2 3" xfId="22247"/>
    <cellStyle name="20% - Accent6 5 2 2 2 3 2" xfId="51108"/>
    <cellStyle name="20% - Accent6 5 2 2 2 4" xfId="33998"/>
    <cellStyle name="20% - Accent6 5 2 2 3" xfId="8292"/>
    <cellStyle name="20% - Accent6 5 2 2 3 2" xfId="25339"/>
    <cellStyle name="20% - Accent6 5 2 2 3 2 2" xfId="54200"/>
    <cellStyle name="20% - Accent6 5 2 2 3 3" xfId="37153"/>
    <cellStyle name="20% - Accent6 5 2 2 4" xfId="14342"/>
    <cellStyle name="20% - Accent6 5 2 2 4 2" xfId="19567"/>
    <cellStyle name="20% - Accent6 5 2 2 4 2 2" xfId="48428"/>
    <cellStyle name="20% - Accent6 5 2 2 4 3" xfId="43203"/>
    <cellStyle name="20% - Accent6 5 2 2 5" xfId="16887"/>
    <cellStyle name="20% - Accent6 5 2 2 5 2" xfId="45748"/>
    <cellStyle name="20% - Accent6 5 2 2 6" xfId="31112"/>
    <cellStyle name="20% - Accent6 5 2 3" xfId="3386"/>
    <cellStyle name="20% - Accent6 5 2 3 2" xfId="9427"/>
    <cellStyle name="20% - Accent6 5 2 3 2 2" xfId="26474"/>
    <cellStyle name="20% - Accent6 5 2 3 2 2 2" xfId="55335"/>
    <cellStyle name="20% - Accent6 5 2 3 2 3" xfId="38288"/>
    <cellStyle name="20% - Accent6 5 2 3 3" xfId="20496"/>
    <cellStyle name="20% - Accent6 5 2 3 3 2" xfId="49357"/>
    <cellStyle name="20% - Accent6 5 2 3 4" xfId="32247"/>
    <cellStyle name="20% - Accent6 5 2 4" xfId="6541"/>
    <cellStyle name="20% - Accent6 5 2 4 2" xfId="23588"/>
    <cellStyle name="20% - Accent6 5 2 4 2 2" xfId="52449"/>
    <cellStyle name="20% - Accent6 5 2 4 3" xfId="35402"/>
    <cellStyle name="20% - Accent6 5 2 5" xfId="14399"/>
    <cellStyle name="20% - Accent6 5 2 5 2" xfId="17816"/>
    <cellStyle name="20% - Accent6 5 2 5 2 2" xfId="46677"/>
    <cellStyle name="20% - Accent6 5 2 5 3" xfId="43260"/>
    <cellStyle name="20% - Accent6 5 2 6" xfId="15136"/>
    <cellStyle name="20% - Accent6 5 2 6 2" xfId="43997"/>
    <cellStyle name="20% - Accent6 5 2 7" xfId="29361"/>
    <cellStyle name="20% - Accent6 5 3" xfId="808"/>
    <cellStyle name="20% - Accent6 5 3 2" xfId="3695"/>
    <cellStyle name="20% - Accent6 5 3 2 2" xfId="9736"/>
    <cellStyle name="20% - Accent6 5 3 2 2 2" xfId="26783"/>
    <cellStyle name="20% - Accent6 5 3 2 2 2 2" xfId="55644"/>
    <cellStyle name="20% - Accent6 5 3 2 2 3" xfId="38597"/>
    <cellStyle name="20% - Accent6 5 3 2 3" xfId="20805"/>
    <cellStyle name="20% - Accent6 5 3 2 3 2" xfId="49666"/>
    <cellStyle name="20% - Accent6 5 3 2 4" xfId="32556"/>
    <cellStyle name="20% - Accent6 5 3 3" xfId="6850"/>
    <cellStyle name="20% - Accent6 5 3 3 2" xfId="23897"/>
    <cellStyle name="20% - Accent6 5 3 3 2 2" xfId="52758"/>
    <cellStyle name="20% - Accent6 5 3 3 3" xfId="35711"/>
    <cellStyle name="20% - Accent6 5 3 4" xfId="14474"/>
    <cellStyle name="20% - Accent6 5 3 4 2" xfId="18125"/>
    <cellStyle name="20% - Accent6 5 3 4 2 2" xfId="46986"/>
    <cellStyle name="20% - Accent6 5 3 4 3" xfId="43335"/>
    <cellStyle name="20% - Accent6 5 3 5" xfId="15445"/>
    <cellStyle name="20% - Accent6 5 3 5 2" xfId="44306"/>
    <cellStyle name="20% - Accent6 5 3 6" xfId="29670"/>
    <cellStyle name="20% - Accent6 5 4" xfId="1014"/>
    <cellStyle name="20% - Accent6 5 4 2" xfId="3901"/>
    <cellStyle name="20% - Accent6 5 4 2 2" xfId="9942"/>
    <cellStyle name="20% - Accent6 5 4 2 2 2" xfId="26989"/>
    <cellStyle name="20% - Accent6 5 4 2 2 2 2" xfId="55850"/>
    <cellStyle name="20% - Accent6 5 4 2 2 3" xfId="38803"/>
    <cellStyle name="20% - Accent6 5 4 2 3" xfId="21011"/>
    <cellStyle name="20% - Accent6 5 4 2 3 2" xfId="49872"/>
    <cellStyle name="20% - Accent6 5 4 2 4" xfId="32762"/>
    <cellStyle name="20% - Accent6 5 4 3" xfId="7056"/>
    <cellStyle name="20% - Accent6 5 4 3 2" xfId="24103"/>
    <cellStyle name="20% - Accent6 5 4 3 2 2" xfId="52964"/>
    <cellStyle name="20% - Accent6 5 4 3 3" xfId="35917"/>
    <cellStyle name="20% - Accent6 5 4 4" xfId="11993"/>
    <cellStyle name="20% - Accent6 5 4 4 2" xfId="18331"/>
    <cellStyle name="20% - Accent6 5 4 4 2 2" xfId="47192"/>
    <cellStyle name="20% - Accent6 5 4 4 3" xfId="40854"/>
    <cellStyle name="20% - Accent6 5 4 5" xfId="15651"/>
    <cellStyle name="20% - Accent6 5 4 5 2" xfId="44512"/>
    <cellStyle name="20% - Accent6 5 4 6" xfId="29876"/>
    <cellStyle name="20% - Accent6 5 5" xfId="1220"/>
    <cellStyle name="20% - Accent6 5 5 2" xfId="4107"/>
    <cellStyle name="20% - Accent6 5 5 2 2" xfId="10148"/>
    <cellStyle name="20% - Accent6 5 5 2 2 2" xfId="27195"/>
    <cellStyle name="20% - Accent6 5 5 2 2 2 2" xfId="56056"/>
    <cellStyle name="20% - Accent6 5 5 2 2 3" xfId="39009"/>
    <cellStyle name="20% - Accent6 5 5 2 3" xfId="21217"/>
    <cellStyle name="20% - Accent6 5 5 2 3 2" xfId="50078"/>
    <cellStyle name="20% - Accent6 5 5 2 4" xfId="32968"/>
    <cellStyle name="20% - Accent6 5 5 3" xfId="7262"/>
    <cellStyle name="20% - Accent6 5 5 3 2" xfId="24309"/>
    <cellStyle name="20% - Accent6 5 5 3 2 2" xfId="53170"/>
    <cellStyle name="20% - Accent6 5 5 3 3" xfId="36123"/>
    <cellStyle name="20% - Accent6 5 5 4" xfId="13427"/>
    <cellStyle name="20% - Accent6 5 5 4 2" xfId="18537"/>
    <cellStyle name="20% - Accent6 5 5 4 2 2" xfId="47398"/>
    <cellStyle name="20% - Accent6 5 5 4 3" xfId="42288"/>
    <cellStyle name="20% - Accent6 5 5 5" xfId="15857"/>
    <cellStyle name="20% - Accent6 5 5 5 2" xfId="44718"/>
    <cellStyle name="20% - Accent6 5 5 6" xfId="30082"/>
    <cellStyle name="20% - Accent6 5 6" xfId="1426"/>
    <cellStyle name="20% - Accent6 5 6 2" xfId="4313"/>
    <cellStyle name="20% - Accent6 5 6 2 2" xfId="10354"/>
    <cellStyle name="20% - Accent6 5 6 2 2 2" xfId="27401"/>
    <cellStyle name="20% - Accent6 5 6 2 2 2 2" xfId="56262"/>
    <cellStyle name="20% - Accent6 5 6 2 2 3" xfId="39215"/>
    <cellStyle name="20% - Accent6 5 6 2 3" xfId="21423"/>
    <cellStyle name="20% - Accent6 5 6 2 3 2" xfId="50284"/>
    <cellStyle name="20% - Accent6 5 6 2 4" xfId="33174"/>
    <cellStyle name="20% - Accent6 5 6 3" xfId="7468"/>
    <cellStyle name="20% - Accent6 5 6 3 2" xfId="24515"/>
    <cellStyle name="20% - Accent6 5 6 3 2 2" xfId="53376"/>
    <cellStyle name="20% - Accent6 5 6 3 3" xfId="36329"/>
    <cellStyle name="20% - Accent6 5 6 4" xfId="14192"/>
    <cellStyle name="20% - Accent6 5 6 4 2" xfId="18743"/>
    <cellStyle name="20% - Accent6 5 6 4 2 2" xfId="47604"/>
    <cellStyle name="20% - Accent6 5 6 4 3" xfId="43053"/>
    <cellStyle name="20% - Accent6 5 6 5" xfId="16063"/>
    <cellStyle name="20% - Accent6 5 6 5 2" xfId="44924"/>
    <cellStyle name="20% - Accent6 5 6 6" xfId="30288"/>
    <cellStyle name="20% - Accent6 5 7" xfId="1632"/>
    <cellStyle name="20% - Accent6 5 7 2" xfId="4519"/>
    <cellStyle name="20% - Accent6 5 7 2 2" xfId="10560"/>
    <cellStyle name="20% - Accent6 5 7 2 2 2" xfId="27607"/>
    <cellStyle name="20% - Accent6 5 7 2 2 2 2" xfId="56468"/>
    <cellStyle name="20% - Accent6 5 7 2 2 3" xfId="39421"/>
    <cellStyle name="20% - Accent6 5 7 2 3" xfId="21629"/>
    <cellStyle name="20% - Accent6 5 7 2 3 2" xfId="50490"/>
    <cellStyle name="20% - Accent6 5 7 2 4" xfId="33380"/>
    <cellStyle name="20% - Accent6 5 7 3" xfId="7674"/>
    <cellStyle name="20% - Accent6 5 7 3 2" xfId="24721"/>
    <cellStyle name="20% - Accent6 5 7 3 2 2" xfId="53582"/>
    <cellStyle name="20% - Accent6 5 7 3 3" xfId="36535"/>
    <cellStyle name="20% - Accent6 5 7 4" xfId="12873"/>
    <cellStyle name="20% - Accent6 5 7 4 2" xfId="18949"/>
    <cellStyle name="20% - Accent6 5 7 4 2 2" xfId="47810"/>
    <cellStyle name="20% - Accent6 5 7 4 3" xfId="41734"/>
    <cellStyle name="20% - Accent6 5 7 5" xfId="16269"/>
    <cellStyle name="20% - Accent6 5 7 5 2" xfId="45130"/>
    <cellStyle name="20% - Accent6 5 7 6" xfId="30494"/>
    <cellStyle name="20% - Accent6 5 8" xfId="1838"/>
    <cellStyle name="20% - Accent6 5 8 2" xfId="4725"/>
    <cellStyle name="20% - Accent6 5 8 2 2" xfId="10766"/>
    <cellStyle name="20% - Accent6 5 8 2 2 2" xfId="27813"/>
    <cellStyle name="20% - Accent6 5 8 2 2 2 2" xfId="56674"/>
    <cellStyle name="20% - Accent6 5 8 2 2 3" xfId="39627"/>
    <cellStyle name="20% - Accent6 5 8 2 3" xfId="21835"/>
    <cellStyle name="20% - Accent6 5 8 2 3 2" xfId="50696"/>
    <cellStyle name="20% - Accent6 5 8 2 4" xfId="33586"/>
    <cellStyle name="20% - Accent6 5 8 3" xfId="7880"/>
    <cellStyle name="20% - Accent6 5 8 3 2" xfId="24927"/>
    <cellStyle name="20% - Accent6 5 8 3 2 2" xfId="53788"/>
    <cellStyle name="20% - Accent6 5 8 3 3" xfId="36741"/>
    <cellStyle name="20% - Accent6 5 8 4" xfId="12524"/>
    <cellStyle name="20% - Accent6 5 8 4 2" xfId="19155"/>
    <cellStyle name="20% - Accent6 5 8 4 2 2" xfId="48016"/>
    <cellStyle name="20% - Accent6 5 8 4 3" xfId="41385"/>
    <cellStyle name="20% - Accent6 5 8 5" xfId="16475"/>
    <cellStyle name="20% - Accent6 5 8 5 2" xfId="45336"/>
    <cellStyle name="20% - Accent6 5 8 6" xfId="30700"/>
    <cellStyle name="20% - Accent6 5 9" xfId="2044"/>
    <cellStyle name="20% - Accent6 5 9 2" xfId="4931"/>
    <cellStyle name="20% - Accent6 5 9 2 2" xfId="10972"/>
    <cellStyle name="20% - Accent6 5 9 2 2 2" xfId="28019"/>
    <cellStyle name="20% - Accent6 5 9 2 2 2 2" xfId="56880"/>
    <cellStyle name="20% - Accent6 5 9 2 2 3" xfId="39833"/>
    <cellStyle name="20% - Accent6 5 9 2 3" xfId="22041"/>
    <cellStyle name="20% - Accent6 5 9 2 3 2" xfId="50902"/>
    <cellStyle name="20% - Accent6 5 9 2 4" xfId="33792"/>
    <cellStyle name="20% - Accent6 5 9 3" xfId="8086"/>
    <cellStyle name="20% - Accent6 5 9 3 2" xfId="25133"/>
    <cellStyle name="20% - Accent6 5 9 3 2 2" xfId="53994"/>
    <cellStyle name="20% - Accent6 5 9 3 3" xfId="36947"/>
    <cellStyle name="20% - Accent6 5 9 4" xfId="14051"/>
    <cellStyle name="20% - Accent6 5 9 4 2" xfId="19361"/>
    <cellStyle name="20% - Accent6 5 9 4 2 2" xfId="48222"/>
    <cellStyle name="20% - Accent6 5 9 4 3" xfId="42912"/>
    <cellStyle name="20% - Accent6 5 9 5" xfId="16681"/>
    <cellStyle name="20% - Accent6 5 9 5 2" xfId="45542"/>
    <cellStyle name="20% - Accent6 5 9 6" xfId="30906"/>
    <cellStyle name="20% - Accent6 6" xfId="190"/>
    <cellStyle name="20% - Accent6 6 2" xfId="602"/>
    <cellStyle name="20% - Accent6 6 2 2" xfId="3489"/>
    <cellStyle name="20% - Accent6 6 2 2 2" xfId="9530"/>
    <cellStyle name="20% - Accent6 6 2 2 2 2" xfId="26577"/>
    <cellStyle name="20% - Accent6 6 2 2 2 2 2" xfId="55438"/>
    <cellStyle name="20% - Accent6 6 2 2 2 3" xfId="38391"/>
    <cellStyle name="20% - Accent6 6 2 2 3" xfId="20599"/>
    <cellStyle name="20% - Accent6 6 2 2 3 2" xfId="49460"/>
    <cellStyle name="20% - Accent6 6 2 2 4" xfId="32350"/>
    <cellStyle name="20% - Accent6 6 2 3" xfId="6644"/>
    <cellStyle name="20% - Accent6 6 2 3 2" xfId="23691"/>
    <cellStyle name="20% - Accent6 6 2 3 2 2" xfId="52552"/>
    <cellStyle name="20% - Accent6 6 2 3 3" xfId="35505"/>
    <cellStyle name="20% - Accent6 6 2 4" xfId="13317"/>
    <cellStyle name="20% - Accent6 6 2 4 2" xfId="17919"/>
    <cellStyle name="20% - Accent6 6 2 4 2 2" xfId="46780"/>
    <cellStyle name="20% - Accent6 6 2 4 3" xfId="42178"/>
    <cellStyle name="20% - Accent6 6 2 5" xfId="15239"/>
    <cellStyle name="20% - Accent6 6 2 5 2" xfId="44100"/>
    <cellStyle name="20% - Accent6 6 2 6" xfId="29464"/>
    <cellStyle name="20% - Accent6 6 3" xfId="2147"/>
    <cellStyle name="20% - Accent6 6 3 2" xfId="5034"/>
    <cellStyle name="20% - Accent6 6 3 2 2" xfId="11075"/>
    <cellStyle name="20% - Accent6 6 3 2 2 2" xfId="28122"/>
    <cellStyle name="20% - Accent6 6 3 2 2 2 2" xfId="56983"/>
    <cellStyle name="20% - Accent6 6 3 2 2 3" xfId="39936"/>
    <cellStyle name="20% - Accent6 6 3 2 3" xfId="22144"/>
    <cellStyle name="20% - Accent6 6 3 2 3 2" xfId="51005"/>
    <cellStyle name="20% - Accent6 6 3 2 4" xfId="33895"/>
    <cellStyle name="20% - Accent6 6 3 3" xfId="8189"/>
    <cellStyle name="20% - Accent6 6 3 3 2" xfId="25236"/>
    <cellStyle name="20% - Accent6 6 3 3 2 2" xfId="54097"/>
    <cellStyle name="20% - Accent6 6 3 3 3" xfId="37050"/>
    <cellStyle name="20% - Accent6 6 3 4" xfId="11978"/>
    <cellStyle name="20% - Accent6 6 3 4 2" xfId="19464"/>
    <cellStyle name="20% - Accent6 6 3 4 2 2" xfId="48325"/>
    <cellStyle name="20% - Accent6 6 3 4 3" xfId="40839"/>
    <cellStyle name="20% - Accent6 6 3 5" xfId="16784"/>
    <cellStyle name="20% - Accent6 6 3 5 2" xfId="45645"/>
    <cellStyle name="20% - Accent6 6 3 6" xfId="31009"/>
    <cellStyle name="20% - Accent6 6 4" xfId="3077"/>
    <cellStyle name="20% - Accent6 6 4 2" xfId="9118"/>
    <cellStyle name="20% - Accent6 6 4 2 2" xfId="26165"/>
    <cellStyle name="20% - Accent6 6 4 2 2 2" xfId="55026"/>
    <cellStyle name="20% - Accent6 6 4 2 3" xfId="37979"/>
    <cellStyle name="20% - Accent6 6 4 3" xfId="20187"/>
    <cellStyle name="20% - Accent6 6 4 3 2" xfId="49048"/>
    <cellStyle name="20% - Accent6 6 4 4" xfId="31938"/>
    <cellStyle name="20% - Accent6 6 5" xfId="6232"/>
    <cellStyle name="20% - Accent6 6 5 2" xfId="23279"/>
    <cellStyle name="20% - Accent6 6 5 2 2" xfId="52140"/>
    <cellStyle name="20% - Accent6 6 5 3" xfId="35093"/>
    <cellStyle name="20% - Accent6 6 6" xfId="12890"/>
    <cellStyle name="20% - Accent6 6 6 2" xfId="17610"/>
    <cellStyle name="20% - Accent6 6 6 2 2" xfId="46471"/>
    <cellStyle name="20% - Accent6 6 6 3" xfId="41751"/>
    <cellStyle name="20% - Accent6 6 7" xfId="14827"/>
    <cellStyle name="20% - Accent6 6 7 2" xfId="43688"/>
    <cellStyle name="20% - Accent6 6 8" xfId="29052"/>
    <cellStyle name="20% - Accent6 7" xfId="396"/>
    <cellStyle name="20% - Accent6 7 2" xfId="3283"/>
    <cellStyle name="20% - Accent6 7 2 2" xfId="9324"/>
    <cellStyle name="20% - Accent6 7 2 2 2" xfId="26371"/>
    <cellStyle name="20% - Accent6 7 2 2 2 2" xfId="55232"/>
    <cellStyle name="20% - Accent6 7 2 2 3" xfId="38185"/>
    <cellStyle name="20% - Accent6 7 2 3" xfId="20393"/>
    <cellStyle name="20% - Accent6 7 2 3 2" xfId="49254"/>
    <cellStyle name="20% - Accent6 7 2 4" xfId="32144"/>
    <cellStyle name="20% - Accent6 7 3" xfId="6438"/>
    <cellStyle name="20% - Accent6 7 3 2" xfId="23485"/>
    <cellStyle name="20% - Accent6 7 3 2 2" xfId="52346"/>
    <cellStyle name="20% - Accent6 7 3 3" xfId="35299"/>
    <cellStyle name="20% - Accent6 7 4" xfId="14273"/>
    <cellStyle name="20% - Accent6 7 4 2" xfId="17713"/>
    <cellStyle name="20% - Accent6 7 4 2 2" xfId="46574"/>
    <cellStyle name="20% - Accent6 7 4 3" xfId="43134"/>
    <cellStyle name="20% - Accent6 7 5" xfId="15033"/>
    <cellStyle name="20% - Accent6 7 5 2" xfId="43894"/>
    <cellStyle name="20% - Accent6 7 6" xfId="29258"/>
    <cellStyle name="20% - Accent6 8" xfId="705"/>
    <cellStyle name="20% - Accent6 8 2" xfId="3592"/>
    <cellStyle name="20% - Accent6 8 2 2" xfId="9633"/>
    <cellStyle name="20% - Accent6 8 2 2 2" xfId="26680"/>
    <cellStyle name="20% - Accent6 8 2 2 2 2" xfId="55541"/>
    <cellStyle name="20% - Accent6 8 2 2 3" xfId="38494"/>
    <cellStyle name="20% - Accent6 8 2 3" xfId="20702"/>
    <cellStyle name="20% - Accent6 8 2 3 2" xfId="49563"/>
    <cellStyle name="20% - Accent6 8 2 4" xfId="32453"/>
    <cellStyle name="20% - Accent6 8 3" xfId="6747"/>
    <cellStyle name="20% - Accent6 8 3 2" xfId="23794"/>
    <cellStyle name="20% - Accent6 8 3 2 2" xfId="52655"/>
    <cellStyle name="20% - Accent6 8 3 3" xfId="35608"/>
    <cellStyle name="20% - Accent6 8 4" xfId="12600"/>
    <cellStyle name="20% - Accent6 8 4 2" xfId="18022"/>
    <cellStyle name="20% - Accent6 8 4 2 2" xfId="46883"/>
    <cellStyle name="20% - Accent6 8 4 3" xfId="41461"/>
    <cellStyle name="20% - Accent6 8 5" xfId="15342"/>
    <cellStyle name="20% - Accent6 8 5 2" xfId="44203"/>
    <cellStyle name="20% - Accent6 8 6" xfId="29567"/>
    <cellStyle name="20% - Accent6 9" xfId="911"/>
    <cellStyle name="20% - Accent6 9 2" xfId="3798"/>
    <cellStyle name="20% - Accent6 9 2 2" xfId="9839"/>
    <cellStyle name="20% - Accent6 9 2 2 2" xfId="26886"/>
    <cellStyle name="20% - Accent6 9 2 2 2 2" xfId="55747"/>
    <cellStyle name="20% - Accent6 9 2 2 3" xfId="38700"/>
    <cellStyle name="20% - Accent6 9 2 3" xfId="20908"/>
    <cellStyle name="20% - Accent6 9 2 3 2" xfId="49769"/>
    <cellStyle name="20% - Accent6 9 2 4" xfId="32659"/>
    <cellStyle name="20% - Accent6 9 3" xfId="6953"/>
    <cellStyle name="20% - Accent6 9 3 2" xfId="24000"/>
    <cellStyle name="20% - Accent6 9 3 2 2" xfId="52861"/>
    <cellStyle name="20% - Accent6 9 3 3" xfId="35814"/>
    <cellStyle name="20% - Accent6 9 4" xfId="13323"/>
    <cellStyle name="20% - Accent6 9 4 2" xfId="18228"/>
    <cellStyle name="20% - Accent6 9 4 2 2" xfId="47089"/>
    <cellStyle name="20% - Accent6 9 4 3" xfId="42184"/>
    <cellStyle name="20% - Accent6 9 5" xfId="15548"/>
    <cellStyle name="20% - Accent6 9 5 2" xfId="44409"/>
    <cellStyle name="20% - Accent6 9 6" xfId="29773"/>
    <cellStyle name="40% - Accent1" xfId="67" builtinId="31" customBuiltin="1"/>
    <cellStyle name="40% - Accent1 10" xfId="1108"/>
    <cellStyle name="40% - Accent1 10 2" xfId="3995"/>
    <cellStyle name="40% - Accent1 10 2 2" xfId="10036"/>
    <cellStyle name="40% - Accent1 10 2 2 2" xfId="27083"/>
    <cellStyle name="40% - Accent1 10 2 2 2 2" xfId="55944"/>
    <cellStyle name="40% - Accent1 10 2 2 3" xfId="38897"/>
    <cellStyle name="40% - Accent1 10 2 3" xfId="21105"/>
    <cellStyle name="40% - Accent1 10 2 3 2" xfId="49966"/>
    <cellStyle name="40% - Accent1 10 2 4" xfId="32856"/>
    <cellStyle name="40% - Accent1 10 3" xfId="7150"/>
    <cellStyle name="40% - Accent1 10 3 2" xfId="24197"/>
    <cellStyle name="40% - Accent1 10 3 2 2" xfId="53058"/>
    <cellStyle name="40% - Accent1 10 3 3" xfId="36011"/>
    <cellStyle name="40% - Accent1 10 4" xfId="12523"/>
    <cellStyle name="40% - Accent1 10 4 2" xfId="18425"/>
    <cellStyle name="40% - Accent1 10 4 2 2" xfId="47286"/>
    <cellStyle name="40% - Accent1 10 4 3" xfId="41384"/>
    <cellStyle name="40% - Accent1 10 5" xfId="15745"/>
    <cellStyle name="40% - Accent1 10 5 2" xfId="44606"/>
    <cellStyle name="40% - Accent1 10 6" xfId="29970"/>
    <cellStyle name="40% - Accent1 11" xfId="1314"/>
    <cellStyle name="40% - Accent1 11 2" xfId="4201"/>
    <cellStyle name="40% - Accent1 11 2 2" xfId="10242"/>
    <cellStyle name="40% - Accent1 11 2 2 2" xfId="27289"/>
    <cellStyle name="40% - Accent1 11 2 2 2 2" xfId="56150"/>
    <cellStyle name="40% - Accent1 11 2 2 3" xfId="39103"/>
    <cellStyle name="40% - Accent1 11 2 3" xfId="21311"/>
    <cellStyle name="40% - Accent1 11 2 3 2" xfId="50172"/>
    <cellStyle name="40% - Accent1 11 2 4" xfId="33062"/>
    <cellStyle name="40% - Accent1 11 3" xfId="7356"/>
    <cellStyle name="40% - Accent1 11 3 2" xfId="24403"/>
    <cellStyle name="40% - Accent1 11 3 2 2" xfId="53264"/>
    <cellStyle name="40% - Accent1 11 3 3" xfId="36217"/>
    <cellStyle name="40% - Accent1 11 4" xfId="12155"/>
    <cellStyle name="40% - Accent1 11 4 2" xfId="18631"/>
    <cellStyle name="40% - Accent1 11 4 2 2" xfId="47492"/>
    <cellStyle name="40% - Accent1 11 4 3" xfId="41016"/>
    <cellStyle name="40% - Accent1 11 5" xfId="15951"/>
    <cellStyle name="40% - Accent1 11 5 2" xfId="44812"/>
    <cellStyle name="40% - Accent1 11 6" xfId="30176"/>
    <cellStyle name="40% - Accent1 12" xfId="1520"/>
    <cellStyle name="40% - Accent1 12 2" xfId="4407"/>
    <cellStyle name="40% - Accent1 12 2 2" xfId="10448"/>
    <cellStyle name="40% - Accent1 12 2 2 2" xfId="27495"/>
    <cellStyle name="40% - Accent1 12 2 2 2 2" xfId="56356"/>
    <cellStyle name="40% - Accent1 12 2 2 3" xfId="39309"/>
    <cellStyle name="40% - Accent1 12 2 3" xfId="21517"/>
    <cellStyle name="40% - Accent1 12 2 3 2" xfId="50378"/>
    <cellStyle name="40% - Accent1 12 2 4" xfId="33268"/>
    <cellStyle name="40% - Accent1 12 3" xfId="7562"/>
    <cellStyle name="40% - Accent1 12 3 2" xfId="24609"/>
    <cellStyle name="40% - Accent1 12 3 2 2" xfId="53470"/>
    <cellStyle name="40% - Accent1 12 3 3" xfId="36423"/>
    <cellStyle name="40% - Accent1 12 4" xfId="13204"/>
    <cellStyle name="40% - Accent1 12 4 2" xfId="18837"/>
    <cellStyle name="40% - Accent1 12 4 2 2" xfId="47698"/>
    <cellStyle name="40% - Accent1 12 4 3" xfId="42065"/>
    <cellStyle name="40% - Accent1 12 5" xfId="16157"/>
    <cellStyle name="40% - Accent1 12 5 2" xfId="45018"/>
    <cellStyle name="40% - Accent1 12 6" xfId="30382"/>
    <cellStyle name="40% - Accent1 13" xfId="1726"/>
    <cellStyle name="40% - Accent1 13 2" xfId="4613"/>
    <cellStyle name="40% - Accent1 13 2 2" xfId="10654"/>
    <cellStyle name="40% - Accent1 13 2 2 2" xfId="27701"/>
    <cellStyle name="40% - Accent1 13 2 2 2 2" xfId="56562"/>
    <cellStyle name="40% - Accent1 13 2 2 3" xfId="39515"/>
    <cellStyle name="40% - Accent1 13 2 3" xfId="21723"/>
    <cellStyle name="40% - Accent1 13 2 3 2" xfId="50584"/>
    <cellStyle name="40% - Accent1 13 2 4" xfId="33474"/>
    <cellStyle name="40% - Accent1 13 3" xfId="7768"/>
    <cellStyle name="40% - Accent1 13 3 2" xfId="24815"/>
    <cellStyle name="40% - Accent1 13 3 2 2" xfId="53676"/>
    <cellStyle name="40% - Accent1 13 3 3" xfId="36629"/>
    <cellStyle name="40% - Accent1 13 4" xfId="12125"/>
    <cellStyle name="40% - Accent1 13 4 2" xfId="19043"/>
    <cellStyle name="40% - Accent1 13 4 2 2" xfId="47904"/>
    <cellStyle name="40% - Accent1 13 4 3" xfId="40986"/>
    <cellStyle name="40% - Accent1 13 5" xfId="16363"/>
    <cellStyle name="40% - Accent1 13 5 2" xfId="45224"/>
    <cellStyle name="40% - Accent1 13 6" xfId="30588"/>
    <cellStyle name="40% - Accent1 14" xfId="1932"/>
    <cellStyle name="40% - Accent1 14 2" xfId="4819"/>
    <cellStyle name="40% - Accent1 14 2 2" xfId="10860"/>
    <cellStyle name="40% - Accent1 14 2 2 2" xfId="27907"/>
    <cellStyle name="40% - Accent1 14 2 2 2 2" xfId="56768"/>
    <cellStyle name="40% - Accent1 14 2 2 3" xfId="39721"/>
    <cellStyle name="40% - Accent1 14 2 3" xfId="21929"/>
    <cellStyle name="40% - Accent1 14 2 3 2" xfId="50790"/>
    <cellStyle name="40% - Accent1 14 2 4" xfId="33680"/>
    <cellStyle name="40% - Accent1 14 3" xfId="7974"/>
    <cellStyle name="40% - Accent1 14 3 2" xfId="25021"/>
    <cellStyle name="40% - Accent1 14 3 2 2" xfId="53882"/>
    <cellStyle name="40% - Accent1 14 3 3" xfId="36835"/>
    <cellStyle name="40% - Accent1 14 4" xfId="13105"/>
    <cellStyle name="40% - Accent1 14 4 2" xfId="19249"/>
    <cellStyle name="40% - Accent1 14 4 2 2" xfId="48110"/>
    <cellStyle name="40% - Accent1 14 4 3" xfId="41966"/>
    <cellStyle name="40% - Accent1 14 5" xfId="16569"/>
    <cellStyle name="40% - Accent1 14 5 2" xfId="45430"/>
    <cellStyle name="40% - Accent1 14 6" xfId="30794"/>
    <cellStyle name="40% - Accent1 15" xfId="2344"/>
    <cellStyle name="40% - Accent1 15 2" xfId="5231"/>
    <cellStyle name="40% - Accent1 15 2 2" xfId="11272"/>
    <cellStyle name="40% - Accent1 15 2 2 2" xfId="28319"/>
    <cellStyle name="40% - Accent1 15 2 2 2 2" xfId="57180"/>
    <cellStyle name="40% - Accent1 15 2 2 3" xfId="40133"/>
    <cellStyle name="40% - Accent1 15 2 3" xfId="22341"/>
    <cellStyle name="40% - Accent1 15 2 3 2" xfId="51202"/>
    <cellStyle name="40% - Accent1 15 2 4" xfId="34092"/>
    <cellStyle name="40% - Accent1 15 3" xfId="8386"/>
    <cellStyle name="40% - Accent1 15 3 2" xfId="25433"/>
    <cellStyle name="40% - Accent1 15 3 2 2" xfId="54294"/>
    <cellStyle name="40% - Accent1 15 3 3" xfId="37247"/>
    <cellStyle name="40% - Accent1 15 4" xfId="12173"/>
    <cellStyle name="40% - Accent1 15 4 2" xfId="19661"/>
    <cellStyle name="40% - Accent1 15 4 2 2" xfId="48522"/>
    <cellStyle name="40% - Accent1 15 4 3" xfId="41034"/>
    <cellStyle name="40% - Accent1 15 5" xfId="16981"/>
    <cellStyle name="40% - Accent1 15 5 2" xfId="45842"/>
    <cellStyle name="40% - Accent1 15 6" xfId="31206"/>
    <cellStyle name="40% - Accent1 16" xfId="2553"/>
    <cellStyle name="40% - Accent1 16 2" xfId="5439"/>
    <cellStyle name="40% - Accent1 16 2 2" xfId="11480"/>
    <cellStyle name="40% - Accent1 16 2 2 2" xfId="28527"/>
    <cellStyle name="40% - Accent1 16 2 2 2 2" xfId="57388"/>
    <cellStyle name="40% - Accent1 16 2 2 3" xfId="40341"/>
    <cellStyle name="40% - Accent1 16 2 3" xfId="22549"/>
    <cellStyle name="40% - Accent1 16 2 3 2" xfId="51410"/>
    <cellStyle name="40% - Accent1 16 2 4" xfId="34300"/>
    <cellStyle name="40% - Accent1 16 3" xfId="8594"/>
    <cellStyle name="40% - Accent1 16 3 2" xfId="25641"/>
    <cellStyle name="40% - Accent1 16 3 2 2" xfId="54502"/>
    <cellStyle name="40% - Accent1 16 3 3" xfId="37455"/>
    <cellStyle name="40% - Accent1 16 4" xfId="13399"/>
    <cellStyle name="40% - Accent1 16 4 2" xfId="19869"/>
    <cellStyle name="40% - Accent1 16 4 2 2" xfId="48730"/>
    <cellStyle name="40% - Accent1 16 4 3" xfId="42260"/>
    <cellStyle name="40% - Accent1 16 5" xfId="17189"/>
    <cellStyle name="40% - Accent1 16 5 2" xfId="46050"/>
    <cellStyle name="40% - Accent1 16 6" xfId="31414"/>
    <cellStyle name="40% - Accent1 17" xfId="2965"/>
    <cellStyle name="40% - Accent1 17 2" xfId="9006"/>
    <cellStyle name="40% - Accent1 17 2 2" xfId="26053"/>
    <cellStyle name="40% - Accent1 17 2 2 2" xfId="54914"/>
    <cellStyle name="40% - Accent1 17 2 3" xfId="37867"/>
    <cellStyle name="40% - Accent1 17 3" xfId="12877"/>
    <cellStyle name="40% - Accent1 17 3 2" xfId="20075"/>
    <cellStyle name="40% - Accent1 17 3 2 2" xfId="48936"/>
    <cellStyle name="40% - Accent1 17 3 3" xfId="41738"/>
    <cellStyle name="40% - Accent1 17 4" xfId="14715"/>
    <cellStyle name="40% - Accent1 17 4 2" xfId="43576"/>
    <cellStyle name="40% - Accent1 17 5" xfId="31826"/>
    <cellStyle name="40% - Accent1 18" xfId="2759"/>
    <cellStyle name="40% - Accent1 18 2" xfId="8800"/>
    <cellStyle name="40% - Accent1 18 2 2" xfId="25847"/>
    <cellStyle name="40% - Accent1 18 2 2 2" xfId="54708"/>
    <cellStyle name="40% - Accent1 18 2 3" xfId="37661"/>
    <cellStyle name="40% - Accent1 18 3" xfId="17395"/>
    <cellStyle name="40% - Accent1 18 3 2" xfId="46256"/>
    <cellStyle name="40% - Accent1 18 4" xfId="31620"/>
    <cellStyle name="40% - Accent1 19" xfId="5645"/>
    <cellStyle name="40% - Accent1 19 2" xfId="11686"/>
    <cellStyle name="40% - Accent1 19 2 2" xfId="28733"/>
    <cellStyle name="40% - Accent1 19 2 2 2" xfId="57594"/>
    <cellStyle name="40% - Accent1 19 2 3" xfId="40547"/>
    <cellStyle name="40% - Accent1 19 3" xfId="22755"/>
    <cellStyle name="40% - Accent1 19 3 2" xfId="51616"/>
    <cellStyle name="40% - Accent1 19 4" xfId="34506"/>
    <cellStyle name="40% - Accent1 2" xfId="92"/>
    <cellStyle name="40% - Accent1 2 10" xfId="1328"/>
    <cellStyle name="40% - Accent1 2 10 2" xfId="4215"/>
    <cellStyle name="40% - Accent1 2 10 2 2" xfId="10256"/>
    <cellStyle name="40% - Accent1 2 10 2 2 2" xfId="27303"/>
    <cellStyle name="40% - Accent1 2 10 2 2 2 2" xfId="56164"/>
    <cellStyle name="40% - Accent1 2 10 2 2 3" xfId="39117"/>
    <cellStyle name="40% - Accent1 2 10 2 3" xfId="21325"/>
    <cellStyle name="40% - Accent1 2 10 2 3 2" xfId="50186"/>
    <cellStyle name="40% - Accent1 2 10 2 4" xfId="33076"/>
    <cellStyle name="40% - Accent1 2 10 3" xfId="7370"/>
    <cellStyle name="40% - Accent1 2 10 3 2" xfId="24417"/>
    <cellStyle name="40% - Accent1 2 10 3 2 2" xfId="53278"/>
    <cellStyle name="40% - Accent1 2 10 3 3" xfId="36231"/>
    <cellStyle name="40% - Accent1 2 10 4" xfId="14100"/>
    <cellStyle name="40% - Accent1 2 10 4 2" xfId="18645"/>
    <cellStyle name="40% - Accent1 2 10 4 2 2" xfId="47506"/>
    <cellStyle name="40% - Accent1 2 10 4 3" xfId="42961"/>
    <cellStyle name="40% - Accent1 2 10 5" xfId="15965"/>
    <cellStyle name="40% - Accent1 2 10 5 2" xfId="44826"/>
    <cellStyle name="40% - Accent1 2 10 6" xfId="30190"/>
    <cellStyle name="40% - Accent1 2 11" xfId="1534"/>
    <cellStyle name="40% - Accent1 2 11 2" xfId="4421"/>
    <cellStyle name="40% - Accent1 2 11 2 2" xfId="10462"/>
    <cellStyle name="40% - Accent1 2 11 2 2 2" xfId="27509"/>
    <cellStyle name="40% - Accent1 2 11 2 2 2 2" xfId="56370"/>
    <cellStyle name="40% - Accent1 2 11 2 2 3" xfId="39323"/>
    <cellStyle name="40% - Accent1 2 11 2 3" xfId="21531"/>
    <cellStyle name="40% - Accent1 2 11 2 3 2" xfId="50392"/>
    <cellStyle name="40% - Accent1 2 11 2 4" xfId="33282"/>
    <cellStyle name="40% - Accent1 2 11 3" xfId="7576"/>
    <cellStyle name="40% - Accent1 2 11 3 2" xfId="24623"/>
    <cellStyle name="40% - Accent1 2 11 3 2 2" xfId="53484"/>
    <cellStyle name="40% - Accent1 2 11 3 3" xfId="36437"/>
    <cellStyle name="40% - Accent1 2 11 4" xfId="13510"/>
    <cellStyle name="40% - Accent1 2 11 4 2" xfId="18851"/>
    <cellStyle name="40% - Accent1 2 11 4 2 2" xfId="47712"/>
    <cellStyle name="40% - Accent1 2 11 4 3" xfId="42371"/>
    <cellStyle name="40% - Accent1 2 11 5" xfId="16171"/>
    <cellStyle name="40% - Accent1 2 11 5 2" xfId="45032"/>
    <cellStyle name="40% - Accent1 2 11 6" xfId="30396"/>
    <cellStyle name="40% - Accent1 2 12" xfId="1740"/>
    <cellStyle name="40% - Accent1 2 12 2" xfId="4627"/>
    <cellStyle name="40% - Accent1 2 12 2 2" xfId="10668"/>
    <cellStyle name="40% - Accent1 2 12 2 2 2" xfId="27715"/>
    <cellStyle name="40% - Accent1 2 12 2 2 2 2" xfId="56576"/>
    <cellStyle name="40% - Accent1 2 12 2 2 3" xfId="39529"/>
    <cellStyle name="40% - Accent1 2 12 2 3" xfId="21737"/>
    <cellStyle name="40% - Accent1 2 12 2 3 2" xfId="50598"/>
    <cellStyle name="40% - Accent1 2 12 2 4" xfId="33488"/>
    <cellStyle name="40% - Accent1 2 12 3" xfId="7782"/>
    <cellStyle name="40% - Accent1 2 12 3 2" xfId="24829"/>
    <cellStyle name="40% - Accent1 2 12 3 2 2" xfId="53690"/>
    <cellStyle name="40% - Accent1 2 12 3 3" xfId="36643"/>
    <cellStyle name="40% - Accent1 2 12 4" xfId="12009"/>
    <cellStyle name="40% - Accent1 2 12 4 2" xfId="19057"/>
    <cellStyle name="40% - Accent1 2 12 4 2 2" xfId="47918"/>
    <cellStyle name="40% - Accent1 2 12 4 3" xfId="40870"/>
    <cellStyle name="40% - Accent1 2 12 5" xfId="16377"/>
    <cellStyle name="40% - Accent1 2 12 5 2" xfId="45238"/>
    <cellStyle name="40% - Accent1 2 12 6" xfId="30602"/>
    <cellStyle name="40% - Accent1 2 13" xfId="1946"/>
    <cellStyle name="40% - Accent1 2 13 2" xfId="4833"/>
    <cellStyle name="40% - Accent1 2 13 2 2" xfId="10874"/>
    <cellStyle name="40% - Accent1 2 13 2 2 2" xfId="27921"/>
    <cellStyle name="40% - Accent1 2 13 2 2 2 2" xfId="56782"/>
    <cellStyle name="40% - Accent1 2 13 2 2 3" xfId="39735"/>
    <cellStyle name="40% - Accent1 2 13 2 3" xfId="21943"/>
    <cellStyle name="40% - Accent1 2 13 2 3 2" xfId="50804"/>
    <cellStyle name="40% - Accent1 2 13 2 4" xfId="33694"/>
    <cellStyle name="40% - Accent1 2 13 3" xfId="7988"/>
    <cellStyle name="40% - Accent1 2 13 3 2" xfId="25035"/>
    <cellStyle name="40% - Accent1 2 13 3 2 2" xfId="53896"/>
    <cellStyle name="40% - Accent1 2 13 3 3" xfId="36849"/>
    <cellStyle name="40% - Accent1 2 13 4" xfId="13331"/>
    <cellStyle name="40% - Accent1 2 13 4 2" xfId="19263"/>
    <cellStyle name="40% - Accent1 2 13 4 2 2" xfId="48124"/>
    <cellStyle name="40% - Accent1 2 13 4 3" xfId="42192"/>
    <cellStyle name="40% - Accent1 2 13 5" xfId="16583"/>
    <cellStyle name="40% - Accent1 2 13 5 2" xfId="45444"/>
    <cellStyle name="40% - Accent1 2 13 6" xfId="30808"/>
    <cellStyle name="40% - Accent1 2 14" xfId="2358"/>
    <cellStyle name="40% - Accent1 2 14 2" xfId="5245"/>
    <cellStyle name="40% - Accent1 2 14 2 2" xfId="11286"/>
    <cellStyle name="40% - Accent1 2 14 2 2 2" xfId="28333"/>
    <cellStyle name="40% - Accent1 2 14 2 2 2 2" xfId="57194"/>
    <cellStyle name="40% - Accent1 2 14 2 2 3" xfId="40147"/>
    <cellStyle name="40% - Accent1 2 14 2 3" xfId="22355"/>
    <cellStyle name="40% - Accent1 2 14 2 3 2" xfId="51216"/>
    <cellStyle name="40% - Accent1 2 14 2 4" xfId="34106"/>
    <cellStyle name="40% - Accent1 2 14 3" xfId="8400"/>
    <cellStyle name="40% - Accent1 2 14 3 2" xfId="25447"/>
    <cellStyle name="40% - Accent1 2 14 3 2 2" xfId="54308"/>
    <cellStyle name="40% - Accent1 2 14 3 3" xfId="37261"/>
    <cellStyle name="40% - Accent1 2 14 4" xfId="14348"/>
    <cellStyle name="40% - Accent1 2 14 4 2" xfId="19675"/>
    <cellStyle name="40% - Accent1 2 14 4 2 2" xfId="48536"/>
    <cellStyle name="40% - Accent1 2 14 4 3" xfId="43209"/>
    <cellStyle name="40% - Accent1 2 14 5" xfId="16995"/>
    <cellStyle name="40% - Accent1 2 14 5 2" xfId="45856"/>
    <cellStyle name="40% - Accent1 2 14 6" xfId="31220"/>
    <cellStyle name="40% - Accent1 2 15" xfId="2567"/>
    <cellStyle name="40% - Accent1 2 15 2" xfId="5453"/>
    <cellStyle name="40% - Accent1 2 15 2 2" xfId="11494"/>
    <cellStyle name="40% - Accent1 2 15 2 2 2" xfId="28541"/>
    <cellStyle name="40% - Accent1 2 15 2 2 2 2" xfId="57402"/>
    <cellStyle name="40% - Accent1 2 15 2 2 3" xfId="40355"/>
    <cellStyle name="40% - Accent1 2 15 2 3" xfId="22563"/>
    <cellStyle name="40% - Accent1 2 15 2 3 2" xfId="51424"/>
    <cellStyle name="40% - Accent1 2 15 2 4" xfId="34314"/>
    <cellStyle name="40% - Accent1 2 15 3" xfId="8608"/>
    <cellStyle name="40% - Accent1 2 15 3 2" xfId="25655"/>
    <cellStyle name="40% - Accent1 2 15 3 2 2" xfId="54516"/>
    <cellStyle name="40% - Accent1 2 15 3 3" xfId="37469"/>
    <cellStyle name="40% - Accent1 2 15 4" xfId="12384"/>
    <cellStyle name="40% - Accent1 2 15 4 2" xfId="19883"/>
    <cellStyle name="40% - Accent1 2 15 4 2 2" xfId="48744"/>
    <cellStyle name="40% - Accent1 2 15 4 3" xfId="41245"/>
    <cellStyle name="40% - Accent1 2 15 5" xfId="17203"/>
    <cellStyle name="40% - Accent1 2 15 5 2" xfId="46064"/>
    <cellStyle name="40% - Accent1 2 15 6" xfId="31428"/>
    <cellStyle name="40% - Accent1 2 16" xfId="2979"/>
    <cellStyle name="40% - Accent1 2 16 2" xfId="9020"/>
    <cellStyle name="40% - Accent1 2 16 2 2" xfId="26067"/>
    <cellStyle name="40% - Accent1 2 16 2 2 2" xfId="54928"/>
    <cellStyle name="40% - Accent1 2 16 2 3" xfId="37881"/>
    <cellStyle name="40% - Accent1 2 16 3" xfId="12176"/>
    <cellStyle name="40% - Accent1 2 16 3 2" xfId="20089"/>
    <cellStyle name="40% - Accent1 2 16 3 2 2" xfId="48950"/>
    <cellStyle name="40% - Accent1 2 16 3 3" xfId="41037"/>
    <cellStyle name="40% - Accent1 2 16 4" xfId="14729"/>
    <cellStyle name="40% - Accent1 2 16 4 2" xfId="43590"/>
    <cellStyle name="40% - Accent1 2 16 5" xfId="31840"/>
    <cellStyle name="40% - Accent1 2 17" xfId="2773"/>
    <cellStyle name="40% - Accent1 2 17 2" xfId="8814"/>
    <cellStyle name="40% - Accent1 2 17 2 2" xfId="25861"/>
    <cellStyle name="40% - Accent1 2 17 2 2 2" xfId="54722"/>
    <cellStyle name="40% - Accent1 2 17 2 3" xfId="37675"/>
    <cellStyle name="40% - Accent1 2 17 3" xfId="17409"/>
    <cellStyle name="40% - Accent1 2 17 3 2" xfId="46270"/>
    <cellStyle name="40% - Accent1 2 17 4" xfId="31634"/>
    <cellStyle name="40% - Accent1 2 18" xfId="5659"/>
    <cellStyle name="40% - Accent1 2 18 2" xfId="11700"/>
    <cellStyle name="40% - Accent1 2 18 2 2" xfId="28747"/>
    <cellStyle name="40% - Accent1 2 18 2 2 2" xfId="57608"/>
    <cellStyle name="40% - Accent1 2 18 2 3" xfId="40561"/>
    <cellStyle name="40% - Accent1 2 18 3" xfId="22769"/>
    <cellStyle name="40% - Accent1 2 18 3 2" xfId="51630"/>
    <cellStyle name="40% - Accent1 2 18 4" xfId="34520"/>
    <cellStyle name="40% - Accent1 2 19" xfId="5876"/>
    <cellStyle name="40% - Accent1 2 19 2" xfId="22975"/>
    <cellStyle name="40% - Accent1 2 19 2 2" xfId="51836"/>
    <cellStyle name="40% - Accent1 2 19 3" xfId="34737"/>
    <cellStyle name="40% - Accent1 2 2" xfId="118"/>
    <cellStyle name="40% - Accent1 2 2 10" xfId="1766"/>
    <cellStyle name="40% - Accent1 2 2 10 2" xfId="4653"/>
    <cellStyle name="40% - Accent1 2 2 10 2 2" xfId="10694"/>
    <cellStyle name="40% - Accent1 2 2 10 2 2 2" xfId="27741"/>
    <cellStyle name="40% - Accent1 2 2 10 2 2 2 2" xfId="56602"/>
    <cellStyle name="40% - Accent1 2 2 10 2 2 3" xfId="39555"/>
    <cellStyle name="40% - Accent1 2 2 10 2 3" xfId="21763"/>
    <cellStyle name="40% - Accent1 2 2 10 2 3 2" xfId="50624"/>
    <cellStyle name="40% - Accent1 2 2 10 2 4" xfId="33514"/>
    <cellStyle name="40% - Accent1 2 2 10 3" xfId="7808"/>
    <cellStyle name="40% - Accent1 2 2 10 3 2" xfId="24855"/>
    <cellStyle name="40% - Accent1 2 2 10 3 2 2" xfId="53716"/>
    <cellStyle name="40% - Accent1 2 2 10 3 3" xfId="36669"/>
    <cellStyle name="40% - Accent1 2 2 10 4" xfId="12352"/>
    <cellStyle name="40% - Accent1 2 2 10 4 2" xfId="19083"/>
    <cellStyle name="40% - Accent1 2 2 10 4 2 2" xfId="47944"/>
    <cellStyle name="40% - Accent1 2 2 10 4 3" xfId="41213"/>
    <cellStyle name="40% - Accent1 2 2 10 5" xfId="16403"/>
    <cellStyle name="40% - Accent1 2 2 10 5 2" xfId="45264"/>
    <cellStyle name="40% - Accent1 2 2 10 6" xfId="30628"/>
    <cellStyle name="40% - Accent1 2 2 11" xfId="1972"/>
    <cellStyle name="40% - Accent1 2 2 11 2" xfId="4859"/>
    <cellStyle name="40% - Accent1 2 2 11 2 2" xfId="10900"/>
    <cellStyle name="40% - Accent1 2 2 11 2 2 2" xfId="27947"/>
    <cellStyle name="40% - Accent1 2 2 11 2 2 2 2" xfId="56808"/>
    <cellStyle name="40% - Accent1 2 2 11 2 2 3" xfId="39761"/>
    <cellStyle name="40% - Accent1 2 2 11 2 3" xfId="21969"/>
    <cellStyle name="40% - Accent1 2 2 11 2 3 2" xfId="50830"/>
    <cellStyle name="40% - Accent1 2 2 11 2 4" xfId="33720"/>
    <cellStyle name="40% - Accent1 2 2 11 3" xfId="8014"/>
    <cellStyle name="40% - Accent1 2 2 11 3 2" xfId="25061"/>
    <cellStyle name="40% - Accent1 2 2 11 3 2 2" xfId="53922"/>
    <cellStyle name="40% - Accent1 2 2 11 3 3" xfId="36875"/>
    <cellStyle name="40% - Accent1 2 2 11 4" xfId="13876"/>
    <cellStyle name="40% - Accent1 2 2 11 4 2" xfId="19289"/>
    <cellStyle name="40% - Accent1 2 2 11 4 2 2" xfId="48150"/>
    <cellStyle name="40% - Accent1 2 2 11 4 3" xfId="42737"/>
    <cellStyle name="40% - Accent1 2 2 11 5" xfId="16609"/>
    <cellStyle name="40% - Accent1 2 2 11 5 2" xfId="45470"/>
    <cellStyle name="40% - Accent1 2 2 11 6" xfId="30834"/>
    <cellStyle name="40% - Accent1 2 2 12" xfId="2384"/>
    <cellStyle name="40% - Accent1 2 2 12 2" xfId="5271"/>
    <cellStyle name="40% - Accent1 2 2 12 2 2" xfId="11312"/>
    <cellStyle name="40% - Accent1 2 2 12 2 2 2" xfId="28359"/>
    <cellStyle name="40% - Accent1 2 2 12 2 2 2 2" xfId="57220"/>
    <cellStyle name="40% - Accent1 2 2 12 2 2 3" xfId="40173"/>
    <cellStyle name="40% - Accent1 2 2 12 2 3" xfId="22381"/>
    <cellStyle name="40% - Accent1 2 2 12 2 3 2" xfId="51242"/>
    <cellStyle name="40% - Accent1 2 2 12 2 4" xfId="34132"/>
    <cellStyle name="40% - Accent1 2 2 12 3" xfId="8426"/>
    <cellStyle name="40% - Accent1 2 2 12 3 2" xfId="25473"/>
    <cellStyle name="40% - Accent1 2 2 12 3 2 2" xfId="54334"/>
    <cellStyle name="40% - Accent1 2 2 12 3 3" xfId="37287"/>
    <cellStyle name="40% - Accent1 2 2 12 4" xfId="13090"/>
    <cellStyle name="40% - Accent1 2 2 12 4 2" xfId="19701"/>
    <cellStyle name="40% - Accent1 2 2 12 4 2 2" xfId="48562"/>
    <cellStyle name="40% - Accent1 2 2 12 4 3" xfId="41951"/>
    <cellStyle name="40% - Accent1 2 2 12 5" xfId="17021"/>
    <cellStyle name="40% - Accent1 2 2 12 5 2" xfId="45882"/>
    <cellStyle name="40% - Accent1 2 2 12 6" xfId="31246"/>
    <cellStyle name="40% - Accent1 2 2 13" xfId="2593"/>
    <cellStyle name="40% - Accent1 2 2 13 2" xfId="5479"/>
    <cellStyle name="40% - Accent1 2 2 13 2 2" xfId="11520"/>
    <cellStyle name="40% - Accent1 2 2 13 2 2 2" xfId="28567"/>
    <cellStyle name="40% - Accent1 2 2 13 2 2 2 2" xfId="57428"/>
    <cellStyle name="40% - Accent1 2 2 13 2 2 3" xfId="40381"/>
    <cellStyle name="40% - Accent1 2 2 13 2 3" xfId="22589"/>
    <cellStyle name="40% - Accent1 2 2 13 2 3 2" xfId="51450"/>
    <cellStyle name="40% - Accent1 2 2 13 2 4" xfId="34340"/>
    <cellStyle name="40% - Accent1 2 2 13 3" xfId="8634"/>
    <cellStyle name="40% - Accent1 2 2 13 3 2" xfId="25681"/>
    <cellStyle name="40% - Accent1 2 2 13 3 2 2" xfId="54542"/>
    <cellStyle name="40% - Accent1 2 2 13 3 3" xfId="37495"/>
    <cellStyle name="40% - Accent1 2 2 13 4" xfId="12687"/>
    <cellStyle name="40% - Accent1 2 2 13 4 2" xfId="19909"/>
    <cellStyle name="40% - Accent1 2 2 13 4 2 2" xfId="48770"/>
    <cellStyle name="40% - Accent1 2 2 13 4 3" xfId="41548"/>
    <cellStyle name="40% - Accent1 2 2 13 5" xfId="17229"/>
    <cellStyle name="40% - Accent1 2 2 13 5 2" xfId="46090"/>
    <cellStyle name="40% - Accent1 2 2 13 6" xfId="31454"/>
    <cellStyle name="40% - Accent1 2 2 14" xfId="3005"/>
    <cellStyle name="40% - Accent1 2 2 14 2" xfId="9046"/>
    <cellStyle name="40% - Accent1 2 2 14 2 2" xfId="26093"/>
    <cellStyle name="40% - Accent1 2 2 14 2 2 2" xfId="54954"/>
    <cellStyle name="40% - Accent1 2 2 14 2 3" xfId="37907"/>
    <cellStyle name="40% - Accent1 2 2 14 3" xfId="12731"/>
    <cellStyle name="40% - Accent1 2 2 14 3 2" xfId="20115"/>
    <cellStyle name="40% - Accent1 2 2 14 3 2 2" xfId="48976"/>
    <cellStyle name="40% - Accent1 2 2 14 3 3" xfId="41592"/>
    <cellStyle name="40% - Accent1 2 2 14 4" xfId="14755"/>
    <cellStyle name="40% - Accent1 2 2 14 4 2" xfId="43616"/>
    <cellStyle name="40% - Accent1 2 2 14 5" xfId="31866"/>
    <cellStyle name="40% - Accent1 2 2 15" xfId="2799"/>
    <cellStyle name="40% - Accent1 2 2 15 2" xfId="8840"/>
    <cellStyle name="40% - Accent1 2 2 15 2 2" xfId="25887"/>
    <cellStyle name="40% - Accent1 2 2 15 2 2 2" xfId="54748"/>
    <cellStyle name="40% - Accent1 2 2 15 2 3" xfId="37701"/>
    <cellStyle name="40% - Accent1 2 2 15 3" xfId="17435"/>
    <cellStyle name="40% - Accent1 2 2 15 3 2" xfId="46296"/>
    <cellStyle name="40% - Accent1 2 2 15 4" xfId="31660"/>
    <cellStyle name="40% - Accent1 2 2 16" xfId="5685"/>
    <cellStyle name="40% - Accent1 2 2 16 2" xfId="11726"/>
    <cellStyle name="40% - Accent1 2 2 16 2 2" xfId="28773"/>
    <cellStyle name="40% - Accent1 2 2 16 2 2 2" xfId="57634"/>
    <cellStyle name="40% - Accent1 2 2 16 2 3" xfId="40587"/>
    <cellStyle name="40% - Accent1 2 2 16 3" xfId="22795"/>
    <cellStyle name="40% - Accent1 2 2 16 3 2" xfId="51656"/>
    <cellStyle name="40% - Accent1 2 2 16 4" xfId="34546"/>
    <cellStyle name="40% - Accent1 2 2 17" xfId="5902"/>
    <cellStyle name="40% - Accent1 2 2 17 2" xfId="23001"/>
    <cellStyle name="40% - Accent1 2 2 17 2 2" xfId="51862"/>
    <cellStyle name="40% - Accent1 2 2 17 3" xfId="34763"/>
    <cellStyle name="40% - Accent1 2 2 18" xfId="6160"/>
    <cellStyle name="40% - Accent1 2 2 18 2" xfId="23207"/>
    <cellStyle name="40% - Accent1 2 2 18 2 2" xfId="52068"/>
    <cellStyle name="40% - Accent1 2 2 18 3" xfId="35021"/>
    <cellStyle name="40% - Accent1 2 2 19" xfId="14549"/>
    <cellStyle name="40% - Accent1 2 2 19 2" xfId="43410"/>
    <cellStyle name="40% - Accent1 2 2 2" xfId="324"/>
    <cellStyle name="40% - Accent1 2 2 2 10" xfId="2487"/>
    <cellStyle name="40% - Accent1 2 2 2 10 2" xfId="5374"/>
    <cellStyle name="40% - Accent1 2 2 2 10 2 2" xfId="11415"/>
    <cellStyle name="40% - Accent1 2 2 2 10 2 2 2" xfId="28462"/>
    <cellStyle name="40% - Accent1 2 2 2 10 2 2 2 2" xfId="57323"/>
    <cellStyle name="40% - Accent1 2 2 2 10 2 2 3" xfId="40276"/>
    <cellStyle name="40% - Accent1 2 2 2 10 2 3" xfId="22484"/>
    <cellStyle name="40% - Accent1 2 2 2 10 2 3 2" xfId="51345"/>
    <cellStyle name="40% - Accent1 2 2 2 10 2 4" xfId="34235"/>
    <cellStyle name="40% - Accent1 2 2 2 10 3" xfId="8529"/>
    <cellStyle name="40% - Accent1 2 2 2 10 3 2" xfId="25576"/>
    <cellStyle name="40% - Accent1 2 2 2 10 3 2 2" xfId="54437"/>
    <cellStyle name="40% - Accent1 2 2 2 10 3 3" xfId="37390"/>
    <cellStyle name="40% - Accent1 2 2 2 10 4" xfId="13738"/>
    <cellStyle name="40% - Accent1 2 2 2 10 4 2" xfId="19804"/>
    <cellStyle name="40% - Accent1 2 2 2 10 4 2 2" xfId="48665"/>
    <cellStyle name="40% - Accent1 2 2 2 10 4 3" xfId="42599"/>
    <cellStyle name="40% - Accent1 2 2 2 10 5" xfId="17124"/>
    <cellStyle name="40% - Accent1 2 2 2 10 5 2" xfId="45985"/>
    <cellStyle name="40% - Accent1 2 2 2 10 6" xfId="31349"/>
    <cellStyle name="40% - Accent1 2 2 2 11" xfId="2696"/>
    <cellStyle name="40% - Accent1 2 2 2 11 2" xfId="5582"/>
    <cellStyle name="40% - Accent1 2 2 2 11 2 2" xfId="11623"/>
    <cellStyle name="40% - Accent1 2 2 2 11 2 2 2" xfId="28670"/>
    <cellStyle name="40% - Accent1 2 2 2 11 2 2 2 2" xfId="57531"/>
    <cellStyle name="40% - Accent1 2 2 2 11 2 2 3" xfId="40484"/>
    <cellStyle name="40% - Accent1 2 2 2 11 2 3" xfId="22692"/>
    <cellStyle name="40% - Accent1 2 2 2 11 2 3 2" xfId="51553"/>
    <cellStyle name="40% - Accent1 2 2 2 11 2 4" xfId="34443"/>
    <cellStyle name="40% - Accent1 2 2 2 11 3" xfId="8737"/>
    <cellStyle name="40% - Accent1 2 2 2 11 3 2" xfId="25784"/>
    <cellStyle name="40% - Accent1 2 2 2 11 3 2 2" xfId="54645"/>
    <cellStyle name="40% - Accent1 2 2 2 11 3 3" xfId="37598"/>
    <cellStyle name="40% - Accent1 2 2 2 11 4" xfId="12165"/>
    <cellStyle name="40% - Accent1 2 2 2 11 4 2" xfId="20012"/>
    <cellStyle name="40% - Accent1 2 2 2 11 4 2 2" xfId="48873"/>
    <cellStyle name="40% - Accent1 2 2 2 11 4 3" xfId="41026"/>
    <cellStyle name="40% - Accent1 2 2 2 11 5" xfId="17332"/>
    <cellStyle name="40% - Accent1 2 2 2 11 5 2" xfId="46193"/>
    <cellStyle name="40% - Accent1 2 2 2 11 6" xfId="31557"/>
    <cellStyle name="40% - Accent1 2 2 2 12" xfId="3211"/>
    <cellStyle name="40% - Accent1 2 2 2 12 2" xfId="9252"/>
    <cellStyle name="40% - Accent1 2 2 2 12 2 2" xfId="26299"/>
    <cellStyle name="40% - Accent1 2 2 2 12 2 2 2" xfId="55160"/>
    <cellStyle name="40% - Accent1 2 2 2 12 2 3" xfId="38113"/>
    <cellStyle name="40% - Accent1 2 2 2 12 3" xfId="13643"/>
    <cellStyle name="40% - Accent1 2 2 2 12 3 2" xfId="20321"/>
    <cellStyle name="40% - Accent1 2 2 2 12 3 2 2" xfId="49182"/>
    <cellStyle name="40% - Accent1 2 2 2 12 3 3" xfId="42504"/>
    <cellStyle name="40% - Accent1 2 2 2 12 4" xfId="14961"/>
    <cellStyle name="40% - Accent1 2 2 2 12 4 2" xfId="43822"/>
    <cellStyle name="40% - Accent1 2 2 2 12 5" xfId="32072"/>
    <cellStyle name="40% - Accent1 2 2 2 13" xfId="2902"/>
    <cellStyle name="40% - Accent1 2 2 2 13 2" xfId="8943"/>
    <cellStyle name="40% - Accent1 2 2 2 13 2 2" xfId="25990"/>
    <cellStyle name="40% - Accent1 2 2 2 13 2 2 2" xfId="54851"/>
    <cellStyle name="40% - Accent1 2 2 2 13 2 3" xfId="37804"/>
    <cellStyle name="40% - Accent1 2 2 2 13 3" xfId="17538"/>
    <cellStyle name="40% - Accent1 2 2 2 13 3 2" xfId="46399"/>
    <cellStyle name="40% - Accent1 2 2 2 13 4" xfId="31763"/>
    <cellStyle name="40% - Accent1 2 2 2 14" xfId="5788"/>
    <cellStyle name="40% - Accent1 2 2 2 14 2" xfId="11829"/>
    <cellStyle name="40% - Accent1 2 2 2 14 2 2" xfId="28876"/>
    <cellStyle name="40% - Accent1 2 2 2 14 2 2 2" xfId="57737"/>
    <cellStyle name="40% - Accent1 2 2 2 14 2 3" xfId="40690"/>
    <cellStyle name="40% - Accent1 2 2 2 14 3" xfId="22898"/>
    <cellStyle name="40% - Accent1 2 2 2 14 3 2" xfId="51759"/>
    <cellStyle name="40% - Accent1 2 2 2 14 4" xfId="34649"/>
    <cellStyle name="40% - Accent1 2 2 2 15" xfId="6005"/>
    <cellStyle name="40% - Accent1 2 2 2 15 2" xfId="23104"/>
    <cellStyle name="40% - Accent1 2 2 2 15 2 2" xfId="51965"/>
    <cellStyle name="40% - Accent1 2 2 2 15 3" xfId="34866"/>
    <cellStyle name="40% - Accent1 2 2 2 16" xfId="6366"/>
    <cellStyle name="40% - Accent1 2 2 2 16 2" xfId="23413"/>
    <cellStyle name="40% - Accent1 2 2 2 16 2 2" xfId="52274"/>
    <cellStyle name="40% - Accent1 2 2 2 16 3" xfId="35227"/>
    <cellStyle name="40% - Accent1 2 2 2 17" xfId="14652"/>
    <cellStyle name="40% - Accent1 2 2 2 17 2" xfId="43513"/>
    <cellStyle name="40% - Accent1 2 2 2 18" xfId="29186"/>
    <cellStyle name="40% - Accent1 2 2 2 2" xfId="530"/>
    <cellStyle name="40% - Accent1 2 2 2 2 2" xfId="2281"/>
    <cellStyle name="40% - Accent1 2 2 2 2 2 2" xfId="5168"/>
    <cellStyle name="40% - Accent1 2 2 2 2 2 2 2" xfId="11209"/>
    <cellStyle name="40% - Accent1 2 2 2 2 2 2 2 2" xfId="28256"/>
    <cellStyle name="40% - Accent1 2 2 2 2 2 2 2 2 2" xfId="57117"/>
    <cellStyle name="40% - Accent1 2 2 2 2 2 2 2 3" xfId="40070"/>
    <cellStyle name="40% - Accent1 2 2 2 2 2 2 3" xfId="22278"/>
    <cellStyle name="40% - Accent1 2 2 2 2 2 2 3 2" xfId="51139"/>
    <cellStyle name="40% - Accent1 2 2 2 2 2 2 4" xfId="34029"/>
    <cellStyle name="40% - Accent1 2 2 2 2 2 3" xfId="8323"/>
    <cellStyle name="40% - Accent1 2 2 2 2 2 3 2" xfId="25370"/>
    <cellStyle name="40% - Accent1 2 2 2 2 2 3 2 2" xfId="54231"/>
    <cellStyle name="40% - Accent1 2 2 2 2 2 3 3" xfId="37184"/>
    <cellStyle name="40% - Accent1 2 2 2 2 2 4" xfId="12839"/>
    <cellStyle name="40% - Accent1 2 2 2 2 2 4 2" xfId="19598"/>
    <cellStyle name="40% - Accent1 2 2 2 2 2 4 2 2" xfId="48459"/>
    <cellStyle name="40% - Accent1 2 2 2 2 2 4 3" xfId="41700"/>
    <cellStyle name="40% - Accent1 2 2 2 2 2 5" xfId="16918"/>
    <cellStyle name="40% - Accent1 2 2 2 2 2 5 2" xfId="45779"/>
    <cellStyle name="40% - Accent1 2 2 2 2 2 6" xfId="31143"/>
    <cellStyle name="40% - Accent1 2 2 2 2 3" xfId="3417"/>
    <cellStyle name="40% - Accent1 2 2 2 2 3 2" xfId="9458"/>
    <cellStyle name="40% - Accent1 2 2 2 2 3 2 2" xfId="26505"/>
    <cellStyle name="40% - Accent1 2 2 2 2 3 2 2 2" xfId="55366"/>
    <cellStyle name="40% - Accent1 2 2 2 2 3 2 3" xfId="38319"/>
    <cellStyle name="40% - Accent1 2 2 2 2 3 3" xfId="20527"/>
    <cellStyle name="40% - Accent1 2 2 2 2 3 3 2" xfId="49388"/>
    <cellStyle name="40% - Accent1 2 2 2 2 3 4" xfId="32278"/>
    <cellStyle name="40% - Accent1 2 2 2 2 4" xfId="6572"/>
    <cellStyle name="40% - Accent1 2 2 2 2 4 2" xfId="23619"/>
    <cellStyle name="40% - Accent1 2 2 2 2 4 2 2" xfId="52480"/>
    <cellStyle name="40% - Accent1 2 2 2 2 4 3" xfId="35433"/>
    <cellStyle name="40% - Accent1 2 2 2 2 5" xfId="13039"/>
    <cellStyle name="40% - Accent1 2 2 2 2 5 2" xfId="17847"/>
    <cellStyle name="40% - Accent1 2 2 2 2 5 2 2" xfId="46708"/>
    <cellStyle name="40% - Accent1 2 2 2 2 5 3" xfId="41900"/>
    <cellStyle name="40% - Accent1 2 2 2 2 6" xfId="15167"/>
    <cellStyle name="40% - Accent1 2 2 2 2 6 2" xfId="44028"/>
    <cellStyle name="40% - Accent1 2 2 2 2 7" xfId="29392"/>
    <cellStyle name="40% - Accent1 2 2 2 3" xfId="839"/>
    <cellStyle name="40% - Accent1 2 2 2 3 2" xfId="3726"/>
    <cellStyle name="40% - Accent1 2 2 2 3 2 2" xfId="9767"/>
    <cellStyle name="40% - Accent1 2 2 2 3 2 2 2" xfId="26814"/>
    <cellStyle name="40% - Accent1 2 2 2 3 2 2 2 2" xfId="55675"/>
    <cellStyle name="40% - Accent1 2 2 2 3 2 2 3" xfId="38628"/>
    <cellStyle name="40% - Accent1 2 2 2 3 2 3" xfId="20836"/>
    <cellStyle name="40% - Accent1 2 2 2 3 2 3 2" xfId="49697"/>
    <cellStyle name="40% - Accent1 2 2 2 3 2 4" xfId="32587"/>
    <cellStyle name="40% - Accent1 2 2 2 3 3" xfId="6881"/>
    <cellStyle name="40% - Accent1 2 2 2 3 3 2" xfId="23928"/>
    <cellStyle name="40% - Accent1 2 2 2 3 3 2 2" xfId="52789"/>
    <cellStyle name="40% - Accent1 2 2 2 3 3 3" xfId="35742"/>
    <cellStyle name="40% - Accent1 2 2 2 3 4" xfId="13373"/>
    <cellStyle name="40% - Accent1 2 2 2 3 4 2" xfId="18156"/>
    <cellStyle name="40% - Accent1 2 2 2 3 4 2 2" xfId="47017"/>
    <cellStyle name="40% - Accent1 2 2 2 3 4 3" xfId="42234"/>
    <cellStyle name="40% - Accent1 2 2 2 3 5" xfId="15476"/>
    <cellStyle name="40% - Accent1 2 2 2 3 5 2" xfId="44337"/>
    <cellStyle name="40% - Accent1 2 2 2 3 6" xfId="29701"/>
    <cellStyle name="40% - Accent1 2 2 2 4" xfId="1045"/>
    <cellStyle name="40% - Accent1 2 2 2 4 2" xfId="3932"/>
    <cellStyle name="40% - Accent1 2 2 2 4 2 2" xfId="9973"/>
    <cellStyle name="40% - Accent1 2 2 2 4 2 2 2" xfId="27020"/>
    <cellStyle name="40% - Accent1 2 2 2 4 2 2 2 2" xfId="55881"/>
    <cellStyle name="40% - Accent1 2 2 2 4 2 2 3" xfId="38834"/>
    <cellStyle name="40% - Accent1 2 2 2 4 2 3" xfId="21042"/>
    <cellStyle name="40% - Accent1 2 2 2 4 2 3 2" xfId="49903"/>
    <cellStyle name="40% - Accent1 2 2 2 4 2 4" xfId="32793"/>
    <cellStyle name="40% - Accent1 2 2 2 4 3" xfId="7087"/>
    <cellStyle name="40% - Accent1 2 2 2 4 3 2" xfId="24134"/>
    <cellStyle name="40% - Accent1 2 2 2 4 3 2 2" xfId="52995"/>
    <cellStyle name="40% - Accent1 2 2 2 4 3 3" xfId="35948"/>
    <cellStyle name="40% - Accent1 2 2 2 4 4" xfId="11923"/>
    <cellStyle name="40% - Accent1 2 2 2 4 4 2" xfId="18362"/>
    <cellStyle name="40% - Accent1 2 2 2 4 4 2 2" xfId="47223"/>
    <cellStyle name="40% - Accent1 2 2 2 4 4 3" xfId="40784"/>
    <cellStyle name="40% - Accent1 2 2 2 4 5" xfId="15682"/>
    <cellStyle name="40% - Accent1 2 2 2 4 5 2" xfId="44543"/>
    <cellStyle name="40% - Accent1 2 2 2 4 6" xfId="29907"/>
    <cellStyle name="40% - Accent1 2 2 2 5" xfId="1251"/>
    <cellStyle name="40% - Accent1 2 2 2 5 2" xfId="4138"/>
    <cellStyle name="40% - Accent1 2 2 2 5 2 2" xfId="10179"/>
    <cellStyle name="40% - Accent1 2 2 2 5 2 2 2" xfId="27226"/>
    <cellStyle name="40% - Accent1 2 2 2 5 2 2 2 2" xfId="56087"/>
    <cellStyle name="40% - Accent1 2 2 2 5 2 2 3" xfId="39040"/>
    <cellStyle name="40% - Accent1 2 2 2 5 2 3" xfId="21248"/>
    <cellStyle name="40% - Accent1 2 2 2 5 2 3 2" xfId="50109"/>
    <cellStyle name="40% - Accent1 2 2 2 5 2 4" xfId="32999"/>
    <cellStyle name="40% - Accent1 2 2 2 5 3" xfId="7293"/>
    <cellStyle name="40% - Accent1 2 2 2 5 3 2" xfId="24340"/>
    <cellStyle name="40% - Accent1 2 2 2 5 3 2 2" xfId="53201"/>
    <cellStyle name="40% - Accent1 2 2 2 5 3 3" xfId="36154"/>
    <cellStyle name="40% - Accent1 2 2 2 5 4" xfId="13451"/>
    <cellStyle name="40% - Accent1 2 2 2 5 4 2" xfId="18568"/>
    <cellStyle name="40% - Accent1 2 2 2 5 4 2 2" xfId="47429"/>
    <cellStyle name="40% - Accent1 2 2 2 5 4 3" xfId="42312"/>
    <cellStyle name="40% - Accent1 2 2 2 5 5" xfId="15888"/>
    <cellStyle name="40% - Accent1 2 2 2 5 5 2" xfId="44749"/>
    <cellStyle name="40% - Accent1 2 2 2 5 6" xfId="30113"/>
    <cellStyle name="40% - Accent1 2 2 2 6" xfId="1457"/>
    <cellStyle name="40% - Accent1 2 2 2 6 2" xfId="4344"/>
    <cellStyle name="40% - Accent1 2 2 2 6 2 2" xfId="10385"/>
    <cellStyle name="40% - Accent1 2 2 2 6 2 2 2" xfId="27432"/>
    <cellStyle name="40% - Accent1 2 2 2 6 2 2 2 2" xfId="56293"/>
    <cellStyle name="40% - Accent1 2 2 2 6 2 2 3" xfId="39246"/>
    <cellStyle name="40% - Accent1 2 2 2 6 2 3" xfId="21454"/>
    <cellStyle name="40% - Accent1 2 2 2 6 2 3 2" xfId="50315"/>
    <cellStyle name="40% - Accent1 2 2 2 6 2 4" xfId="33205"/>
    <cellStyle name="40% - Accent1 2 2 2 6 3" xfId="7499"/>
    <cellStyle name="40% - Accent1 2 2 2 6 3 2" xfId="24546"/>
    <cellStyle name="40% - Accent1 2 2 2 6 3 2 2" xfId="53407"/>
    <cellStyle name="40% - Accent1 2 2 2 6 3 3" xfId="36360"/>
    <cellStyle name="40% - Accent1 2 2 2 6 4" xfId="11877"/>
    <cellStyle name="40% - Accent1 2 2 2 6 4 2" xfId="18774"/>
    <cellStyle name="40% - Accent1 2 2 2 6 4 2 2" xfId="47635"/>
    <cellStyle name="40% - Accent1 2 2 2 6 4 3" xfId="40738"/>
    <cellStyle name="40% - Accent1 2 2 2 6 5" xfId="16094"/>
    <cellStyle name="40% - Accent1 2 2 2 6 5 2" xfId="44955"/>
    <cellStyle name="40% - Accent1 2 2 2 6 6" xfId="30319"/>
    <cellStyle name="40% - Accent1 2 2 2 7" xfId="1663"/>
    <cellStyle name="40% - Accent1 2 2 2 7 2" xfId="4550"/>
    <cellStyle name="40% - Accent1 2 2 2 7 2 2" xfId="10591"/>
    <cellStyle name="40% - Accent1 2 2 2 7 2 2 2" xfId="27638"/>
    <cellStyle name="40% - Accent1 2 2 2 7 2 2 2 2" xfId="56499"/>
    <cellStyle name="40% - Accent1 2 2 2 7 2 2 3" xfId="39452"/>
    <cellStyle name="40% - Accent1 2 2 2 7 2 3" xfId="21660"/>
    <cellStyle name="40% - Accent1 2 2 2 7 2 3 2" xfId="50521"/>
    <cellStyle name="40% - Accent1 2 2 2 7 2 4" xfId="33411"/>
    <cellStyle name="40% - Accent1 2 2 2 7 3" xfId="7705"/>
    <cellStyle name="40% - Accent1 2 2 2 7 3 2" xfId="24752"/>
    <cellStyle name="40% - Accent1 2 2 2 7 3 2 2" xfId="53613"/>
    <cellStyle name="40% - Accent1 2 2 2 7 3 3" xfId="36566"/>
    <cellStyle name="40% - Accent1 2 2 2 7 4" xfId="12570"/>
    <cellStyle name="40% - Accent1 2 2 2 7 4 2" xfId="18980"/>
    <cellStyle name="40% - Accent1 2 2 2 7 4 2 2" xfId="47841"/>
    <cellStyle name="40% - Accent1 2 2 2 7 4 3" xfId="41431"/>
    <cellStyle name="40% - Accent1 2 2 2 7 5" xfId="16300"/>
    <cellStyle name="40% - Accent1 2 2 2 7 5 2" xfId="45161"/>
    <cellStyle name="40% - Accent1 2 2 2 7 6" xfId="30525"/>
    <cellStyle name="40% - Accent1 2 2 2 8" xfId="1869"/>
    <cellStyle name="40% - Accent1 2 2 2 8 2" xfId="4756"/>
    <cellStyle name="40% - Accent1 2 2 2 8 2 2" xfId="10797"/>
    <cellStyle name="40% - Accent1 2 2 2 8 2 2 2" xfId="27844"/>
    <cellStyle name="40% - Accent1 2 2 2 8 2 2 2 2" xfId="56705"/>
    <cellStyle name="40% - Accent1 2 2 2 8 2 2 3" xfId="39658"/>
    <cellStyle name="40% - Accent1 2 2 2 8 2 3" xfId="21866"/>
    <cellStyle name="40% - Accent1 2 2 2 8 2 3 2" xfId="50727"/>
    <cellStyle name="40% - Accent1 2 2 2 8 2 4" xfId="33617"/>
    <cellStyle name="40% - Accent1 2 2 2 8 3" xfId="7911"/>
    <cellStyle name="40% - Accent1 2 2 2 8 3 2" xfId="24958"/>
    <cellStyle name="40% - Accent1 2 2 2 8 3 2 2" xfId="53819"/>
    <cellStyle name="40% - Accent1 2 2 2 8 3 3" xfId="36772"/>
    <cellStyle name="40% - Accent1 2 2 2 8 4" xfId="12792"/>
    <cellStyle name="40% - Accent1 2 2 2 8 4 2" xfId="19186"/>
    <cellStyle name="40% - Accent1 2 2 2 8 4 2 2" xfId="48047"/>
    <cellStyle name="40% - Accent1 2 2 2 8 4 3" xfId="41653"/>
    <cellStyle name="40% - Accent1 2 2 2 8 5" xfId="16506"/>
    <cellStyle name="40% - Accent1 2 2 2 8 5 2" xfId="45367"/>
    <cellStyle name="40% - Accent1 2 2 2 8 6" xfId="30731"/>
    <cellStyle name="40% - Accent1 2 2 2 9" xfId="2075"/>
    <cellStyle name="40% - Accent1 2 2 2 9 2" xfId="4962"/>
    <cellStyle name="40% - Accent1 2 2 2 9 2 2" xfId="11003"/>
    <cellStyle name="40% - Accent1 2 2 2 9 2 2 2" xfId="28050"/>
    <cellStyle name="40% - Accent1 2 2 2 9 2 2 2 2" xfId="56911"/>
    <cellStyle name="40% - Accent1 2 2 2 9 2 2 3" xfId="39864"/>
    <cellStyle name="40% - Accent1 2 2 2 9 2 3" xfId="22072"/>
    <cellStyle name="40% - Accent1 2 2 2 9 2 3 2" xfId="50933"/>
    <cellStyle name="40% - Accent1 2 2 2 9 2 4" xfId="33823"/>
    <cellStyle name="40% - Accent1 2 2 2 9 3" xfId="8117"/>
    <cellStyle name="40% - Accent1 2 2 2 9 3 2" xfId="25164"/>
    <cellStyle name="40% - Accent1 2 2 2 9 3 2 2" xfId="54025"/>
    <cellStyle name="40% - Accent1 2 2 2 9 3 3" xfId="36978"/>
    <cellStyle name="40% - Accent1 2 2 2 9 4" xfId="13458"/>
    <cellStyle name="40% - Accent1 2 2 2 9 4 2" xfId="19392"/>
    <cellStyle name="40% - Accent1 2 2 2 9 4 2 2" xfId="48253"/>
    <cellStyle name="40% - Accent1 2 2 2 9 4 3" xfId="42319"/>
    <cellStyle name="40% - Accent1 2 2 2 9 5" xfId="16712"/>
    <cellStyle name="40% - Accent1 2 2 2 9 5 2" xfId="45573"/>
    <cellStyle name="40% - Accent1 2 2 2 9 6" xfId="30937"/>
    <cellStyle name="40% - Accent1 2 2 20" xfId="28980"/>
    <cellStyle name="40% - Accent1 2 2 3" xfId="221"/>
    <cellStyle name="40% - Accent1 2 2 3 2" xfId="633"/>
    <cellStyle name="40% - Accent1 2 2 3 2 2" xfId="3520"/>
    <cellStyle name="40% - Accent1 2 2 3 2 2 2" xfId="9561"/>
    <cellStyle name="40% - Accent1 2 2 3 2 2 2 2" xfId="26608"/>
    <cellStyle name="40% - Accent1 2 2 3 2 2 2 2 2" xfId="55469"/>
    <cellStyle name="40% - Accent1 2 2 3 2 2 2 3" xfId="38422"/>
    <cellStyle name="40% - Accent1 2 2 3 2 2 3" xfId="20630"/>
    <cellStyle name="40% - Accent1 2 2 3 2 2 3 2" xfId="49491"/>
    <cellStyle name="40% - Accent1 2 2 3 2 2 4" xfId="32381"/>
    <cellStyle name="40% - Accent1 2 2 3 2 3" xfId="6675"/>
    <cellStyle name="40% - Accent1 2 2 3 2 3 2" xfId="23722"/>
    <cellStyle name="40% - Accent1 2 2 3 2 3 2 2" xfId="52583"/>
    <cellStyle name="40% - Accent1 2 2 3 2 3 3" xfId="35536"/>
    <cellStyle name="40% - Accent1 2 2 3 2 4" xfId="12280"/>
    <cellStyle name="40% - Accent1 2 2 3 2 4 2" xfId="17950"/>
    <cellStyle name="40% - Accent1 2 2 3 2 4 2 2" xfId="46811"/>
    <cellStyle name="40% - Accent1 2 2 3 2 4 3" xfId="41141"/>
    <cellStyle name="40% - Accent1 2 2 3 2 5" xfId="15270"/>
    <cellStyle name="40% - Accent1 2 2 3 2 5 2" xfId="44131"/>
    <cellStyle name="40% - Accent1 2 2 3 2 6" xfId="29495"/>
    <cellStyle name="40% - Accent1 2 2 3 3" xfId="2178"/>
    <cellStyle name="40% - Accent1 2 2 3 3 2" xfId="5065"/>
    <cellStyle name="40% - Accent1 2 2 3 3 2 2" xfId="11106"/>
    <cellStyle name="40% - Accent1 2 2 3 3 2 2 2" xfId="28153"/>
    <cellStyle name="40% - Accent1 2 2 3 3 2 2 2 2" xfId="57014"/>
    <cellStyle name="40% - Accent1 2 2 3 3 2 2 3" xfId="39967"/>
    <cellStyle name="40% - Accent1 2 2 3 3 2 3" xfId="22175"/>
    <cellStyle name="40% - Accent1 2 2 3 3 2 3 2" xfId="51036"/>
    <cellStyle name="40% - Accent1 2 2 3 3 2 4" xfId="33926"/>
    <cellStyle name="40% - Accent1 2 2 3 3 3" xfId="8220"/>
    <cellStyle name="40% - Accent1 2 2 3 3 3 2" xfId="25267"/>
    <cellStyle name="40% - Accent1 2 2 3 3 3 2 2" xfId="54128"/>
    <cellStyle name="40% - Accent1 2 2 3 3 3 3" xfId="37081"/>
    <cellStyle name="40% - Accent1 2 2 3 3 4" xfId="13079"/>
    <cellStyle name="40% - Accent1 2 2 3 3 4 2" xfId="19495"/>
    <cellStyle name="40% - Accent1 2 2 3 3 4 2 2" xfId="48356"/>
    <cellStyle name="40% - Accent1 2 2 3 3 4 3" xfId="41940"/>
    <cellStyle name="40% - Accent1 2 2 3 3 5" xfId="16815"/>
    <cellStyle name="40% - Accent1 2 2 3 3 5 2" xfId="45676"/>
    <cellStyle name="40% - Accent1 2 2 3 3 6" xfId="31040"/>
    <cellStyle name="40% - Accent1 2 2 3 4" xfId="3108"/>
    <cellStyle name="40% - Accent1 2 2 3 4 2" xfId="9149"/>
    <cellStyle name="40% - Accent1 2 2 3 4 2 2" xfId="26196"/>
    <cellStyle name="40% - Accent1 2 2 3 4 2 2 2" xfId="55057"/>
    <cellStyle name="40% - Accent1 2 2 3 4 2 3" xfId="38010"/>
    <cellStyle name="40% - Accent1 2 2 3 4 3" xfId="20218"/>
    <cellStyle name="40% - Accent1 2 2 3 4 3 2" xfId="49079"/>
    <cellStyle name="40% - Accent1 2 2 3 4 4" xfId="31969"/>
    <cellStyle name="40% - Accent1 2 2 3 5" xfId="6263"/>
    <cellStyle name="40% - Accent1 2 2 3 5 2" xfId="23310"/>
    <cellStyle name="40% - Accent1 2 2 3 5 2 2" xfId="52171"/>
    <cellStyle name="40% - Accent1 2 2 3 5 3" xfId="35124"/>
    <cellStyle name="40% - Accent1 2 2 3 6" xfId="12611"/>
    <cellStyle name="40% - Accent1 2 2 3 6 2" xfId="17641"/>
    <cellStyle name="40% - Accent1 2 2 3 6 2 2" xfId="46502"/>
    <cellStyle name="40% - Accent1 2 2 3 6 3" xfId="41472"/>
    <cellStyle name="40% - Accent1 2 2 3 7" xfId="14858"/>
    <cellStyle name="40% - Accent1 2 2 3 7 2" xfId="43719"/>
    <cellStyle name="40% - Accent1 2 2 3 8" xfId="29083"/>
    <cellStyle name="40% - Accent1 2 2 4" xfId="427"/>
    <cellStyle name="40% - Accent1 2 2 4 2" xfId="3314"/>
    <cellStyle name="40% - Accent1 2 2 4 2 2" xfId="9355"/>
    <cellStyle name="40% - Accent1 2 2 4 2 2 2" xfId="26402"/>
    <cellStyle name="40% - Accent1 2 2 4 2 2 2 2" xfId="55263"/>
    <cellStyle name="40% - Accent1 2 2 4 2 2 3" xfId="38216"/>
    <cellStyle name="40% - Accent1 2 2 4 2 3" xfId="20424"/>
    <cellStyle name="40% - Accent1 2 2 4 2 3 2" xfId="49285"/>
    <cellStyle name="40% - Accent1 2 2 4 2 4" xfId="32175"/>
    <cellStyle name="40% - Accent1 2 2 4 3" xfId="6469"/>
    <cellStyle name="40% - Accent1 2 2 4 3 2" xfId="23516"/>
    <cellStyle name="40% - Accent1 2 2 4 3 2 2" xfId="52377"/>
    <cellStyle name="40% - Accent1 2 2 4 3 3" xfId="35330"/>
    <cellStyle name="40% - Accent1 2 2 4 4" xfId="11911"/>
    <cellStyle name="40% - Accent1 2 2 4 4 2" xfId="17744"/>
    <cellStyle name="40% - Accent1 2 2 4 4 2 2" xfId="46605"/>
    <cellStyle name="40% - Accent1 2 2 4 4 3" xfId="40772"/>
    <cellStyle name="40% - Accent1 2 2 4 5" xfId="15064"/>
    <cellStyle name="40% - Accent1 2 2 4 5 2" xfId="43925"/>
    <cellStyle name="40% - Accent1 2 2 4 6" xfId="29289"/>
    <cellStyle name="40% - Accent1 2 2 5" xfId="736"/>
    <cellStyle name="40% - Accent1 2 2 5 2" xfId="3623"/>
    <cellStyle name="40% - Accent1 2 2 5 2 2" xfId="9664"/>
    <cellStyle name="40% - Accent1 2 2 5 2 2 2" xfId="26711"/>
    <cellStyle name="40% - Accent1 2 2 5 2 2 2 2" xfId="55572"/>
    <cellStyle name="40% - Accent1 2 2 5 2 2 3" xfId="38525"/>
    <cellStyle name="40% - Accent1 2 2 5 2 3" xfId="20733"/>
    <cellStyle name="40% - Accent1 2 2 5 2 3 2" xfId="49594"/>
    <cellStyle name="40% - Accent1 2 2 5 2 4" xfId="32484"/>
    <cellStyle name="40% - Accent1 2 2 5 3" xfId="6778"/>
    <cellStyle name="40% - Accent1 2 2 5 3 2" xfId="23825"/>
    <cellStyle name="40% - Accent1 2 2 5 3 2 2" xfId="52686"/>
    <cellStyle name="40% - Accent1 2 2 5 3 3" xfId="35639"/>
    <cellStyle name="40% - Accent1 2 2 5 4" xfId="12474"/>
    <cellStyle name="40% - Accent1 2 2 5 4 2" xfId="18053"/>
    <cellStyle name="40% - Accent1 2 2 5 4 2 2" xfId="46914"/>
    <cellStyle name="40% - Accent1 2 2 5 4 3" xfId="41335"/>
    <cellStyle name="40% - Accent1 2 2 5 5" xfId="15373"/>
    <cellStyle name="40% - Accent1 2 2 5 5 2" xfId="44234"/>
    <cellStyle name="40% - Accent1 2 2 5 6" xfId="29598"/>
    <cellStyle name="40% - Accent1 2 2 6" xfId="942"/>
    <cellStyle name="40% - Accent1 2 2 6 2" xfId="3829"/>
    <cellStyle name="40% - Accent1 2 2 6 2 2" xfId="9870"/>
    <cellStyle name="40% - Accent1 2 2 6 2 2 2" xfId="26917"/>
    <cellStyle name="40% - Accent1 2 2 6 2 2 2 2" xfId="55778"/>
    <cellStyle name="40% - Accent1 2 2 6 2 2 3" xfId="38731"/>
    <cellStyle name="40% - Accent1 2 2 6 2 3" xfId="20939"/>
    <cellStyle name="40% - Accent1 2 2 6 2 3 2" xfId="49800"/>
    <cellStyle name="40% - Accent1 2 2 6 2 4" xfId="32690"/>
    <cellStyle name="40% - Accent1 2 2 6 3" xfId="6984"/>
    <cellStyle name="40% - Accent1 2 2 6 3 2" xfId="24031"/>
    <cellStyle name="40% - Accent1 2 2 6 3 2 2" xfId="52892"/>
    <cellStyle name="40% - Accent1 2 2 6 3 3" xfId="35845"/>
    <cellStyle name="40% - Accent1 2 2 6 4" xfId="12231"/>
    <cellStyle name="40% - Accent1 2 2 6 4 2" xfId="18259"/>
    <cellStyle name="40% - Accent1 2 2 6 4 2 2" xfId="47120"/>
    <cellStyle name="40% - Accent1 2 2 6 4 3" xfId="41092"/>
    <cellStyle name="40% - Accent1 2 2 6 5" xfId="15579"/>
    <cellStyle name="40% - Accent1 2 2 6 5 2" xfId="44440"/>
    <cellStyle name="40% - Accent1 2 2 6 6" xfId="29804"/>
    <cellStyle name="40% - Accent1 2 2 7" xfId="1148"/>
    <cellStyle name="40% - Accent1 2 2 7 2" xfId="4035"/>
    <cellStyle name="40% - Accent1 2 2 7 2 2" xfId="10076"/>
    <cellStyle name="40% - Accent1 2 2 7 2 2 2" xfId="27123"/>
    <cellStyle name="40% - Accent1 2 2 7 2 2 2 2" xfId="55984"/>
    <cellStyle name="40% - Accent1 2 2 7 2 2 3" xfId="38937"/>
    <cellStyle name="40% - Accent1 2 2 7 2 3" xfId="21145"/>
    <cellStyle name="40% - Accent1 2 2 7 2 3 2" xfId="50006"/>
    <cellStyle name="40% - Accent1 2 2 7 2 4" xfId="32896"/>
    <cellStyle name="40% - Accent1 2 2 7 3" xfId="7190"/>
    <cellStyle name="40% - Accent1 2 2 7 3 2" xfId="24237"/>
    <cellStyle name="40% - Accent1 2 2 7 3 2 2" xfId="53098"/>
    <cellStyle name="40% - Accent1 2 2 7 3 3" xfId="36051"/>
    <cellStyle name="40% - Accent1 2 2 7 4" xfId="13814"/>
    <cellStyle name="40% - Accent1 2 2 7 4 2" xfId="18465"/>
    <cellStyle name="40% - Accent1 2 2 7 4 2 2" xfId="47326"/>
    <cellStyle name="40% - Accent1 2 2 7 4 3" xfId="42675"/>
    <cellStyle name="40% - Accent1 2 2 7 5" xfId="15785"/>
    <cellStyle name="40% - Accent1 2 2 7 5 2" xfId="44646"/>
    <cellStyle name="40% - Accent1 2 2 7 6" xfId="30010"/>
    <cellStyle name="40% - Accent1 2 2 8" xfId="1354"/>
    <cellStyle name="40% - Accent1 2 2 8 2" xfId="4241"/>
    <cellStyle name="40% - Accent1 2 2 8 2 2" xfId="10282"/>
    <cellStyle name="40% - Accent1 2 2 8 2 2 2" xfId="27329"/>
    <cellStyle name="40% - Accent1 2 2 8 2 2 2 2" xfId="56190"/>
    <cellStyle name="40% - Accent1 2 2 8 2 2 3" xfId="39143"/>
    <cellStyle name="40% - Accent1 2 2 8 2 3" xfId="21351"/>
    <cellStyle name="40% - Accent1 2 2 8 2 3 2" xfId="50212"/>
    <cellStyle name="40% - Accent1 2 2 8 2 4" xfId="33102"/>
    <cellStyle name="40% - Accent1 2 2 8 3" xfId="7396"/>
    <cellStyle name="40% - Accent1 2 2 8 3 2" xfId="24443"/>
    <cellStyle name="40% - Accent1 2 2 8 3 2 2" xfId="53304"/>
    <cellStyle name="40% - Accent1 2 2 8 3 3" xfId="36257"/>
    <cellStyle name="40% - Accent1 2 2 8 4" xfId="12315"/>
    <cellStyle name="40% - Accent1 2 2 8 4 2" xfId="18671"/>
    <cellStyle name="40% - Accent1 2 2 8 4 2 2" xfId="47532"/>
    <cellStyle name="40% - Accent1 2 2 8 4 3" xfId="41176"/>
    <cellStyle name="40% - Accent1 2 2 8 5" xfId="15991"/>
    <cellStyle name="40% - Accent1 2 2 8 5 2" xfId="44852"/>
    <cellStyle name="40% - Accent1 2 2 8 6" xfId="30216"/>
    <cellStyle name="40% - Accent1 2 2 9" xfId="1560"/>
    <cellStyle name="40% - Accent1 2 2 9 2" xfId="4447"/>
    <cellStyle name="40% - Accent1 2 2 9 2 2" xfId="10488"/>
    <cellStyle name="40% - Accent1 2 2 9 2 2 2" xfId="27535"/>
    <cellStyle name="40% - Accent1 2 2 9 2 2 2 2" xfId="56396"/>
    <cellStyle name="40% - Accent1 2 2 9 2 2 3" xfId="39349"/>
    <cellStyle name="40% - Accent1 2 2 9 2 3" xfId="21557"/>
    <cellStyle name="40% - Accent1 2 2 9 2 3 2" xfId="50418"/>
    <cellStyle name="40% - Accent1 2 2 9 2 4" xfId="33308"/>
    <cellStyle name="40% - Accent1 2 2 9 3" xfId="7602"/>
    <cellStyle name="40% - Accent1 2 2 9 3 2" xfId="24649"/>
    <cellStyle name="40% - Accent1 2 2 9 3 2 2" xfId="53510"/>
    <cellStyle name="40% - Accent1 2 2 9 3 3" xfId="36463"/>
    <cellStyle name="40% - Accent1 2 2 9 4" xfId="13256"/>
    <cellStyle name="40% - Accent1 2 2 9 4 2" xfId="18877"/>
    <cellStyle name="40% - Accent1 2 2 9 4 2 2" xfId="47738"/>
    <cellStyle name="40% - Accent1 2 2 9 4 3" xfId="42117"/>
    <cellStyle name="40% - Accent1 2 2 9 5" xfId="16197"/>
    <cellStyle name="40% - Accent1 2 2 9 5 2" xfId="45058"/>
    <cellStyle name="40% - Accent1 2 2 9 6" xfId="30422"/>
    <cellStyle name="40% - Accent1 2 20" xfId="6134"/>
    <cellStyle name="40% - Accent1 2 20 2" xfId="23181"/>
    <cellStyle name="40% - Accent1 2 20 2 2" xfId="52042"/>
    <cellStyle name="40% - Accent1 2 20 3" xfId="34995"/>
    <cellStyle name="40% - Accent1 2 21" xfId="14523"/>
    <cellStyle name="40% - Accent1 2 21 2" xfId="43384"/>
    <cellStyle name="40% - Accent1 2 22" xfId="28954"/>
    <cellStyle name="40% - Accent1 2 3" xfId="144"/>
    <cellStyle name="40% - Accent1 2 3 10" xfId="1792"/>
    <cellStyle name="40% - Accent1 2 3 10 2" xfId="4679"/>
    <cellStyle name="40% - Accent1 2 3 10 2 2" xfId="10720"/>
    <cellStyle name="40% - Accent1 2 3 10 2 2 2" xfId="27767"/>
    <cellStyle name="40% - Accent1 2 3 10 2 2 2 2" xfId="56628"/>
    <cellStyle name="40% - Accent1 2 3 10 2 2 3" xfId="39581"/>
    <cellStyle name="40% - Accent1 2 3 10 2 3" xfId="21789"/>
    <cellStyle name="40% - Accent1 2 3 10 2 3 2" xfId="50650"/>
    <cellStyle name="40% - Accent1 2 3 10 2 4" xfId="33540"/>
    <cellStyle name="40% - Accent1 2 3 10 3" xfId="7834"/>
    <cellStyle name="40% - Accent1 2 3 10 3 2" xfId="24881"/>
    <cellStyle name="40% - Accent1 2 3 10 3 2 2" xfId="53742"/>
    <cellStyle name="40% - Accent1 2 3 10 3 3" xfId="36695"/>
    <cellStyle name="40% - Accent1 2 3 10 4" xfId="11974"/>
    <cellStyle name="40% - Accent1 2 3 10 4 2" xfId="19109"/>
    <cellStyle name="40% - Accent1 2 3 10 4 2 2" xfId="47970"/>
    <cellStyle name="40% - Accent1 2 3 10 4 3" xfId="40835"/>
    <cellStyle name="40% - Accent1 2 3 10 5" xfId="16429"/>
    <cellStyle name="40% - Accent1 2 3 10 5 2" xfId="45290"/>
    <cellStyle name="40% - Accent1 2 3 10 6" xfId="30654"/>
    <cellStyle name="40% - Accent1 2 3 11" xfId="1998"/>
    <cellStyle name="40% - Accent1 2 3 11 2" xfId="4885"/>
    <cellStyle name="40% - Accent1 2 3 11 2 2" xfId="10926"/>
    <cellStyle name="40% - Accent1 2 3 11 2 2 2" xfId="27973"/>
    <cellStyle name="40% - Accent1 2 3 11 2 2 2 2" xfId="56834"/>
    <cellStyle name="40% - Accent1 2 3 11 2 2 3" xfId="39787"/>
    <cellStyle name="40% - Accent1 2 3 11 2 3" xfId="21995"/>
    <cellStyle name="40% - Accent1 2 3 11 2 3 2" xfId="50856"/>
    <cellStyle name="40% - Accent1 2 3 11 2 4" xfId="33746"/>
    <cellStyle name="40% - Accent1 2 3 11 3" xfId="8040"/>
    <cellStyle name="40% - Accent1 2 3 11 3 2" xfId="25087"/>
    <cellStyle name="40% - Accent1 2 3 11 3 2 2" xfId="53948"/>
    <cellStyle name="40% - Accent1 2 3 11 3 3" xfId="36901"/>
    <cellStyle name="40% - Accent1 2 3 11 4" xfId="14291"/>
    <cellStyle name="40% - Accent1 2 3 11 4 2" xfId="19315"/>
    <cellStyle name="40% - Accent1 2 3 11 4 2 2" xfId="48176"/>
    <cellStyle name="40% - Accent1 2 3 11 4 3" xfId="43152"/>
    <cellStyle name="40% - Accent1 2 3 11 5" xfId="16635"/>
    <cellStyle name="40% - Accent1 2 3 11 5 2" xfId="45496"/>
    <cellStyle name="40% - Accent1 2 3 11 6" xfId="30860"/>
    <cellStyle name="40% - Accent1 2 3 12" xfId="2410"/>
    <cellStyle name="40% - Accent1 2 3 12 2" xfId="5297"/>
    <cellStyle name="40% - Accent1 2 3 12 2 2" xfId="11338"/>
    <cellStyle name="40% - Accent1 2 3 12 2 2 2" xfId="28385"/>
    <cellStyle name="40% - Accent1 2 3 12 2 2 2 2" xfId="57246"/>
    <cellStyle name="40% - Accent1 2 3 12 2 2 3" xfId="40199"/>
    <cellStyle name="40% - Accent1 2 3 12 2 3" xfId="22407"/>
    <cellStyle name="40% - Accent1 2 3 12 2 3 2" xfId="51268"/>
    <cellStyle name="40% - Accent1 2 3 12 2 4" xfId="34158"/>
    <cellStyle name="40% - Accent1 2 3 12 3" xfId="8452"/>
    <cellStyle name="40% - Accent1 2 3 12 3 2" xfId="25499"/>
    <cellStyle name="40% - Accent1 2 3 12 3 2 2" xfId="54360"/>
    <cellStyle name="40% - Accent1 2 3 12 3 3" xfId="37313"/>
    <cellStyle name="40% - Accent1 2 3 12 4" xfId="14405"/>
    <cellStyle name="40% - Accent1 2 3 12 4 2" xfId="19727"/>
    <cellStyle name="40% - Accent1 2 3 12 4 2 2" xfId="48588"/>
    <cellStyle name="40% - Accent1 2 3 12 4 3" xfId="43266"/>
    <cellStyle name="40% - Accent1 2 3 12 5" xfId="17047"/>
    <cellStyle name="40% - Accent1 2 3 12 5 2" xfId="45908"/>
    <cellStyle name="40% - Accent1 2 3 12 6" xfId="31272"/>
    <cellStyle name="40% - Accent1 2 3 13" xfId="2619"/>
    <cellStyle name="40% - Accent1 2 3 13 2" xfId="5505"/>
    <cellStyle name="40% - Accent1 2 3 13 2 2" xfId="11546"/>
    <cellStyle name="40% - Accent1 2 3 13 2 2 2" xfId="28593"/>
    <cellStyle name="40% - Accent1 2 3 13 2 2 2 2" xfId="57454"/>
    <cellStyle name="40% - Accent1 2 3 13 2 2 3" xfId="40407"/>
    <cellStyle name="40% - Accent1 2 3 13 2 3" xfId="22615"/>
    <cellStyle name="40% - Accent1 2 3 13 2 3 2" xfId="51476"/>
    <cellStyle name="40% - Accent1 2 3 13 2 4" xfId="34366"/>
    <cellStyle name="40% - Accent1 2 3 13 3" xfId="8660"/>
    <cellStyle name="40% - Accent1 2 3 13 3 2" xfId="25707"/>
    <cellStyle name="40% - Accent1 2 3 13 3 2 2" xfId="54568"/>
    <cellStyle name="40% - Accent1 2 3 13 3 3" xfId="37521"/>
    <cellStyle name="40% - Accent1 2 3 13 4" xfId="13730"/>
    <cellStyle name="40% - Accent1 2 3 13 4 2" xfId="19935"/>
    <cellStyle name="40% - Accent1 2 3 13 4 2 2" xfId="48796"/>
    <cellStyle name="40% - Accent1 2 3 13 4 3" xfId="42591"/>
    <cellStyle name="40% - Accent1 2 3 13 5" xfId="17255"/>
    <cellStyle name="40% - Accent1 2 3 13 5 2" xfId="46116"/>
    <cellStyle name="40% - Accent1 2 3 13 6" xfId="31480"/>
    <cellStyle name="40% - Accent1 2 3 14" xfId="3031"/>
    <cellStyle name="40% - Accent1 2 3 14 2" xfId="9072"/>
    <cellStyle name="40% - Accent1 2 3 14 2 2" xfId="26119"/>
    <cellStyle name="40% - Accent1 2 3 14 2 2 2" xfId="54980"/>
    <cellStyle name="40% - Accent1 2 3 14 2 3" xfId="37933"/>
    <cellStyle name="40% - Accent1 2 3 14 3" xfId="13428"/>
    <cellStyle name="40% - Accent1 2 3 14 3 2" xfId="20141"/>
    <cellStyle name="40% - Accent1 2 3 14 3 2 2" xfId="49002"/>
    <cellStyle name="40% - Accent1 2 3 14 3 3" xfId="42289"/>
    <cellStyle name="40% - Accent1 2 3 14 4" xfId="14781"/>
    <cellStyle name="40% - Accent1 2 3 14 4 2" xfId="43642"/>
    <cellStyle name="40% - Accent1 2 3 14 5" xfId="31892"/>
    <cellStyle name="40% - Accent1 2 3 15" xfId="2825"/>
    <cellStyle name="40% - Accent1 2 3 15 2" xfId="8866"/>
    <cellStyle name="40% - Accent1 2 3 15 2 2" xfId="25913"/>
    <cellStyle name="40% - Accent1 2 3 15 2 2 2" xfId="54774"/>
    <cellStyle name="40% - Accent1 2 3 15 2 3" xfId="37727"/>
    <cellStyle name="40% - Accent1 2 3 15 3" xfId="17461"/>
    <cellStyle name="40% - Accent1 2 3 15 3 2" xfId="46322"/>
    <cellStyle name="40% - Accent1 2 3 15 4" xfId="31686"/>
    <cellStyle name="40% - Accent1 2 3 16" xfId="5711"/>
    <cellStyle name="40% - Accent1 2 3 16 2" xfId="11752"/>
    <cellStyle name="40% - Accent1 2 3 16 2 2" xfId="28799"/>
    <cellStyle name="40% - Accent1 2 3 16 2 2 2" xfId="57660"/>
    <cellStyle name="40% - Accent1 2 3 16 2 3" xfId="40613"/>
    <cellStyle name="40% - Accent1 2 3 16 3" xfId="22821"/>
    <cellStyle name="40% - Accent1 2 3 16 3 2" xfId="51682"/>
    <cellStyle name="40% - Accent1 2 3 16 4" xfId="34572"/>
    <cellStyle name="40% - Accent1 2 3 17" xfId="5928"/>
    <cellStyle name="40% - Accent1 2 3 17 2" xfId="23027"/>
    <cellStyle name="40% - Accent1 2 3 17 2 2" xfId="51888"/>
    <cellStyle name="40% - Accent1 2 3 17 3" xfId="34789"/>
    <cellStyle name="40% - Accent1 2 3 18" xfId="6186"/>
    <cellStyle name="40% - Accent1 2 3 18 2" xfId="23233"/>
    <cellStyle name="40% - Accent1 2 3 18 2 2" xfId="52094"/>
    <cellStyle name="40% - Accent1 2 3 18 3" xfId="35047"/>
    <cellStyle name="40% - Accent1 2 3 19" xfId="14575"/>
    <cellStyle name="40% - Accent1 2 3 19 2" xfId="43436"/>
    <cellStyle name="40% - Accent1 2 3 2" xfId="350"/>
    <cellStyle name="40% - Accent1 2 3 2 10" xfId="2513"/>
    <cellStyle name="40% - Accent1 2 3 2 10 2" xfId="5400"/>
    <cellStyle name="40% - Accent1 2 3 2 10 2 2" xfId="11441"/>
    <cellStyle name="40% - Accent1 2 3 2 10 2 2 2" xfId="28488"/>
    <cellStyle name="40% - Accent1 2 3 2 10 2 2 2 2" xfId="57349"/>
    <cellStyle name="40% - Accent1 2 3 2 10 2 2 3" xfId="40302"/>
    <cellStyle name="40% - Accent1 2 3 2 10 2 3" xfId="22510"/>
    <cellStyle name="40% - Accent1 2 3 2 10 2 3 2" xfId="51371"/>
    <cellStyle name="40% - Accent1 2 3 2 10 2 4" xfId="34261"/>
    <cellStyle name="40% - Accent1 2 3 2 10 3" xfId="8555"/>
    <cellStyle name="40% - Accent1 2 3 2 10 3 2" xfId="25602"/>
    <cellStyle name="40% - Accent1 2 3 2 10 3 2 2" xfId="54463"/>
    <cellStyle name="40% - Accent1 2 3 2 10 3 3" xfId="37416"/>
    <cellStyle name="40% - Accent1 2 3 2 10 4" xfId="12211"/>
    <cellStyle name="40% - Accent1 2 3 2 10 4 2" xfId="19830"/>
    <cellStyle name="40% - Accent1 2 3 2 10 4 2 2" xfId="48691"/>
    <cellStyle name="40% - Accent1 2 3 2 10 4 3" xfId="41072"/>
    <cellStyle name="40% - Accent1 2 3 2 10 5" xfId="17150"/>
    <cellStyle name="40% - Accent1 2 3 2 10 5 2" xfId="46011"/>
    <cellStyle name="40% - Accent1 2 3 2 10 6" xfId="31375"/>
    <cellStyle name="40% - Accent1 2 3 2 11" xfId="2722"/>
    <cellStyle name="40% - Accent1 2 3 2 11 2" xfId="5608"/>
    <cellStyle name="40% - Accent1 2 3 2 11 2 2" xfId="11649"/>
    <cellStyle name="40% - Accent1 2 3 2 11 2 2 2" xfId="28696"/>
    <cellStyle name="40% - Accent1 2 3 2 11 2 2 2 2" xfId="57557"/>
    <cellStyle name="40% - Accent1 2 3 2 11 2 2 3" xfId="40510"/>
    <cellStyle name="40% - Accent1 2 3 2 11 2 3" xfId="22718"/>
    <cellStyle name="40% - Accent1 2 3 2 11 2 3 2" xfId="51579"/>
    <cellStyle name="40% - Accent1 2 3 2 11 2 4" xfId="34469"/>
    <cellStyle name="40% - Accent1 2 3 2 11 3" xfId="8763"/>
    <cellStyle name="40% - Accent1 2 3 2 11 3 2" xfId="25810"/>
    <cellStyle name="40% - Accent1 2 3 2 11 3 2 2" xfId="54671"/>
    <cellStyle name="40% - Accent1 2 3 2 11 3 3" xfId="37624"/>
    <cellStyle name="40% - Accent1 2 3 2 11 4" xfId="12334"/>
    <cellStyle name="40% - Accent1 2 3 2 11 4 2" xfId="20038"/>
    <cellStyle name="40% - Accent1 2 3 2 11 4 2 2" xfId="48899"/>
    <cellStyle name="40% - Accent1 2 3 2 11 4 3" xfId="41195"/>
    <cellStyle name="40% - Accent1 2 3 2 11 5" xfId="17358"/>
    <cellStyle name="40% - Accent1 2 3 2 11 5 2" xfId="46219"/>
    <cellStyle name="40% - Accent1 2 3 2 11 6" xfId="31583"/>
    <cellStyle name="40% - Accent1 2 3 2 12" xfId="3237"/>
    <cellStyle name="40% - Accent1 2 3 2 12 2" xfId="9278"/>
    <cellStyle name="40% - Accent1 2 3 2 12 2 2" xfId="26325"/>
    <cellStyle name="40% - Accent1 2 3 2 12 2 2 2" xfId="55186"/>
    <cellStyle name="40% - Accent1 2 3 2 12 2 3" xfId="38139"/>
    <cellStyle name="40% - Accent1 2 3 2 12 3" xfId="12612"/>
    <cellStyle name="40% - Accent1 2 3 2 12 3 2" xfId="20347"/>
    <cellStyle name="40% - Accent1 2 3 2 12 3 2 2" xfId="49208"/>
    <cellStyle name="40% - Accent1 2 3 2 12 3 3" xfId="41473"/>
    <cellStyle name="40% - Accent1 2 3 2 12 4" xfId="14987"/>
    <cellStyle name="40% - Accent1 2 3 2 12 4 2" xfId="43848"/>
    <cellStyle name="40% - Accent1 2 3 2 12 5" xfId="32098"/>
    <cellStyle name="40% - Accent1 2 3 2 13" xfId="2928"/>
    <cellStyle name="40% - Accent1 2 3 2 13 2" xfId="8969"/>
    <cellStyle name="40% - Accent1 2 3 2 13 2 2" xfId="26016"/>
    <cellStyle name="40% - Accent1 2 3 2 13 2 2 2" xfId="54877"/>
    <cellStyle name="40% - Accent1 2 3 2 13 2 3" xfId="37830"/>
    <cellStyle name="40% - Accent1 2 3 2 13 3" xfId="17564"/>
    <cellStyle name="40% - Accent1 2 3 2 13 3 2" xfId="46425"/>
    <cellStyle name="40% - Accent1 2 3 2 13 4" xfId="31789"/>
    <cellStyle name="40% - Accent1 2 3 2 14" xfId="5814"/>
    <cellStyle name="40% - Accent1 2 3 2 14 2" xfId="11855"/>
    <cellStyle name="40% - Accent1 2 3 2 14 2 2" xfId="28902"/>
    <cellStyle name="40% - Accent1 2 3 2 14 2 2 2" xfId="57763"/>
    <cellStyle name="40% - Accent1 2 3 2 14 2 3" xfId="40716"/>
    <cellStyle name="40% - Accent1 2 3 2 14 3" xfId="22924"/>
    <cellStyle name="40% - Accent1 2 3 2 14 3 2" xfId="51785"/>
    <cellStyle name="40% - Accent1 2 3 2 14 4" xfId="34675"/>
    <cellStyle name="40% - Accent1 2 3 2 15" xfId="6031"/>
    <cellStyle name="40% - Accent1 2 3 2 15 2" xfId="23130"/>
    <cellStyle name="40% - Accent1 2 3 2 15 2 2" xfId="51991"/>
    <cellStyle name="40% - Accent1 2 3 2 15 3" xfId="34892"/>
    <cellStyle name="40% - Accent1 2 3 2 16" xfId="6392"/>
    <cellStyle name="40% - Accent1 2 3 2 16 2" xfId="23439"/>
    <cellStyle name="40% - Accent1 2 3 2 16 2 2" xfId="52300"/>
    <cellStyle name="40% - Accent1 2 3 2 16 3" xfId="35253"/>
    <cellStyle name="40% - Accent1 2 3 2 17" xfId="14678"/>
    <cellStyle name="40% - Accent1 2 3 2 17 2" xfId="43539"/>
    <cellStyle name="40% - Accent1 2 3 2 18" xfId="29212"/>
    <cellStyle name="40% - Accent1 2 3 2 2" xfId="556"/>
    <cellStyle name="40% - Accent1 2 3 2 2 2" xfId="2307"/>
    <cellStyle name="40% - Accent1 2 3 2 2 2 2" xfId="5194"/>
    <cellStyle name="40% - Accent1 2 3 2 2 2 2 2" xfId="11235"/>
    <cellStyle name="40% - Accent1 2 3 2 2 2 2 2 2" xfId="28282"/>
    <cellStyle name="40% - Accent1 2 3 2 2 2 2 2 2 2" xfId="57143"/>
    <cellStyle name="40% - Accent1 2 3 2 2 2 2 2 3" xfId="40096"/>
    <cellStyle name="40% - Accent1 2 3 2 2 2 2 3" xfId="22304"/>
    <cellStyle name="40% - Accent1 2 3 2 2 2 2 3 2" xfId="51165"/>
    <cellStyle name="40% - Accent1 2 3 2 2 2 2 4" xfId="34055"/>
    <cellStyle name="40% - Accent1 2 3 2 2 2 3" xfId="8349"/>
    <cellStyle name="40% - Accent1 2 3 2 2 2 3 2" xfId="25396"/>
    <cellStyle name="40% - Accent1 2 3 2 2 2 3 2 2" xfId="54257"/>
    <cellStyle name="40% - Accent1 2 3 2 2 2 3 3" xfId="37210"/>
    <cellStyle name="40% - Accent1 2 3 2 2 2 4" xfId="13301"/>
    <cellStyle name="40% - Accent1 2 3 2 2 2 4 2" xfId="19624"/>
    <cellStyle name="40% - Accent1 2 3 2 2 2 4 2 2" xfId="48485"/>
    <cellStyle name="40% - Accent1 2 3 2 2 2 4 3" xfId="42162"/>
    <cellStyle name="40% - Accent1 2 3 2 2 2 5" xfId="16944"/>
    <cellStyle name="40% - Accent1 2 3 2 2 2 5 2" xfId="45805"/>
    <cellStyle name="40% - Accent1 2 3 2 2 2 6" xfId="31169"/>
    <cellStyle name="40% - Accent1 2 3 2 2 3" xfId="3443"/>
    <cellStyle name="40% - Accent1 2 3 2 2 3 2" xfId="9484"/>
    <cellStyle name="40% - Accent1 2 3 2 2 3 2 2" xfId="26531"/>
    <cellStyle name="40% - Accent1 2 3 2 2 3 2 2 2" xfId="55392"/>
    <cellStyle name="40% - Accent1 2 3 2 2 3 2 3" xfId="38345"/>
    <cellStyle name="40% - Accent1 2 3 2 2 3 3" xfId="20553"/>
    <cellStyle name="40% - Accent1 2 3 2 2 3 3 2" xfId="49414"/>
    <cellStyle name="40% - Accent1 2 3 2 2 3 4" xfId="32304"/>
    <cellStyle name="40% - Accent1 2 3 2 2 4" xfId="6598"/>
    <cellStyle name="40% - Accent1 2 3 2 2 4 2" xfId="23645"/>
    <cellStyle name="40% - Accent1 2 3 2 2 4 2 2" xfId="52506"/>
    <cellStyle name="40% - Accent1 2 3 2 2 4 3" xfId="35459"/>
    <cellStyle name="40% - Accent1 2 3 2 2 5" xfId="13920"/>
    <cellStyle name="40% - Accent1 2 3 2 2 5 2" xfId="17873"/>
    <cellStyle name="40% - Accent1 2 3 2 2 5 2 2" xfId="46734"/>
    <cellStyle name="40% - Accent1 2 3 2 2 5 3" xfId="42781"/>
    <cellStyle name="40% - Accent1 2 3 2 2 6" xfId="15193"/>
    <cellStyle name="40% - Accent1 2 3 2 2 6 2" xfId="44054"/>
    <cellStyle name="40% - Accent1 2 3 2 2 7" xfId="29418"/>
    <cellStyle name="40% - Accent1 2 3 2 3" xfId="865"/>
    <cellStyle name="40% - Accent1 2 3 2 3 2" xfId="3752"/>
    <cellStyle name="40% - Accent1 2 3 2 3 2 2" xfId="9793"/>
    <cellStyle name="40% - Accent1 2 3 2 3 2 2 2" xfId="26840"/>
    <cellStyle name="40% - Accent1 2 3 2 3 2 2 2 2" xfId="55701"/>
    <cellStyle name="40% - Accent1 2 3 2 3 2 2 3" xfId="38654"/>
    <cellStyle name="40% - Accent1 2 3 2 3 2 3" xfId="20862"/>
    <cellStyle name="40% - Accent1 2 3 2 3 2 3 2" xfId="49723"/>
    <cellStyle name="40% - Accent1 2 3 2 3 2 4" xfId="32613"/>
    <cellStyle name="40% - Accent1 2 3 2 3 3" xfId="6907"/>
    <cellStyle name="40% - Accent1 2 3 2 3 3 2" xfId="23954"/>
    <cellStyle name="40% - Accent1 2 3 2 3 3 2 2" xfId="52815"/>
    <cellStyle name="40% - Accent1 2 3 2 3 3 3" xfId="35768"/>
    <cellStyle name="40% - Accent1 2 3 2 3 4" xfId="12826"/>
    <cellStyle name="40% - Accent1 2 3 2 3 4 2" xfId="18182"/>
    <cellStyle name="40% - Accent1 2 3 2 3 4 2 2" xfId="47043"/>
    <cellStyle name="40% - Accent1 2 3 2 3 4 3" xfId="41687"/>
    <cellStyle name="40% - Accent1 2 3 2 3 5" xfId="15502"/>
    <cellStyle name="40% - Accent1 2 3 2 3 5 2" xfId="44363"/>
    <cellStyle name="40% - Accent1 2 3 2 3 6" xfId="29727"/>
    <cellStyle name="40% - Accent1 2 3 2 4" xfId="1071"/>
    <cellStyle name="40% - Accent1 2 3 2 4 2" xfId="3958"/>
    <cellStyle name="40% - Accent1 2 3 2 4 2 2" xfId="9999"/>
    <cellStyle name="40% - Accent1 2 3 2 4 2 2 2" xfId="27046"/>
    <cellStyle name="40% - Accent1 2 3 2 4 2 2 2 2" xfId="55907"/>
    <cellStyle name="40% - Accent1 2 3 2 4 2 2 3" xfId="38860"/>
    <cellStyle name="40% - Accent1 2 3 2 4 2 3" xfId="21068"/>
    <cellStyle name="40% - Accent1 2 3 2 4 2 3 2" xfId="49929"/>
    <cellStyle name="40% - Accent1 2 3 2 4 2 4" xfId="32819"/>
    <cellStyle name="40% - Accent1 2 3 2 4 3" xfId="7113"/>
    <cellStyle name="40% - Accent1 2 3 2 4 3 2" xfId="24160"/>
    <cellStyle name="40% - Accent1 2 3 2 4 3 2 2" xfId="53021"/>
    <cellStyle name="40% - Accent1 2 3 2 4 3 3" xfId="35974"/>
    <cellStyle name="40% - Accent1 2 3 2 4 4" xfId="12256"/>
    <cellStyle name="40% - Accent1 2 3 2 4 4 2" xfId="18388"/>
    <cellStyle name="40% - Accent1 2 3 2 4 4 2 2" xfId="47249"/>
    <cellStyle name="40% - Accent1 2 3 2 4 4 3" xfId="41117"/>
    <cellStyle name="40% - Accent1 2 3 2 4 5" xfId="15708"/>
    <cellStyle name="40% - Accent1 2 3 2 4 5 2" xfId="44569"/>
    <cellStyle name="40% - Accent1 2 3 2 4 6" xfId="29933"/>
    <cellStyle name="40% - Accent1 2 3 2 5" xfId="1277"/>
    <cellStyle name="40% - Accent1 2 3 2 5 2" xfId="4164"/>
    <cellStyle name="40% - Accent1 2 3 2 5 2 2" xfId="10205"/>
    <cellStyle name="40% - Accent1 2 3 2 5 2 2 2" xfId="27252"/>
    <cellStyle name="40% - Accent1 2 3 2 5 2 2 2 2" xfId="56113"/>
    <cellStyle name="40% - Accent1 2 3 2 5 2 2 3" xfId="39066"/>
    <cellStyle name="40% - Accent1 2 3 2 5 2 3" xfId="21274"/>
    <cellStyle name="40% - Accent1 2 3 2 5 2 3 2" xfId="50135"/>
    <cellStyle name="40% - Accent1 2 3 2 5 2 4" xfId="33025"/>
    <cellStyle name="40% - Accent1 2 3 2 5 3" xfId="7319"/>
    <cellStyle name="40% - Accent1 2 3 2 5 3 2" xfId="24366"/>
    <cellStyle name="40% - Accent1 2 3 2 5 3 2 2" xfId="53227"/>
    <cellStyle name="40% - Accent1 2 3 2 5 3 3" xfId="36180"/>
    <cellStyle name="40% - Accent1 2 3 2 5 4" xfId="13718"/>
    <cellStyle name="40% - Accent1 2 3 2 5 4 2" xfId="18594"/>
    <cellStyle name="40% - Accent1 2 3 2 5 4 2 2" xfId="47455"/>
    <cellStyle name="40% - Accent1 2 3 2 5 4 3" xfId="42579"/>
    <cellStyle name="40% - Accent1 2 3 2 5 5" xfId="15914"/>
    <cellStyle name="40% - Accent1 2 3 2 5 5 2" xfId="44775"/>
    <cellStyle name="40% - Accent1 2 3 2 5 6" xfId="30139"/>
    <cellStyle name="40% - Accent1 2 3 2 6" xfId="1483"/>
    <cellStyle name="40% - Accent1 2 3 2 6 2" xfId="4370"/>
    <cellStyle name="40% - Accent1 2 3 2 6 2 2" xfId="10411"/>
    <cellStyle name="40% - Accent1 2 3 2 6 2 2 2" xfId="27458"/>
    <cellStyle name="40% - Accent1 2 3 2 6 2 2 2 2" xfId="56319"/>
    <cellStyle name="40% - Accent1 2 3 2 6 2 2 3" xfId="39272"/>
    <cellStyle name="40% - Accent1 2 3 2 6 2 3" xfId="21480"/>
    <cellStyle name="40% - Accent1 2 3 2 6 2 3 2" xfId="50341"/>
    <cellStyle name="40% - Accent1 2 3 2 6 2 4" xfId="33231"/>
    <cellStyle name="40% - Accent1 2 3 2 6 3" xfId="7525"/>
    <cellStyle name="40% - Accent1 2 3 2 6 3 2" xfId="24572"/>
    <cellStyle name="40% - Accent1 2 3 2 6 3 2 2" xfId="53433"/>
    <cellStyle name="40% - Accent1 2 3 2 6 3 3" xfId="36386"/>
    <cellStyle name="40% - Accent1 2 3 2 6 4" xfId="14230"/>
    <cellStyle name="40% - Accent1 2 3 2 6 4 2" xfId="18800"/>
    <cellStyle name="40% - Accent1 2 3 2 6 4 2 2" xfId="47661"/>
    <cellStyle name="40% - Accent1 2 3 2 6 4 3" xfId="43091"/>
    <cellStyle name="40% - Accent1 2 3 2 6 5" xfId="16120"/>
    <cellStyle name="40% - Accent1 2 3 2 6 5 2" xfId="44981"/>
    <cellStyle name="40% - Accent1 2 3 2 6 6" xfId="30345"/>
    <cellStyle name="40% - Accent1 2 3 2 7" xfId="1689"/>
    <cellStyle name="40% - Accent1 2 3 2 7 2" xfId="4576"/>
    <cellStyle name="40% - Accent1 2 3 2 7 2 2" xfId="10617"/>
    <cellStyle name="40% - Accent1 2 3 2 7 2 2 2" xfId="27664"/>
    <cellStyle name="40% - Accent1 2 3 2 7 2 2 2 2" xfId="56525"/>
    <cellStyle name="40% - Accent1 2 3 2 7 2 2 3" xfId="39478"/>
    <cellStyle name="40% - Accent1 2 3 2 7 2 3" xfId="21686"/>
    <cellStyle name="40% - Accent1 2 3 2 7 2 3 2" xfId="50547"/>
    <cellStyle name="40% - Accent1 2 3 2 7 2 4" xfId="33437"/>
    <cellStyle name="40% - Accent1 2 3 2 7 3" xfId="7731"/>
    <cellStyle name="40% - Accent1 2 3 2 7 3 2" xfId="24778"/>
    <cellStyle name="40% - Accent1 2 3 2 7 3 2 2" xfId="53639"/>
    <cellStyle name="40% - Accent1 2 3 2 7 3 3" xfId="36592"/>
    <cellStyle name="40% - Accent1 2 3 2 7 4" xfId="12464"/>
    <cellStyle name="40% - Accent1 2 3 2 7 4 2" xfId="19006"/>
    <cellStyle name="40% - Accent1 2 3 2 7 4 2 2" xfId="47867"/>
    <cellStyle name="40% - Accent1 2 3 2 7 4 3" xfId="41325"/>
    <cellStyle name="40% - Accent1 2 3 2 7 5" xfId="16326"/>
    <cellStyle name="40% - Accent1 2 3 2 7 5 2" xfId="45187"/>
    <cellStyle name="40% - Accent1 2 3 2 7 6" xfId="30551"/>
    <cellStyle name="40% - Accent1 2 3 2 8" xfId="1895"/>
    <cellStyle name="40% - Accent1 2 3 2 8 2" xfId="4782"/>
    <cellStyle name="40% - Accent1 2 3 2 8 2 2" xfId="10823"/>
    <cellStyle name="40% - Accent1 2 3 2 8 2 2 2" xfId="27870"/>
    <cellStyle name="40% - Accent1 2 3 2 8 2 2 2 2" xfId="56731"/>
    <cellStyle name="40% - Accent1 2 3 2 8 2 2 3" xfId="39684"/>
    <cellStyle name="40% - Accent1 2 3 2 8 2 3" xfId="21892"/>
    <cellStyle name="40% - Accent1 2 3 2 8 2 3 2" xfId="50753"/>
    <cellStyle name="40% - Accent1 2 3 2 8 2 4" xfId="33643"/>
    <cellStyle name="40% - Accent1 2 3 2 8 3" xfId="7937"/>
    <cellStyle name="40% - Accent1 2 3 2 8 3 2" xfId="24984"/>
    <cellStyle name="40% - Accent1 2 3 2 8 3 2 2" xfId="53845"/>
    <cellStyle name="40% - Accent1 2 3 2 8 3 3" xfId="36798"/>
    <cellStyle name="40% - Accent1 2 3 2 8 4" xfId="13401"/>
    <cellStyle name="40% - Accent1 2 3 2 8 4 2" xfId="19212"/>
    <cellStyle name="40% - Accent1 2 3 2 8 4 2 2" xfId="48073"/>
    <cellStyle name="40% - Accent1 2 3 2 8 4 3" xfId="42262"/>
    <cellStyle name="40% - Accent1 2 3 2 8 5" xfId="16532"/>
    <cellStyle name="40% - Accent1 2 3 2 8 5 2" xfId="45393"/>
    <cellStyle name="40% - Accent1 2 3 2 8 6" xfId="30757"/>
    <cellStyle name="40% - Accent1 2 3 2 9" xfId="2101"/>
    <cellStyle name="40% - Accent1 2 3 2 9 2" xfId="4988"/>
    <cellStyle name="40% - Accent1 2 3 2 9 2 2" xfId="11029"/>
    <cellStyle name="40% - Accent1 2 3 2 9 2 2 2" xfId="28076"/>
    <cellStyle name="40% - Accent1 2 3 2 9 2 2 2 2" xfId="56937"/>
    <cellStyle name="40% - Accent1 2 3 2 9 2 2 3" xfId="39890"/>
    <cellStyle name="40% - Accent1 2 3 2 9 2 3" xfId="22098"/>
    <cellStyle name="40% - Accent1 2 3 2 9 2 3 2" xfId="50959"/>
    <cellStyle name="40% - Accent1 2 3 2 9 2 4" xfId="33849"/>
    <cellStyle name="40% - Accent1 2 3 2 9 3" xfId="8143"/>
    <cellStyle name="40% - Accent1 2 3 2 9 3 2" xfId="25190"/>
    <cellStyle name="40% - Accent1 2 3 2 9 3 2 2" xfId="54051"/>
    <cellStyle name="40% - Accent1 2 3 2 9 3 3" xfId="37004"/>
    <cellStyle name="40% - Accent1 2 3 2 9 4" xfId="12065"/>
    <cellStyle name="40% - Accent1 2 3 2 9 4 2" xfId="19418"/>
    <cellStyle name="40% - Accent1 2 3 2 9 4 2 2" xfId="48279"/>
    <cellStyle name="40% - Accent1 2 3 2 9 4 3" xfId="40926"/>
    <cellStyle name="40% - Accent1 2 3 2 9 5" xfId="16738"/>
    <cellStyle name="40% - Accent1 2 3 2 9 5 2" xfId="45599"/>
    <cellStyle name="40% - Accent1 2 3 2 9 6" xfId="30963"/>
    <cellStyle name="40% - Accent1 2 3 20" xfId="29006"/>
    <cellStyle name="40% - Accent1 2 3 3" xfId="247"/>
    <cellStyle name="40% - Accent1 2 3 3 2" xfId="659"/>
    <cellStyle name="40% - Accent1 2 3 3 2 2" xfId="3546"/>
    <cellStyle name="40% - Accent1 2 3 3 2 2 2" xfId="9587"/>
    <cellStyle name="40% - Accent1 2 3 3 2 2 2 2" xfId="26634"/>
    <cellStyle name="40% - Accent1 2 3 3 2 2 2 2 2" xfId="55495"/>
    <cellStyle name="40% - Accent1 2 3 3 2 2 2 3" xfId="38448"/>
    <cellStyle name="40% - Accent1 2 3 3 2 2 3" xfId="20656"/>
    <cellStyle name="40% - Accent1 2 3 3 2 2 3 2" xfId="49517"/>
    <cellStyle name="40% - Accent1 2 3 3 2 2 4" xfId="32407"/>
    <cellStyle name="40% - Accent1 2 3 3 2 3" xfId="6701"/>
    <cellStyle name="40% - Accent1 2 3 3 2 3 2" xfId="23748"/>
    <cellStyle name="40% - Accent1 2 3 3 2 3 2 2" xfId="52609"/>
    <cellStyle name="40% - Accent1 2 3 3 2 3 3" xfId="35562"/>
    <cellStyle name="40% - Accent1 2 3 3 2 4" xfId="13711"/>
    <cellStyle name="40% - Accent1 2 3 3 2 4 2" xfId="17976"/>
    <cellStyle name="40% - Accent1 2 3 3 2 4 2 2" xfId="46837"/>
    <cellStyle name="40% - Accent1 2 3 3 2 4 3" xfId="42572"/>
    <cellStyle name="40% - Accent1 2 3 3 2 5" xfId="15296"/>
    <cellStyle name="40% - Accent1 2 3 3 2 5 2" xfId="44157"/>
    <cellStyle name="40% - Accent1 2 3 3 2 6" xfId="29521"/>
    <cellStyle name="40% - Accent1 2 3 3 3" xfId="2204"/>
    <cellStyle name="40% - Accent1 2 3 3 3 2" xfId="5091"/>
    <cellStyle name="40% - Accent1 2 3 3 3 2 2" xfId="11132"/>
    <cellStyle name="40% - Accent1 2 3 3 3 2 2 2" xfId="28179"/>
    <cellStyle name="40% - Accent1 2 3 3 3 2 2 2 2" xfId="57040"/>
    <cellStyle name="40% - Accent1 2 3 3 3 2 2 3" xfId="39993"/>
    <cellStyle name="40% - Accent1 2 3 3 3 2 3" xfId="22201"/>
    <cellStyle name="40% - Accent1 2 3 3 3 2 3 2" xfId="51062"/>
    <cellStyle name="40% - Accent1 2 3 3 3 2 4" xfId="33952"/>
    <cellStyle name="40% - Accent1 2 3 3 3 3" xfId="8246"/>
    <cellStyle name="40% - Accent1 2 3 3 3 3 2" xfId="25293"/>
    <cellStyle name="40% - Accent1 2 3 3 3 3 2 2" xfId="54154"/>
    <cellStyle name="40% - Accent1 2 3 3 3 3 3" xfId="37107"/>
    <cellStyle name="40% - Accent1 2 3 3 3 4" xfId="12005"/>
    <cellStyle name="40% - Accent1 2 3 3 3 4 2" xfId="19521"/>
    <cellStyle name="40% - Accent1 2 3 3 3 4 2 2" xfId="48382"/>
    <cellStyle name="40% - Accent1 2 3 3 3 4 3" xfId="40866"/>
    <cellStyle name="40% - Accent1 2 3 3 3 5" xfId="16841"/>
    <cellStyle name="40% - Accent1 2 3 3 3 5 2" xfId="45702"/>
    <cellStyle name="40% - Accent1 2 3 3 3 6" xfId="31066"/>
    <cellStyle name="40% - Accent1 2 3 3 4" xfId="3134"/>
    <cellStyle name="40% - Accent1 2 3 3 4 2" xfId="9175"/>
    <cellStyle name="40% - Accent1 2 3 3 4 2 2" xfId="26222"/>
    <cellStyle name="40% - Accent1 2 3 3 4 2 2 2" xfId="55083"/>
    <cellStyle name="40% - Accent1 2 3 3 4 2 3" xfId="38036"/>
    <cellStyle name="40% - Accent1 2 3 3 4 3" xfId="20244"/>
    <cellStyle name="40% - Accent1 2 3 3 4 3 2" xfId="49105"/>
    <cellStyle name="40% - Accent1 2 3 3 4 4" xfId="31995"/>
    <cellStyle name="40% - Accent1 2 3 3 5" xfId="6289"/>
    <cellStyle name="40% - Accent1 2 3 3 5 2" xfId="23336"/>
    <cellStyle name="40% - Accent1 2 3 3 5 2 2" xfId="52197"/>
    <cellStyle name="40% - Accent1 2 3 3 5 3" xfId="35150"/>
    <cellStyle name="40% - Accent1 2 3 3 6" xfId="12049"/>
    <cellStyle name="40% - Accent1 2 3 3 6 2" xfId="17667"/>
    <cellStyle name="40% - Accent1 2 3 3 6 2 2" xfId="46528"/>
    <cellStyle name="40% - Accent1 2 3 3 6 3" xfId="40910"/>
    <cellStyle name="40% - Accent1 2 3 3 7" xfId="14884"/>
    <cellStyle name="40% - Accent1 2 3 3 7 2" xfId="43745"/>
    <cellStyle name="40% - Accent1 2 3 3 8" xfId="29109"/>
    <cellStyle name="40% - Accent1 2 3 4" xfId="453"/>
    <cellStyle name="40% - Accent1 2 3 4 2" xfId="3340"/>
    <cellStyle name="40% - Accent1 2 3 4 2 2" xfId="9381"/>
    <cellStyle name="40% - Accent1 2 3 4 2 2 2" xfId="26428"/>
    <cellStyle name="40% - Accent1 2 3 4 2 2 2 2" xfId="55289"/>
    <cellStyle name="40% - Accent1 2 3 4 2 2 3" xfId="38242"/>
    <cellStyle name="40% - Accent1 2 3 4 2 3" xfId="20450"/>
    <cellStyle name="40% - Accent1 2 3 4 2 3 2" xfId="49311"/>
    <cellStyle name="40% - Accent1 2 3 4 2 4" xfId="32201"/>
    <cellStyle name="40% - Accent1 2 3 4 3" xfId="6495"/>
    <cellStyle name="40% - Accent1 2 3 4 3 2" xfId="23542"/>
    <cellStyle name="40% - Accent1 2 3 4 3 2 2" xfId="52403"/>
    <cellStyle name="40% - Accent1 2 3 4 3 3" xfId="35356"/>
    <cellStyle name="40% - Accent1 2 3 4 4" xfId="12157"/>
    <cellStyle name="40% - Accent1 2 3 4 4 2" xfId="17770"/>
    <cellStyle name="40% - Accent1 2 3 4 4 2 2" xfId="46631"/>
    <cellStyle name="40% - Accent1 2 3 4 4 3" xfId="41018"/>
    <cellStyle name="40% - Accent1 2 3 4 5" xfId="15090"/>
    <cellStyle name="40% - Accent1 2 3 4 5 2" xfId="43951"/>
    <cellStyle name="40% - Accent1 2 3 4 6" xfId="29315"/>
    <cellStyle name="40% - Accent1 2 3 5" xfId="762"/>
    <cellStyle name="40% - Accent1 2 3 5 2" xfId="3649"/>
    <cellStyle name="40% - Accent1 2 3 5 2 2" xfId="9690"/>
    <cellStyle name="40% - Accent1 2 3 5 2 2 2" xfId="26737"/>
    <cellStyle name="40% - Accent1 2 3 5 2 2 2 2" xfId="55598"/>
    <cellStyle name="40% - Accent1 2 3 5 2 2 3" xfId="38551"/>
    <cellStyle name="40% - Accent1 2 3 5 2 3" xfId="20759"/>
    <cellStyle name="40% - Accent1 2 3 5 2 3 2" xfId="49620"/>
    <cellStyle name="40% - Accent1 2 3 5 2 4" xfId="32510"/>
    <cellStyle name="40% - Accent1 2 3 5 3" xfId="6804"/>
    <cellStyle name="40% - Accent1 2 3 5 3 2" xfId="23851"/>
    <cellStyle name="40% - Accent1 2 3 5 3 2 2" xfId="52712"/>
    <cellStyle name="40% - Accent1 2 3 5 3 3" xfId="35665"/>
    <cellStyle name="40% - Accent1 2 3 5 4" xfId="12336"/>
    <cellStyle name="40% - Accent1 2 3 5 4 2" xfId="18079"/>
    <cellStyle name="40% - Accent1 2 3 5 4 2 2" xfId="46940"/>
    <cellStyle name="40% - Accent1 2 3 5 4 3" xfId="41197"/>
    <cellStyle name="40% - Accent1 2 3 5 5" xfId="15399"/>
    <cellStyle name="40% - Accent1 2 3 5 5 2" xfId="44260"/>
    <cellStyle name="40% - Accent1 2 3 5 6" xfId="29624"/>
    <cellStyle name="40% - Accent1 2 3 6" xfId="968"/>
    <cellStyle name="40% - Accent1 2 3 6 2" xfId="3855"/>
    <cellStyle name="40% - Accent1 2 3 6 2 2" xfId="9896"/>
    <cellStyle name="40% - Accent1 2 3 6 2 2 2" xfId="26943"/>
    <cellStyle name="40% - Accent1 2 3 6 2 2 2 2" xfId="55804"/>
    <cellStyle name="40% - Accent1 2 3 6 2 2 3" xfId="38757"/>
    <cellStyle name="40% - Accent1 2 3 6 2 3" xfId="20965"/>
    <cellStyle name="40% - Accent1 2 3 6 2 3 2" xfId="49826"/>
    <cellStyle name="40% - Accent1 2 3 6 2 4" xfId="32716"/>
    <cellStyle name="40% - Accent1 2 3 6 3" xfId="7010"/>
    <cellStyle name="40% - Accent1 2 3 6 3 2" xfId="24057"/>
    <cellStyle name="40% - Accent1 2 3 6 3 2 2" xfId="52918"/>
    <cellStyle name="40% - Accent1 2 3 6 3 3" xfId="35871"/>
    <cellStyle name="40% - Accent1 2 3 6 4" xfId="12343"/>
    <cellStyle name="40% - Accent1 2 3 6 4 2" xfId="18285"/>
    <cellStyle name="40% - Accent1 2 3 6 4 2 2" xfId="47146"/>
    <cellStyle name="40% - Accent1 2 3 6 4 3" xfId="41204"/>
    <cellStyle name="40% - Accent1 2 3 6 5" xfId="15605"/>
    <cellStyle name="40% - Accent1 2 3 6 5 2" xfId="44466"/>
    <cellStyle name="40% - Accent1 2 3 6 6" xfId="29830"/>
    <cellStyle name="40% - Accent1 2 3 7" xfId="1174"/>
    <cellStyle name="40% - Accent1 2 3 7 2" xfId="4061"/>
    <cellStyle name="40% - Accent1 2 3 7 2 2" xfId="10102"/>
    <cellStyle name="40% - Accent1 2 3 7 2 2 2" xfId="27149"/>
    <cellStyle name="40% - Accent1 2 3 7 2 2 2 2" xfId="56010"/>
    <cellStyle name="40% - Accent1 2 3 7 2 2 3" xfId="38963"/>
    <cellStyle name="40% - Accent1 2 3 7 2 3" xfId="21171"/>
    <cellStyle name="40% - Accent1 2 3 7 2 3 2" xfId="50032"/>
    <cellStyle name="40% - Accent1 2 3 7 2 4" xfId="32922"/>
    <cellStyle name="40% - Accent1 2 3 7 3" xfId="7216"/>
    <cellStyle name="40% - Accent1 2 3 7 3 2" xfId="24263"/>
    <cellStyle name="40% - Accent1 2 3 7 3 2 2" xfId="53124"/>
    <cellStyle name="40% - Accent1 2 3 7 3 3" xfId="36077"/>
    <cellStyle name="40% - Accent1 2 3 7 4" xfId="12097"/>
    <cellStyle name="40% - Accent1 2 3 7 4 2" xfId="18491"/>
    <cellStyle name="40% - Accent1 2 3 7 4 2 2" xfId="47352"/>
    <cellStyle name="40% - Accent1 2 3 7 4 3" xfId="40958"/>
    <cellStyle name="40% - Accent1 2 3 7 5" xfId="15811"/>
    <cellStyle name="40% - Accent1 2 3 7 5 2" xfId="44672"/>
    <cellStyle name="40% - Accent1 2 3 7 6" xfId="30036"/>
    <cellStyle name="40% - Accent1 2 3 8" xfId="1380"/>
    <cellStyle name="40% - Accent1 2 3 8 2" xfId="4267"/>
    <cellStyle name="40% - Accent1 2 3 8 2 2" xfId="10308"/>
    <cellStyle name="40% - Accent1 2 3 8 2 2 2" xfId="27355"/>
    <cellStyle name="40% - Accent1 2 3 8 2 2 2 2" xfId="56216"/>
    <cellStyle name="40% - Accent1 2 3 8 2 2 3" xfId="39169"/>
    <cellStyle name="40% - Accent1 2 3 8 2 3" xfId="21377"/>
    <cellStyle name="40% - Accent1 2 3 8 2 3 2" xfId="50238"/>
    <cellStyle name="40% - Accent1 2 3 8 2 4" xfId="33128"/>
    <cellStyle name="40% - Accent1 2 3 8 3" xfId="7422"/>
    <cellStyle name="40% - Accent1 2 3 8 3 2" xfId="24469"/>
    <cellStyle name="40% - Accent1 2 3 8 3 2 2" xfId="53330"/>
    <cellStyle name="40% - Accent1 2 3 8 3 3" xfId="36283"/>
    <cellStyle name="40% - Accent1 2 3 8 4" xfId="13353"/>
    <cellStyle name="40% - Accent1 2 3 8 4 2" xfId="18697"/>
    <cellStyle name="40% - Accent1 2 3 8 4 2 2" xfId="47558"/>
    <cellStyle name="40% - Accent1 2 3 8 4 3" xfId="42214"/>
    <cellStyle name="40% - Accent1 2 3 8 5" xfId="16017"/>
    <cellStyle name="40% - Accent1 2 3 8 5 2" xfId="44878"/>
    <cellStyle name="40% - Accent1 2 3 8 6" xfId="30242"/>
    <cellStyle name="40% - Accent1 2 3 9" xfId="1586"/>
    <cellStyle name="40% - Accent1 2 3 9 2" xfId="4473"/>
    <cellStyle name="40% - Accent1 2 3 9 2 2" xfId="10514"/>
    <cellStyle name="40% - Accent1 2 3 9 2 2 2" xfId="27561"/>
    <cellStyle name="40% - Accent1 2 3 9 2 2 2 2" xfId="56422"/>
    <cellStyle name="40% - Accent1 2 3 9 2 2 3" xfId="39375"/>
    <cellStyle name="40% - Accent1 2 3 9 2 3" xfId="21583"/>
    <cellStyle name="40% - Accent1 2 3 9 2 3 2" xfId="50444"/>
    <cellStyle name="40% - Accent1 2 3 9 2 4" xfId="33334"/>
    <cellStyle name="40% - Accent1 2 3 9 3" xfId="7628"/>
    <cellStyle name="40% - Accent1 2 3 9 3 2" xfId="24675"/>
    <cellStyle name="40% - Accent1 2 3 9 3 2 2" xfId="53536"/>
    <cellStyle name="40% - Accent1 2 3 9 3 3" xfId="36489"/>
    <cellStyle name="40% - Accent1 2 3 9 4" xfId="13302"/>
    <cellStyle name="40% - Accent1 2 3 9 4 2" xfId="18903"/>
    <cellStyle name="40% - Accent1 2 3 9 4 2 2" xfId="47764"/>
    <cellStyle name="40% - Accent1 2 3 9 4 3" xfId="42163"/>
    <cellStyle name="40% - Accent1 2 3 9 5" xfId="16223"/>
    <cellStyle name="40% - Accent1 2 3 9 5 2" xfId="45084"/>
    <cellStyle name="40% - Accent1 2 3 9 6" xfId="30448"/>
    <cellStyle name="40% - Accent1 2 4" xfId="298"/>
    <cellStyle name="40% - Accent1 2 4 10" xfId="2461"/>
    <cellStyle name="40% - Accent1 2 4 10 2" xfId="5348"/>
    <cellStyle name="40% - Accent1 2 4 10 2 2" xfId="11389"/>
    <cellStyle name="40% - Accent1 2 4 10 2 2 2" xfId="28436"/>
    <cellStyle name="40% - Accent1 2 4 10 2 2 2 2" xfId="57297"/>
    <cellStyle name="40% - Accent1 2 4 10 2 2 3" xfId="40250"/>
    <cellStyle name="40% - Accent1 2 4 10 2 3" xfId="22458"/>
    <cellStyle name="40% - Accent1 2 4 10 2 3 2" xfId="51319"/>
    <cellStyle name="40% - Accent1 2 4 10 2 4" xfId="34209"/>
    <cellStyle name="40% - Accent1 2 4 10 3" xfId="8503"/>
    <cellStyle name="40% - Accent1 2 4 10 3 2" xfId="25550"/>
    <cellStyle name="40% - Accent1 2 4 10 3 2 2" xfId="54411"/>
    <cellStyle name="40% - Accent1 2 4 10 3 3" xfId="37364"/>
    <cellStyle name="40% - Accent1 2 4 10 4" xfId="12011"/>
    <cellStyle name="40% - Accent1 2 4 10 4 2" xfId="19778"/>
    <cellStyle name="40% - Accent1 2 4 10 4 2 2" xfId="48639"/>
    <cellStyle name="40% - Accent1 2 4 10 4 3" xfId="40872"/>
    <cellStyle name="40% - Accent1 2 4 10 5" xfId="17098"/>
    <cellStyle name="40% - Accent1 2 4 10 5 2" xfId="45959"/>
    <cellStyle name="40% - Accent1 2 4 10 6" xfId="31323"/>
    <cellStyle name="40% - Accent1 2 4 11" xfId="2670"/>
    <cellStyle name="40% - Accent1 2 4 11 2" xfId="5556"/>
    <cellStyle name="40% - Accent1 2 4 11 2 2" xfId="11597"/>
    <cellStyle name="40% - Accent1 2 4 11 2 2 2" xfId="28644"/>
    <cellStyle name="40% - Accent1 2 4 11 2 2 2 2" xfId="57505"/>
    <cellStyle name="40% - Accent1 2 4 11 2 2 3" xfId="40458"/>
    <cellStyle name="40% - Accent1 2 4 11 2 3" xfId="22666"/>
    <cellStyle name="40% - Accent1 2 4 11 2 3 2" xfId="51527"/>
    <cellStyle name="40% - Accent1 2 4 11 2 4" xfId="34417"/>
    <cellStyle name="40% - Accent1 2 4 11 3" xfId="8711"/>
    <cellStyle name="40% - Accent1 2 4 11 3 2" xfId="25758"/>
    <cellStyle name="40% - Accent1 2 4 11 3 2 2" xfId="54619"/>
    <cellStyle name="40% - Accent1 2 4 11 3 3" xfId="37572"/>
    <cellStyle name="40% - Accent1 2 4 11 4" xfId="6079"/>
    <cellStyle name="40% - Accent1 2 4 11 4 2" xfId="19986"/>
    <cellStyle name="40% - Accent1 2 4 11 4 2 2" xfId="48847"/>
    <cellStyle name="40% - Accent1 2 4 11 4 3" xfId="34940"/>
    <cellStyle name="40% - Accent1 2 4 11 5" xfId="17306"/>
    <cellStyle name="40% - Accent1 2 4 11 5 2" xfId="46167"/>
    <cellStyle name="40% - Accent1 2 4 11 6" xfId="31531"/>
    <cellStyle name="40% - Accent1 2 4 12" xfId="3185"/>
    <cellStyle name="40% - Accent1 2 4 12 2" xfId="9226"/>
    <cellStyle name="40% - Accent1 2 4 12 2 2" xfId="26273"/>
    <cellStyle name="40% - Accent1 2 4 12 2 2 2" xfId="55134"/>
    <cellStyle name="40% - Accent1 2 4 12 2 3" xfId="38087"/>
    <cellStyle name="40% - Accent1 2 4 12 3" xfId="14460"/>
    <cellStyle name="40% - Accent1 2 4 12 3 2" xfId="20295"/>
    <cellStyle name="40% - Accent1 2 4 12 3 2 2" xfId="49156"/>
    <cellStyle name="40% - Accent1 2 4 12 3 3" xfId="43321"/>
    <cellStyle name="40% - Accent1 2 4 12 4" xfId="14935"/>
    <cellStyle name="40% - Accent1 2 4 12 4 2" xfId="43796"/>
    <cellStyle name="40% - Accent1 2 4 12 5" xfId="32046"/>
    <cellStyle name="40% - Accent1 2 4 13" xfId="2876"/>
    <cellStyle name="40% - Accent1 2 4 13 2" xfId="8917"/>
    <cellStyle name="40% - Accent1 2 4 13 2 2" xfId="25964"/>
    <cellStyle name="40% - Accent1 2 4 13 2 2 2" xfId="54825"/>
    <cellStyle name="40% - Accent1 2 4 13 2 3" xfId="37778"/>
    <cellStyle name="40% - Accent1 2 4 13 3" xfId="17512"/>
    <cellStyle name="40% - Accent1 2 4 13 3 2" xfId="46373"/>
    <cellStyle name="40% - Accent1 2 4 13 4" xfId="31737"/>
    <cellStyle name="40% - Accent1 2 4 14" xfId="5762"/>
    <cellStyle name="40% - Accent1 2 4 14 2" xfId="11803"/>
    <cellStyle name="40% - Accent1 2 4 14 2 2" xfId="28850"/>
    <cellStyle name="40% - Accent1 2 4 14 2 2 2" xfId="57711"/>
    <cellStyle name="40% - Accent1 2 4 14 2 3" xfId="40664"/>
    <cellStyle name="40% - Accent1 2 4 14 3" xfId="22872"/>
    <cellStyle name="40% - Accent1 2 4 14 3 2" xfId="51733"/>
    <cellStyle name="40% - Accent1 2 4 14 4" xfId="34623"/>
    <cellStyle name="40% - Accent1 2 4 15" xfId="5979"/>
    <cellStyle name="40% - Accent1 2 4 15 2" xfId="23078"/>
    <cellStyle name="40% - Accent1 2 4 15 2 2" xfId="51939"/>
    <cellStyle name="40% - Accent1 2 4 15 3" xfId="34840"/>
    <cellStyle name="40% - Accent1 2 4 16" xfId="6340"/>
    <cellStyle name="40% - Accent1 2 4 16 2" xfId="23387"/>
    <cellStyle name="40% - Accent1 2 4 16 2 2" xfId="52248"/>
    <cellStyle name="40% - Accent1 2 4 16 3" xfId="35201"/>
    <cellStyle name="40% - Accent1 2 4 17" xfId="14626"/>
    <cellStyle name="40% - Accent1 2 4 17 2" xfId="43487"/>
    <cellStyle name="40% - Accent1 2 4 18" xfId="29160"/>
    <cellStyle name="40% - Accent1 2 4 2" xfId="504"/>
    <cellStyle name="40% - Accent1 2 4 2 2" xfId="2255"/>
    <cellStyle name="40% - Accent1 2 4 2 2 2" xfId="5142"/>
    <cellStyle name="40% - Accent1 2 4 2 2 2 2" xfId="11183"/>
    <cellStyle name="40% - Accent1 2 4 2 2 2 2 2" xfId="28230"/>
    <cellStyle name="40% - Accent1 2 4 2 2 2 2 2 2" xfId="57091"/>
    <cellStyle name="40% - Accent1 2 4 2 2 2 2 3" xfId="40044"/>
    <cellStyle name="40% - Accent1 2 4 2 2 2 3" xfId="22252"/>
    <cellStyle name="40% - Accent1 2 4 2 2 2 3 2" xfId="51113"/>
    <cellStyle name="40% - Accent1 2 4 2 2 2 4" xfId="34003"/>
    <cellStyle name="40% - Accent1 2 4 2 2 3" xfId="8297"/>
    <cellStyle name="40% - Accent1 2 4 2 2 3 2" xfId="25344"/>
    <cellStyle name="40% - Accent1 2 4 2 2 3 2 2" xfId="54205"/>
    <cellStyle name="40% - Accent1 2 4 2 2 3 3" xfId="37158"/>
    <cellStyle name="40% - Accent1 2 4 2 2 4" xfId="13426"/>
    <cellStyle name="40% - Accent1 2 4 2 2 4 2" xfId="19572"/>
    <cellStyle name="40% - Accent1 2 4 2 2 4 2 2" xfId="48433"/>
    <cellStyle name="40% - Accent1 2 4 2 2 4 3" xfId="42287"/>
    <cellStyle name="40% - Accent1 2 4 2 2 5" xfId="16892"/>
    <cellStyle name="40% - Accent1 2 4 2 2 5 2" xfId="45753"/>
    <cellStyle name="40% - Accent1 2 4 2 2 6" xfId="31117"/>
    <cellStyle name="40% - Accent1 2 4 2 3" xfId="3391"/>
    <cellStyle name="40% - Accent1 2 4 2 3 2" xfId="9432"/>
    <cellStyle name="40% - Accent1 2 4 2 3 2 2" xfId="26479"/>
    <cellStyle name="40% - Accent1 2 4 2 3 2 2 2" xfId="55340"/>
    <cellStyle name="40% - Accent1 2 4 2 3 2 3" xfId="38293"/>
    <cellStyle name="40% - Accent1 2 4 2 3 3" xfId="20501"/>
    <cellStyle name="40% - Accent1 2 4 2 3 3 2" xfId="49362"/>
    <cellStyle name="40% - Accent1 2 4 2 3 4" xfId="32252"/>
    <cellStyle name="40% - Accent1 2 4 2 4" xfId="6546"/>
    <cellStyle name="40% - Accent1 2 4 2 4 2" xfId="23593"/>
    <cellStyle name="40% - Accent1 2 4 2 4 2 2" xfId="52454"/>
    <cellStyle name="40% - Accent1 2 4 2 4 3" xfId="35407"/>
    <cellStyle name="40% - Accent1 2 4 2 5" xfId="11953"/>
    <cellStyle name="40% - Accent1 2 4 2 5 2" xfId="17821"/>
    <cellStyle name="40% - Accent1 2 4 2 5 2 2" xfId="46682"/>
    <cellStyle name="40% - Accent1 2 4 2 5 3" xfId="40814"/>
    <cellStyle name="40% - Accent1 2 4 2 6" xfId="15141"/>
    <cellStyle name="40% - Accent1 2 4 2 6 2" xfId="44002"/>
    <cellStyle name="40% - Accent1 2 4 2 7" xfId="29366"/>
    <cellStyle name="40% - Accent1 2 4 3" xfId="813"/>
    <cellStyle name="40% - Accent1 2 4 3 2" xfId="3700"/>
    <cellStyle name="40% - Accent1 2 4 3 2 2" xfId="9741"/>
    <cellStyle name="40% - Accent1 2 4 3 2 2 2" xfId="26788"/>
    <cellStyle name="40% - Accent1 2 4 3 2 2 2 2" xfId="55649"/>
    <cellStyle name="40% - Accent1 2 4 3 2 2 3" xfId="38602"/>
    <cellStyle name="40% - Accent1 2 4 3 2 3" xfId="20810"/>
    <cellStyle name="40% - Accent1 2 4 3 2 3 2" xfId="49671"/>
    <cellStyle name="40% - Accent1 2 4 3 2 4" xfId="32561"/>
    <cellStyle name="40% - Accent1 2 4 3 3" xfId="6855"/>
    <cellStyle name="40% - Accent1 2 4 3 3 2" xfId="23902"/>
    <cellStyle name="40% - Accent1 2 4 3 3 2 2" xfId="52763"/>
    <cellStyle name="40% - Accent1 2 4 3 3 3" xfId="35716"/>
    <cellStyle name="40% - Accent1 2 4 3 4" xfId="12279"/>
    <cellStyle name="40% - Accent1 2 4 3 4 2" xfId="18130"/>
    <cellStyle name="40% - Accent1 2 4 3 4 2 2" xfId="46991"/>
    <cellStyle name="40% - Accent1 2 4 3 4 3" xfId="41140"/>
    <cellStyle name="40% - Accent1 2 4 3 5" xfId="15450"/>
    <cellStyle name="40% - Accent1 2 4 3 5 2" xfId="44311"/>
    <cellStyle name="40% - Accent1 2 4 3 6" xfId="29675"/>
    <cellStyle name="40% - Accent1 2 4 4" xfId="1019"/>
    <cellStyle name="40% - Accent1 2 4 4 2" xfId="3906"/>
    <cellStyle name="40% - Accent1 2 4 4 2 2" xfId="9947"/>
    <cellStyle name="40% - Accent1 2 4 4 2 2 2" xfId="26994"/>
    <cellStyle name="40% - Accent1 2 4 4 2 2 2 2" xfId="55855"/>
    <cellStyle name="40% - Accent1 2 4 4 2 2 3" xfId="38808"/>
    <cellStyle name="40% - Accent1 2 4 4 2 3" xfId="21016"/>
    <cellStyle name="40% - Accent1 2 4 4 2 3 2" xfId="49877"/>
    <cellStyle name="40% - Accent1 2 4 4 2 4" xfId="32767"/>
    <cellStyle name="40% - Accent1 2 4 4 3" xfId="7061"/>
    <cellStyle name="40% - Accent1 2 4 4 3 2" xfId="24108"/>
    <cellStyle name="40% - Accent1 2 4 4 3 2 2" xfId="52969"/>
    <cellStyle name="40% - Accent1 2 4 4 3 3" xfId="35922"/>
    <cellStyle name="40% - Accent1 2 4 4 4" xfId="13598"/>
    <cellStyle name="40% - Accent1 2 4 4 4 2" xfId="18336"/>
    <cellStyle name="40% - Accent1 2 4 4 4 2 2" xfId="47197"/>
    <cellStyle name="40% - Accent1 2 4 4 4 3" xfId="42459"/>
    <cellStyle name="40% - Accent1 2 4 4 5" xfId="15656"/>
    <cellStyle name="40% - Accent1 2 4 4 5 2" xfId="44517"/>
    <cellStyle name="40% - Accent1 2 4 4 6" xfId="29881"/>
    <cellStyle name="40% - Accent1 2 4 5" xfId="1225"/>
    <cellStyle name="40% - Accent1 2 4 5 2" xfId="4112"/>
    <cellStyle name="40% - Accent1 2 4 5 2 2" xfId="10153"/>
    <cellStyle name="40% - Accent1 2 4 5 2 2 2" xfId="27200"/>
    <cellStyle name="40% - Accent1 2 4 5 2 2 2 2" xfId="56061"/>
    <cellStyle name="40% - Accent1 2 4 5 2 2 3" xfId="39014"/>
    <cellStyle name="40% - Accent1 2 4 5 2 3" xfId="21222"/>
    <cellStyle name="40% - Accent1 2 4 5 2 3 2" xfId="50083"/>
    <cellStyle name="40% - Accent1 2 4 5 2 4" xfId="32973"/>
    <cellStyle name="40% - Accent1 2 4 5 3" xfId="7267"/>
    <cellStyle name="40% - Accent1 2 4 5 3 2" xfId="24314"/>
    <cellStyle name="40% - Accent1 2 4 5 3 2 2" xfId="53175"/>
    <cellStyle name="40% - Accent1 2 4 5 3 3" xfId="36128"/>
    <cellStyle name="40% - Accent1 2 4 5 4" xfId="12672"/>
    <cellStyle name="40% - Accent1 2 4 5 4 2" xfId="18542"/>
    <cellStyle name="40% - Accent1 2 4 5 4 2 2" xfId="47403"/>
    <cellStyle name="40% - Accent1 2 4 5 4 3" xfId="41533"/>
    <cellStyle name="40% - Accent1 2 4 5 5" xfId="15862"/>
    <cellStyle name="40% - Accent1 2 4 5 5 2" xfId="44723"/>
    <cellStyle name="40% - Accent1 2 4 5 6" xfId="30087"/>
    <cellStyle name="40% - Accent1 2 4 6" xfId="1431"/>
    <cellStyle name="40% - Accent1 2 4 6 2" xfId="4318"/>
    <cellStyle name="40% - Accent1 2 4 6 2 2" xfId="10359"/>
    <cellStyle name="40% - Accent1 2 4 6 2 2 2" xfId="27406"/>
    <cellStyle name="40% - Accent1 2 4 6 2 2 2 2" xfId="56267"/>
    <cellStyle name="40% - Accent1 2 4 6 2 2 3" xfId="39220"/>
    <cellStyle name="40% - Accent1 2 4 6 2 3" xfId="21428"/>
    <cellStyle name="40% - Accent1 2 4 6 2 3 2" xfId="50289"/>
    <cellStyle name="40% - Accent1 2 4 6 2 4" xfId="33179"/>
    <cellStyle name="40% - Accent1 2 4 6 3" xfId="7473"/>
    <cellStyle name="40% - Accent1 2 4 6 3 2" xfId="24520"/>
    <cellStyle name="40% - Accent1 2 4 6 3 2 2" xfId="53381"/>
    <cellStyle name="40% - Accent1 2 4 6 3 3" xfId="36334"/>
    <cellStyle name="40% - Accent1 2 4 6 4" xfId="11929"/>
    <cellStyle name="40% - Accent1 2 4 6 4 2" xfId="18748"/>
    <cellStyle name="40% - Accent1 2 4 6 4 2 2" xfId="47609"/>
    <cellStyle name="40% - Accent1 2 4 6 4 3" xfId="40790"/>
    <cellStyle name="40% - Accent1 2 4 6 5" xfId="16068"/>
    <cellStyle name="40% - Accent1 2 4 6 5 2" xfId="44929"/>
    <cellStyle name="40% - Accent1 2 4 6 6" xfId="30293"/>
    <cellStyle name="40% - Accent1 2 4 7" xfId="1637"/>
    <cellStyle name="40% - Accent1 2 4 7 2" xfId="4524"/>
    <cellStyle name="40% - Accent1 2 4 7 2 2" xfId="10565"/>
    <cellStyle name="40% - Accent1 2 4 7 2 2 2" xfId="27612"/>
    <cellStyle name="40% - Accent1 2 4 7 2 2 2 2" xfId="56473"/>
    <cellStyle name="40% - Accent1 2 4 7 2 2 3" xfId="39426"/>
    <cellStyle name="40% - Accent1 2 4 7 2 3" xfId="21634"/>
    <cellStyle name="40% - Accent1 2 4 7 2 3 2" xfId="50495"/>
    <cellStyle name="40% - Accent1 2 4 7 2 4" xfId="33385"/>
    <cellStyle name="40% - Accent1 2 4 7 3" xfId="7679"/>
    <cellStyle name="40% - Accent1 2 4 7 3 2" xfId="24726"/>
    <cellStyle name="40% - Accent1 2 4 7 3 2 2" xfId="53587"/>
    <cellStyle name="40% - Accent1 2 4 7 3 3" xfId="36540"/>
    <cellStyle name="40% - Accent1 2 4 7 4" xfId="12234"/>
    <cellStyle name="40% - Accent1 2 4 7 4 2" xfId="18954"/>
    <cellStyle name="40% - Accent1 2 4 7 4 2 2" xfId="47815"/>
    <cellStyle name="40% - Accent1 2 4 7 4 3" xfId="41095"/>
    <cellStyle name="40% - Accent1 2 4 7 5" xfId="16274"/>
    <cellStyle name="40% - Accent1 2 4 7 5 2" xfId="45135"/>
    <cellStyle name="40% - Accent1 2 4 7 6" xfId="30499"/>
    <cellStyle name="40% - Accent1 2 4 8" xfId="1843"/>
    <cellStyle name="40% - Accent1 2 4 8 2" xfId="4730"/>
    <cellStyle name="40% - Accent1 2 4 8 2 2" xfId="10771"/>
    <cellStyle name="40% - Accent1 2 4 8 2 2 2" xfId="27818"/>
    <cellStyle name="40% - Accent1 2 4 8 2 2 2 2" xfId="56679"/>
    <cellStyle name="40% - Accent1 2 4 8 2 2 3" xfId="39632"/>
    <cellStyle name="40% - Accent1 2 4 8 2 3" xfId="21840"/>
    <cellStyle name="40% - Accent1 2 4 8 2 3 2" xfId="50701"/>
    <cellStyle name="40% - Accent1 2 4 8 2 4" xfId="33591"/>
    <cellStyle name="40% - Accent1 2 4 8 3" xfId="7885"/>
    <cellStyle name="40% - Accent1 2 4 8 3 2" xfId="24932"/>
    <cellStyle name="40% - Accent1 2 4 8 3 2 2" xfId="53793"/>
    <cellStyle name="40% - Accent1 2 4 8 3 3" xfId="36746"/>
    <cellStyle name="40% - Accent1 2 4 8 4" xfId="12791"/>
    <cellStyle name="40% - Accent1 2 4 8 4 2" xfId="19160"/>
    <cellStyle name="40% - Accent1 2 4 8 4 2 2" xfId="48021"/>
    <cellStyle name="40% - Accent1 2 4 8 4 3" xfId="41652"/>
    <cellStyle name="40% - Accent1 2 4 8 5" xfId="16480"/>
    <cellStyle name="40% - Accent1 2 4 8 5 2" xfId="45341"/>
    <cellStyle name="40% - Accent1 2 4 8 6" xfId="30705"/>
    <cellStyle name="40% - Accent1 2 4 9" xfId="2049"/>
    <cellStyle name="40% - Accent1 2 4 9 2" xfId="4936"/>
    <cellStyle name="40% - Accent1 2 4 9 2 2" xfId="10977"/>
    <cellStyle name="40% - Accent1 2 4 9 2 2 2" xfId="28024"/>
    <cellStyle name="40% - Accent1 2 4 9 2 2 2 2" xfId="56885"/>
    <cellStyle name="40% - Accent1 2 4 9 2 2 3" xfId="39838"/>
    <cellStyle name="40% - Accent1 2 4 9 2 3" xfId="22046"/>
    <cellStyle name="40% - Accent1 2 4 9 2 3 2" xfId="50907"/>
    <cellStyle name="40% - Accent1 2 4 9 2 4" xfId="33797"/>
    <cellStyle name="40% - Accent1 2 4 9 3" xfId="8091"/>
    <cellStyle name="40% - Accent1 2 4 9 3 2" xfId="25138"/>
    <cellStyle name="40% - Accent1 2 4 9 3 2 2" xfId="53999"/>
    <cellStyle name="40% - Accent1 2 4 9 3 3" xfId="36952"/>
    <cellStyle name="40% - Accent1 2 4 9 4" xfId="13060"/>
    <cellStyle name="40% - Accent1 2 4 9 4 2" xfId="19366"/>
    <cellStyle name="40% - Accent1 2 4 9 4 2 2" xfId="48227"/>
    <cellStyle name="40% - Accent1 2 4 9 4 3" xfId="41921"/>
    <cellStyle name="40% - Accent1 2 4 9 5" xfId="16686"/>
    <cellStyle name="40% - Accent1 2 4 9 5 2" xfId="45547"/>
    <cellStyle name="40% - Accent1 2 4 9 6" xfId="30911"/>
    <cellStyle name="40% - Accent1 2 5" xfId="195"/>
    <cellStyle name="40% - Accent1 2 5 2" xfId="607"/>
    <cellStyle name="40% - Accent1 2 5 2 2" xfId="3494"/>
    <cellStyle name="40% - Accent1 2 5 2 2 2" xfId="9535"/>
    <cellStyle name="40% - Accent1 2 5 2 2 2 2" xfId="26582"/>
    <cellStyle name="40% - Accent1 2 5 2 2 2 2 2" xfId="55443"/>
    <cellStyle name="40% - Accent1 2 5 2 2 2 3" xfId="38396"/>
    <cellStyle name="40% - Accent1 2 5 2 2 3" xfId="20604"/>
    <cellStyle name="40% - Accent1 2 5 2 2 3 2" xfId="49465"/>
    <cellStyle name="40% - Accent1 2 5 2 2 4" xfId="32355"/>
    <cellStyle name="40% - Accent1 2 5 2 3" xfId="6649"/>
    <cellStyle name="40% - Accent1 2 5 2 3 2" xfId="23696"/>
    <cellStyle name="40% - Accent1 2 5 2 3 2 2" xfId="52557"/>
    <cellStyle name="40% - Accent1 2 5 2 3 3" xfId="35510"/>
    <cellStyle name="40% - Accent1 2 5 2 4" xfId="13764"/>
    <cellStyle name="40% - Accent1 2 5 2 4 2" xfId="17924"/>
    <cellStyle name="40% - Accent1 2 5 2 4 2 2" xfId="46785"/>
    <cellStyle name="40% - Accent1 2 5 2 4 3" xfId="42625"/>
    <cellStyle name="40% - Accent1 2 5 2 5" xfId="15244"/>
    <cellStyle name="40% - Accent1 2 5 2 5 2" xfId="44105"/>
    <cellStyle name="40% - Accent1 2 5 2 6" xfId="29469"/>
    <cellStyle name="40% - Accent1 2 5 3" xfId="2152"/>
    <cellStyle name="40% - Accent1 2 5 3 2" xfId="5039"/>
    <cellStyle name="40% - Accent1 2 5 3 2 2" xfId="11080"/>
    <cellStyle name="40% - Accent1 2 5 3 2 2 2" xfId="28127"/>
    <cellStyle name="40% - Accent1 2 5 3 2 2 2 2" xfId="56988"/>
    <cellStyle name="40% - Accent1 2 5 3 2 2 3" xfId="39941"/>
    <cellStyle name="40% - Accent1 2 5 3 2 3" xfId="22149"/>
    <cellStyle name="40% - Accent1 2 5 3 2 3 2" xfId="51010"/>
    <cellStyle name="40% - Accent1 2 5 3 2 4" xfId="33900"/>
    <cellStyle name="40% - Accent1 2 5 3 3" xfId="8194"/>
    <cellStyle name="40% - Accent1 2 5 3 3 2" xfId="25241"/>
    <cellStyle name="40% - Accent1 2 5 3 3 2 2" xfId="54102"/>
    <cellStyle name="40% - Accent1 2 5 3 3 3" xfId="37055"/>
    <cellStyle name="40% - Accent1 2 5 3 4" xfId="11917"/>
    <cellStyle name="40% - Accent1 2 5 3 4 2" xfId="19469"/>
    <cellStyle name="40% - Accent1 2 5 3 4 2 2" xfId="48330"/>
    <cellStyle name="40% - Accent1 2 5 3 4 3" xfId="40778"/>
    <cellStyle name="40% - Accent1 2 5 3 5" xfId="16789"/>
    <cellStyle name="40% - Accent1 2 5 3 5 2" xfId="45650"/>
    <cellStyle name="40% - Accent1 2 5 3 6" xfId="31014"/>
    <cellStyle name="40% - Accent1 2 5 4" xfId="3082"/>
    <cellStyle name="40% - Accent1 2 5 4 2" xfId="9123"/>
    <cellStyle name="40% - Accent1 2 5 4 2 2" xfId="26170"/>
    <cellStyle name="40% - Accent1 2 5 4 2 2 2" xfId="55031"/>
    <cellStyle name="40% - Accent1 2 5 4 2 3" xfId="37984"/>
    <cellStyle name="40% - Accent1 2 5 4 3" xfId="20192"/>
    <cellStyle name="40% - Accent1 2 5 4 3 2" xfId="49053"/>
    <cellStyle name="40% - Accent1 2 5 4 4" xfId="31943"/>
    <cellStyle name="40% - Accent1 2 5 5" xfId="6237"/>
    <cellStyle name="40% - Accent1 2 5 5 2" xfId="23284"/>
    <cellStyle name="40% - Accent1 2 5 5 2 2" xfId="52145"/>
    <cellStyle name="40% - Accent1 2 5 5 3" xfId="35098"/>
    <cellStyle name="40% - Accent1 2 5 6" xfId="14146"/>
    <cellStyle name="40% - Accent1 2 5 6 2" xfId="17615"/>
    <cellStyle name="40% - Accent1 2 5 6 2 2" xfId="46476"/>
    <cellStyle name="40% - Accent1 2 5 6 3" xfId="43007"/>
    <cellStyle name="40% - Accent1 2 5 7" xfId="14832"/>
    <cellStyle name="40% - Accent1 2 5 7 2" xfId="43693"/>
    <cellStyle name="40% - Accent1 2 5 8" xfId="29057"/>
    <cellStyle name="40% - Accent1 2 6" xfId="401"/>
    <cellStyle name="40% - Accent1 2 6 2" xfId="3288"/>
    <cellStyle name="40% - Accent1 2 6 2 2" xfId="9329"/>
    <cellStyle name="40% - Accent1 2 6 2 2 2" xfId="26376"/>
    <cellStyle name="40% - Accent1 2 6 2 2 2 2" xfId="55237"/>
    <cellStyle name="40% - Accent1 2 6 2 2 3" xfId="38190"/>
    <cellStyle name="40% - Accent1 2 6 2 3" xfId="20398"/>
    <cellStyle name="40% - Accent1 2 6 2 3 2" xfId="49259"/>
    <cellStyle name="40% - Accent1 2 6 2 4" xfId="32149"/>
    <cellStyle name="40% - Accent1 2 6 3" xfId="6443"/>
    <cellStyle name="40% - Accent1 2 6 3 2" xfId="23490"/>
    <cellStyle name="40% - Accent1 2 6 3 2 2" xfId="52351"/>
    <cellStyle name="40% - Accent1 2 6 3 3" xfId="35304"/>
    <cellStyle name="40% - Accent1 2 6 4" xfId="12542"/>
    <cellStyle name="40% - Accent1 2 6 4 2" xfId="17718"/>
    <cellStyle name="40% - Accent1 2 6 4 2 2" xfId="46579"/>
    <cellStyle name="40% - Accent1 2 6 4 3" xfId="41403"/>
    <cellStyle name="40% - Accent1 2 6 5" xfId="15038"/>
    <cellStyle name="40% - Accent1 2 6 5 2" xfId="43899"/>
    <cellStyle name="40% - Accent1 2 6 6" xfId="29263"/>
    <cellStyle name="40% - Accent1 2 7" xfId="710"/>
    <cellStyle name="40% - Accent1 2 7 2" xfId="3597"/>
    <cellStyle name="40% - Accent1 2 7 2 2" xfId="9638"/>
    <cellStyle name="40% - Accent1 2 7 2 2 2" xfId="26685"/>
    <cellStyle name="40% - Accent1 2 7 2 2 2 2" xfId="55546"/>
    <cellStyle name="40% - Accent1 2 7 2 2 3" xfId="38499"/>
    <cellStyle name="40% - Accent1 2 7 2 3" xfId="20707"/>
    <cellStyle name="40% - Accent1 2 7 2 3 2" xfId="49568"/>
    <cellStyle name="40% - Accent1 2 7 2 4" xfId="32458"/>
    <cellStyle name="40% - Accent1 2 7 3" xfId="6752"/>
    <cellStyle name="40% - Accent1 2 7 3 2" xfId="23799"/>
    <cellStyle name="40% - Accent1 2 7 3 2 2" xfId="52660"/>
    <cellStyle name="40% - Accent1 2 7 3 3" xfId="35613"/>
    <cellStyle name="40% - Accent1 2 7 4" xfId="14134"/>
    <cellStyle name="40% - Accent1 2 7 4 2" xfId="18027"/>
    <cellStyle name="40% - Accent1 2 7 4 2 2" xfId="46888"/>
    <cellStyle name="40% - Accent1 2 7 4 3" xfId="42995"/>
    <cellStyle name="40% - Accent1 2 7 5" xfId="15347"/>
    <cellStyle name="40% - Accent1 2 7 5 2" xfId="44208"/>
    <cellStyle name="40% - Accent1 2 7 6" xfId="29572"/>
    <cellStyle name="40% - Accent1 2 8" xfId="916"/>
    <cellStyle name="40% - Accent1 2 8 2" xfId="3803"/>
    <cellStyle name="40% - Accent1 2 8 2 2" xfId="9844"/>
    <cellStyle name="40% - Accent1 2 8 2 2 2" xfId="26891"/>
    <cellStyle name="40% - Accent1 2 8 2 2 2 2" xfId="55752"/>
    <cellStyle name="40% - Accent1 2 8 2 2 3" xfId="38705"/>
    <cellStyle name="40% - Accent1 2 8 2 3" xfId="20913"/>
    <cellStyle name="40% - Accent1 2 8 2 3 2" xfId="49774"/>
    <cellStyle name="40% - Accent1 2 8 2 4" xfId="32664"/>
    <cellStyle name="40% - Accent1 2 8 3" xfId="6958"/>
    <cellStyle name="40% - Accent1 2 8 3 2" xfId="24005"/>
    <cellStyle name="40% - Accent1 2 8 3 2 2" xfId="52866"/>
    <cellStyle name="40% - Accent1 2 8 3 3" xfId="35819"/>
    <cellStyle name="40% - Accent1 2 8 4" xfId="13640"/>
    <cellStyle name="40% - Accent1 2 8 4 2" xfId="18233"/>
    <cellStyle name="40% - Accent1 2 8 4 2 2" xfId="47094"/>
    <cellStyle name="40% - Accent1 2 8 4 3" xfId="42501"/>
    <cellStyle name="40% - Accent1 2 8 5" xfId="15553"/>
    <cellStyle name="40% - Accent1 2 8 5 2" xfId="44414"/>
    <cellStyle name="40% - Accent1 2 8 6" xfId="29778"/>
    <cellStyle name="40% - Accent1 2 9" xfId="1122"/>
    <cellStyle name="40% - Accent1 2 9 2" xfId="4009"/>
    <cellStyle name="40% - Accent1 2 9 2 2" xfId="10050"/>
    <cellStyle name="40% - Accent1 2 9 2 2 2" xfId="27097"/>
    <cellStyle name="40% - Accent1 2 9 2 2 2 2" xfId="55958"/>
    <cellStyle name="40% - Accent1 2 9 2 2 3" xfId="38911"/>
    <cellStyle name="40% - Accent1 2 9 2 3" xfId="21119"/>
    <cellStyle name="40% - Accent1 2 9 2 3 2" xfId="49980"/>
    <cellStyle name="40% - Accent1 2 9 2 4" xfId="32870"/>
    <cellStyle name="40% - Accent1 2 9 3" xfId="7164"/>
    <cellStyle name="40% - Accent1 2 9 3 2" xfId="24211"/>
    <cellStyle name="40% - Accent1 2 9 3 2 2" xfId="53072"/>
    <cellStyle name="40% - Accent1 2 9 3 3" xfId="36025"/>
    <cellStyle name="40% - Accent1 2 9 4" xfId="12529"/>
    <cellStyle name="40% - Accent1 2 9 4 2" xfId="18439"/>
    <cellStyle name="40% - Accent1 2 9 4 2 2" xfId="47300"/>
    <cellStyle name="40% - Accent1 2 9 4 3" xfId="41390"/>
    <cellStyle name="40% - Accent1 2 9 5" xfId="15759"/>
    <cellStyle name="40% - Accent1 2 9 5 2" xfId="44620"/>
    <cellStyle name="40% - Accent1 2 9 6" xfId="29984"/>
    <cellStyle name="40% - Accent1 20" xfId="5860"/>
    <cellStyle name="40% - Accent1 20 2" xfId="22961"/>
    <cellStyle name="40% - Accent1 20 2 2" xfId="51822"/>
    <cellStyle name="40% - Accent1 20 3" xfId="34721"/>
    <cellStyle name="40% - Accent1 21" xfId="6120"/>
    <cellStyle name="40% - Accent1 21 2" xfId="23167"/>
    <cellStyle name="40% - Accent1 21 2 2" xfId="52028"/>
    <cellStyle name="40% - Accent1 21 3" xfId="34981"/>
    <cellStyle name="40% - Accent1 22" xfId="14509"/>
    <cellStyle name="40% - Accent1 22 2" xfId="43370"/>
    <cellStyle name="40% - Accent1 23" xfId="28940"/>
    <cellStyle name="40% - Accent1 3" xfId="105"/>
    <cellStyle name="40% - Accent1 3 10" xfId="1753"/>
    <cellStyle name="40% - Accent1 3 10 2" xfId="4640"/>
    <cellStyle name="40% - Accent1 3 10 2 2" xfId="10681"/>
    <cellStyle name="40% - Accent1 3 10 2 2 2" xfId="27728"/>
    <cellStyle name="40% - Accent1 3 10 2 2 2 2" xfId="56589"/>
    <cellStyle name="40% - Accent1 3 10 2 2 3" xfId="39542"/>
    <cellStyle name="40% - Accent1 3 10 2 3" xfId="21750"/>
    <cellStyle name="40% - Accent1 3 10 2 3 2" xfId="50611"/>
    <cellStyle name="40% - Accent1 3 10 2 4" xfId="33501"/>
    <cellStyle name="40% - Accent1 3 10 3" xfId="7795"/>
    <cellStyle name="40% - Accent1 3 10 3 2" xfId="24842"/>
    <cellStyle name="40% - Accent1 3 10 3 2 2" xfId="53703"/>
    <cellStyle name="40% - Accent1 3 10 3 3" xfId="36656"/>
    <cellStyle name="40% - Accent1 3 10 4" xfId="13939"/>
    <cellStyle name="40% - Accent1 3 10 4 2" xfId="19070"/>
    <cellStyle name="40% - Accent1 3 10 4 2 2" xfId="47931"/>
    <cellStyle name="40% - Accent1 3 10 4 3" xfId="42800"/>
    <cellStyle name="40% - Accent1 3 10 5" xfId="16390"/>
    <cellStyle name="40% - Accent1 3 10 5 2" xfId="45251"/>
    <cellStyle name="40% - Accent1 3 10 6" xfId="30615"/>
    <cellStyle name="40% - Accent1 3 11" xfId="1959"/>
    <cellStyle name="40% - Accent1 3 11 2" xfId="4846"/>
    <cellStyle name="40% - Accent1 3 11 2 2" xfId="10887"/>
    <cellStyle name="40% - Accent1 3 11 2 2 2" xfId="27934"/>
    <cellStyle name="40% - Accent1 3 11 2 2 2 2" xfId="56795"/>
    <cellStyle name="40% - Accent1 3 11 2 2 3" xfId="39748"/>
    <cellStyle name="40% - Accent1 3 11 2 3" xfId="21956"/>
    <cellStyle name="40% - Accent1 3 11 2 3 2" xfId="50817"/>
    <cellStyle name="40% - Accent1 3 11 2 4" xfId="33707"/>
    <cellStyle name="40% - Accent1 3 11 3" xfId="8001"/>
    <cellStyle name="40% - Accent1 3 11 3 2" xfId="25048"/>
    <cellStyle name="40% - Accent1 3 11 3 2 2" xfId="53909"/>
    <cellStyle name="40% - Accent1 3 11 3 3" xfId="36862"/>
    <cellStyle name="40% - Accent1 3 11 4" xfId="12166"/>
    <cellStyle name="40% - Accent1 3 11 4 2" xfId="19276"/>
    <cellStyle name="40% - Accent1 3 11 4 2 2" xfId="48137"/>
    <cellStyle name="40% - Accent1 3 11 4 3" xfId="41027"/>
    <cellStyle name="40% - Accent1 3 11 5" xfId="16596"/>
    <cellStyle name="40% - Accent1 3 11 5 2" xfId="45457"/>
    <cellStyle name="40% - Accent1 3 11 6" xfId="30821"/>
    <cellStyle name="40% - Accent1 3 12" xfId="2371"/>
    <cellStyle name="40% - Accent1 3 12 2" xfId="5258"/>
    <cellStyle name="40% - Accent1 3 12 2 2" xfId="11299"/>
    <cellStyle name="40% - Accent1 3 12 2 2 2" xfId="28346"/>
    <cellStyle name="40% - Accent1 3 12 2 2 2 2" xfId="57207"/>
    <cellStyle name="40% - Accent1 3 12 2 2 3" xfId="40160"/>
    <cellStyle name="40% - Accent1 3 12 2 3" xfId="22368"/>
    <cellStyle name="40% - Accent1 3 12 2 3 2" xfId="51229"/>
    <cellStyle name="40% - Accent1 3 12 2 4" xfId="34119"/>
    <cellStyle name="40% - Accent1 3 12 3" xfId="8413"/>
    <cellStyle name="40% - Accent1 3 12 3 2" xfId="25460"/>
    <cellStyle name="40% - Accent1 3 12 3 2 2" xfId="54321"/>
    <cellStyle name="40% - Accent1 3 12 3 3" xfId="37274"/>
    <cellStyle name="40% - Accent1 3 12 4" xfId="12510"/>
    <cellStyle name="40% - Accent1 3 12 4 2" xfId="19688"/>
    <cellStyle name="40% - Accent1 3 12 4 2 2" xfId="48549"/>
    <cellStyle name="40% - Accent1 3 12 4 3" xfId="41371"/>
    <cellStyle name="40% - Accent1 3 12 5" xfId="17008"/>
    <cellStyle name="40% - Accent1 3 12 5 2" xfId="45869"/>
    <cellStyle name="40% - Accent1 3 12 6" xfId="31233"/>
    <cellStyle name="40% - Accent1 3 13" xfId="2580"/>
    <cellStyle name="40% - Accent1 3 13 2" xfId="5466"/>
    <cellStyle name="40% - Accent1 3 13 2 2" xfId="11507"/>
    <cellStyle name="40% - Accent1 3 13 2 2 2" xfId="28554"/>
    <cellStyle name="40% - Accent1 3 13 2 2 2 2" xfId="57415"/>
    <cellStyle name="40% - Accent1 3 13 2 2 3" xfId="40368"/>
    <cellStyle name="40% - Accent1 3 13 2 3" xfId="22576"/>
    <cellStyle name="40% - Accent1 3 13 2 3 2" xfId="51437"/>
    <cellStyle name="40% - Accent1 3 13 2 4" xfId="34327"/>
    <cellStyle name="40% - Accent1 3 13 3" xfId="8621"/>
    <cellStyle name="40% - Accent1 3 13 3 2" xfId="25668"/>
    <cellStyle name="40% - Accent1 3 13 3 2 2" xfId="54529"/>
    <cellStyle name="40% - Accent1 3 13 3 3" xfId="37482"/>
    <cellStyle name="40% - Accent1 3 13 4" xfId="14368"/>
    <cellStyle name="40% - Accent1 3 13 4 2" xfId="19896"/>
    <cellStyle name="40% - Accent1 3 13 4 2 2" xfId="48757"/>
    <cellStyle name="40% - Accent1 3 13 4 3" xfId="43229"/>
    <cellStyle name="40% - Accent1 3 13 5" xfId="17216"/>
    <cellStyle name="40% - Accent1 3 13 5 2" xfId="46077"/>
    <cellStyle name="40% - Accent1 3 13 6" xfId="31441"/>
    <cellStyle name="40% - Accent1 3 14" xfId="2992"/>
    <cellStyle name="40% - Accent1 3 14 2" xfId="9033"/>
    <cellStyle name="40% - Accent1 3 14 2 2" xfId="26080"/>
    <cellStyle name="40% - Accent1 3 14 2 2 2" xfId="54941"/>
    <cellStyle name="40% - Accent1 3 14 2 3" xfId="37894"/>
    <cellStyle name="40% - Accent1 3 14 3" xfId="12493"/>
    <cellStyle name="40% - Accent1 3 14 3 2" xfId="20102"/>
    <cellStyle name="40% - Accent1 3 14 3 2 2" xfId="48963"/>
    <cellStyle name="40% - Accent1 3 14 3 3" xfId="41354"/>
    <cellStyle name="40% - Accent1 3 14 4" xfId="14742"/>
    <cellStyle name="40% - Accent1 3 14 4 2" xfId="43603"/>
    <cellStyle name="40% - Accent1 3 14 5" xfId="31853"/>
    <cellStyle name="40% - Accent1 3 15" xfId="2786"/>
    <cellStyle name="40% - Accent1 3 15 2" xfId="8827"/>
    <cellStyle name="40% - Accent1 3 15 2 2" xfId="25874"/>
    <cellStyle name="40% - Accent1 3 15 2 2 2" xfId="54735"/>
    <cellStyle name="40% - Accent1 3 15 2 3" xfId="37688"/>
    <cellStyle name="40% - Accent1 3 15 3" xfId="17422"/>
    <cellStyle name="40% - Accent1 3 15 3 2" xfId="46283"/>
    <cellStyle name="40% - Accent1 3 15 4" xfId="31647"/>
    <cellStyle name="40% - Accent1 3 16" xfId="5672"/>
    <cellStyle name="40% - Accent1 3 16 2" xfId="11713"/>
    <cellStyle name="40% - Accent1 3 16 2 2" xfId="28760"/>
    <cellStyle name="40% - Accent1 3 16 2 2 2" xfId="57621"/>
    <cellStyle name="40% - Accent1 3 16 2 3" xfId="40574"/>
    <cellStyle name="40% - Accent1 3 16 3" xfId="22782"/>
    <cellStyle name="40% - Accent1 3 16 3 2" xfId="51643"/>
    <cellStyle name="40% - Accent1 3 16 4" xfId="34533"/>
    <cellStyle name="40% - Accent1 3 17" xfId="5889"/>
    <cellStyle name="40% - Accent1 3 17 2" xfId="22988"/>
    <cellStyle name="40% - Accent1 3 17 2 2" xfId="51849"/>
    <cellStyle name="40% - Accent1 3 17 3" xfId="34750"/>
    <cellStyle name="40% - Accent1 3 18" xfId="6147"/>
    <cellStyle name="40% - Accent1 3 18 2" xfId="23194"/>
    <cellStyle name="40% - Accent1 3 18 2 2" xfId="52055"/>
    <cellStyle name="40% - Accent1 3 18 3" xfId="35008"/>
    <cellStyle name="40% - Accent1 3 19" xfId="14536"/>
    <cellStyle name="40% - Accent1 3 19 2" xfId="43397"/>
    <cellStyle name="40% - Accent1 3 2" xfId="311"/>
    <cellStyle name="40% - Accent1 3 2 10" xfId="2474"/>
    <cellStyle name="40% - Accent1 3 2 10 2" xfId="5361"/>
    <cellStyle name="40% - Accent1 3 2 10 2 2" xfId="11402"/>
    <cellStyle name="40% - Accent1 3 2 10 2 2 2" xfId="28449"/>
    <cellStyle name="40% - Accent1 3 2 10 2 2 2 2" xfId="57310"/>
    <cellStyle name="40% - Accent1 3 2 10 2 2 3" xfId="40263"/>
    <cellStyle name="40% - Accent1 3 2 10 2 3" xfId="22471"/>
    <cellStyle name="40% - Accent1 3 2 10 2 3 2" xfId="51332"/>
    <cellStyle name="40% - Accent1 3 2 10 2 4" xfId="34222"/>
    <cellStyle name="40% - Accent1 3 2 10 3" xfId="8516"/>
    <cellStyle name="40% - Accent1 3 2 10 3 2" xfId="25563"/>
    <cellStyle name="40% - Accent1 3 2 10 3 2 2" xfId="54424"/>
    <cellStyle name="40% - Accent1 3 2 10 3 3" xfId="37377"/>
    <cellStyle name="40% - Accent1 3 2 10 4" xfId="13202"/>
    <cellStyle name="40% - Accent1 3 2 10 4 2" xfId="19791"/>
    <cellStyle name="40% - Accent1 3 2 10 4 2 2" xfId="48652"/>
    <cellStyle name="40% - Accent1 3 2 10 4 3" xfId="42063"/>
    <cellStyle name="40% - Accent1 3 2 10 5" xfId="17111"/>
    <cellStyle name="40% - Accent1 3 2 10 5 2" xfId="45972"/>
    <cellStyle name="40% - Accent1 3 2 10 6" xfId="31336"/>
    <cellStyle name="40% - Accent1 3 2 11" xfId="2683"/>
    <cellStyle name="40% - Accent1 3 2 11 2" xfId="5569"/>
    <cellStyle name="40% - Accent1 3 2 11 2 2" xfId="11610"/>
    <cellStyle name="40% - Accent1 3 2 11 2 2 2" xfId="28657"/>
    <cellStyle name="40% - Accent1 3 2 11 2 2 2 2" xfId="57518"/>
    <cellStyle name="40% - Accent1 3 2 11 2 2 3" xfId="40471"/>
    <cellStyle name="40% - Accent1 3 2 11 2 3" xfId="22679"/>
    <cellStyle name="40% - Accent1 3 2 11 2 3 2" xfId="51540"/>
    <cellStyle name="40% - Accent1 3 2 11 2 4" xfId="34430"/>
    <cellStyle name="40% - Accent1 3 2 11 3" xfId="8724"/>
    <cellStyle name="40% - Accent1 3 2 11 3 2" xfId="25771"/>
    <cellStyle name="40% - Accent1 3 2 11 3 2 2" xfId="54632"/>
    <cellStyle name="40% - Accent1 3 2 11 3 3" xfId="37585"/>
    <cellStyle name="40% - Accent1 3 2 11 4" xfId="14191"/>
    <cellStyle name="40% - Accent1 3 2 11 4 2" xfId="19999"/>
    <cellStyle name="40% - Accent1 3 2 11 4 2 2" xfId="48860"/>
    <cellStyle name="40% - Accent1 3 2 11 4 3" xfId="43052"/>
    <cellStyle name="40% - Accent1 3 2 11 5" xfId="17319"/>
    <cellStyle name="40% - Accent1 3 2 11 5 2" xfId="46180"/>
    <cellStyle name="40% - Accent1 3 2 11 6" xfId="31544"/>
    <cellStyle name="40% - Accent1 3 2 12" xfId="3198"/>
    <cellStyle name="40% - Accent1 3 2 12 2" xfId="9239"/>
    <cellStyle name="40% - Accent1 3 2 12 2 2" xfId="26286"/>
    <cellStyle name="40% - Accent1 3 2 12 2 2 2" xfId="55147"/>
    <cellStyle name="40% - Accent1 3 2 12 2 3" xfId="38100"/>
    <cellStyle name="40% - Accent1 3 2 12 3" xfId="13467"/>
    <cellStyle name="40% - Accent1 3 2 12 3 2" xfId="20308"/>
    <cellStyle name="40% - Accent1 3 2 12 3 2 2" xfId="49169"/>
    <cellStyle name="40% - Accent1 3 2 12 3 3" xfId="42328"/>
    <cellStyle name="40% - Accent1 3 2 12 4" xfId="14948"/>
    <cellStyle name="40% - Accent1 3 2 12 4 2" xfId="43809"/>
    <cellStyle name="40% - Accent1 3 2 12 5" xfId="32059"/>
    <cellStyle name="40% - Accent1 3 2 13" xfId="2889"/>
    <cellStyle name="40% - Accent1 3 2 13 2" xfId="8930"/>
    <cellStyle name="40% - Accent1 3 2 13 2 2" xfId="25977"/>
    <cellStyle name="40% - Accent1 3 2 13 2 2 2" xfId="54838"/>
    <cellStyle name="40% - Accent1 3 2 13 2 3" xfId="37791"/>
    <cellStyle name="40% - Accent1 3 2 13 3" xfId="17525"/>
    <cellStyle name="40% - Accent1 3 2 13 3 2" xfId="46386"/>
    <cellStyle name="40% - Accent1 3 2 13 4" xfId="31750"/>
    <cellStyle name="40% - Accent1 3 2 14" xfId="5775"/>
    <cellStyle name="40% - Accent1 3 2 14 2" xfId="11816"/>
    <cellStyle name="40% - Accent1 3 2 14 2 2" xfId="28863"/>
    <cellStyle name="40% - Accent1 3 2 14 2 2 2" xfId="57724"/>
    <cellStyle name="40% - Accent1 3 2 14 2 3" xfId="40677"/>
    <cellStyle name="40% - Accent1 3 2 14 3" xfId="22885"/>
    <cellStyle name="40% - Accent1 3 2 14 3 2" xfId="51746"/>
    <cellStyle name="40% - Accent1 3 2 14 4" xfId="34636"/>
    <cellStyle name="40% - Accent1 3 2 15" xfId="5992"/>
    <cellStyle name="40% - Accent1 3 2 15 2" xfId="23091"/>
    <cellStyle name="40% - Accent1 3 2 15 2 2" xfId="51952"/>
    <cellStyle name="40% - Accent1 3 2 15 3" xfId="34853"/>
    <cellStyle name="40% - Accent1 3 2 16" xfId="6353"/>
    <cellStyle name="40% - Accent1 3 2 16 2" xfId="23400"/>
    <cellStyle name="40% - Accent1 3 2 16 2 2" xfId="52261"/>
    <cellStyle name="40% - Accent1 3 2 16 3" xfId="35214"/>
    <cellStyle name="40% - Accent1 3 2 17" xfId="14639"/>
    <cellStyle name="40% - Accent1 3 2 17 2" xfId="43500"/>
    <cellStyle name="40% - Accent1 3 2 18" xfId="29173"/>
    <cellStyle name="40% - Accent1 3 2 2" xfId="517"/>
    <cellStyle name="40% - Accent1 3 2 2 2" xfId="2268"/>
    <cellStyle name="40% - Accent1 3 2 2 2 2" xfId="5155"/>
    <cellStyle name="40% - Accent1 3 2 2 2 2 2" xfId="11196"/>
    <cellStyle name="40% - Accent1 3 2 2 2 2 2 2" xfId="28243"/>
    <cellStyle name="40% - Accent1 3 2 2 2 2 2 2 2" xfId="57104"/>
    <cellStyle name="40% - Accent1 3 2 2 2 2 2 3" xfId="40057"/>
    <cellStyle name="40% - Accent1 3 2 2 2 2 3" xfId="22265"/>
    <cellStyle name="40% - Accent1 3 2 2 2 2 3 2" xfId="51126"/>
    <cellStyle name="40% - Accent1 3 2 2 2 2 4" xfId="34016"/>
    <cellStyle name="40% - Accent1 3 2 2 2 3" xfId="8310"/>
    <cellStyle name="40% - Accent1 3 2 2 2 3 2" xfId="25357"/>
    <cellStyle name="40% - Accent1 3 2 2 2 3 2 2" xfId="54218"/>
    <cellStyle name="40% - Accent1 3 2 2 2 3 3" xfId="37171"/>
    <cellStyle name="40% - Accent1 3 2 2 2 4" xfId="14463"/>
    <cellStyle name="40% - Accent1 3 2 2 2 4 2" xfId="19585"/>
    <cellStyle name="40% - Accent1 3 2 2 2 4 2 2" xfId="48446"/>
    <cellStyle name="40% - Accent1 3 2 2 2 4 3" xfId="43324"/>
    <cellStyle name="40% - Accent1 3 2 2 2 5" xfId="16905"/>
    <cellStyle name="40% - Accent1 3 2 2 2 5 2" xfId="45766"/>
    <cellStyle name="40% - Accent1 3 2 2 2 6" xfId="31130"/>
    <cellStyle name="40% - Accent1 3 2 2 3" xfId="3404"/>
    <cellStyle name="40% - Accent1 3 2 2 3 2" xfId="9445"/>
    <cellStyle name="40% - Accent1 3 2 2 3 2 2" xfId="26492"/>
    <cellStyle name="40% - Accent1 3 2 2 3 2 2 2" xfId="55353"/>
    <cellStyle name="40% - Accent1 3 2 2 3 2 3" xfId="38306"/>
    <cellStyle name="40% - Accent1 3 2 2 3 3" xfId="20514"/>
    <cellStyle name="40% - Accent1 3 2 2 3 3 2" xfId="49375"/>
    <cellStyle name="40% - Accent1 3 2 2 3 4" xfId="32265"/>
    <cellStyle name="40% - Accent1 3 2 2 4" xfId="6559"/>
    <cellStyle name="40% - Accent1 3 2 2 4 2" xfId="23606"/>
    <cellStyle name="40% - Accent1 3 2 2 4 2 2" xfId="52467"/>
    <cellStyle name="40% - Accent1 3 2 2 4 3" xfId="35420"/>
    <cellStyle name="40% - Accent1 3 2 2 5" xfId="12090"/>
    <cellStyle name="40% - Accent1 3 2 2 5 2" xfId="17834"/>
    <cellStyle name="40% - Accent1 3 2 2 5 2 2" xfId="46695"/>
    <cellStyle name="40% - Accent1 3 2 2 5 3" xfId="40951"/>
    <cellStyle name="40% - Accent1 3 2 2 6" xfId="15154"/>
    <cellStyle name="40% - Accent1 3 2 2 6 2" xfId="44015"/>
    <cellStyle name="40% - Accent1 3 2 2 7" xfId="29379"/>
    <cellStyle name="40% - Accent1 3 2 3" xfId="826"/>
    <cellStyle name="40% - Accent1 3 2 3 2" xfId="3713"/>
    <cellStyle name="40% - Accent1 3 2 3 2 2" xfId="9754"/>
    <cellStyle name="40% - Accent1 3 2 3 2 2 2" xfId="26801"/>
    <cellStyle name="40% - Accent1 3 2 3 2 2 2 2" xfId="55662"/>
    <cellStyle name="40% - Accent1 3 2 3 2 2 3" xfId="38615"/>
    <cellStyle name="40% - Accent1 3 2 3 2 3" xfId="20823"/>
    <cellStyle name="40% - Accent1 3 2 3 2 3 2" xfId="49684"/>
    <cellStyle name="40% - Accent1 3 2 3 2 4" xfId="32574"/>
    <cellStyle name="40% - Accent1 3 2 3 3" xfId="6868"/>
    <cellStyle name="40% - Accent1 3 2 3 3 2" xfId="23915"/>
    <cellStyle name="40% - Accent1 3 2 3 3 2 2" xfId="52776"/>
    <cellStyle name="40% - Accent1 3 2 3 3 3" xfId="35729"/>
    <cellStyle name="40% - Accent1 3 2 3 4" xfId="12686"/>
    <cellStyle name="40% - Accent1 3 2 3 4 2" xfId="18143"/>
    <cellStyle name="40% - Accent1 3 2 3 4 2 2" xfId="47004"/>
    <cellStyle name="40% - Accent1 3 2 3 4 3" xfId="41547"/>
    <cellStyle name="40% - Accent1 3 2 3 5" xfId="15463"/>
    <cellStyle name="40% - Accent1 3 2 3 5 2" xfId="44324"/>
    <cellStyle name="40% - Accent1 3 2 3 6" xfId="29688"/>
    <cellStyle name="40% - Accent1 3 2 4" xfId="1032"/>
    <cellStyle name="40% - Accent1 3 2 4 2" xfId="3919"/>
    <cellStyle name="40% - Accent1 3 2 4 2 2" xfId="9960"/>
    <cellStyle name="40% - Accent1 3 2 4 2 2 2" xfId="27007"/>
    <cellStyle name="40% - Accent1 3 2 4 2 2 2 2" xfId="55868"/>
    <cellStyle name="40% - Accent1 3 2 4 2 2 3" xfId="38821"/>
    <cellStyle name="40% - Accent1 3 2 4 2 3" xfId="21029"/>
    <cellStyle name="40% - Accent1 3 2 4 2 3 2" xfId="49890"/>
    <cellStyle name="40% - Accent1 3 2 4 2 4" xfId="32780"/>
    <cellStyle name="40% - Accent1 3 2 4 3" xfId="7074"/>
    <cellStyle name="40% - Accent1 3 2 4 3 2" xfId="24121"/>
    <cellStyle name="40% - Accent1 3 2 4 3 2 2" xfId="52982"/>
    <cellStyle name="40% - Accent1 3 2 4 3 3" xfId="35935"/>
    <cellStyle name="40% - Accent1 3 2 4 4" xfId="14480"/>
    <cellStyle name="40% - Accent1 3 2 4 4 2" xfId="18349"/>
    <cellStyle name="40% - Accent1 3 2 4 4 2 2" xfId="47210"/>
    <cellStyle name="40% - Accent1 3 2 4 4 3" xfId="43341"/>
    <cellStyle name="40% - Accent1 3 2 4 5" xfId="15669"/>
    <cellStyle name="40% - Accent1 3 2 4 5 2" xfId="44530"/>
    <cellStyle name="40% - Accent1 3 2 4 6" xfId="29894"/>
    <cellStyle name="40% - Accent1 3 2 5" xfId="1238"/>
    <cellStyle name="40% - Accent1 3 2 5 2" xfId="4125"/>
    <cellStyle name="40% - Accent1 3 2 5 2 2" xfId="10166"/>
    <cellStyle name="40% - Accent1 3 2 5 2 2 2" xfId="27213"/>
    <cellStyle name="40% - Accent1 3 2 5 2 2 2 2" xfId="56074"/>
    <cellStyle name="40% - Accent1 3 2 5 2 2 3" xfId="39027"/>
    <cellStyle name="40% - Accent1 3 2 5 2 3" xfId="21235"/>
    <cellStyle name="40% - Accent1 3 2 5 2 3 2" xfId="50096"/>
    <cellStyle name="40% - Accent1 3 2 5 2 4" xfId="32986"/>
    <cellStyle name="40% - Accent1 3 2 5 3" xfId="7280"/>
    <cellStyle name="40% - Accent1 3 2 5 3 2" xfId="24327"/>
    <cellStyle name="40% - Accent1 3 2 5 3 2 2" xfId="53188"/>
    <cellStyle name="40% - Accent1 3 2 5 3 3" xfId="36141"/>
    <cellStyle name="40% - Accent1 3 2 5 4" xfId="6056"/>
    <cellStyle name="40% - Accent1 3 2 5 4 2" xfId="18555"/>
    <cellStyle name="40% - Accent1 3 2 5 4 2 2" xfId="47416"/>
    <cellStyle name="40% - Accent1 3 2 5 4 3" xfId="34917"/>
    <cellStyle name="40% - Accent1 3 2 5 5" xfId="15875"/>
    <cellStyle name="40% - Accent1 3 2 5 5 2" xfId="44736"/>
    <cellStyle name="40% - Accent1 3 2 5 6" xfId="30100"/>
    <cellStyle name="40% - Accent1 3 2 6" xfId="1444"/>
    <cellStyle name="40% - Accent1 3 2 6 2" xfId="4331"/>
    <cellStyle name="40% - Accent1 3 2 6 2 2" xfId="10372"/>
    <cellStyle name="40% - Accent1 3 2 6 2 2 2" xfId="27419"/>
    <cellStyle name="40% - Accent1 3 2 6 2 2 2 2" xfId="56280"/>
    <cellStyle name="40% - Accent1 3 2 6 2 2 3" xfId="39233"/>
    <cellStyle name="40% - Accent1 3 2 6 2 3" xfId="21441"/>
    <cellStyle name="40% - Accent1 3 2 6 2 3 2" xfId="50302"/>
    <cellStyle name="40% - Accent1 3 2 6 2 4" xfId="33192"/>
    <cellStyle name="40% - Accent1 3 2 6 3" xfId="7486"/>
    <cellStyle name="40% - Accent1 3 2 6 3 2" xfId="24533"/>
    <cellStyle name="40% - Accent1 3 2 6 3 2 2" xfId="53394"/>
    <cellStyle name="40% - Accent1 3 2 6 3 3" xfId="36347"/>
    <cellStyle name="40% - Accent1 3 2 6 4" xfId="12116"/>
    <cellStyle name="40% - Accent1 3 2 6 4 2" xfId="18761"/>
    <cellStyle name="40% - Accent1 3 2 6 4 2 2" xfId="47622"/>
    <cellStyle name="40% - Accent1 3 2 6 4 3" xfId="40977"/>
    <cellStyle name="40% - Accent1 3 2 6 5" xfId="16081"/>
    <cellStyle name="40% - Accent1 3 2 6 5 2" xfId="44942"/>
    <cellStyle name="40% - Accent1 3 2 6 6" xfId="30306"/>
    <cellStyle name="40% - Accent1 3 2 7" xfId="1650"/>
    <cellStyle name="40% - Accent1 3 2 7 2" xfId="4537"/>
    <cellStyle name="40% - Accent1 3 2 7 2 2" xfId="10578"/>
    <cellStyle name="40% - Accent1 3 2 7 2 2 2" xfId="27625"/>
    <cellStyle name="40% - Accent1 3 2 7 2 2 2 2" xfId="56486"/>
    <cellStyle name="40% - Accent1 3 2 7 2 2 3" xfId="39439"/>
    <cellStyle name="40% - Accent1 3 2 7 2 3" xfId="21647"/>
    <cellStyle name="40% - Accent1 3 2 7 2 3 2" xfId="50508"/>
    <cellStyle name="40% - Accent1 3 2 7 2 4" xfId="33398"/>
    <cellStyle name="40% - Accent1 3 2 7 3" xfId="7692"/>
    <cellStyle name="40% - Accent1 3 2 7 3 2" xfId="24739"/>
    <cellStyle name="40% - Accent1 3 2 7 3 2 2" xfId="53600"/>
    <cellStyle name="40% - Accent1 3 2 7 3 3" xfId="36553"/>
    <cellStyle name="40% - Accent1 3 2 7 4" xfId="14304"/>
    <cellStyle name="40% - Accent1 3 2 7 4 2" xfId="18967"/>
    <cellStyle name="40% - Accent1 3 2 7 4 2 2" xfId="47828"/>
    <cellStyle name="40% - Accent1 3 2 7 4 3" xfId="43165"/>
    <cellStyle name="40% - Accent1 3 2 7 5" xfId="16287"/>
    <cellStyle name="40% - Accent1 3 2 7 5 2" xfId="45148"/>
    <cellStyle name="40% - Accent1 3 2 7 6" xfId="30512"/>
    <cellStyle name="40% - Accent1 3 2 8" xfId="1856"/>
    <cellStyle name="40% - Accent1 3 2 8 2" xfId="4743"/>
    <cellStyle name="40% - Accent1 3 2 8 2 2" xfId="10784"/>
    <cellStyle name="40% - Accent1 3 2 8 2 2 2" xfId="27831"/>
    <cellStyle name="40% - Accent1 3 2 8 2 2 2 2" xfId="56692"/>
    <cellStyle name="40% - Accent1 3 2 8 2 2 3" xfId="39645"/>
    <cellStyle name="40% - Accent1 3 2 8 2 3" xfId="21853"/>
    <cellStyle name="40% - Accent1 3 2 8 2 3 2" xfId="50714"/>
    <cellStyle name="40% - Accent1 3 2 8 2 4" xfId="33604"/>
    <cellStyle name="40% - Accent1 3 2 8 3" xfId="7898"/>
    <cellStyle name="40% - Accent1 3 2 8 3 2" xfId="24945"/>
    <cellStyle name="40% - Accent1 3 2 8 3 2 2" xfId="53806"/>
    <cellStyle name="40% - Accent1 3 2 8 3 3" xfId="36759"/>
    <cellStyle name="40% - Accent1 3 2 8 4" xfId="12534"/>
    <cellStyle name="40% - Accent1 3 2 8 4 2" xfId="19173"/>
    <cellStyle name="40% - Accent1 3 2 8 4 2 2" xfId="48034"/>
    <cellStyle name="40% - Accent1 3 2 8 4 3" xfId="41395"/>
    <cellStyle name="40% - Accent1 3 2 8 5" xfId="16493"/>
    <cellStyle name="40% - Accent1 3 2 8 5 2" xfId="45354"/>
    <cellStyle name="40% - Accent1 3 2 8 6" xfId="30718"/>
    <cellStyle name="40% - Accent1 3 2 9" xfId="2062"/>
    <cellStyle name="40% - Accent1 3 2 9 2" xfId="4949"/>
    <cellStyle name="40% - Accent1 3 2 9 2 2" xfId="10990"/>
    <cellStyle name="40% - Accent1 3 2 9 2 2 2" xfId="28037"/>
    <cellStyle name="40% - Accent1 3 2 9 2 2 2 2" xfId="56898"/>
    <cellStyle name="40% - Accent1 3 2 9 2 2 3" xfId="39851"/>
    <cellStyle name="40% - Accent1 3 2 9 2 3" xfId="22059"/>
    <cellStyle name="40% - Accent1 3 2 9 2 3 2" xfId="50920"/>
    <cellStyle name="40% - Accent1 3 2 9 2 4" xfId="33810"/>
    <cellStyle name="40% - Accent1 3 2 9 3" xfId="8104"/>
    <cellStyle name="40% - Accent1 3 2 9 3 2" xfId="25151"/>
    <cellStyle name="40% - Accent1 3 2 9 3 2 2" xfId="54012"/>
    <cellStyle name="40% - Accent1 3 2 9 3 3" xfId="36965"/>
    <cellStyle name="40% - Accent1 3 2 9 4" xfId="14267"/>
    <cellStyle name="40% - Accent1 3 2 9 4 2" xfId="19379"/>
    <cellStyle name="40% - Accent1 3 2 9 4 2 2" xfId="48240"/>
    <cellStyle name="40% - Accent1 3 2 9 4 3" xfId="43128"/>
    <cellStyle name="40% - Accent1 3 2 9 5" xfId="16699"/>
    <cellStyle name="40% - Accent1 3 2 9 5 2" xfId="45560"/>
    <cellStyle name="40% - Accent1 3 2 9 6" xfId="30924"/>
    <cellStyle name="40% - Accent1 3 20" xfId="28967"/>
    <cellStyle name="40% - Accent1 3 3" xfId="208"/>
    <cellStyle name="40% - Accent1 3 3 2" xfId="620"/>
    <cellStyle name="40% - Accent1 3 3 2 2" xfId="3507"/>
    <cellStyle name="40% - Accent1 3 3 2 2 2" xfId="9548"/>
    <cellStyle name="40% - Accent1 3 3 2 2 2 2" xfId="26595"/>
    <cellStyle name="40% - Accent1 3 3 2 2 2 2 2" xfId="55456"/>
    <cellStyle name="40% - Accent1 3 3 2 2 2 3" xfId="38409"/>
    <cellStyle name="40% - Accent1 3 3 2 2 3" xfId="20617"/>
    <cellStyle name="40% - Accent1 3 3 2 2 3 2" xfId="49478"/>
    <cellStyle name="40% - Accent1 3 3 2 2 4" xfId="32368"/>
    <cellStyle name="40% - Accent1 3 3 2 3" xfId="6662"/>
    <cellStyle name="40% - Accent1 3 3 2 3 2" xfId="23709"/>
    <cellStyle name="40% - Accent1 3 3 2 3 2 2" xfId="52570"/>
    <cellStyle name="40% - Accent1 3 3 2 3 3" xfId="35523"/>
    <cellStyle name="40% - Accent1 3 3 2 4" xfId="12645"/>
    <cellStyle name="40% - Accent1 3 3 2 4 2" xfId="17937"/>
    <cellStyle name="40% - Accent1 3 3 2 4 2 2" xfId="46798"/>
    <cellStyle name="40% - Accent1 3 3 2 4 3" xfId="41506"/>
    <cellStyle name="40% - Accent1 3 3 2 5" xfId="15257"/>
    <cellStyle name="40% - Accent1 3 3 2 5 2" xfId="44118"/>
    <cellStyle name="40% - Accent1 3 3 2 6" xfId="29482"/>
    <cellStyle name="40% - Accent1 3 3 3" xfId="2165"/>
    <cellStyle name="40% - Accent1 3 3 3 2" xfId="5052"/>
    <cellStyle name="40% - Accent1 3 3 3 2 2" xfId="11093"/>
    <cellStyle name="40% - Accent1 3 3 3 2 2 2" xfId="28140"/>
    <cellStyle name="40% - Accent1 3 3 3 2 2 2 2" xfId="57001"/>
    <cellStyle name="40% - Accent1 3 3 3 2 2 3" xfId="39954"/>
    <cellStyle name="40% - Accent1 3 3 3 2 3" xfId="22162"/>
    <cellStyle name="40% - Accent1 3 3 3 2 3 2" xfId="51023"/>
    <cellStyle name="40% - Accent1 3 3 3 2 4" xfId="33913"/>
    <cellStyle name="40% - Accent1 3 3 3 3" xfId="8207"/>
    <cellStyle name="40% - Accent1 3 3 3 3 2" xfId="25254"/>
    <cellStyle name="40% - Accent1 3 3 3 3 2 2" xfId="54115"/>
    <cellStyle name="40% - Accent1 3 3 3 3 3" xfId="37068"/>
    <cellStyle name="40% - Accent1 3 3 3 4" xfId="13199"/>
    <cellStyle name="40% - Accent1 3 3 3 4 2" xfId="19482"/>
    <cellStyle name="40% - Accent1 3 3 3 4 2 2" xfId="48343"/>
    <cellStyle name="40% - Accent1 3 3 3 4 3" xfId="42060"/>
    <cellStyle name="40% - Accent1 3 3 3 5" xfId="16802"/>
    <cellStyle name="40% - Accent1 3 3 3 5 2" xfId="45663"/>
    <cellStyle name="40% - Accent1 3 3 3 6" xfId="31027"/>
    <cellStyle name="40% - Accent1 3 3 4" xfId="3095"/>
    <cellStyle name="40% - Accent1 3 3 4 2" xfId="9136"/>
    <cellStyle name="40% - Accent1 3 3 4 2 2" xfId="26183"/>
    <cellStyle name="40% - Accent1 3 3 4 2 2 2" xfId="55044"/>
    <cellStyle name="40% - Accent1 3 3 4 2 3" xfId="37997"/>
    <cellStyle name="40% - Accent1 3 3 4 3" xfId="20205"/>
    <cellStyle name="40% - Accent1 3 3 4 3 2" xfId="49066"/>
    <cellStyle name="40% - Accent1 3 3 4 4" xfId="31956"/>
    <cellStyle name="40% - Accent1 3 3 5" xfId="6250"/>
    <cellStyle name="40% - Accent1 3 3 5 2" xfId="23297"/>
    <cellStyle name="40% - Accent1 3 3 5 2 2" xfId="52158"/>
    <cellStyle name="40% - Accent1 3 3 5 3" xfId="35111"/>
    <cellStyle name="40% - Accent1 3 3 6" xfId="14453"/>
    <cellStyle name="40% - Accent1 3 3 6 2" xfId="17628"/>
    <cellStyle name="40% - Accent1 3 3 6 2 2" xfId="46489"/>
    <cellStyle name="40% - Accent1 3 3 6 3" xfId="43314"/>
    <cellStyle name="40% - Accent1 3 3 7" xfId="14845"/>
    <cellStyle name="40% - Accent1 3 3 7 2" xfId="43706"/>
    <cellStyle name="40% - Accent1 3 3 8" xfId="29070"/>
    <cellStyle name="40% - Accent1 3 4" xfId="414"/>
    <cellStyle name="40% - Accent1 3 4 2" xfId="3301"/>
    <cellStyle name="40% - Accent1 3 4 2 2" xfId="9342"/>
    <cellStyle name="40% - Accent1 3 4 2 2 2" xfId="26389"/>
    <cellStyle name="40% - Accent1 3 4 2 2 2 2" xfId="55250"/>
    <cellStyle name="40% - Accent1 3 4 2 2 3" xfId="38203"/>
    <cellStyle name="40% - Accent1 3 4 2 3" xfId="20411"/>
    <cellStyle name="40% - Accent1 3 4 2 3 2" xfId="49272"/>
    <cellStyle name="40% - Accent1 3 4 2 4" xfId="32162"/>
    <cellStyle name="40% - Accent1 3 4 3" xfId="6456"/>
    <cellStyle name="40% - Accent1 3 4 3 2" xfId="23503"/>
    <cellStyle name="40% - Accent1 3 4 3 2 2" xfId="52364"/>
    <cellStyle name="40% - Accent1 3 4 3 3" xfId="35317"/>
    <cellStyle name="40% - Accent1 3 4 4" xfId="12491"/>
    <cellStyle name="40% - Accent1 3 4 4 2" xfId="17731"/>
    <cellStyle name="40% - Accent1 3 4 4 2 2" xfId="46592"/>
    <cellStyle name="40% - Accent1 3 4 4 3" xfId="41352"/>
    <cellStyle name="40% - Accent1 3 4 5" xfId="15051"/>
    <cellStyle name="40% - Accent1 3 4 5 2" xfId="43912"/>
    <cellStyle name="40% - Accent1 3 4 6" xfId="29276"/>
    <cellStyle name="40% - Accent1 3 5" xfId="723"/>
    <cellStyle name="40% - Accent1 3 5 2" xfId="3610"/>
    <cellStyle name="40% - Accent1 3 5 2 2" xfId="9651"/>
    <cellStyle name="40% - Accent1 3 5 2 2 2" xfId="26698"/>
    <cellStyle name="40% - Accent1 3 5 2 2 2 2" xfId="55559"/>
    <cellStyle name="40% - Accent1 3 5 2 2 3" xfId="38512"/>
    <cellStyle name="40% - Accent1 3 5 2 3" xfId="20720"/>
    <cellStyle name="40% - Accent1 3 5 2 3 2" xfId="49581"/>
    <cellStyle name="40% - Accent1 3 5 2 4" xfId="32471"/>
    <cellStyle name="40% - Accent1 3 5 3" xfId="6765"/>
    <cellStyle name="40% - Accent1 3 5 3 2" xfId="23812"/>
    <cellStyle name="40% - Accent1 3 5 3 2 2" xfId="52673"/>
    <cellStyle name="40% - Accent1 3 5 3 3" xfId="35626"/>
    <cellStyle name="40% - Accent1 3 5 4" xfId="14135"/>
    <cellStyle name="40% - Accent1 3 5 4 2" xfId="18040"/>
    <cellStyle name="40% - Accent1 3 5 4 2 2" xfId="46901"/>
    <cellStyle name="40% - Accent1 3 5 4 3" xfId="42996"/>
    <cellStyle name="40% - Accent1 3 5 5" xfId="15360"/>
    <cellStyle name="40% - Accent1 3 5 5 2" xfId="44221"/>
    <cellStyle name="40% - Accent1 3 5 6" xfId="29585"/>
    <cellStyle name="40% - Accent1 3 6" xfId="929"/>
    <cellStyle name="40% - Accent1 3 6 2" xfId="3816"/>
    <cellStyle name="40% - Accent1 3 6 2 2" xfId="9857"/>
    <cellStyle name="40% - Accent1 3 6 2 2 2" xfId="26904"/>
    <cellStyle name="40% - Accent1 3 6 2 2 2 2" xfId="55765"/>
    <cellStyle name="40% - Accent1 3 6 2 2 3" xfId="38718"/>
    <cellStyle name="40% - Accent1 3 6 2 3" xfId="20926"/>
    <cellStyle name="40% - Accent1 3 6 2 3 2" xfId="49787"/>
    <cellStyle name="40% - Accent1 3 6 2 4" xfId="32677"/>
    <cellStyle name="40% - Accent1 3 6 3" xfId="6971"/>
    <cellStyle name="40% - Accent1 3 6 3 2" xfId="24018"/>
    <cellStyle name="40% - Accent1 3 6 3 2 2" xfId="52879"/>
    <cellStyle name="40% - Accent1 3 6 3 3" xfId="35832"/>
    <cellStyle name="40% - Accent1 3 6 4" xfId="13960"/>
    <cellStyle name="40% - Accent1 3 6 4 2" xfId="18246"/>
    <cellStyle name="40% - Accent1 3 6 4 2 2" xfId="47107"/>
    <cellStyle name="40% - Accent1 3 6 4 3" xfId="42821"/>
    <cellStyle name="40% - Accent1 3 6 5" xfId="15566"/>
    <cellStyle name="40% - Accent1 3 6 5 2" xfId="44427"/>
    <cellStyle name="40% - Accent1 3 6 6" xfId="29791"/>
    <cellStyle name="40% - Accent1 3 7" xfId="1135"/>
    <cellStyle name="40% - Accent1 3 7 2" xfId="4022"/>
    <cellStyle name="40% - Accent1 3 7 2 2" xfId="10063"/>
    <cellStyle name="40% - Accent1 3 7 2 2 2" xfId="27110"/>
    <cellStyle name="40% - Accent1 3 7 2 2 2 2" xfId="55971"/>
    <cellStyle name="40% - Accent1 3 7 2 2 3" xfId="38924"/>
    <cellStyle name="40% - Accent1 3 7 2 3" xfId="21132"/>
    <cellStyle name="40% - Accent1 3 7 2 3 2" xfId="49993"/>
    <cellStyle name="40% - Accent1 3 7 2 4" xfId="32883"/>
    <cellStyle name="40% - Accent1 3 7 3" xfId="7177"/>
    <cellStyle name="40% - Accent1 3 7 3 2" xfId="24224"/>
    <cellStyle name="40% - Accent1 3 7 3 2 2" xfId="53085"/>
    <cellStyle name="40% - Accent1 3 7 3 3" xfId="36038"/>
    <cellStyle name="40% - Accent1 3 7 4" xfId="13376"/>
    <cellStyle name="40% - Accent1 3 7 4 2" xfId="18452"/>
    <cellStyle name="40% - Accent1 3 7 4 2 2" xfId="47313"/>
    <cellStyle name="40% - Accent1 3 7 4 3" xfId="42237"/>
    <cellStyle name="40% - Accent1 3 7 5" xfId="15772"/>
    <cellStyle name="40% - Accent1 3 7 5 2" xfId="44633"/>
    <cellStyle name="40% - Accent1 3 7 6" xfId="29997"/>
    <cellStyle name="40% - Accent1 3 8" xfId="1341"/>
    <cellStyle name="40% - Accent1 3 8 2" xfId="4228"/>
    <cellStyle name="40% - Accent1 3 8 2 2" xfId="10269"/>
    <cellStyle name="40% - Accent1 3 8 2 2 2" xfId="27316"/>
    <cellStyle name="40% - Accent1 3 8 2 2 2 2" xfId="56177"/>
    <cellStyle name="40% - Accent1 3 8 2 2 3" xfId="39130"/>
    <cellStyle name="40% - Accent1 3 8 2 3" xfId="21338"/>
    <cellStyle name="40% - Accent1 3 8 2 3 2" xfId="50199"/>
    <cellStyle name="40% - Accent1 3 8 2 4" xfId="33089"/>
    <cellStyle name="40% - Accent1 3 8 3" xfId="7383"/>
    <cellStyle name="40% - Accent1 3 8 3 2" xfId="24430"/>
    <cellStyle name="40% - Accent1 3 8 3 2 2" xfId="53291"/>
    <cellStyle name="40% - Accent1 3 8 3 3" xfId="36244"/>
    <cellStyle name="40% - Accent1 3 8 4" xfId="12267"/>
    <cellStyle name="40% - Accent1 3 8 4 2" xfId="18658"/>
    <cellStyle name="40% - Accent1 3 8 4 2 2" xfId="47519"/>
    <cellStyle name="40% - Accent1 3 8 4 3" xfId="41128"/>
    <cellStyle name="40% - Accent1 3 8 5" xfId="15978"/>
    <cellStyle name="40% - Accent1 3 8 5 2" xfId="44839"/>
    <cellStyle name="40% - Accent1 3 8 6" xfId="30203"/>
    <cellStyle name="40% - Accent1 3 9" xfId="1547"/>
    <cellStyle name="40% - Accent1 3 9 2" xfId="4434"/>
    <cellStyle name="40% - Accent1 3 9 2 2" xfId="10475"/>
    <cellStyle name="40% - Accent1 3 9 2 2 2" xfId="27522"/>
    <cellStyle name="40% - Accent1 3 9 2 2 2 2" xfId="56383"/>
    <cellStyle name="40% - Accent1 3 9 2 2 3" xfId="39336"/>
    <cellStyle name="40% - Accent1 3 9 2 3" xfId="21544"/>
    <cellStyle name="40% - Accent1 3 9 2 3 2" xfId="50405"/>
    <cellStyle name="40% - Accent1 3 9 2 4" xfId="33295"/>
    <cellStyle name="40% - Accent1 3 9 3" xfId="7589"/>
    <cellStyle name="40% - Accent1 3 9 3 2" xfId="24636"/>
    <cellStyle name="40% - Accent1 3 9 3 2 2" xfId="53497"/>
    <cellStyle name="40% - Accent1 3 9 3 3" xfId="36450"/>
    <cellStyle name="40% - Accent1 3 9 4" xfId="13886"/>
    <cellStyle name="40% - Accent1 3 9 4 2" xfId="18864"/>
    <cellStyle name="40% - Accent1 3 9 4 2 2" xfId="47725"/>
    <cellStyle name="40% - Accent1 3 9 4 3" xfId="42747"/>
    <cellStyle name="40% - Accent1 3 9 5" xfId="16184"/>
    <cellStyle name="40% - Accent1 3 9 5 2" xfId="45045"/>
    <cellStyle name="40% - Accent1 3 9 6" xfId="30409"/>
    <cellStyle name="40% - Accent1 4" xfId="131"/>
    <cellStyle name="40% - Accent1 4 10" xfId="1779"/>
    <cellStyle name="40% - Accent1 4 10 2" xfId="4666"/>
    <cellStyle name="40% - Accent1 4 10 2 2" xfId="10707"/>
    <cellStyle name="40% - Accent1 4 10 2 2 2" xfId="27754"/>
    <cellStyle name="40% - Accent1 4 10 2 2 2 2" xfId="56615"/>
    <cellStyle name="40% - Accent1 4 10 2 2 3" xfId="39568"/>
    <cellStyle name="40% - Accent1 4 10 2 3" xfId="21776"/>
    <cellStyle name="40% - Accent1 4 10 2 3 2" xfId="50637"/>
    <cellStyle name="40% - Accent1 4 10 2 4" xfId="33527"/>
    <cellStyle name="40% - Accent1 4 10 3" xfId="7821"/>
    <cellStyle name="40% - Accent1 4 10 3 2" xfId="24868"/>
    <cellStyle name="40% - Accent1 4 10 3 2 2" xfId="53729"/>
    <cellStyle name="40% - Accent1 4 10 3 3" xfId="36682"/>
    <cellStyle name="40% - Accent1 4 10 4" xfId="13495"/>
    <cellStyle name="40% - Accent1 4 10 4 2" xfId="19096"/>
    <cellStyle name="40% - Accent1 4 10 4 2 2" xfId="47957"/>
    <cellStyle name="40% - Accent1 4 10 4 3" xfId="42356"/>
    <cellStyle name="40% - Accent1 4 10 5" xfId="16416"/>
    <cellStyle name="40% - Accent1 4 10 5 2" xfId="45277"/>
    <cellStyle name="40% - Accent1 4 10 6" xfId="30641"/>
    <cellStyle name="40% - Accent1 4 11" xfId="1985"/>
    <cellStyle name="40% - Accent1 4 11 2" xfId="4872"/>
    <cellStyle name="40% - Accent1 4 11 2 2" xfId="10913"/>
    <cellStyle name="40% - Accent1 4 11 2 2 2" xfId="27960"/>
    <cellStyle name="40% - Accent1 4 11 2 2 2 2" xfId="56821"/>
    <cellStyle name="40% - Accent1 4 11 2 2 3" xfId="39774"/>
    <cellStyle name="40% - Accent1 4 11 2 3" xfId="21982"/>
    <cellStyle name="40% - Accent1 4 11 2 3 2" xfId="50843"/>
    <cellStyle name="40% - Accent1 4 11 2 4" xfId="33733"/>
    <cellStyle name="40% - Accent1 4 11 3" xfId="8027"/>
    <cellStyle name="40% - Accent1 4 11 3 2" xfId="25074"/>
    <cellStyle name="40% - Accent1 4 11 3 2 2" xfId="53935"/>
    <cellStyle name="40% - Accent1 4 11 3 3" xfId="36888"/>
    <cellStyle name="40% - Accent1 4 11 4" xfId="13614"/>
    <cellStyle name="40% - Accent1 4 11 4 2" xfId="19302"/>
    <cellStyle name="40% - Accent1 4 11 4 2 2" xfId="48163"/>
    <cellStyle name="40% - Accent1 4 11 4 3" xfId="42475"/>
    <cellStyle name="40% - Accent1 4 11 5" xfId="16622"/>
    <cellStyle name="40% - Accent1 4 11 5 2" xfId="45483"/>
    <cellStyle name="40% - Accent1 4 11 6" xfId="30847"/>
    <cellStyle name="40% - Accent1 4 12" xfId="2397"/>
    <cellStyle name="40% - Accent1 4 12 2" xfId="5284"/>
    <cellStyle name="40% - Accent1 4 12 2 2" xfId="11325"/>
    <cellStyle name="40% - Accent1 4 12 2 2 2" xfId="28372"/>
    <cellStyle name="40% - Accent1 4 12 2 2 2 2" xfId="57233"/>
    <cellStyle name="40% - Accent1 4 12 2 2 3" xfId="40186"/>
    <cellStyle name="40% - Accent1 4 12 2 3" xfId="22394"/>
    <cellStyle name="40% - Accent1 4 12 2 3 2" xfId="51255"/>
    <cellStyle name="40% - Accent1 4 12 2 4" xfId="34145"/>
    <cellStyle name="40% - Accent1 4 12 3" xfId="8439"/>
    <cellStyle name="40% - Accent1 4 12 3 2" xfId="25486"/>
    <cellStyle name="40% - Accent1 4 12 3 2 2" xfId="54347"/>
    <cellStyle name="40% - Accent1 4 12 3 3" xfId="37300"/>
    <cellStyle name="40% - Accent1 4 12 4" xfId="14385"/>
    <cellStyle name="40% - Accent1 4 12 4 2" xfId="19714"/>
    <cellStyle name="40% - Accent1 4 12 4 2 2" xfId="48575"/>
    <cellStyle name="40% - Accent1 4 12 4 3" xfId="43246"/>
    <cellStyle name="40% - Accent1 4 12 5" xfId="17034"/>
    <cellStyle name="40% - Accent1 4 12 5 2" xfId="45895"/>
    <cellStyle name="40% - Accent1 4 12 6" xfId="31259"/>
    <cellStyle name="40% - Accent1 4 13" xfId="2606"/>
    <cellStyle name="40% - Accent1 4 13 2" xfId="5492"/>
    <cellStyle name="40% - Accent1 4 13 2 2" xfId="11533"/>
    <cellStyle name="40% - Accent1 4 13 2 2 2" xfId="28580"/>
    <cellStyle name="40% - Accent1 4 13 2 2 2 2" xfId="57441"/>
    <cellStyle name="40% - Accent1 4 13 2 2 3" xfId="40394"/>
    <cellStyle name="40% - Accent1 4 13 2 3" xfId="22602"/>
    <cellStyle name="40% - Accent1 4 13 2 3 2" xfId="51463"/>
    <cellStyle name="40% - Accent1 4 13 2 4" xfId="34353"/>
    <cellStyle name="40% - Accent1 4 13 3" xfId="8647"/>
    <cellStyle name="40% - Accent1 4 13 3 2" xfId="25694"/>
    <cellStyle name="40% - Accent1 4 13 3 2 2" xfId="54555"/>
    <cellStyle name="40% - Accent1 4 13 3 3" xfId="37508"/>
    <cellStyle name="40% - Accent1 4 13 4" xfId="13862"/>
    <cellStyle name="40% - Accent1 4 13 4 2" xfId="19922"/>
    <cellStyle name="40% - Accent1 4 13 4 2 2" xfId="48783"/>
    <cellStyle name="40% - Accent1 4 13 4 3" xfId="42723"/>
    <cellStyle name="40% - Accent1 4 13 5" xfId="17242"/>
    <cellStyle name="40% - Accent1 4 13 5 2" xfId="46103"/>
    <cellStyle name="40% - Accent1 4 13 6" xfId="31467"/>
    <cellStyle name="40% - Accent1 4 14" xfId="3018"/>
    <cellStyle name="40% - Accent1 4 14 2" xfId="9059"/>
    <cellStyle name="40% - Accent1 4 14 2 2" xfId="26106"/>
    <cellStyle name="40% - Accent1 4 14 2 2 2" xfId="54967"/>
    <cellStyle name="40% - Accent1 4 14 2 3" xfId="37920"/>
    <cellStyle name="40% - Accent1 4 14 3" xfId="12306"/>
    <cellStyle name="40% - Accent1 4 14 3 2" xfId="20128"/>
    <cellStyle name="40% - Accent1 4 14 3 2 2" xfId="48989"/>
    <cellStyle name="40% - Accent1 4 14 3 3" xfId="41167"/>
    <cellStyle name="40% - Accent1 4 14 4" xfId="14768"/>
    <cellStyle name="40% - Accent1 4 14 4 2" xfId="43629"/>
    <cellStyle name="40% - Accent1 4 14 5" xfId="31879"/>
    <cellStyle name="40% - Accent1 4 15" xfId="2812"/>
    <cellStyle name="40% - Accent1 4 15 2" xfId="8853"/>
    <cellStyle name="40% - Accent1 4 15 2 2" xfId="25900"/>
    <cellStyle name="40% - Accent1 4 15 2 2 2" xfId="54761"/>
    <cellStyle name="40% - Accent1 4 15 2 3" xfId="37714"/>
    <cellStyle name="40% - Accent1 4 15 3" xfId="17448"/>
    <cellStyle name="40% - Accent1 4 15 3 2" xfId="46309"/>
    <cellStyle name="40% - Accent1 4 15 4" xfId="31673"/>
    <cellStyle name="40% - Accent1 4 16" xfId="5698"/>
    <cellStyle name="40% - Accent1 4 16 2" xfId="11739"/>
    <cellStyle name="40% - Accent1 4 16 2 2" xfId="28786"/>
    <cellStyle name="40% - Accent1 4 16 2 2 2" xfId="57647"/>
    <cellStyle name="40% - Accent1 4 16 2 3" xfId="40600"/>
    <cellStyle name="40% - Accent1 4 16 3" xfId="22808"/>
    <cellStyle name="40% - Accent1 4 16 3 2" xfId="51669"/>
    <cellStyle name="40% - Accent1 4 16 4" xfId="34559"/>
    <cellStyle name="40% - Accent1 4 17" xfId="5915"/>
    <cellStyle name="40% - Accent1 4 17 2" xfId="23014"/>
    <cellStyle name="40% - Accent1 4 17 2 2" xfId="51875"/>
    <cellStyle name="40% - Accent1 4 17 3" xfId="34776"/>
    <cellStyle name="40% - Accent1 4 18" xfId="6173"/>
    <cellStyle name="40% - Accent1 4 18 2" xfId="23220"/>
    <cellStyle name="40% - Accent1 4 18 2 2" xfId="52081"/>
    <cellStyle name="40% - Accent1 4 18 3" xfId="35034"/>
    <cellStyle name="40% - Accent1 4 19" xfId="14562"/>
    <cellStyle name="40% - Accent1 4 19 2" xfId="43423"/>
    <cellStyle name="40% - Accent1 4 2" xfId="337"/>
    <cellStyle name="40% - Accent1 4 2 10" xfId="2500"/>
    <cellStyle name="40% - Accent1 4 2 10 2" xfId="5387"/>
    <cellStyle name="40% - Accent1 4 2 10 2 2" xfId="11428"/>
    <cellStyle name="40% - Accent1 4 2 10 2 2 2" xfId="28475"/>
    <cellStyle name="40% - Accent1 4 2 10 2 2 2 2" xfId="57336"/>
    <cellStyle name="40% - Accent1 4 2 10 2 2 3" xfId="40289"/>
    <cellStyle name="40% - Accent1 4 2 10 2 3" xfId="22497"/>
    <cellStyle name="40% - Accent1 4 2 10 2 3 2" xfId="51358"/>
    <cellStyle name="40% - Accent1 4 2 10 2 4" xfId="34248"/>
    <cellStyle name="40% - Accent1 4 2 10 3" xfId="8542"/>
    <cellStyle name="40% - Accent1 4 2 10 3 2" xfId="25589"/>
    <cellStyle name="40% - Accent1 4 2 10 3 2 2" xfId="54450"/>
    <cellStyle name="40% - Accent1 4 2 10 3 3" xfId="37403"/>
    <cellStyle name="40% - Accent1 4 2 10 4" xfId="13734"/>
    <cellStyle name="40% - Accent1 4 2 10 4 2" xfId="19817"/>
    <cellStyle name="40% - Accent1 4 2 10 4 2 2" xfId="48678"/>
    <cellStyle name="40% - Accent1 4 2 10 4 3" xfId="42595"/>
    <cellStyle name="40% - Accent1 4 2 10 5" xfId="17137"/>
    <cellStyle name="40% - Accent1 4 2 10 5 2" xfId="45998"/>
    <cellStyle name="40% - Accent1 4 2 10 6" xfId="31362"/>
    <cellStyle name="40% - Accent1 4 2 11" xfId="2709"/>
    <cellStyle name="40% - Accent1 4 2 11 2" xfId="5595"/>
    <cellStyle name="40% - Accent1 4 2 11 2 2" xfId="11636"/>
    <cellStyle name="40% - Accent1 4 2 11 2 2 2" xfId="28683"/>
    <cellStyle name="40% - Accent1 4 2 11 2 2 2 2" xfId="57544"/>
    <cellStyle name="40% - Accent1 4 2 11 2 2 3" xfId="40497"/>
    <cellStyle name="40% - Accent1 4 2 11 2 3" xfId="22705"/>
    <cellStyle name="40% - Accent1 4 2 11 2 3 2" xfId="51566"/>
    <cellStyle name="40% - Accent1 4 2 11 2 4" xfId="34456"/>
    <cellStyle name="40% - Accent1 4 2 11 3" xfId="8750"/>
    <cellStyle name="40% - Accent1 4 2 11 3 2" xfId="25797"/>
    <cellStyle name="40% - Accent1 4 2 11 3 2 2" xfId="54658"/>
    <cellStyle name="40% - Accent1 4 2 11 3 3" xfId="37611"/>
    <cellStyle name="40% - Accent1 4 2 11 4" xfId="13553"/>
    <cellStyle name="40% - Accent1 4 2 11 4 2" xfId="20025"/>
    <cellStyle name="40% - Accent1 4 2 11 4 2 2" xfId="48886"/>
    <cellStyle name="40% - Accent1 4 2 11 4 3" xfId="42414"/>
    <cellStyle name="40% - Accent1 4 2 11 5" xfId="17345"/>
    <cellStyle name="40% - Accent1 4 2 11 5 2" xfId="46206"/>
    <cellStyle name="40% - Accent1 4 2 11 6" xfId="31570"/>
    <cellStyle name="40% - Accent1 4 2 12" xfId="3224"/>
    <cellStyle name="40% - Accent1 4 2 12 2" xfId="9265"/>
    <cellStyle name="40% - Accent1 4 2 12 2 2" xfId="26312"/>
    <cellStyle name="40% - Accent1 4 2 12 2 2 2" xfId="55173"/>
    <cellStyle name="40% - Accent1 4 2 12 2 3" xfId="38126"/>
    <cellStyle name="40% - Accent1 4 2 12 3" xfId="13788"/>
    <cellStyle name="40% - Accent1 4 2 12 3 2" xfId="20334"/>
    <cellStyle name="40% - Accent1 4 2 12 3 2 2" xfId="49195"/>
    <cellStyle name="40% - Accent1 4 2 12 3 3" xfId="42649"/>
    <cellStyle name="40% - Accent1 4 2 12 4" xfId="14974"/>
    <cellStyle name="40% - Accent1 4 2 12 4 2" xfId="43835"/>
    <cellStyle name="40% - Accent1 4 2 12 5" xfId="32085"/>
    <cellStyle name="40% - Accent1 4 2 13" xfId="2915"/>
    <cellStyle name="40% - Accent1 4 2 13 2" xfId="8956"/>
    <cellStyle name="40% - Accent1 4 2 13 2 2" xfId="26003"/>
    <cellStyle name="40% - Accent1 4 2 13 2 2 2" xfId="54864"/>
    <cellStyle name="40% - Accent1 4 2 13 2 3" xfId="37817"/>
    <cellStyle name="40% - Accent1 4 2 13 3" xfId="17551"/>
    <cellStyle name="40% - Accent1 4 2 13 3 2" xfId="46412"/>
    <cellStyle name="40% - Accent1 4 2 13 4" xfId="31776"/>
    <cellStyle name="40% - Accent1 4 2 14" xfId="5801"/>
    <cellStyle name="40% - Accent1 4 2 14 2" xfId="11842"/>
    <cellStyle name="40% - Accent1 4 2 14 2 2" xfId="28889"/>
    <cellStyle name="40% - Accent1 4 2 14 2 2 2" xfId="57750"/>
    <cellStyle name="40% - Accent1 4 2 14 2 3" xfId="40703"/>
    <cellStyle name="40% - Accent1 4 2 14 3" xfId="22911"/>
    <cellStyle name="40% - Accent1 4 2 14 3 2" xfId="51772"/>
    <cellStyle name="40% - Accent1 4 2 14 4" xfId="34662"/>
    <cellStyle name="40% - Accent1 4 2 15" xfId="6018"/>
    <cellStyle name="40% - Accent1 4 2 15 2" xfId="23117"/>
    <cellStyle name="40% - Accent1 4 2 15 2 2" xfId="51978"/>
    <cellStyle name="40% - Accent1 4 2 15 3" xfId="34879"/>
    <cellStyle name="40% - Accent1 4 2 16" xfId="6379"/>
    <cellStyle name="40% - Accent1 4 2 16 2" xfId="23426"/>
    <cellStyle name="40% - Accent1 4 2 16 2 2" xfId="52287"/>
    <cellStyle name="40% - Accent1 4 2 16 3" xfId="35240"/>
    <cellStyle name="40% - Accent1 4 2 17" xfId="14665"/>
    <cellStyle name="40% - Accent1 4 2 17 2" xfId="43526"/>
    <cellStyle name="40% - Accent1 4 2 18" xfId="29199"/>
    <cellStyle name="40% - Accent1 4 2 2" xfId="543"/>
    <cellStyle name="40% - Accent1 4 2 2 2" xfId="2294"/>
    <cellStyle name="40% - Accent1 4 2 2 2 2" xfId="5181"/>
    <cellStyle name="40% - Accent1 4 2 2 2 2 2" xfId="11222"/>
    <cellStyle name="40% - Accent1 4 2 2 2 2 2 2" xfId="28269"/>
    <cellStyle name="40% - Accent1 4 2 2 2 2 2 2 2" xfId="57130"/>
    <cellStyle name="40% - Accent1 4 2 2 2 2 2 3" xfId="40083"/>
    <cellStyle name="40% - Accent1 4 2 2 2 2 3" xfId="22291"/>
    <cellStyle name="40% - Accent1 4 2 2 2 2 3 2" xfId="51152"/>
    <cellStyle name="40% - Accent1 4 2 2 2 2 4" xfId="34042"/>
    <cellStyle name="40% - Accent1 4 2 2 2 3" xfId="8336"/>
    <cellStyle name="40% - Accent1 4 2 2 2 3 2" xfId="25383"/>
    <cellStyle name="40% - Accent1 4 2 2 2 3 2 2" xfId="54244"/>
    <cellStyle name="40% - Accent1 4 2 2 2 3 3" xfId="37197"/>
    <cellStyle name="40% - Accent1 4 2 2 2 4" xfId="14060"/>
    <cellStyle name="40% - Accent1 4 2 2 2 4 2" xfId="19611"/>
    <cellStyle name="40% - Accent1 4 2 2 2 4 2 2" xfId="48472"/>
    <cellStyle name="40% - Accent1 4 2 2 2 4 3" xfId="42921"/>
    <cellStyle name="40% - Accent1 4 2 2 2 5" xfId="16931"/>
    <cellStyle name="40% - Accent1 4 2 2 2 5 2" xfId="45792"/>
    <cellStyle name="40% - Accent1 4 2 2 2 6" xfId="31156"/>
    <cellStyle name="40% - Accent1 4 2 2 3" xfId="3430"/>
    <cellStyle name="40% - Accent1 4 2 2 3 2" xfId="9471"/>
    <cellStyle name="40% - Accent1 4 2 2 3 2 2" xfId="26518"/>
    <cellStyle name="40% - Accent1 4 2 2 3 2 2 2" xfId="55379"/>
    <cellStyle name="40% - Accent1 4 2 2 3 2 3" xfId="38332"/>
    <cellStyle name="40% - Accent1 4 2 2 3 3" xfId="20540"/>
    <cellStyle name="40% - Accent1 4 2 2 3 3 2" xfId="49401"/>
    <cellStyle name="40% - Accent1 4 2 2 3 4" xfId="32291"/>
    <cellStyle name="40% - Accent1 4 2 2 4" xfId="6585"/>
    <cellStyle name="40% - Accent1 4 2 2 4 2" xfId="23632"/>
    <cellStyle name="40% - Accent1 4 2 2 4 2 2" xfId="52493"/>
    <cellStyle name="40% - Accent1 4 2 2 4 3" xfId="35446"/>
    <cellStyle name="40% - Accent1 4 2 2 5" xfId="13133"/>
    <cellStyle name="40% - Accent1 4 2 2 5 2" xfId="17860"/>
    <cellStyle name="40% - Accent1 4 2 2 5 2 2" xfId="46721"/>
    <cellStyle name="40% - Accent1 4 2 2 5 3" xfId="41994"/>
    <cellStyle name="40% - Accent1 4 2 2 6" xfId="15180"/>
    <cellStyle name="40% - Accent1 4 2 2 6 2" xfId="44041"/>
    <cellStyle name="40% - Accent1 4 2 2 7" xfId="29405"/>
    <cellStyle name="40% - Accent1 4 2 3" xfId="852"/>
    <cellStyle name="40% - Accent1 4 2 3 2" xfId="3739"/>
    <cellStyle name="40% - Accent1 4 2 3 2 2" xfId="9780"/>
    <cellStyle name="40% - Accent1 4 2 3 2 2 2" xfId="26827"/>
    <cellStyle name="40% - Accent1 4 2 3 2 2 2 2" xfId="55688"/>
    <cellStyle name="40% - Accent1 4 2 3 2 2 3" xfId="38641"/>
    <cellStyle name="40% - Accent1 4 2 3 2 3" xfId="20849"/>
    <cellStyle name="40% - Accent1 4 2 3 2 3 2" xfId="49710"/>
    <cellStyle name="40% - Accent1 4 2 3 2 4" xfId="32600"/>
    <cellStyle name="40% - Accent1 4 2 3 3" xfId="6894"/>
    <cellStyle name="40% - Accent1 4 2 3 3 2" xfId="23941"/>
    <cellStyle name="40% - Accent1 4 2 3 3 2 2" xfId="52802"/>
    <cellStyle name="40% - Accent1 4 2 3 3 3" xfId="35755"/>
    <cellStyle name="40% - Accent1 4 2 3 4" xfId="13776"/>
    <cellStyle name="40% - Accent1 4 2 3 4 2" xfId="18169"/>
    <cellStyle name="40% - Accent1 4 2 3 4 2 2" xfId="47030"/>
    <cellStyle name="40% - Accent1 4 2 3 4 3" xfId="42637"/>
    <cellStyle name="40% - Accent1 4 2 3 5" xfId="15489"/>
    <cellStyle name="40% - Accent1 4 2 3 5 2" xfId="44350"/>
    <cellStyle name="40% - Accent1 4 2 3 6" xfId="29714"/>
    <cellStyle name="40% - Accent1 4 2 4" xfId="1058"/>
    <cellStyle name="40% - Accent1 4 2 4 2" xfId="3945"/>
    <cellStyle name="40% - Accent1 4 2 4 2 2" xfId="9986"/>
    <cellStyle name="40% - Accent1 4 2 4 2 2 2" xfId="27033"/>
    <cellStyle name="40% - Accent1 4 2 4 2 2 2 2" xfId="55894"/>
    <cellStyle name="40% - Accent1 4 2 4 2 2 3" xfId="38847"/>
    <cellStyle name="40% - Accent1 4 2 4 2 3" xfId="21055"/>
    <cellStyle name="40% - Accent1 4 2 4 2 3 2" xfId="49916"/>
    <cellStyle name="40% - Accent1 4 2 4 2 4" xfId="32806"/>
    <cellStyle name="40% - Accent1 4 2 4 3" xfId="7100"/>
    <cellStyle name="40% - Accent1 4 2 4 3 2" xfId="24147"/>
    <cellStyle name="40% - Accent1 4 2 4 3 2 2" xfId="53008"/>
    <cellStyle name="40% - Accent1 4 2 4 3 3" xfId="35961"/>
    <cellStyle name="40% - Accent1 4 2 4 4" xfId="12834"/>
    <cellStyle name="40% - Accent1 4 2 4 4 2" xfId="18375"/>
    <cellStyle name="40% - Accent1 4 2 4 4 2 2" xfId="47236"/>
    <cellStyle name="40% - Accent1 4 2 4 4 3" xfId="41695"/>
    <cellStyle name="40% - Accent1 4 2 4 5" xfId="15695"/>
    <cellStyle name="40% - Accent1 4 2 4 5 2" xfId="44556"/>
    <cellStyle name="40% - Accent1 4 2 4 6" xfId="29920"/>
    <cellStyle name="40% - Accent1 4 2 5" xfId="1264"/>
    <cellStyle name="40% - Accent1 4 2 5 2" xfId="4151"/>
    <cellStyle name="40% - Accent1 4 2 5 2 2" xfId="10192"/>
    <cellStyle name="40% - Accent1 4 2 5 2 2 2" xfId="27239"/>
    <cellStyle name="40% - Accent1 4 2 5 2 2 2 2" xfId="56100"/>
    <cellStyle name="40% - Accent1 4 2 5 2 2 3" xfId="39053"/>
    <cellStyle name="40% - Accent1 4 2 5 2 3" xfId="21261"/>
    <cellStyle name="40% - Accent1 4 2 5 2 3 2" xfId="50122"/>
    <cellStyle name="40% - Accent1 4 2 5 2 4" xfId="33012"/>
    <cellStyle name="40% - Accent1 4 2 5 3" xfId="7306"/>
    <cellStyle name="40% - Accent1 4 2 5 3 2" xfId="24353"/>
    <cellStyle name="40% - Accent1 4 2 5 3 2 2" xfId="53214"/>
    <cellStyle name="40% - Accent1 4 2 5 3 3" xfId="36167"/>
    <cellStyle name="40% - Accent1 4 2 5 4" xfId="12046"/>
    <cellStyle name="40% - Accent1 4 2 5 4 2" xfId="18581"/>
    <cellStyle name="40% - Accent1 4 2 5 4 2 2" xfId="47442"/>
    <cellStyle name="40% - Accent1 4 2 5 4 3" xfId="40907"/>
    <cellStyle name="40% - Accent1 4 2 5 5" xfId="15901"/>
    <cellStyle name="40% - Accent1 4 2 5 5 2" xfId="44762"/>
    <cellStyle name="40% - Accent1 4 2 5 6" xfId="30126"/>
    <cellStyle name="40% - Accent1 4 2 6" xfId="1470"/>
    <cellStyle name="40% - Accent1 4 2 6 2" xfId="4357"/>
    <cellStyle name="40% - Accent1 4 2 6 2 2" xfId="10398"/>
    <cellStyle name="40% - Accent1 4 2 6 2 2 2" xfId="27445"/>
    <cellStyle name="40% - Accent1 4 2 6 2 2 2 2" xfId="56306"/>
    <cellStyle name="40% - Accent1 4 2 6 2 2 3" xfId="39259"/>
    <cellStyle name="40% - Accent1 4 2 6 2 3" xfId="21467"/>
    <cellStyle name="40% - Accent1 4 2 6 2 3 2" xfId="50328"/>
    <cellStyle name="40% - Accent1 4 2 6 2 4" xfId="33218"/>
    <cellStyle name="40% - Accent1 4 2 6 3" xfId="7512"/>
    <cellStyle name="40% - Accent1 4 2 6 3 2" xfId="24559"/>
    <cellStyle name="40% - Accent1 4 2 6 3 2 2" xfId="53420"/>
    <cellStyle name="40% - Accent1 4 2 6 3 3" xfId="36373"/>
    <cellStyle name="40% - Accent1 4 2 6 4" xfId="12000"/>
    <cellStyle name="40% - Accent1 4 2 6 4 2" xfId="18787"/>
    <cellStyle name="40% - Accent1 4 2 6 4 2 2" xfId="47648"/>
    <cellStyle name="40% - Accent1 4 2 6 4 3" xfId="40861"/>
    <cellStyle name="40% - Accent1 4 2 6 5" xfId="16107"/>
    <cellStyle name="40% - Accent1 4 2 6 5 2" xfId="44968"/>
    <cellStyle name="40% - Accent1 4 2 6 6" xfId="30332"/>
    <cellStyle name="40% - Accent1 4 2 7" xfId="1676"/>
    <cellStyle name="40% - Accent1 4 2 7 2" xfId="4563"/>
    <cellStyle name="40% - Accent1 4 2 7 2 2" xfId="10604"/>
    <cellStyle name="40% - Accent1 4 2 7 2 2 2" xfId="27651"/>
    <cellStyle name="40% - Accent1 4 2 7 2 2 2 2" xfId="56512"/>
    <cellStyle name="40% - Accent1 4 2 7 2 2 3" xfId="39465"/>
    <cellStyle name="40% - Accent1 4 2 7 2 3" xfId="21673"/>
    <cellStyle name="40% - Accent1 4 2 7 2 3 2" xfId="50534"/>
    <cellStyle name="40% - Accent1 4 2 7 2 4" xfId="33424"/>
    <cellStyle name="40% - Accent1 4 2 7 3" xfId="7718"/>
    <cellStyle name="40% - Accent1 4 2 7 3 2" xfId="24765"/>
    <cellStyle name="40% - Accent1 4 2 7 3 2 2" xfId="53626"/>
    <cellStyle name="40% - Accent1 4 2 7 3 3" xfId="36579"/>
    <cellStyle name="40% - Accent1 4 2 7 4" xfId="13834"/>
    <cellStyle name="40% - Accent1 4 2 7 4 2" xfId="18993"/>
    <cellStyle name="40% - Accent1 4 2 7 4 2 2" xfId="47854"/>
    <cellStyle name="40% - Accent1 4 2 7 4 3" xfId="42695"/>
    <cellStyle name="40% - Accent1 4 2 7 5" xfId="16313"/>
    <cellStyle name="40% - Accent1 4 2 7 5 2" xfId="45174"/>
    <cellStyle name="40% - Accent1 4 2 7 6" xfId="30538"/>
    <cellStyle name="40% - Accent1 4 2 8" xfId="1882"/>
    <cellStyle name="40% - Accent1 4 2 8 2" xfId="4769"/>
    <cellStyle name="40% - Accent1 4 2 8 2 2" xfId="10810"/>
    <cellStyle name="40% - Accent1 4 2 8 2 2 2" xfId="27857"/>
    <cellStyle name="40% - Accent1 4 2 8 2 2 2 2" xfId="56718"/>
    <cellStyle name="40% - Accent1 4 2 8 2 2 3" xfId="39671"/>
    <cellStyle name="40% - Accent1 4 2 8 2 3" xfId="21879"/>
    <cellStyle name="40% - Accent1 4 2 8 2 3 2" xfId="50740"/>
    <cellStyle name="40% - Accent1 4 2 8 2 4" xfId="33630"/>
    <cellStyle name="40% - Accent1 4 2 8 3" xfId="7924"/>
    <cellStyle name="40% - Accent1 4 2 8 3 2" xfId="24971"/>
    <cellStyle name="40% - Accent1 4 2 8 3 2 2" xfId="53832"/>
    <cellStyle name="40% - Accent1 4 2 8 3 3" xfId="36785"/>
    <cellStyle name="40% - Accent1 4 2 8 4" xfId="12546"/>
    <cellStyle name="40% - Accent1 4 2 8 4 2" xfId="19199"/>
    <cellStyle name="40% - Accent1 4 2 8 4 2 2" xfId="48060"/>
    <cellStyle name="40% - Accent1 4 2 8 4 3" xfId="41407"/>
    <cellStyle name="40% - Accent1 4 2 8 5" xfId="16519"/>
    <cellStyle name="40% - Accent1 4 2 8 5 2" xfId="45380"/>
    <cellStyle name="40% - Accent1 4 2 8 6" xfId="30744"/>
    <cellStyle name="40% - Accent1 4 2 9" xfId="2088"/>
    <cellStyle name="40% - Accent1 4 2 9 2" xfId="4975"/>
    <cellStyle name="40% - Accent1 4 2 9 2 2" xfId="11016"/>
    <cellStyle name="40% - Accent1 4 2 9 2 2 2" xfId="28063"/>
    <cellStyle name="40% - Accent1 4 2 9 2 2 2 2" xfId="56924"/>
    <cellStyle name="40% - Accent1 4 2 9 2 2 3" xfId="39877"/>
    <cellStyle name="40% - Accent1 4 2 9 2 3" xfId="22085"/>
    <cellStyle name="40% - Accent1 4 2 9 2 3 2" xfId="50946"/>
    <cellStyle name="40% - Accent1 4 2 9 2 4" xfId="33836"/>
    <cellStyle name="40% - Accent1 4 2 9 3" xfId="8130"/>
    <cellStyle name="40% - Accent1 4 2 9 3 2" xfId="25177"/>
    <cellStyle name="40% - Accent1 4 2 9 3 2 2" xfId="54038"/>
    <cellStyle name="40% - Accent1 4 2 9 3 3" xfId="36991"/>
    <cellStyle name="40% - Accent1 4 2 9 4" xfId="12871"/>
    <cellStyle name="40% - Accent1 4 2 9 4 2" xfId="19405"/>
    <cellStyle name="40% - Accent1 4 2 9 4 2 2" xfId="48266"/>
    <cellStyle name="40% - Accent1 4 2 9 4 3" xfId="41732"/>
    <cellStyle name="40% - Accent1 4 2 9 5" xfId="16725"/>
    <cellStyle name="40% - Accent1 4 2 9 5 2" xfId="45586"/>
    <cellStyle name="40% - Accent1 4 2 9 6" xfId="30950"/>
    <cellStyle name="40% - Accent1 4 20" xfId="28993"/>
    <cellStyle name="40% - Accent1 4 3" xfId="234"/>
    <cellStyle name="40% - Accent1 4 3 2" xfId="646"/>
    <cellStyle name="40% - Accent1 4 3 2 2" xfId="3533"/>
    <cellStyle name="40% - Accent1 4 3 2 2 2" xfId="9574"/>
    <cellStyle name="40% - Accent1 4 3 2 2 2 2" xfId="26621"/>
    <cellStyle name="40% - Accent1 4 3 2 2 2 2 2" xfId="55482"/>
    <cellStyle name="40% - Accent1 4 3 2 2 2 3" xfId="38435"/>
    <cellStyle name="40% - Accent1 4 3 2 2 3" xfId="20643"/>
    <cellStyle name="40% - Accent1 4 3 2 2 3 2" xfId="49504"/>
    <cellStyle name="40% - Accent1 4 3 2 2 4" xfId="32394"/>
    <cellStyle name="40% - Accent1 4 3 2 3" xfId="6688"/>
    <cellStyle name="40% - Accent1 4 3 2 3 2" xfId="23735"/>
    <cellStyle name="40% - Accent1 4 3 2 3 2 2" xfId="52596"/>
    <cellStyle name="40% - Accent1 4 3 2 3 3" xfId="35549"/>
    <cellStyle name="40% - Accent1 4 3 2 4" xfId="11945"/>
    <cellStyle name="40% - Accent1 4 3 2 4 2" xfId="17963"/>
    <cellStyle name="40% - Accent1 4 3 2 4 2 2" xfId="46824"/>
    <cellStyle name="40% - Accent1 4 3 2 4 3" xfId="40806"/>
    <cellStyle name="40% - Accent1 4 3 2 5" xfId="15283"/>
    <cellStyle name="40% - Accent1 4 3 2 5 2" xfId="44144"/>
    <cellStyle name="40% - Accent1 4 3 2 6" xfId="29508"/>
    <cellStyle name="40% - Accent1 4 3 3" xfId="2191"/>
    <cellStyle name="40% - Accent1 4 3 3 2" xfId="5078"/>
    <cellStyle name="40% - Accent1 4 3 3 2 2" xfId="11119"/>
    <cellStyle name="40% - Accent1 4 3 3 2 2 2" xfId="28166"/>
    <cellStyle name="40% - Accent1 4 3 3 2 2 2 2" xfId="57027"/>
    <cellStyle name="40% - Accent1 4 3 3 2 2 3" xfId="39980"/>
    <cellStyle name="40% - Accent1 4 3 3 2 3" xfId="22188"/>
    <cellStyle name="40% - Accent1 4 3 3 2 3 2" xfId="51049"/>
    <cellStyle name="40% - Accent1 4 3 3 2 4" xfId="33939"/>
    <cellStyle name="40% - Accent1 4 3 3 3" xfId="8233"/>
    <cellStyle name="40% - Accent1 4 3 3 3 2" xfId="25280"/>
    <cellStyle name="40% - Accent1 4 3 3 3 2 2" xfId="54141"/>
    <cellStyle name="40% - Accent1 4 3 3 3 3" xfId="37094"/>
    <cellStyle name="40% - Accent1 4 3 3 4" xfId="13769"/>
    <cellStyle name="40% - Accent1 4 3 3 4 2" xfId="19508"/>
    <cellStyle name="40% - Accent1 4 3 3 4 2 2" xfId="48369"/>
    <cellStyle name="40% - Accent1 4 3 3 4 3" xfId="42630"/>
    <cellStyle name="40% - Accent1 4 3 3 5" xfId="16828"/>
    <cellStyle name="40% - Accent1 4 3 3 5 2" xfId="45689"/>
    <cellStyle name="40% - Accent1 4 3 3 6" xfId="31053"/>
    <cellStyle name="40% - Accent1 4 3 4" xfId="3121"/>
    <cellStyle name="40% - Accent1 4 3 4 2" xfId="9162"/>
    <cellStyle name="40% - Accent1 4 3 4 2 2" xfId="26209"/>
    <cellStyle name="40% - Accent1 4 3 4 2 2 2" xfId="55070"/>
    <cellStyle name="40% - Accent1 4 3 4 2 3" xfId="38023"/>
    <cellStyle name="40% - Accent1 4 3 4 3" xfId="20231"/>
    <cellStyle name="40% - Accent1 4 3 4 3 2" xfId="49092"/>
    <cellStyle name="40% - Accent1 4 3 4 4" xfId="31982"/>
    <cellStyle name="40% - Accent1 4 3 5" xfId="6276"/>
    <cellStyle name="40% - Accent1 4 3 5 2" xfId="23323"/>
    <cellStyle name="40% - Accent1 4 3 5 2 2" xfId="52184"/>
    <cellStyle name="40% - Accent1 4 3 5 3" xfId="35137"/>
    <cellStyle name="40% - Accent1 4 3 6" xfId="13291"/>
    <cellStyle name="40% - Accent1 4 3 6 2" xfId="17654"/>
    <cellStyle name="40% - Accent1 4 3 6 2 2" xfId="46515"/>
    <cellStyle name="40% - Accent1 4 3 6 3" xfId="42152"/>
    <cellStyle name="40% - Accent1 4 3 7" xfId="14871"/>
    <cellStyle name="40% - Accent1 4 3 7 2" xfId="43732"/>
    <cellStyle name="40% - Accent1 4 3 8" xfId="29096"/>
    <cellStyle name="40% - Accent1 4 4" xfId="440"/>
    <cellStyle name="40% - Accent1 4 4 2" xfId="3327"/>
    <cellStyle name="40% - Accent1 4 4 2 2" xfId="9368"/>
    <cellStyle name="40% - Accent1 4 4 2 2 2" xfId="26415"/>
    <cellStyle name="40% - Accent1 4 4 2 2 2 2" xfId="55276"/>
    <cellStyle name="40% - Accent1 4 4 2 2 3" xfId="38229"/>
    <cellStyle name="40% - Accent1 4 4 2 3" xfId="20437"/>
    <cellStyle name="40% - Accent1 4 4 2 3 2" xfId="49298"/>
    <cellStyle name="40% - Accent1 4 4 2 4" xfId="32188"/>
    <cellStyle name="40% - Accent1 4 4 3" xfId="6482"/>
    <cellStyle name="40% - Accent1 4 4 3 2" xfId="23529"/>
    <cellStyle name="40% - Accent1 4 4 3 2 2" xfId="52390"/>
    <cellStyle name="40% - Accent1 4 4 3 3" xfId="35343"/>
    <cellStyle name="40% - Accent1 4 4 4" xfId="14063"/>
    <cellStyle name="40% - Accent1 4 4 4 2" xfId="17757"/>
    <cellStyle name="40% - Accent1 4 4 4 2 2" xfId="46618"/>
    <cellStyle name="40% - Accent1 4 4 4 3" xfId="42924"/>
    <cellStyle name="40% - Accent1 4 4 5" xfId="15077"/>
    <cellStyle name="40% - Accent1 4 4 5 2" xfId="43938"/>
    <cellStyle name="40% - Accent1 4 4 6" xfId="29302"/>
    <cellStyle name="40% - Accent1 4 5" xfId="749"/>
    <cellStyle name="40% - Accent1 4 5 2" xfId="3636"/>
    <cellStyle name="40% - Accent1 4 5 2 2" xfId="9677"/>
    <cellStyle name="40% - Accent1 4 5 2 2 2" xfId="26724"/>
    <cellStyle name="40% - Accent1 4 5 2 2 2 2" xfId="55585"/>
    <cellStyle name="40% - Accent1 4 5 2 2 3" xfId="38538"/>
    <cellStyle name="40% - Accent1 4 5 2 3" xfId="20746"/>
    <cellStyle name="40% - Accent1 4 5 2 3 2" xfId="49607"/>
    <cellStyle name="40% - Accent1 4 5 2 4" xfId="32497"/>
    <cellStyle name="40% - Accent1 4 5 3" xfId="6791"/>
    <cellStyle name="40% - Accent1 4 5 3 2" xfId="23838"/>
    <cellStyle name="40% - Accent1 4 5 3 2 2" xfId="52699"/>
    <cellStyle name="40% - Accent1 4 5 3 3" xfId="35652"/>
    <cellStyle name="40% - Accent1 4 5 4" xfId="14150"/>
    <cellStyle name="40% - Accent1 4 5 4 2" xfId="18066"/>
    <cellStyle name="40% - Accent1 4 5 4 2 2" xfId="46927"/>
    <cellStyle name="40% - Accent1 4 5 4 3" xfId="43011"/>
    <cellStyle name="40% - Accent1 4 5 5" xfId="15386"/>
    <cellStyle name="40% - Accent1 4 5 5 2" xfId="44247"/>
    <cellStyle name="40% - Accent1 4 5 6" xfId="29611"/>
    <cellStyle name="40% - Accent1 4 6" xfId="955"/>
    <cellStyle name="40% - Accent1 4 6 2" xfId="3842"/>
    <cellStyle name="40% - Accent1 4 6 2 2" xfId="9883"/>
    <cellStyle name="40% - Accent1 4 6 2 2 2" xfId="26930"/>
    <cellStyle name="40% - Accent1 4 6 2 2 2 2" xfId="55791"/>
    <cellStyle name="40% - Accent1 4 6 2 2 3" xfId="38744"/>
    <cellStyle name="40% - Accent1 4 6 2 3" xfId="20952"/>
    <cellStyle name="40% - Accent1 4 6 2 3 2" xfId="49813"/>
    <cellStyle name="40% - Accent1 4 6 2 4" xfId="32703"/>
    <cellStyle name="40% - Accent1 4 6 3" xfId="6997"/>
    <cellStyle name="40% - Accent1 4 6 3 2" xfId="24044"/>
    <cellStyle name="40% - Accent1 4 6 3 2 2" xfId="52905"/>
    <cellStyle name="40% - Accent1 4 6 3 3" xfId="35858"/>
    <cellStyle name="40% - Accent1 4 6 4" xfId="13388"/>
    <cellStyle name="40% - Accent1 4 6 4 2" xfId="18272"/>
    <cellStyle name="40% - Accent1 4 6 4 2 2" xfId="47133"/>
    <cellStyle name="40% - Accent1 4 6 4 3" xfId="42249"/>
    <cellStyle name="40% - Accent1 4 6 5" xfId="15592"/>
    <cellStyle name="40% - Accent1 4 6 5 2" xfId="44453"/>
    <cellStyle name="40% - Accent1 4 6 6" xfId="29817"/>
    <cellStyle name="40% - Accent1 4 7" xfId="1161"/>
    <cellStyle name="40% - Accent1 4 7 2" xfId="4048"/>
    <cellStyle name="40% - Accent1 4 7 2 2" xfId="10089"/>
    <cellStyle name="40% - Accent1 4 7 2 2 2" xfId="27136"/>
    <cellStyle name="40% - Accent1 4 7 2 2 2 2" xfId="55997"/>
    <cellStyle name="40% - Accent1 4 7 2 2 3" xfId="38950"/>
    <cellStyle name="40% - Accent1 4 7 2 3" xfId="21158"/>
    <cellStyle name="40% - Accent1 4 7 2 3 2" xfId="50019"/>
    <cellStyle name="40% - Accent1 4 7 2 4" xfId="32909"/>
    <cellStyle name="40% - Accent1 4 7 3" xfId="7203"/>
    <cellStyle name="40% - Accent1 4 7 3 2" xfId="24250"/>
    <cellStyle name="40% - Accent1 4 7 3 2 2" xfId="53111"/>
    <cellStyle name="40% - Accent1 4 7 3 3" xfId="36064"/>
    <cellStyle name="40% - Accent1 4 7 4" xfId="13419"/>
    <cellStyle name="40% - Accent1 4 7 4 2" xfId="18478"/>
    <cellStyle name="40% - Accent1 4 7 4 2 2" xfId="47339"/>
    <cellStyle name="40% - Accent1 4 7 4 3" xfId="42280"/>
    <cellStyle name="40% - Accent1 4 7 5" xfId="15798"/>
    <cellStyle name="40% - Accent1 4 7 5 2" xfId="44659"/>
    <cellStyle name="40% - Accent1 4 7 6" xfId="30023"/>
    <cellStyle name="40% - Accent1 4 8" xfId="1367"/>
    <cellStyle name="40% - Accent1 4 8 2" xfId="4254"/>
    <cellStyle name="40% - Accent1 4 8 2 2" xfId="10295"/>
    <cellStyle name="40% - Accent1 4 8 2 2 2" xfId="27342"/>
    <cellStyle name="40% - Accent1 4 8 2 2 2 2" xfId="56203"/>
    <cellStyle name="40% - Accent1 4 8 2 2 3" xfId="39156"/>
    <cellStyle name="40% - Accent1 4 8 2 3" xfId="21364"/>
    <cellStyle name="40% - Accent1 4 8 2 3 2" xfId="50225"/>
    <cellStyle name="40% - Accent1 4 8 2 4" xfId="33115"/>
    <cellStyle name="40% - Accent1 4 8 3" xfId="7409"/>
    <cellStyle name="40% - Accent1 4 8 3 2" xfId="24456"/>
    <cellStyle name="40% - Accent1 4 8 3 2 2" xfId="53317"/>
    <cellStyle name="40% - Accent1 4 8 3 3" xfId="36270"/>
    <cellStyle name="40% - Accent1 4 8 4" xfId="12476"/>
    <cellStyle name="40% - Accent1 4 8 4 2" xfId="18684"/>
    <cellStyle name="40% - Accent1 4 8 4 2 2" xfId="47545"/>
    <cellStyle name="40% - Accent1 4 8 4 3" xfId="41337"/>
    <cellStyle name="40% - Accent1 4 8 5" xfId="16004"/>
    <cellStyle name="40% - Accent1 4 8 5 2" xfId="44865"/>
    <cellStyle name="40% - Accent1 4 8 6" xfId="30229"/>
    <cellStyle name="40% - Accent1 4 9" xfId="1573"/>
    <cellStyle name="40% - Accent1 4 9 2" xfId="4460"/>
    <cellStyle name="40% - Accent1 4 9 2 2" xfId="10501"/>
    <cellStyle name="40% - Accent1 4 9 2 2 2" xfId="27548"/>
    <cellStyle name="40% - Accent1 4 9 2 2 2 2" xfId="56409"/>
    <cellStyle name="40% - Accent1 4 9 2 2 3" xfId="39362"/>
    <cellStyle name="40% - Accent1 4 9 2 3" xfId="21570"/>
    <cellStyle name="40% - Accent1 4 9 2 3 2" xfId="50431"/>
    <cellStyle name="40% - Accent1 4 9 2 4" xfId="33321"/>
    <cellStyle name="40% - Accent1 4 9 3" xfId="7615"/>
    <cellStyle name="40% - Accent1 4 9 3 2" xfId="24662"/>
    <cellStyle name="40% - Accent1 4 9 3 2 2" xfId="53523"/>
    <cellStyle name="40% - Accent1 4 9 3 3" xfId="36476"/>
    <cellStyle name="40% - Accent1 4 9 4" xfId="13896"/>
    <cellStyle name="40% - Accent1 4 9 4 2" xfId="18890"/>
    <cellStyle name="40% - Accent1 4 9 4 2 2" xfId="47751"/>
    <cellStyle name="40% - Accent1 4 9 4 3" xfId="42757"/>
    <cellStyle name="40% - Accent1 4 9 5" xfId="16210"/>
    <cellStyle name="40% - Accent1 4 9 5 2" xfId="45071"/>
    <cellStyle name="40% - Accent1 4 9 6" xfId="30435"/>
    <cellStyle name="40% - Accent1 5" xfId="284"/>
    <cellStyle name="40% - Accent1 5 10" xfId="2447"/>
    <cellStyle name="40% - Accent1 5 10 2" xfId="5334"/>
    <cellStyle name="40% - Accent1 5 10 2 2" xfId="11375"/>
    <cellStyle name="40% - Accent1 5 10 2 2 2" xfId="28422"/>
    <cellStyle name="40% - Accent1 5 10 2 2 2 2" xfId="57283"/>
    <cellStyle name="40% - Accent1 5 10 2 2 3" xfId="40236"/>
    <cellStyle name="40% - Accent1 5 10 2 3" xfId="22444"/>
    <cellStyle name="40% - Accent1 5 10 2 3 2" xfId="51305"/>
    <cellStyle name="40% - Accent1 5 10 2 4" xfId="34195"/>
    <cellStyle name="40% - Accent1 5 10 3" xfId="8489"/>
    <cellStyle name="40% - Accent1 5 10 3 2" xfId="25536"/>
    <cellStyle name="40% - Accent1 5 10 3 2 2" xfId="54397"/>
    <cellStyle name="40% - Accent1 5 10 3 3" xfId="37350"/>
    <cellStyle name="40% - Accent1 5 10 4" xfId="14275"/>
    <cellStyle name="40% - Accent1 5 10 4 2" xfId="19764"/>
    <cellStyle name="40% - Accent1 5 10 4 2 2" xfId="48625"/>
    <cellStyle name="40% - Accent1 5 10 4 3" xfId="43136"/>
    <cellStyle name="40% - Accent1 5 10 5" xfId="17084"/>
    <cellStyle name="40% - Accent1 5 10 5 2" xfId="45945"/>
    <cellStyle name="40% - Accent1 5 10 6" xfId="31309"/>
    <cellStyle name="40% - Accent1 5 11" xfId="2656"/>
    <cellStyle name="40% - Accent1 5 11 2" xfId="5542"/>
    <cellStyle name="40% - Accent1 5 11 2 2" xfId="11583"/>
    <cellStyle name="40% - Accent1 5 11 2 2 2" xfId="28630"/>
    <cellStyle name="40% - Accent1 5 11 2 2 2 2" xfId="57491"/>
    <cellStyle name="40% - Accent1 5 11 2 2 3" xfId="40444"/>
    <cellStyle name="40% - Accent1 5 11 2 3" xfId="22652"/>
    <cellStyle name="40% - Accent1 5 11 2 3 2" xfId="51513"/>
    <cellStyle name="40% - Accent1 5 11 2 4" xfId="34403"/>
    <cellStyle name="40% - Accent1 5 11 3" xfId="8697"/>
    <cellStyle name="40% - Accent1 5 11 3 2" xfId="25744"/>
    <cellStyle name="40% - Accent1 5 11 3 2 2" xfId="54605"/>
    <cellStyle name="40% - Accent1 5 11 3 3" xfId="37558"/>
    <cellStyle name="40% - Accent1 5 11 4" xfId="13261"/>
    <cellStyle name="40% - Accent1 5 11 4 2" xfId="19972"/>
    <cellStyle name="40% - Accent1 5 11 4 2 2" xfId="48833"/>
    <cellStyle name="40% - Accent1 5 11 4 3" xfId="42122"/>
    <cellStyle name="40% - Accent1 5 11 5" xfId="17292"/>
    <cellStyle name="40% - Accent1 5 11 5 2" xfId="46153"/>
    <cellStyle name="40% - Accent1 5 11 6" xfId="31517"/>
    <cellStyle name="40% - Accent1 5 12" xfId="3171"/>
    <cellStyle name="40% - Accent1 5 12 2" xfId="9212"/>
    <cellStyle name="40% - Accent1 5 12 2 2" xfId="26259"/>
    <cellStyle name="40% - Accent1 5 12 2 2 2" xfId="55120"/>
    <cellStyle name="40% - Accent1 5 12 2 3" xfId="38073"/>
    <cellStyle name="40% - Accent1 5 12 3" xfId="12790"/>
    <cellStyle name="40% - Accent1 5 12 3 2" xfId="20281"/>
    <cellStyle name="40% - Accent1 5 12 3 2 2" xfId="49142"/>
    <cellStyle name="40% - Accent1 5 12 3 3" xfId="41651"/>
    <cellStyle name="40% - Accent1 5 12 4" xfId="14921"/>
    <cellStyle name="40% - Accent1 5 12 4 2" xfId="43782"/>
    <cellStyle name="40% - Accent1 5 12 5" xfId="32032"/>
    <cellStyle name="40% - Accent1 5 13" xfId="2862"/>
    <cellStyle name="40% - Accent1 5 13 2" xfId="8903"/>
    <cellStyle name="40% - Accent1 5 13 2 2" xfId="25950"/>
    <cellStyle name="40% - Accent1 5 13 2 2 2" xfId="54811"/>
    <cellStyle name="40% - Accent1 5 13 2 3" xfId="37764"/>
    <cellStyle name="40% - Accent1 5 13 3" xfId="17498"/>
    <cellStyle name="40% - Accent1 5 13 3 2" xfId="46359"/>
    <cellStyle name="40% - Accent1 5 13 4" xfId="31723"/>
    <cellStyle name="40% - Accent1 5 14" xfId="5748"/>
    <cellStyle name="40% - Accent1 5 14 2" xfId="11789"/>
    <cellStyle name="40% - Accent1 5 14 2 2" xfId="28836"/>
    <cellStyle name="40% - Accent1 5 14 2 2 2" xfId="57697"/>
    <cellStyle name="40% - Accent1 5 14 2 3" xfId="40650"/>
    <cellStyle name="40% - Accent1 5 14 3" xfId="22858"/>
    <cellStyle name="40% - Accent1 5 14 3 2" xfId="51719"/>
    <cellStyle name="40% - Accent1 5 14 4" xfId="34609"/>
    <cellStyle name="40% - Accent1 5 15" xfId="5965"/>
    <cellStyle name="40% - Accent1 5 15 2" xfId="23064"/>
    <cellStyle name="40% - Accent1 5 15 2 2" xfId="51925"/>
    <cellStyle name="40% - Accent1 5 15 3" xfId="34826"/>
    <cellStyle name="40% - Accent1 5 16" xfId="6326"/>
    <cellStyle name="40% - Accent1 5 16 2" xfId="23373"/>
    <cellStyle name="40% - Accent1 5 16 2 2" xfId="52234"/>
    <cellStyle name="40% - Accent1 5 16 3" xfId="35187"/>
    <cellStyle name="40% - Accent1 5 17" xfId="14612"/>
    <cellStyle name="40% - Accent1 5 17 2" xfId="43473"/>
    <cellStyle name="40% - Accent1 5 18" xfId="29146"/>
    <cellStyle name="40% - Accent1 5 2" xfId="490"/>
    <cellStyle name="40% - Accent1 5 2 2" xfId="2241"/>
    <cellStyle name="40% - Accent1 5 2 2 2" xfId="5128"/>
    <cellStyle name="40% - Accent1 5 2 2 2 2" xfId="11169"/>
    <cellStyle name="40% - Accent1 5 2 2 2 2 2" xfId="28216"/>
    <cellStyle name="40% - Accent1 5 2 2 2 2 2 2" xfId="57077"/>
    <cellStyle name="40% - Accent1 5 2 2 2 2 3" xfId="40030"/>
    <cellStyle name="40% - Accent1 5 2 2 2 3" xfId="22238"/>
    <cellStyle name="40% - Accent1 5 2 2 2 3 2" xfId="51099"/>
    <cellStyle name="40% - Accent1 5 2 2 2 4" xfId="33989"/>
    <cellStyle name="40% - Accent1 5 2 2 3" xfId="8283"/>
    <cellStyle name="40% - Accent1 5 2 2 3 2" xfId="25330"/>
    <cellStyle name="40% - Accent1 5 2 2 3 2 2" xfId="54191"/>
    <cellStyle name="40% - Accent1 5 2 2 3 3" xfId="37144"/>
    <cellStyle name="40% - Accent1 5 2 2 4" xfId="13848"/>
    <cellStyle name="40% - Accent1 5 2 2 4 2" xfId="19558"/>
    <cellStyle name="40% - Accent1 5 2 2 4 2 2" xfId="48419"/>
    <cellStyle name="40% - Accent1 5 2 2 4 3" xfId="42709"/>
    <cellStyle name="40% - Accent1 5 2 2 5" xfId="16878"/>
    <cellStyle name="40% - Accent1 5 2 2 5 2" xfId="45739"/>
    <cellStyle name="40% - Accent1 5 2 2 6" xfId="31103"/>
    <cellStyle name="40% - Accent1 5 2 3" xfId="3377"/>
    <cellStyle name="40% - Accent1 5 2 3 2" xfId="9418"/>
    <cellStyle name="40% - Accent1 5 2 3 2 2" xfId="26465"/>
    <cellStyle name="40% - Accent1 5 2 3 2 2 2" xfId="55326"/>
    <cellStyle name="40% - Accent1 5 2 3 2 3" xfId="38279"/>
    <cellStyle name="40% - Accent1 5 2 3 3" xfId="20487"/>
    <cellStyle name="40% - Accent1 5 2 3 3 2" xfId="49348"/>
    <cellStyle name="40% - Accent1 5 2 3 4" xfId="32238"/>
    <cellStyle name="40% - Accent1 5 2 4" xfId="6532"/>
    <cellStyle name="40% - Accent1 5 2 4 2" xfId="23579"/>
    <cellStyle name="40% - Accent1 5 2 4 2 2" xfId="52440"/>
    <cellStyle name="40% - Accent1 5 2 4 3" xfId="35393"/>
    <cellStyle name="40% - Accent1 5 2 5" xfId="13857"/>
    <cellStyle name="40% - Accent1 5 2 5 2" xfId="17807"/>
    <cellStyle name="40% - Accent1 5 2 5 2 2" xfId="46668"/>
    <cellStyle name="40% - Accent1 5 2 5 3" xfId="42718"/>
    <cellStyle name="40% - Accent1 5 2 6" xfId="15127"/>
    <cellStyle name="40% - Accent1 5 2 6 2" xfId="43988"/>
    <cellStyle name="40% - Accent1 5 2 7" xfId="29352"/>
    <cellStyle name="40% - Accent1 5 3" xfId="799"/>
    <cellStyle name="40% - Accent1 5 3 2" xfId="3686"/>
    <cellStyle name="40% - Accent1 5 3 2 2" xfId="9727"/>
    <cellStyle name="40% - Accent1 5 3 2 2 2" xfId="26774"/>
    <cellStyle name="40% - Accent1 5 3 2 2 2 2" xfId="55635"/>
    <cellStyle name="40% - Accent1 5 3 2 2 3" xfId="38588"/>
    <cellStyle name="40% - Accent1 5 3 2 3" xfId="20796"/>
    <cellStyle name="40% - Accent1 5 3 2 3 2" xfId="49657"/>
    <cellStyle name="40% - Accent1 5 3 2 4" xfId="32547"/>
    <cellStyle name="40% - Accent1 5 3 3" xfId="6841"/>
    <cellStyle name="40% - Accent1 5 3 3 2" xfId="23888"/>
    <cellStyle name="40% - Accent1 5 3 3 2 2" xfId="52749"/>
    <cellStyle name="40% - Accent1 5 3 3 3" xfId="35702"/>
    <cellStyle name="40% - Accent1 5 3 4" xfId="14034"/>
    <cellStyle name="40% - Accent1 5 3 4 2" xfId="18116"/>
    <cellStyle name="40% - Accent1 5 3 4 2 2" xfId="46977"/>
    <cellStyle name="40% - Accent1 5 3 4 3" xfId="42895"/>
    <cellStyle name="40% - Accent1 5 3 5" xfId="15436"/>
    <cellStyle name="40% - Accent1 5 3 5 2" xfId="44297"/>
    <cellStyle name="40% - Accent1 5 3 6" xfId="29661"/>
    <cellStyle name="40% - Accent1 5 4" xfId="1005"/>
    <cellStyle name="40% - Accent1 5 4 2" xfId="3892"/>
    <cellStyle name="40% - Accent1 5 4 2 2" xfId="9933"/>
    <cellStyle name="40% - Accent1 5 4 2 2 2" xfId="26980"/>
    <cellStyle name="40% - Accent1 5 4 2 2 2 2" xfId="55841"/>
    <cellStyle name="40% - Accent1 5 4 2 2 3" xfId="38794"/>
    <cellStyle name="40% - Accent1 5 4 2 3" xfId="21002"/>
    <cellStyle name="40% - Accent1 5 4 2 3 2" xfId="49863"/>
    <cellStyle name="40% - Accent1 5 4 2 4" xfId="32753"/>
    <cellStyle name="40% - Accent1 5 4 3" xfId="7047"/>
    <cellStyle name="40% - Accent1 5 4 3 2" xfId="24094"/>
    <cellStyle name="40% - Accent1 5 4 3 2 2" xfId="52955"/>
    <cellStyle name="40% - Accent1 5 4 3 3" xfId="35908"/>
    <cellStyle name="40% - Accent1 5 4 4" xfId="14421"/>
    <cellStyle name="40% - Accent1 5 4 4 2" xfId="18322"/>
    <cellStyle name="40% - Accent1 5 4 4 2 2" xfId="47183"/>
    <cellStyle name="40% - Accent1 5 4 4 3" xfId="43282"/>
    <cellStyle name="40% - Accent1 5 4 5" xfId="15642"/>
    <cellStyle name="40% - Accent1 5 4 5 2" xfId="44503"/>
    <cellStyle name="40% - Accent1 5 4 6" xfId="29867"/>
    <cellStyle name="40% - Accent1 5 5" xfId="1211"/>
    <cellStyle name="40% - Accent1 5 5 2" xfId="4098"/>
    <cellStyle name="40% - Accent1 5 5 2 2" xfId="10139"/>
    <cellStyle name="40% - Accent1 5 5 2 2 2" xfId="27186"/>
    <cellStyle name="40% - Accent1 5 5 2 2 2 2" xfId="56047"/>
    <cellStyle name="40% - Accent1 5 5 2 2 3" xfId="39000"/>
    <cellStyle name="40% - Accent1 5 5 2 3" xfId="21208"/>
    <cellStyle name="40% - Accent1 5 5 2 3 2" xfId="50069"/>
    <cellStyle name="40% - Accent1 5 5 2 4" xfId="32959"/>
    <cellStyle name="40% - Accent1 5 5 3" xfId="7253"/>
    <cellStyle name="40% - Accent1 5 5 3 2" xfId="24300"/>
    <cellStyle name="40% - Accent1 5 5 3 2 2" xfId="53161"/>
    <cellStyle name="40% - Accent1 5 5 3 3" xfId="36114"/>
    <cellStyle name="40% - Accent1 5 5 4" xfId="12617"/>
    <cellStyle name="40% - Accent1 5 5 4 2" xfId="18528"/>
    <cellStyle name="40% - Accent1 5 5 4 2 2" xfId="47389"/>
    <cellStyle name="40% - Accent1 5 5 4 3" xfId="41478"/>
    <cellStyle name="40% - Accent1 5 5 5" xfId="15848"/>
    <cellStyle name="40% - Accent1 5 5 5 2" xfId="44709"/>
    <cellStyle name="40% - Accent1 5 5 6" xfId="30073"/>
    <cellStyle name="40% - Accent1 5 6" xfId="1417"/>
    <cellStyle name="40% - Accent1 5 6 2" xfId="4304"/>
    <cellStyle name="40% - Accent1 5 6 2 2" xfId="10345"/>
    <cellStyle name="40% - Accent1 5 6 2 2 2" xfId="27392"/>
    <cellStyle name="40% - Accent1 5 6 2 2 2 2" xfId="56253"/>
    <cellStyle name="40% - Accent1 5 6 2 2 3" xfId="39206"/>
    <cellStyle name="40% - Accent1 5 6 2 3" xfId="21414"/>
    <cellStyle name="40% - Accent1 5 6 2 3 2" xfId="50275"/>
    <cellStyle name="40% - Accent1 5 6 2 4" xfId="33165"/>
    <cellStyle name="40% - Accent1 5 6 3" xfId="7459"/>
    <cellStyle name="40% - Accent1 5 6 3 2" xfId="24506"/>
    <cellStyle name="40% - Accent1 5 6 3 2 2" xfId="53367"/>
    <cellStyle name="40% - Accent1 5 6 3 3" xfId="36320"/>
    <cellStyle name="40% - Accent1 5 6 4" xfId="11887"/>
    <cellStyle name="40% - Accent1 5 6 4 2" xfId="18734"/>
    <cellStyle name="40% - Accent1 5 6 4 2 2" xfId="47595"/>
    <cellStyle name="40% - Accent1 5 6 4 3" xfId="40748"/>
    <cellStyle name="40% - Accent1 5 6 5" xfId="16054"/>
    <cellStyle name="40% - Accent1 5 6 5 2" xfId="44915"/>
    <cellStyle name="40% - Accent1 5 6 6" xfId="30279"/>
    <cellStyle name="40% - Accent1 5 7" xfId="1623"/>
    <cellStyle name="40% - Accent1 5 7 2" xfId="4510"/>
    <cellStyle name="40% - Accent1 5 7 2 2" xfId="10551"/>
    <cellStyle name="40% - Accent1 5 7 2 2 2" xfId="27598"/>
    <cellStyle name="40% - Accent1 5 7 2 2 2 2" xfId="56459"/>
    <cellStyle name="40% - Accent1 5 7 2 2 3" xfId="39412"/>
    <cellStyle name="40% - Accent1 5 7 2 3" xfId="21620"/>
    <cellStyle name="40% - Accent1 5 7 2 3 2" xfId="50481"/>
    <cellStyle name="40% - Accent1 5 7 2 4" xfId="33371"/>
    <cellStyle name="40% - Accent1 5 7 3" xfId="7665"/>
    <cellStyle name="40% - Accent1 5 7 3 2" xfId="24712"/>
    <cellStyle name="40% - Accent1 5 7 3 2 2" xfId="53573"/>
    <cellStyle name="40% - Accent1 5 7 3 3" xfId="36526"/>
    <cellStyle name="40% - Accent1 5 7 4" xfId="13092"/>
    <cellStyle name="40% - Accent1 5 7 4 2" xfId="18940"/>
    <cellStyle name="40% - Accent1 5 7 4 2 2" xfId="47801"/>
    <cellStyle name="40% - Accent1 5 7 4 3" xfId="41953"/>
    <cellStyle name="40% - Accent1 5 7 5" xfId="16260"/>
    <cellStyle name="40% - Accent1 5 7 5 2" xfId="45121"/>
    <cellStyle name="40% - Accent1 5 7 6" xfId="30485"/>
    <cellStyle name="40% - Accent1 5 8" xfId="1829"/>
    <cellStyle name="40% - Accent1 5 8 2" xfId="4716"/>
    <cellStyle name="40% - Accent1 5 8 2 2" xfId="10757"/>
    <cellStyle name="40% - Accent1 5 8 2 2 2" xfId="27804"/>
    <cellStyle name="40% - Accent1 5 8 2 2 2 2" xfId="56665"/>
    <cellStyle name="40% - Accent1 5 8 2 2 3" xfId="39618"/>
    <cellStyle name="40% - Accent1 5 8 2 3" xfId="21826"/>
    <cellStyle name="40% - Accent1 5 8 2 3 2" xfId="50687"/>
    <cellStyle name="40% - Accent1 5 8 2 4" xfId="33577"/>
    <cellStyle name="40% - Accent1 5 8 3" xfId="7871"/>
    <cellStyle name="40% - Accent1 5 8 3 2" xfId="24918"/>
    <cellStyle name="40% - Accent1 5 8 3 2 2" xfId="53779"/>
    <cellStyle name="40% - Accent1 5 8 3 3" xfId="36732"/>
    <cellStyle name="40% - Accent1 5 8 4" xfId="13474"/>
    <cellStyle name="40% - Accent1 5 8 4 2" xfId="19146"/>
    <cellStyle name="40% - Accent1 5 8 4 2 2" xfId="48007"/>
    <cellStyle name="40% - Accent1 5 8 4 3" xfId="42335"/>
    <cellStyle name="40% - Accent1 5 8 5" xfId="16466"/>
    <cellStyle name="40% - Accent1 5 8 5 2" xfId="45327"/>
    <cellStyle name="40% - Accent1 5 8 6" xfId="30691"/>
    <cellStyle name="40% - Accent1 5 9" xfId="2035"/>
    <cellStyle name="40% - Accent1 5 9 2" xfId="4922"/>
    <cellStyle name="40% - Accent1 5 9 2 2" xfId="10963"/>
    <cellStyle name="40% - Accent1 5 9 2 2 2" xfId="28010"/>
    <cellStyle name="40% - Accent1 5 9 2 2 2 2" xfId="56871"/>
    <cellStyle name="40% - Accent1 5 9 2 2 3" xfId="39824"/>
    <cellStyle name="40% - Accent1 5 9 2 3" xfId="22032"/>
    <cellStyle name="40% - Accent1 5 9 2 3 2" xfId="50893"/>
    <cellStyle name="40% - Accent1 5 9 2 4" xfId="33783"/>
    <cellStyle name="40% - Accent1 5 9 3" xfId="8077"/>
    <cellStyle name="40% - Accent1 5 9 3 2" xfId="25124"/>
    <cellStyle name="40% - Accent1 5 9 3 2 2" xfId="53985"/>
    <cellStyle name="40% - Accent1 5 9 3 3" xfId="36938"/>
    <cellStyle name="40% - Accent1 5 9 4" xfId="14350"/>
    <cellStyle name="40% - Accent1 5 9 4 2" xfId="19352"/>
    <cellStyle name="40% - Accent1 5 9 4 2 2" xfId="48213"/>
    <cellStyle name="40% - Accent1 5 9 4 3" xfId="43211"/>
    <cellStyle name="40% - Accent1 5 9 5" xfId="16672"/>
    <cellStyle name="40% - Accent1 5 9 5 2" xfId="45533"/>
    <cellStyle name="40% - Accent1 5 9 6" xfId="30897"/>
    <cellStyle name="40% - Accent1 6" xfId="181"/>
    <cellStyle name="40% - Accent1 6 2" xfId="593"/>
    <cellStyle name="40% - Accent1 6 2 2" xfId="3480"/>
    <cellStyle name="40% - Accent1 6 2 2 2" xfId="9521"/>
    <cellStyle name="40% - Accent1 6 2 2 2 2" xfId="26568"/>
    <cellStyle name="40% - Accent1 6 2 2 2 2 2" xfId="55429"/>
    <cellStyle name="40% - Accent1 6 2 2 2 3" xfId="38382"/>
    <cellStyle name="40% - Accent1 6 2 2 3" xfId="20590"/>
    <cellStyle name="40% - Accent1 6 2 2 3 2" xfId="49451"/>
    <cellStyle name="40% - Accent1 6 2 2 4" xfId="32341"/>
    <cellStyle name="40% - Accent1 6 2 3" xfId="6635"/>
    <cellStyle name="40% - Accent1 6 2 3 2" xfId="23682"/>
    <cellStyle name="40% - Accent1 6 2 3 2 2" xfId="52543"/>
    <cellStyle name="40% - Accent1 6 2 3 3" xfId="35496"/>
    <cellStyle name="40% - Accent1 6 2 4" xfId="12607"/>
    <cellStyle name="40% - Accent1 6 2 4 2" xfId="17910"/>
    <cellStyle name="40% - Accent1 6 2 4 2 2" xfId="46771"/>
    <cellStyle name="40% - Accent1 6 2 4 3" xfId="41468"/>
    <cellStyle name="40% - Accent1 6 2 5" xfId="15230"/>
    <cellStyle name="40% - Accent1 6 2 5 2" xfId="44091"/>
    <cellStyle name="40% - Accent1 6 2 6" xfId="29455"/>
    <cellStyle name="40% - Accent1 6 3" xfId="2138"/>
    <cellStyle name="40% - Accent1 6 3 2" xfId="5025"/>
    <cellStyle name="40% - Accent1 6 3 2 2" xfId="11066"/>
    <cellStyle name="40% - Accent1 6 3 2 2 2" xfId="28113"/>
    <cellStyle name="40% - Accent1 6 3 2 2 2 2" xfId="56974"/>
    <cellStyle name="40% - Accent1 6 3 2 2 3" xfId="39927"/>
    <cellStyle name="40% - Accent1 6 3 2 3" xfId="22135"/>
    <cellStyle name="40% - Accent1 6 3 2 3 2" xfId="50996"/>
    <cellStyle name="40% - Accent1 6 3 2 4" xfId="33886"/>
    <cellStyle name="40% - Accent1 6 3 3" xfId="8180"/>
    <cellStyle name="40% - Accent1 6 3 3 2" xfId="25227"/>
    <cellStyle name="40% - Accent1 6 3 3 2 2" xfId="54088"/>
    <cellStyle name="40% - Accent1 6 3 3 3" xfId="37041"/>
    <cellStyle name="40% - Accent1 6 3 4" xfId="12040"/>
    <cellStyle name="40% - Accent1 6 3 4 2" xfId="19455"/>
    <cellStyle name="40% - Accent1 6 3 4 2 2" xfId="48316"/>
    <cellStyle name="40% - Accent1 6 3 4 3" xfId="40901"/>
    <cellStyle name="40% - Accent1 6 3 5" xfId="16775"/>
    <cellStyle name="40% - Accent1 6 3 5 2" xfId="45636"/>
    <cellStyle name="40% - Accent1 6 3 6" xfId="31000"/>
    <cellStyle name="40% - Accent1 6 4" xfId="3068"/>
    <cellStyle name="40% - Accent1 6 4 2" xfId="9109"/>
    <cellStyle name="40% - Accent1 6 4 2 2" xfId="26156"/>
    <cellStyle name="40% - Accent1 6 4 2 2 2" xfId="55017"/>
    <cellStyle name="40% - Accent1 6 4 2 3" xfId="37970"/>
    <cellStyle name="40% - Accent1 6 4 3" xfId="20178"/>
    <cellStyle name="40% - Accent1 6 4 3 2" xfId="49039"/>
    <cellStyle name="40% - Accent1 6 4 4" xfId="31929"/>
    <cellStyle name="40% - Accent1 6 5" xfId="6223"/>
    <cellStyle name="40% - Accent1 6 5 2" xfId="23270"/>
    <cellStyle name="40% - Accent1 6 5 2 2" xfId="52131"/>
    <cellStyle name="40% - Accent1 6 5 3" xfId="35084"/>
    <cellStyle name="40% - Accent1 6 6" xfId="12437"/>
    <cellStyle name="40% - Accent1 6 6 2" xfId="17601"/>
    <cellStyle name="40% - Accent1 6 6 2 2" xfId="46462"/>
    <cellStyle name="40% - Accent1 6 6 3" xfId="41298"/>
    <cellStyle name="40% - Accent1 6 7" xfId="14818"/>
    <cellStyle name="40% - Accent1 6 7 2" xfId="43679"/>
    <cellStyle name="40% - Accent1 6 8" xfId="29043"/>
    <cellStyle name="40% - Accent1 7" xfId="387"/>
    <cellStyle name="40% - Accent1 7 2" xfId="3274"/>
    <cellStyle name="40% - Accent1 7 2 2" xfId="9315"/>
    <cellStyle name="40% - Accent1 7 2 2 2" xfId="26362"/>
    <cellStyle name="40% - Accent1 7 2 2 2 2" xfId="55223"/>
    <cellStyle name="40% - Accent1 7 2 2 3" xfId="38176"/>
    <cellStyle name="40% - Accent1 7 2 3" xfId="20384"/>
    <cellStyle name="40% - Accent1 7 2 3 2" xfId="49245"/>
    <cellStyle name="40% - Accent1 7 2 4" xfId="32135"/>
    <cellStyle name="40% - Accent1 7 3" xfId="6429"/>
    <cellStyle name="40% - Accent1 7 3 2" xfId="23476"/>
    <cellStyle name="40% - Accent1 7 3 2 2" xfId="52337"/>
    <cellStyle name="40% - Accent1 7 3 3" xfId="35290"/>
    <cellStyle name="40% - Accent1 7 4" xfId="11959"/>
    <cellStyle name="40% - Accent1 7 4 2" xfId="17704"/>
    <cellStyle name="40% - Accent1 7 4 2 2" xfId="46565"/>
    <cellStyle name="40% - Accent1 7 4 3" xfId="40820"/>
    <cellStyle name="40% - Accent1 7 5" xfId="15024"/>
    <cellStyle name="40% - Accent1 7 5 2" xfId="43885"/>
    <cellStyle name="40% - Accent1 7 6" xfId="29249"/>
    <cellStyle name="40% - Accent1 8" xfId="696"/>
    <cellStyle name="40% - Accent1 8 2" xfId="3583"/>
    <cellStyle name="40% - Accent1 8 2 2" xfId="9624"/>
    <cellStyle name="40% - Accent1 8 2 2 2" xfId="26671"/>
    <cellStyle name="40% - Accent1 8 2 2 2 2" xfId="55532"/>
    <cellStyle name="40% - Accent1 8 2 2 3" xfId="38485"/>
    <cellStyle name="40% - Accent1 8 2 3" xfId="20693"/>
    <cellStyle name="40% - Accent1 8 2 3 2" xfId="49554"/>
    <cellStyle name="40% - Accent1 8 2 4" xfId="32444"/>
    <cellStyle name="40% - Accent1 8 3" xfId="6738"/>
    <cellStyle name="40% - Accent1 8 3 2" xfId="23785"/>
    <cellStyle name="40% - Accent1 8 3 2 2" xfId="52646"/>
    <cellStyle name="40% - Accent1 8 3 3" xfId="35599"/>
    <cellStyle name="40% - Accent1 8 4" xfId="13031"/>
    <cellStyle name="40% - Accent1 8 4 2" xfId="18013"/>
    <cellStyle name="40% - Accent1 8 4 2 2" xfId="46874"/>
    <cellStyle name="40% - Accent1 8 4 3" xfId="41892"/>
    <cellStyle name="40% - Accent1 8 5" xfId="15333"/>
    <cellStyle name="40% - Accent1 8 5 2" xfId="44194"/>
    <cellStyle name="40% - Accent1 8 6" xfId="29558"/>
    <cellStyle name="40% - Accent1 9" xfId="902"/>
    <cellStyle name="40% - Accent1 9 2" xfId="3789"/>
    <cellStyle name="40% - Accent1 9 2 2" xfId="9830"/>
    <cellStyle name="40% - Accent1 9 2 2 2" xfId="26877"/>
    <cellStyle name="40% - Accent1 9 2 2 2 2" xfId="55738"/>
    <cellStyle name="40% - Accent1 9 2 2 3" xfId="38691"/>
    <cellStyle name="40% - Accent1 9 2 3" xfId="20899"/>
    <cellStyle name="40% - Accent1 9 2 3 2" xfId="49760"/>
    <cellStyle name="40% - Accent1 9 2 4" xfId="32650"/>
    <cellStyle name="40% - Accent1 9 3" xfId="6944"/>
    <cellStyle name="40% - Accent1 9 3 2" xfId="23991"/>
    <cellStyle name="40% - Accent1 9 3 2 2" xfId="52852"/>
    <cellStyle name="40% - Accent1 9 3 3" xfId="35805"/>
    <cellStyle name="40% - Accent1 9 4" xfId="13780"/>
    <cellStyle name="40% - Accent1 9 4 2" xfId="18219"/>
    <cellStyle name="40% - Accent1 9 4 2 2" xfId="47080"/>
    <cellStyle name="40% - Accent1 9 4 3" xfId="42641"/>
    <cellStyle name="40% - Accent1 9 5" xfId="15539"/>
    <cellStyle name="40% - Accent1 9 5 2" xfId="44400"/>
    <cellStyle name="40% - Accent1 9 6" xfId="29764"/>
    <cellStyle name="40% - Accent2" xfId="71" builtinId="35" customBuiltin="1"/>
    <cellStyle name="40% - Accent2 10" xfId="1110"/>
    <cellStyle name="40% - Accent2 10 2" xfId="3997"/>
    <cellStyle name="40% - Accent2 10 2 2" xfId="10038"/>
    <cellStyle name="40% - Accent2 10 2 2 2" xfId="27085"/>
    <cellStyle name="40% - Accent2 10 2 2 2 2" xfId="55946"/>
    <cellStyle name="40% - Accent2 10 2 2 3" xfId="38899"/>
    <cellStyle name="40% - Accent2 10 2 3" xfId="21107"/>
    <cellStyle name="40% - Accent2 10 2 3 2" xfId="49968"/>
    <cellStyle name="40% - Accent2 10 2 4" xfId="32858"/>
    <cellStyle name="40% - Accent2 10 3" xfId="7152"/>
    <cellStyle name="40% - Accent2 10 3 2" xfId="24199"/>
    <cellStyle name="40% - Accent2 10 3 2 2" xfId="53060"/>
    <cellStyle name="40% - Accent2 10 3 3" xfId="36013"/>
    <cellStyle name="40% - Accent2 10 4" xfId="13160"/>
    <cellStyle name="40% - Accent2 10 4 2" xfId="18427"/>
    <cellStyle name="40% - Accent2 10 4 2 2" xfId="47288"/>
    <cellStyle name="40% - Accent2 10 4 3" xfId="42021"/>
    <cellStyle name="40% - Accent2 10 5" xfId="15747"/>
    <cellStyle name="40% - Accent2 10 5 2" xfId="44608"/>
    <cellStyle name="40% - Accent2 10 6" xfId="29972"/>
    <cellStyle name="40% - Accent2 11" xfId="1316"/>
    <cellStyle name="40% - Accent2 11 2" xfId="4203"/>
    <cellStyle name="40% - Accent2 11 2 2" xfId="10244"/>
    <cellStyle name="40% - Accent2 11 2 2 2" xfId="27291"/>
    <cellStyle name="40% - Accent2 11 2 2 2 2" xfId="56152"/>
    <cellStyle name="40% - Accent2 11 2 2 3" xfId="39105"/>
    <cellStyle name="40% - Accent2 11 2 3" xfId="21313"/>
    <cellStyle name="40% - Accent2 11 2 3 2" xfId="50174"/>
    <cellStyle name="40% - Accent2 11 2 4" xfId="33064"/>
    <cellStyle name="40% - Accent2 11 3" xfId="7358"/>
    <cellStyle name="40% - Accent2 11 3 2" xfId="24405"/>
    <cellStyle name="40% - Accent2 11 3 2 2" xfId="53266"/>
    <cellStyle name="40% - Accent2 11 3 3" xfId="36219"/>
    <cellStyle name="40% - Accent2 11 4" xfId="13065"/>
    <cellStyle name="40% - Accent2 11 4 2" xfId="18633"/>
    <cellStyle name="40% - Accent2 11 4 2 2" xfId="47494"/>
    <cellStyle name="40% - Accent2 11 4 3" xfId="41926"/>
    <cellStyle name="40% - Accent2 11 5" xfId="15953"/>
    <cellStyle name="40% - Accent2 11 5 2" xfId="44814"/>
    <cellStyle name="40% - Accent2 11 6" xfId="30178"/>
    <cellStyle name="40% - Accent2 12" xfId="1522"/>
    <cellStyle name="40% - Accent2 12 2" xfId="4409"/>
    <cellStyle name="40% - Accent2 12 2 2" xfId="10450"/>
    <cellStyle name="40% - Accent2 12 2 2 2" xfId="27497"/>
    <cellStyle name="40% - Accent2 12 2 2 2 2" xfId="56358"/>
    <cellStyle name="40% - Accent2 12 2 2 3" xfId="39311"/>
    <cellStyle name="40% - Accent2 12 2 3" xfId="21519"/>
    <cellStyle name="40% - Accent2 12 2 3 2" xfId="50380"/>
    <cellStyle name="40% - Accent2 12 2 4" xfId="33270"/>
    <cellStyle name="40% - Accent2 12 3" xfId="7564"/>
    <cellStyle name="40% - Accent2 12 3 2" xfId="24611"/>
    <cellStyle name="40% - Accent2 12 3 2 2" xfId="53472"/>
    <cellStyle name="40% - Accent2 12 3 3" xfId="36425"/>
    <cellStyle name="40% - Accent2 12 4" xfId="12699"/>
    <cellStyle name="40% - Accent2 12 4 2" xfId="18839"/>
    <cellStyle name="40% - Accent2 12 4 2 2" xfId="47700"/>
    <cellStyle name="40% - Accent2 12 4 3" xfId="41560"/>
    <cellStyle name="40% - Accent2 12 5" xfId="16159"/>
    <cellStyle name="40% - Accent2 12 5 2" xfId="45020"/>
    <cellStyle name="40% - Accent2 12 6" xfId="30384"/>
    <cellStyle name="40% - Accent2 13" xfId="1728"/>
    <cellStyle name="40% - Accent2 13 2" xfId="4615"/>
    <cellStyle name="40% - Accent2 13 2 2" xfId="10656"/>
    <cellStyle name="40% - Accent2 13 2 2 2" xfId="27703"/>
    <cellStyle name="40% - Accent2 13 2 2 2 2" xfId="56564"/>
    <cellStyle name="40% - Accent2 13 2 2 3" xfId="39517"/>
    <cellStyle name="40% - Accent2 13 2 3" xfId="21725"/>
    <cellStyle name="40% - Accent2 13 2 3 2" xfId="50586"/>
    <cellStyle name="40% - Accent2 13 2 4" xfId="33476"/>
    <cellStyle name="40% - Accent2 13 3" xfId="7770"/>
    <cellStyle name="40% - Accent2 13 3 2" xfId="24817"/>
    <cellStyle name="40% - Accent2 13 3 2 2" xfId="53678"/>
    <cellStyle name="40% - Accent2 13 3 3" xfId="36631"/>
    <cellStyle name="40% - Accent2 13 4" xfId="12286"/>
    <cellStyle name="40% - Accent2 13 4 2" xfId="19045"/>
    <cellStyle name="40% - Accent2 13 4 2 2" xfId="47906"/>
    <cellStyle name="40% - Accent2 13 4 3" xfId="41147"/>
    <cellStyle name="40% - Accent2 13 5" xfId="16365"/>
    <cellStyle name="40% - Accent2 13 5 2" xfId="45226"/>
    <cellStyle name="40% - Accent2 13 6" xfId="30590"/>
    <cellStyle name="40% - Accent2 14" xfId="1934"/>
    <cellStyle name="40% - Accent2 14 2" xfId="4821"/>
    <cellStyle name="40% - Accent2 14 2 2" xfId="10862"/>
    <cellStyle name="40% - Accent2 14 2 2 2" xfId="27909"/>
    <cellStyle name="40% - Accent2 14 2 2 2 2" xfId="56770"/>
    <cellStyle name="40% - Accent2 14 2 2 3" xfId="39723"/>
    <cellStyle name="40% - Accent2 14 2 3" xfId="21931"/>
    <cellStyle name="40% - Accent2 14 2 3 2" xfId="50792"/>
    <cellStyle name="40% - Accent2 14 2 4" xfId="33682"/>
    <cellStyle name="40% - Accent2 14 3" xfId="7976"/>
    <cellStyle name="40% - Accent2 14 3 2" xfId="25023"/>
    <cellStyle name="40% - Accent2 14 3 2 2" xfId="53884"/>
    <cellStyle name="40% - Accent2 14 3 3" xfId="36837"/>
    <cellStyle name="40% - Accent2 14 4" xfId="13978"/>
    <cellStyle name="40% - Accent2 14 4 2" xfId="19251"/>
    <cellStyle name="40% - Accent2 14 4 2 2" xfId="48112"/>
    <cellStyle name="40% - Accent2 14 4 3" xfId="42839"/>
    <cellStyle name="40% - Accent2 14 5" xfId="16571"/>
    <cellStyle name="40% - Accent2 14 5 2" xfId="45432"/>
    <cellStyle name="40% - Accent2 14 6" xfId="30796"/>
    <cellStyle name="40% - Accent2 15" xfId="2346"/>
    <cellStyle name="40% - Accent2 15 2" xfId="5233"/>
    <cellStyle name="40% - Accent2 15 2 2" xfId="11274"/>
    <cellStyle name="40% - Accent2 15 2 2 2" xfId="28321"/>
    <cellStyle name="40% - Accent2 15 2 2 2 2" xfId="57182"/>
    <cellStyle name="40% - Accent2 15 2 2 3" xfId="40135"/>
    <cellStyle name="40% - Accent2 15 2 3" xfId="22343"/>
    <cellStyle name="40% - Accent2 15 2 3 2" xfId="51204"/>
    <cellStyle name="40% - Accent2 15 2 4" xfId="34094"/>
    <cellStyle name="40% - Accent2 15 3" xfId="8388"/>
    <cellStyle name="40% - Accent2 15 3 2" xfId="25435"/>
    <cellStyle name="40% - Accent2 15 3 2 2" xfId="54296"/>
    <cellStyle name="40% - Accent2 15 3 3" xfId="37249"/>
    <cellStyle name="40% - Accent2 15 4" xfId="12074"/>
    <cellStyle name="40% - Accent2 15 4 2" xfId="19663"/>
    <cellStyle name="40% - Accent2 15 4 2 2" xfId="48524"/>
    <cellStyle name="40% - Accent2 15 4 3" xfId="40935"/>
    <cellStyle name="40% - Accent2 15 5" xfId="16983"/>
    <cellStyle name="40% - Accent2 15 5 2" xfId="45844"/>
    <cellStyle name="40% - Accent2 15 6" xfId="31208"/>
    <cellStyle name="40% - Accent2 16" xfId="2555"/>
    <cellStyle name="40% - Accent2 16 2" xfId="5441"/>
    <cellStyle name="40% - Accent2 16 2 2" xfId="11482"/>
    <cellStyle name="40% - Accent2 16 2 2 2" xfId="28529"/>
    <cellStyle name="40% - Accent2 16 2 2 2 2" xfId="57390"/>
    <cellStyle name="40% - Accent2 16 2 2 3" xfId="40343"/>
    <cellStyle name="40% - Accent2 16 2 3" xfId="22551"/>
    <cellStyle name="40% - Accent2 16 2 3 2" xfId="51412"/>
    <cellStyle name="40% - Accent2 16 2 4" xfId="34302"/>
    <cellStyle name="40% - Accent2 16 3" xfId="8596"/>
    <cellStyle name="40% - Accent2 16 3 2" xfId="25643"/>
    <cellStyle name="40% - Accent2 16 3 2 2" xfId="54504"/>
    <cellStyle name="40% - Accent2 16 3 3" xfId="37457"/>
    <cellStyle name="40% - Accent2 16 4" xfId="6088"/>
    <cellStyle name="40% - Accent2 16 4 2" xfId="19871"/>
    <cellStyle name="40% - Accent2 16 4 2 2" xfId="48732"/>
    <cellStyle name="40% - Accent2 16 4 3" xfId="34949"/>
    <cellStyle name="40% - Accent2 16 5" xfId="17191"/>
    <cellStyle name="40% - Accent2 16 5 2" xfId="46052"/>
    <cellStyle name="40% - Accent2 16 6" xfId="31416"/>
    <cellStyle name="40% - Accent2 17" xfId="2967"/>
    <cellStyle name="40% - Accent2 17 2" xfId="9008"/>
    <cellStyle name="40% - Accent2 17 2 2" xfId="26055"/>
    <cellStyle name="40% - Accent2 17 2 2 2" xfId="54916"/>
    <cellStyle name="40% - Accent2 17 2 3" xfId="37869"/>
    <cellStyle name="40% - Accent2 17 3" xfId="14355"/>
    <cellStyle name="40% - Accent2 17 3 2" xfId="20077"/>
    <cellStyle name="40% - Accent2 17 3 2 2" xfId="48938"/>
    <cellStyle name="40% - Accent2 17 3 3" xfId="43216"/>
    <cellStyle name="40% - Accent2 17 4" xfId="14717"/>
    <cellStyle name="40% - Accent2 17 4 2" xfId="43578"/>
    <cellStyle name="40% - Accent2 17 5" xfId="31828"/>
    <cellStyle name="40% - Accent2 18" xfId="2761"/>
    <cellStyle name="40% - Accent2 18 2" xfId="8802"/>
    <cellStyle name="40% - Accent2 18 2 2" xfId="25849"/>
    <cellStyle name="40% - Accent2 18 2 2 2" xfId="54710"/>
    <cellStyle name="40% - Accent2 18 2 3" xfId="37663"/>
    <cellStyle name="40% - Accent2 18 3" xfId="17397"/>
    <cellStyle name="40% - Accent2 18 3 2" xfId="46258"/>
    <cellStyle name="40% - Accent2 18 4" xfId="31622"/>
    <cellStyle name="40% - Accent2 19" xfId="5647"/>
    <cellStyle name="40% - Accent2 19 2" xfId="11688"/>
    <cellStyle name="40% - Accent2 19 2 2" xfId="28735"/>
    <cellStyle name="40% - Accent2 19 2 2 2" xfId="57596"/>
    <cellStyle name="40% - Accent2 19 2 3" xfId="40549"/>
    <cellStyle name="40% - Accent2 19 3" xfId="22757"/>
    <cellStyle name="40% - Accent2 19 3 2" xfId="51618"/>
    <cellStyle name="40% - Accent2 19 4" xfId="34508"/>
    <cellStyle name="40% - Accent2 2" xfId="94"/>
    <cellStyle name="40% - Accent2 2 10" xfId="1330"/>
    <cellStyle name="40% - Accent2 2 10 2" xfId="4217"/>
    <cellStyle name="40% - Accent2 2 10 2 2" xfId="10258"/>
    <cellStyle name="40% - Accent2 2 10 2 2 2" xfId="27305"/>
    <cellStyle name="40% - Accent2 2 10 2 2 2 2" xfId="56166"/>
    <cellStyle name="40% - Accent2 2 10 2 2 3" xfId="39119"/>
    <cellStyle name="40% - Accent2 2 10 2 3" xfId="21327"/>
    <cellStyle name="40% - Accent2 2 10 2 3 2" xfId="50188"/>
    <cellStyle name="40% - Accent2 2 10 2 4" xfId="33078"/>
    <cellStyle name="40% - Accent2 2 10 3" xfId="7372"/>
    <cellStyle name="40% - Accent2 2 10 3 2" xfId="24419"/>
    <cellStyle name="40% - Accent2 2 10 3 2 2" xfId="53280"/>
    <cellStyle name="40% - Accent2 2 10 3 3" xfId="36233"/>
    <cellStyle name="40% - Accent2 2 10 4" xfId="12424"/>
    <cellStyle name="40% - Accent2 2 10 4 2" xfId="18647"/>
    <cellStyle name="40% - Accent2 2 10 4 2 2" xfId="47508"/>
    <cellStyle name="40% - Accent2 2 10 4 3" xfId="41285"/>
    <cellStyle name="40% - Accent2 2 10 5" xfId="15967"/>
    <cellStyle name="40% - Accent2 2 10 5 2" xfId="44828"/>
    <cellStyle name="40% - Accent2 2 10 6" xfId="30192"/>
    <cellStyle name="40% - Accent2 2 11" xfId="1536"/>
    <cellStyle name="40% - Accent2 2 11 2" xfId="4423"/>
    <cellStyle name="40% - Accent2 2 11 2 2" xfId="10464"/>
    <cellStyle name="40% - Accent2 2 11 2 2 2" xfId="27511"/>
    <cellStyle name="40% - Accent2 2 11 2 2 2 2" xfId="56372"/>
    <cellStyle name="40% - Accent2 2 11 2 2 3" xfId="39325"/>
    <cellStyle name="40% - Accent2 2 11 2 3" xfId="21533"/>
    <cellStyle name="40% - Accent2 2 11 2 3 2" xfId="50394"/>
    <cellStyle name="40% - Accent2 2 11 2 4" xfId="33284"/>
    <cellStyle name="40% - Accent2 2 11 3" xfId="7578"/>
    <cellStyle name="40% - Accent2 2 11 3 2" xfId="24625"/>
    <cellStyle name="40% - Accent2 2 11 3 2 2" xfId="53486"/>
    <cellStyle name="40% - Accent2 2 11 3 3" xfId="36439"/>
    <cellStyle name="40% - Accent2 2 11 4" xfId="12802"/>
    <cellStyle name="40% - Accent2 2 11 4 2" xfId="18853"/>
    <cellStyle name="40% - Accent2 2 11 4 2 2" xfId="47714"/>
    <cellStyle name="40% - Accent2 2 11 4 3" xfId="41663"/>
    <cellStyle name="40% - Accent2 2 11 5" xfId="16173"/>
    <cellStyle name="40% - Accent2 2 11 5 2" xfId="45034"/>
    <cellStyle name="40% - Accent2 2 11 6" xfId="30398"/>
    <cellStyle name="40% - Accent2 2 12" xfId="1742"/>
    <cellStyle name="40% - Accent2 2 12 2" xfId="4629"/>
    <cellStyle name="40% - Accent2 2 12 2 2" xfId="10670"/>
    <cellStyle name="40% - Accent2 2 12 2 2 2" xfId="27717"/>
    <cellStyle name="40% - Accent2 2 12 2 2 2 2" xfId="56578"/>
    <cellStyle name="40% - Accent2 2 12 2 2 3" xfId="39531"/>
    <cellStyle name="40% - Accent2 2 12 2 3" xfId="21739"/>
    <cellStyle name="40% - Accent2 2 12 2 3 2" xfId="50600"/>
    <cellStyle name="40% - Accent2 2 12 2 4" xfId="33490"/>
    <cellStyle name="40% - Accent2 2 12 3" xfId="7784"/>
    <cellStyle name="40% - Accent2 2 12 3 2" xfId="24831"/>
    <cellStyle name="40% - Accent2 2 12 3 2 2" xfId="53692"/>
    <cellStyle name="40% - Accent2 2 12 3 3" xfId="36645"/>
    <cellStyle name="40% - Accent2 2 12 4" xfId="12643"/>
    <cellStyle name="40% - Accent2 2 12 4 2" xfId="19059"/>
    <cellStyle name="40% - Accent2 2 12 4 2 2" xfId="47920"/>
    <cellStyle name="40% - Accent2 2 12 4 3" xfId="41504"/>
    <cellStyle name="40% - Accent2 2 12 5" xfId="16379"/>
    <cellStyle name="40% - Accent2 2 12 5 2" xfId="45240"/>
    <cellStyle name="40% - Accent2 2 12 6" xfId="30604"/>
    <cellStyle name="40% - Accent2 2 13" xfId="1948"/>
    <cellStyle name="40% - Accent2 2 13 2" xfId="4835"/>
    <cellStyle name="40% - Accent2 2 13 2 2" xfId="10876"/>
    <cellStyle name="40% - Accent2 2 13 2 2 2" xfId="27923"/>
    <cellStyle name="40% - Accent2 2 13 2 2 2 2" xfId="56784"/>
    <cellStyle name="40% - Accent2 2 13 2 2 3" xfId="39737"/>
    <cellStyle name="40% - Accent2 2 13 2 3" xfId="21945"/>
    <cellStyle name="40% - Accent2 2 13 2 3 2" xfId="50806"/>
    <cellStyle name="40% - Accent2 2 13 2 4" xfId="33696"/>
    <cellStyle name="40% - Accent2 2 13 3" xfId="7990"/>
    <cellStyle name="40% - Accent2 2 13 3 2" xfId="25037"/>
    <cellStyle name="40% - Accent2 2 13 3 2 2" xfId="53898"/>
    <cellStyle name="40% - Accent2 2 13 3 3" xfId="36851"/>
    <cellStyle name="40% - Accent2 2 13 4" xfId="14335"/>
    <cellStyle name="40% - Accent2 2 13 4 2" xfId="19265"/>
    <cellStyle name="40% - Accent2 2 13 4 2 2" xfId="48126"/>
    <cellStyle name="40% - Accent2 2 13 4 3" xfId="43196"/>
    <cellStyle name="40% - Accent2 2 13 5" xfId="16585"/>
    <cellStyle name="40% - Accent2 2 13 5 2" xfId="45446"/>
    <cellStyle name="40% - Accent2 2 13 6" xfId="30810"/>
    <cellStyle name="40% - Accent2 2 14" xfId="2360"/>
    <cellStyle name="40% - Accent2 2 14 2" xfId="5247"/>
    <cellStyle name="40% - Accent2 2 14 2 2" xfId="11288"/>
    <cellStyle name="40% - Accent2 2 14 2 2 2" xfId="28335"/>
    <cellStyle name="40% - Accent2 2 14 2 2 2 2" xfId="57196"/>
    <cellStyle name="40% - Accent2 2 14 2 2 3" xfId="40149"/>
    <cellStyle name="40% - Accent2 2 14 2 3" xfId="22357"/>
    <cellStyle name="40% - Accent2 2 14 2 3 2" xfId="51218"/>
    <cellStyle name="40% - Accent2 2 14 2 4" xfId="34108"/>
    <cellStyle name="40% - Accent2 2 14 3" xfId="8402"/>
    <cellStyle name="40% - Accent2 2 14 3 2" xfId="25449"/>
    <cellStyle name="40% - Accent2 2 14 3 2 2" xfId="54310"/>
    <cellStyle name="40% - Accent2 2 14 3 3" xfId="37263"/>
    <cellStyle name="40% - Accent2 2 14 4" xfId="6054"/>
    <cellStyle name="40% - Accent2 2 14 4 2" xfId="19677"/>
    <cellStyle name="40% - Accent2 2 14 4 2 2" xfId="48538"/>
    <cellStyle name="40% - Accent2 2 14 4 3" xfId="34915"/>
    <cellStyle name="40% - Accent2 2 14 5" xfId="16997"/>
    <cellStyle name="40% - Accent2 2 14 5 2" xfId="45858"/>
    <cellStyle name="40% - Accent2 2 14 6" xfId="31222"/>
    <cellStyle name="40% - Accent2 2 15" xfId="2569"/>
    <cellStyle name="40% - Accent2 2 15 2" xfId="5455"/>
    <cellStyle name="40% - Accent2 2 15 2 2" xfId="11496"/>
    <cellStyle name="40% - Accent2 2 15 2 2 2" xfId="28543"/>
    <cellStyle name="40% - Accent2 2 15 2 2 2 2" xfId="57404"/>
    <cellStyle name="40% - Accent2 2 15 2 2 3" xfId="40357"/>
    <cellStyle name="40% - Accent2 2 15 2 3" xfId="22565"/>
    <cellStyle name="40% - Accent2 2 15 2 3 2" xfId="51426"/>
    <cellStyle name="40% - Accent2 2 15 2 4" xfId="34316"/>
    <cellStyle name="40% - Accent2 2 15 3" xfId="8610"/>
    <cellStyle name="40% - Accent2 2 15 3 2" xfId="25657"/>
    <cellStyle name="40% - Accent2 2 15 3 2 2" xfId="54518"/>
    <cellStyle name="40% - Accent2 2 15 3 3" xfId="37471"/>
    <cellStyle name="40% - Accent2 2 15 4" xfId="13228"/>
    <cellStyle name="40% - Accent2 2 15 4 2" xfId="19885"/>
    <cellStyle name="40% - Accent2 2 15 4 2 2" xfId="48746"/>
    <cellStyle name="40% - Accent2 2 15 4 3" xfId="42089"/>
    <cellStyle name="40% - Accent2 2 15 5" xfId="17205"/>
    <cellStyle name="40% - Accent2 2 15 5 2" xfId="46066"/>
    <cellStyle name="40% - Accent2 2 15 6" xfId="31430"/>
    <cellStyle name="40% - Accent2 2 16" xfId="2981"/>
    <cellStyle name="40% - Accent2 2 16 2" xfId="9022"/>
    <cellStyle name="40% - Accent2 2 16 2 2" xfId="26069"/>
    <cellStyle name="40% - Accent2 2 16 2 2 2" xfId="54930"/>
    <cellStyle name="40% - Accent2 2 16 2 3" xfId="37883"/>
    <cellStyle name="40% - Accent2 2 16 3" xfId="14393"/>
    <cellStyle name="40% - Accent2 2 16 3 2" xfId="20091"/>
    <cellStyle name="40% - Accent2 2 16 3 2 2" xfId="48952"/>
    <cellStyle name="40% - Accent2 2 16 3 3" xfId="43254"/>
    <cellStyle name="40% - Accent2 2 16 4" xfId="14731"/>
    <cellStyle name="40% - Accent2 2 16 4 2" xfId="43592"/>
    <cellStyle name="40% - Accent2 2 16 5" xfId="31842"/>
    <cellStyle name="40% - Accent2 2 17" xfId="2775"/>
    <cellStyle name="40% - Accent2 2 17 2" xfId="8816"/>
    <cellStyle name="40% - Accent2 2 17 2 2" xfId="25863"/>
    <cellStyle name="40% - Accent2 2 17 2 2 2" xfId="54724"/>
    <cellStyle name="40% - Accent2 2 17 2 3" xfId="37677"/>
    <cellStyle name="40% - Accent2 2 17 3" xfId="17411"/>
    <cellStyle name="40% - Accent2 2 17 3 2" xfId="46272"/>
    <cellStyle name="40% - Accent2 2 17 4" xfId="31636"/>
    <cellStyle name="40% - Accent2 2 18" xfId="5661"/>
    <cellStyle name="40% - Accent2 2 18 2" xfId="11702"/>
    <cellStyle name="40% - Accent2 2 18 2 2" xfId="28749"/>
    <cellStyle name="40% - Accent2 2 18 2 2 2" xfId="57610"/>
    <cellStyle name="40% - Accent2 2 18 2 3" xfId="40563"/>
    <cellStyle name="40% - Accent2 2 18 3" xfId="22771"/>
    <cellStyle name="40% - Accent2 2 18 3 2" xfId="51632"/>
    <cellStyle name="40% - Accent2 2 18 4" xfId="34522"/>
    <cellStyle name="40% - Accent2 2 19" xfId="5878"/>
    <cellStyle name="40% - Accent2 2 19 2" xfId="22977"/>
    <cellStyle name="40% - Accent2 2 19 2 2" xfId="51838"/>
    <cellStyle name="40% - Accent2 2 19 3" xfId="34739"/>
    <cellStyle name="40% - Accent2 2 2" xfId="120"/>
    <cellStyle name="40% - Accent2 2 2 10" xfId="1768"/>
    <cellStyle name="40% - Accent2 2 2 10 2" xfId="4655"/>
    <cellStyle name="40% - Accent2 2 2 10 2 2" xfId="10696"/>
    <cellStyle name="40% - Accent2 2 2 10 2 2 2" xfId="27743"/>
    <cellStyle name="40% - Accent2 2 2 10 2 2 2 2" xfId="56604"/>
    <cellStyle name="40% - Accent2 2 2 10 2 2 3" xfId="39557"/>
    <cellStyle name="40% - Accent2 2 2 10 2 3" xfId="21765"/>
    <cellStyle name="40% - Accent2 2 2 10 2 3 2" xfId="50626"/>
    <cellStyle name="40% - Accent2 2 2 10 2 4" xfId="33516"/>
    <cellStyle name="40% - Accent2 2 2 10 3" xfId="7810"/>
    <cellStyle name="40% - Accent2 2 2 10 3 2" xfId="24857"/>
    <cellStyle name="40% - Accent2 2 2 10 3 2 2" xfId="53718"/>
    <cellStyle name="40% - Accent2 2 2 10 3 3" xfId="36671"/>
    <cellStyle name="40% - Accent2 2 2 10 4" xfId="13816"/>
    <cellStyle name="40% - Accent2 2 2 10 4 2" xfId="19085"/>
    <cellStyle name="40% - Accent2 2 2 10 4 2 2" xfId="47946"/>
    <cellStyle name="40% - Accent2 2 2 10 4 3" xfId="42677"/>
    <cellStyle name="40% - Accent2 2 2 10 5" xfId="16405"/>
    <cellStyle name="40% - Accent2 2 2 10 5 2" xfId="45266"/>
    <cellStyle name="40% - Accent2 2 2 10 6" xfId="30630"/>
    <cellStyle name="40% - Accent2 2 2 11" xfId="1974"/>
    <cellStyle name="40% - Accent2 2 2 11 2" xfId="4861"/>
    <cellStyle name="40% - Accent2 2 2 11 2 2" xfId="10902"/>
    <cellStyle name="40% - Accent2 2 2 11 2 2 2" xfId="27949"/>
    <cellStyle name="40% - Accent2 2 2 11 2 2 2 2" xfId="56810"/>
    <cellStyle name="40% - Accent2 2 2 11 2 2 3" xfId="39763"/>
    <cellStyle name="40% - Accent2 2 2 11 2 3" xfId="21971"/>
    <cellStyle name="40% - Accent2 2 2 11 2 3 2" xfId="50832"/>
    <cellStyle name="40% - Accent2 2 2 11 2 4" xfId="33722"/>
    <cellStyle name="40% - Accent2 2 2 11 3" xfId="8016"/>
    <cellStyle name="40% - Accent2 2 2 11 3 2" xfId="25063"/>
    <cellStyle name="40% - Accent2 2 2 11 3 2 2" xfId="53924"/>
    <cellStyle name="40% - Accent2 2 2 11 3 3" xfId="36877"/>
    <cellStyle name="40% - Accent2 2 2 11 4" xfId="13260"/>
    <cellStyle name="40% - Accent2 2 2 11 4 2" xfId="19291"/>
    <cellStyle name="40% - Accent2 2 2 11 4 2 2" xfId="48152"/>
    <cellStyle name="40% - Accent2 2 2 11 4 3" xfId="42121"/>
    <cellStyle name="40% - Accent2 2 2 11 5" xfId="16611"/>
    <cellStyle name="40% - Accent2 2 2 11 5 2" xfId="45472"/>
    <cellStyle name="40% - Accent2 2 2 11 6" xfId="30836"/>
    <cellStyle name="40% - Accent2 2 2 12" xfId="2386"/>
    <cellStyle name="40% - Accent2 2 2 12 2" xfId="5273"/>
    <cellStyle name="40% - Accent2 2 2 12 2 2" xfId="11314"/>
    <cellStyle name="40% - Accent2 2 2 12 2 2 2" xfId="28361"/>
    <cellStyle name="40% - Accent2 2 2 12 2 2 2 2" xfId="57222"/>
    <cellStyle name="40% - Accent2 2 2 12 2 2 3" xfId="40175"/>
    <cellStyle name="40% - Accent2 2 2 12 2 3" xfId="22383"/>
    <cellStyle name="40% - Accent2 2 2 12 2 3 2" xfId="51244"/>
    <cellStyle name="40% - Accent2 2 2 12 2 4" xfId="34134"/>
    <cellStyle name="40% - Accent2 2 2 12 3" xfId="8428"/>
    <cellStyle name="40% - Accent2 2 2 12 3 2" xfId="25475"/>
    <cellStyle name="40% - Accent2 2 2 12 3 2 2" xfId="54336"/>
    <cellStyle name="40% - Accent2 2 2 12 3 3" xfId="37289"/>
    <cellStyle name="40% - Accent2 2 2 12 4" xfId="13610"/>
    <cellStyle name="40% - Accent2 2 2 12 4 2" xfId="19703"/>
    <cellStyle name="40% - Accent2 2 2 12 4 2 2" xfId="48564"/>
    <cellStyle name="40% - Accent2 2 2 12 4 3" xfId="42471"/>
    <cellStyle name="40% - Accent2 2 2 12 5" xfId="17023"/>
    <cellStyle name="40% - Accent2 2 2 12 5 2" xfId="45884"/>
    <cellStyle name="40% - Accent2 2 2 12 6" xfId="31248"/>
    <cellStyle name="40% - Accent2 2 2 13" xfId="2595"/>
    <cellStyle name="40% - Accent2 2 2 13 2" xfId="5481"/>
    <cellStyle name="40% - Accent2 2 2 13 2 2" xfId="11522"/>
    <cellStyle name="40% - Accent2 2 2 13 2 2 2" xfId="28569"/>
    <cellStyle name="40% - Accent2 2 2 13 2 2 2 2" xfId="57430"/>
    <cellStyle name="40% - Accent2 2 2 13 2 2 3" xfId="40383"/>
    <cellStyle name="40% - Accent2 2 2 13 2 3" xfId="22591"/>
    <cellStyle name="40% - Accent2 2 2 13 2 3 2" xfId="51452"/>
    <cellStyle name="40% - Accent2 2 2 13 2 4" xfId="34342"/>
    <cellStyle name="40% - Accent2 2 2 13 3" xfId="8636"/>
    <cellStyle name="40% - Accent2 2 2 13 3 2" xfId="25683"/>
    <cellStyle name="40% - Accent2 2 2 13 3 2 2" xfId="54544"/>
    <cellStyle name="40% - Accent2 2 2 13 3 3" xfId="37497"/>
    <cellStyle name="40% - Accent2 2 2 13 4" xfId="13748"/>
    <cellStyle name="40% - Accent2 2 2 13 4 2" xfId="19911"/>
    <cellStyle name="40% - Accent2 2 2 13 4 2 2" xfId="48772"/>
    <cellStyle name="40% - Accent2 2 2 13 4 3" xfId="42609"/>
    <cellStyle name="40% - Accent2 2 2 13 5" xfId="17231"/>
    <cellStyle name="40% - Accent2 2 2 13 5 2" xfId="46092"/>
    <cellStyle name="40% - Accent2 2 2 13 6" xfId="31456"/>
    <cellStyle name="40% - Accent2 2 2 14" xfId="3007"/>
    <cellStyle name="40% - Accent2 2 2 14 2" xfId="9048"/>
    <cellStyle name="40% - Accent2 2 2 14 2 2" xfId="26095"/>
    <cellStyle name="40% - Accent2 2 2 14 2 2 2" xfId="54956"/>
    <cellStyle name="40% - Accent2 2 2 14 2 3" xfId="37909"/>
    <cellStyle name="40% - Accent2 2 2 14 3" xfId="12573"/>
    <cellStyle name="40% - Accent2 2 2 14 3 2" xfId="20117"/>
    <cellStyle name="40% - Accent2 2 2 14 3 2 2" xfId="48978"/>
    <cellStyle name="40% - Accent2 2 2 14 3 3" xfId="41434"/>
    <cellStyle name="40% - Accent2 2 2 14 4" xfId="14757"/>
    <cellStyle name="40% - Accent2 2 2 14 4 2" xfId="43618"/>
    <cellStyle name="40% - Accent2 2 2 14 5" xfId="31868"/>
    <cellStyle name="40% - Accent2 2 2 15" xfId="2801"/>
    <cellStyle name="40% - Accent2 2 2 15 2" xfId="8842"/>
    <cellStyle name="40% - Accent2 2 2 15 2 2" xfId="25889"/>
    <cellStyle name="40% - Accent2 2 2 15 2 2 2" xfId="54750"/>
    <cellStyle name="40% - Accent2 2 2 15 2 3" xfId="37703"/>
    <cellStyle name="40% - Accent2 2 2 15 3" xfId="17437"/>
    <cellStyle name="40% - Accent2 2 2 15 3 2" xfId="46298"/>
    <cellStyle name="40% - Accent2 2 2 15 4" xfId="31662"/>
    <cellStyle name="40% - Accent2 2 2 16" xfId="5687"/>
    <cellStyle name="40% - Accent2 2 2 16 2" xfId="11728"/>
    <cellStyle name="40% - Accent2 2 2 16 2 2" xfId="28775"/>
    <cellStyle name="40% - Accent2 2 2 16 2 2 2" xfId="57636"/>
    <cellStyle name="40% - Accent2 2 2 16 2 3" xfId="40589"/>
    <cellStyle name="40% - Accent2 2 2 16 3" xfId="22797"/>
    <cellStyle name="40% - Accent2 2 2 16 3 2" xfId="51658"/>
    <cellStyle name="40% - Accent2 2 2 16 4" xfId="34548"/>
    <cellStyle name="40% - Accent2 2 2 17" xfId="5904"/>
    <cellStyle name="40% - Accent2 2 2 17 2" xfId="23003"/>
    <cellStyle name="40% - Accent2 2 2 17 2 2" xfId="51864"/>
    <cellStyle name="40% - Accent2 2 2 17 3" xfId="34765"/>
    <cellStyle name="40% - Accent2 2 2 18" xfId="6162"/>
    <cellStyle name="40% - Accent2 2 2 18 2" xfId="23209"/>
    <cellStyle name="40% - Accent2 2 2 18 2 2" xfId="52070"/>
    <cellStyle name="40% - Accent2 2 2 18 3" xfId="35023"/>
    <cellStyle name="40% - Accent2 2 2 19" xfId="14551"/>
    <cellStyle name="40% - Accent2 2 2 19 2" xfId="43412"/>
    <cellStyle name="40% - Accent2 2 2 2" xfId="326"/>
    <cellStyle name="40% - Accent2 2 2 2 10" xfId="2489"/>
    <cellStyle name="40% - Accent2 2 2 2 10 2" xfId="5376"/>
    <cellStyle name="40% - Accent2 2 2 2 10 2 2" xfId="11417"/>
    <cellStyle name="40% - Accent2 2 2 2 10 2 2 2" xfId="28464"/>
    <cellStyle name="40% - Accent2 2 2 2 10 2 2 2 2" xfId="57325"/>
    <cellStyle name="40% - Accent2 2 2 2 10 2 2 3" xfId="40278"/>
    <cellStyle name="40% - Accent2 2 2 2 10 2 3" xfId="22486"/>
    <cellStyle name="40% - Accent2 2 2 2 10 2 3 2" xfId="51347"/>
    <cellStyle name="40% - Accent2 2 2 2 10 2 4" xfId="34237"/>
    <cellStyle name="40% - Accent2 2 2 2 10 3" xfId="8531"/>
    <cellStyle name="40% - Accent2 2 2 2 10 3 2" xfId="25578"/>
    <cellStyle name="40% - Accent2 2 2 2 10 3 2 2" xfId="54439"/>
    <cellStyle name="40% - Accent2 2 2 2 10 3 3" xfId="37392"/>
    <cellStyle name="40% - Accent2 2 2 2 10 4" xfId="13650"/>
    <cellStyle name="40% - Accent2 2 2 2 10 4 2" xfId="19806"/>
    <cellStyle name="40% - Accent2 2 2 2 10 4 2 2" xfId="48667"/>
    <cellStyle name="40% - Accent2 2 2 2 10 4 3" xfId="42511"/>
    <cellStyle name="40% - Accent2 2 2 2 10 5" xfId="17126"/>
    <cellStyle name="40% - Accent2 2 2 2 10 5 2" xfId="45987"/>
    <cellStyle name="40% - Accent2 2 2 2 10 6" xfId="31351"/>
    <cellStyle name="40% - Accent2 2 2 2 11" xfId="2698"/>
    <cellStyle name="40% - Accent2 2 2 2 11 2" xfId="5584"/>
    <cellStyle name="40% - Accent2 2 2 2 11 2 2" xfId="11625"/>
    <cellStyle name="40% - Accent2 2 2 2 11 2 2 2" xfId="28672"/>
    <cellStyle name="40% - Accent2 2 2 2 11 2 2 2 2" xfId="57533"/>
    <cellStyle name="40% - Accent2 2 2 2 11 2 2 3" xfId="40486"/>
    <cellStyle name="40% - Accent2 2 2 2 11 2 3" xfId="22694"/>
    <cellStyle name="40% - Accent2 2 2 2 11 2 3 2" xfId="51555"/>
    <cellStyle name="40% - Accent2 2 2 2 11 2 4" xfId="34445"/>
    <cellStyle name="40% - Accent2 2 2 2 11 3" xfId="8739"/>
    <cellStyle name="40% - Accent2 2 2 2 11 3 2" xfId="25786"/>
    <cellStyle name="40% - Accent2 2 2 2 11 3 2 2" xfId="54647"/>
    <cellStyle name="40% - Accent2 2 2 2 11 3 3" xfId="37600"/>
    <cellStyle name="40% - Accent2 2 2 2 11 4" xfId="13837"/>
    <cellStyle name="40% - Accent2 2 2 2 11 4 2" xfId="20014"/>
    <cellStyle name="40% - Accent2 2 2 2 11 4 2 2" xfId="48875"/>
    <cellStyle name="40% - Accent2 2 2 2 11 4 3" xfId="42698"/>
    <cellStyle name="40% - Accent2 2 2 2 11 5" xfId="17334"/>
    <cellStyle name="40% - Accent2 2 2 2 11 5 2" xfId="46195"/>
    <cellStyle name="40% - Accent2 2 2 2 11 6" xfId="31559"/>
    <cellStyle name="40% - Accent2 2 2 2 12" xfId="3213"/>
    <cellStyle name="40% - Accent2 2 2 2 12 2" xfId="9254"/>
    <cellStyle name="40% - Accent2 2 2 2 12 2 2" xfId="26301"/>
    <cellStyle name="40% - Accent2 2 2 2 12 2 2 2" xfId="55162"/>
    <cellStyle name="40% - Accent2 2 2 2 12 2 3" xfId="38115"/>
    <cellStyle name="40% - Accent2 2 2 2 12 3" xfId="12636"/>
    <cellStyle name="40% - Accent2 2 2 2 12 3 2" xfId="20323"/>
    <cellStyle name="40% - Accent2 2 2 2 12 3 2 2" xfId="49184"/>
    <cellStyle name="40% - Accent2 2 2 2 12 3 3" xfId="41497"/>
    <cellStyle name="40% - Accent2 2 2 2 12 4" xfId="14963"/>
    <cellStyle name="40% - Accent2 2 2 2 12 4 2" xfId="43824"/>
    <cellStyle name="40% - Accent2 2 2 2 12 5" xfId="32074"/>
    <cellStyle name="40% - Accent2 2 2 2 13" xfId="2904"/>
    <cellStyle name="40% - Accent2 2 2 2 13 2" xfId="8945"/>
    <cellStyle name="40% - Accent2 2 2 2 13 2 2" xfId="25992"/>
    <cellStyle name="40% - Accent2 2 2 2 13 2 2 2" xfId="54853"/>
    <cellStyle name="40% - Accent2 2 2 2 13 2 3" xfId="37806"/>
    <cellStyle name="40% - Accent2 2 2 2 13 3" xfId="17540"/>
    <cellStyle name="40% - Accent2 2 2 2 13 3 2" xfId="46401"/>
    <cellStyle name="40% - Accent2 2 2 2 13 4" xfId="31765"/>
    <cellStyle name="40% - Accent2 2 2 2 14" xfId="5790"/>
    <cellStyle name="40% - Accent2 2 2 2 14 2" xfId="11831"/>
    <cellStyle name="40% - Accent2 2 2 2 14 2 2" xfId="28878"/>
    <cellStyle name="40% - Accent2 2 2 2 14 2 2 2" xfId="57739"/>
    <cellStyle name="40% - Accent2 2 2 2 14 2 3" xfId="40692"/>
    <cellStyle name="40% - Accent2 2 2 2 14 3" xfId="22900"/>
    <cellStyle name="40% - Accent2 2 2 2 14 3 2" xfId="51761"/>
    <cellStyle name="40% - Accent2 2 2 2 14 4" xfId="34651"/>
    <cellStyle name="40% - Accent2 2 2 2 15" xfId="6007"/>
    <cellStyle name="40% - Accent2 2 2 2 15 2" xfId="23106"/>
    <cellStyle name="40% - Accent2 2 2 2 15 2 2" xfId="51967"/>
    <cellStyle name="40% - Accent2 2 2 2 15 3" xfId="34868"/>
    <cellStyle name="40% - Accent2 2 2 2 16" xfId="6368"/>
    <cellStyle name="40% - Accent2 2 2 2 16 2" xfId="23415"/>
    <cellStyle name="40% - Accent2 2 2 2 16 2 2" xfId="52276"/>
    <cellStyle name="40% - Accent2 2 2 2 16 3" xfId="35229"/>
    <cellStyle name="40% - Accent2 2 2 2 17" xfId="14654"/>
    <cellStyle name="40% - Accent2 2 2 2 17 2" xfId="43515"/>
    <cellStyle name="40% - Accent2 2 2 2 18" xfId="29188"/>
    <cellStyle name="40% - Accent2 2 2 2 2" xfId="532"/>
    <cellStyle name="40% - Accent2 2 2 2 2 2" xfId="2283"/>
    <cellStyle name="40% - Accent2 2 2 2 2 2 2" xfId="5170"/>
    <cellStyle name="40% - Accent2 2 2 2 2 2 2 2" xfId="11211"/>
    <cellStyle name="40% - Accent2 2 2 2 2 2 2 2 2" xfId="28258"/>
    <cellStyle name="40% - Accent2 2 2 2 2 2 2 2 2 2" xfId="57119"/>
    <cellStyle name="40% - Accent2 2 2 2 2 2 2 2 3" xfId="40072"/>
    <cellStyle name="40% - Accent2 2 2 2 2 2 2 3" xfId="22280"/>
    <cellStyle name="40% - Accent2 2 2 2 2 2 2 3 2" xfId="51141"/>
    <cellStyle name="40% - Accent2 2 2 2 2 2 2 4" xfId="34031"/>
    <cellStyle name="40% - Accent2 2 2 2 2 2 3" xfId="8325"/>
    <cellStyle name="40% - Accent2 2 2 2 2 2 3 2" xfId="25372"/>
    <cellStyle name="40% - Accent2 2 2 2 2 2 3 2 2" xfId="54233"/>
    <cellStyle name="40% - Accent2 2 2 2 2 2 3 3" xfId="37186"/>
    <cellStyle name="40% - Accent2 2 2 2 2 2 4" xfId="13023"/>
    <cellStyle name="40% - Accent2 2 2 2 2 2 4 2" xfId="19600"/>
    <cellStyle name="40% - Accent2 2 2 2 2 2 4 2 2" xfId="48461"/>
    <cellStyle name="40% - Accent2 2 2 2 2 2 4 3" xfId="41884"/>
    <cellStyle name="40% - Accent2 2 2 2 2 2 5" xfId="16920"/>
    <cellStyle name="40% - Accent2 2 2 2 2 2 5 2" xfId="45781"/>
    <cellStyle name="40% - Accent2 2 2 2 2 2 6" xfId="31145"/>
    <cellStyle name="40% - Accent2 2 2 2 2 3" xfId="3419"/>
    <cellStyle name="40% - Accent2 2 2 2 2 3 2" xfId="9460"/>
    <cellStyle name="40% - Accent2 2 2 2 2 3 2 2" xfId="26507"/>
    <cellStyle name="40% - Accent2 2 2 2 2 3 2 2 2" xfId="55368"/>
    <cellStyle name="40% - Accent2 2 2 2 2 3 2 3" xfId="38321"/>
    <cellStyle name="40% - Accent2 2 2 2 2 3 3" xfId="20529"/>
    <cellStyle name="40% - Accent2 2 2 2 2 3 3 2" xfId="49390"/>
    <cellStyle name="40% - Accent2 2 2 2 2 3 4" xfId="32280"/>
    <cellStyle name="40% - Accent2 2 2 2 2 4" xfId="6574"/>
    <cellStyle name="40% - Accent2 2 2 2 2 4 2" xfId="23621"/>
    <cellStyle name="40% - Accent2 2 2 2 2 4 2 2" xfId="52482"/>
    <cellStyle name="40% - Accent2 2 2 2 2 4 3" xfId="35435"/>
    <cellStyle name="40% - Accent2 2 2 2 2 5" xfId="12752"/>
    <cellStyle name="40% - Accent2 2 2 2 2 5 2" xfId="17849"/>
    <cellStyle name="40% - Accent2 2 2 2 2 5 2 2" xfId="46710"/>
    <cellStyle name="40% - Accent2 2 2 2 2 5 3" xfId="41613"/>
    <cellStyle name="40% - Accent2 2 2 2 2 6" xfId="15169"/>
    <cellStyle name="40% - Accent2 2 2 2 2 6 2" xfId="44030"/>
    <cellStyle name="40% - Accent2 2 2 2 2 7" xfId="29394"/>
    <cellStyle name="40% - Accent2 2 2 2 3" xfId="841"/>
    <cellStyle name="40% - Accent2 2 2 2 3 2" xfId="3728"/>
    <cellStyle name="40% - Accent2 2 2 2 3 2 2" xfId="9769"/>
    <cellStyle name="40% - Accent2 2 2 2 3 2 2 2" xfId="26816"/>
    <cellStyle name="40% - Accent2 2 2 2 3 2 2 2 2" xfId="55677"/>
    <cellStyle name="40% - Accent2 2 2 2 3 2 2 3" xfId="38630"/>
    <cellStyle name="40% - Accent2 2 2 2 3 2 3" xfId="20838"/>
    <cellStyle name="40% - Accent2 2 2 2 3 2 3 2" xfId="49699"/>
    <cellStyle name="40% - Accent2 2 2 2 3 2 4" xfId="32589"/>
    <cellStyle name="40% - Accent2 2 2 2 3 3" xfId="6883"/>
    <cellStyle name="40% - Accent2 2 2 2 3 3 2" xfId="23930"/>
    <cellStyle name="40% - Accent2 2 2 2 3 3 2 2" xfId="52791"/>
    <cellStyle name="40% - Accent2 2 2 2 3 3 3" xfId="35744"/>
    <cellStyle name="40% - Accent2 2 2 2 3 4" xfId="13483"/>
    <cellStyle name="40% - Accent2 2 2 2 3 4 2" xfId="18158"/>
    <cellStyle name="40% - Accent2 2 2 2 3 4 2 2" xfId="47019"/>
    <cellStyle name="40% - Accent2 2 2 2 3 4 3" xfId="42344"/>
    <cellStyle name="40% - Accent2 2 2 2 3 5" xfId="15478"/>
    <cellStyle name="40% - Accent2 2 2 2 3 5 2" xfId="44339"/>
    <cellStyle name="40% - Accent2 2 2 2 3 6" xfId="29703"/>
    <cellStyle name="40% - Accent2 2 2 2 4" xfId="1047"/>
    <cellStyle name="40% - Accent2 2 2 2 4 2" xfId="3934"/>
    <cellStyle name="40% - Accent2 2 2 2 4 2 2" xfId="9975"/>
    <cellStyle name="40% - Accent2 2 2 2 4 2 2 2" xfId="27022"/>
    <cellStyle name="40% - Accent2 2 2 2 4 2 2 2 2" xfId="55883"/>
    <cellStyle name="40% - Accent2 2 2 2 4 2 2 3" xfId="38836"/>
    <cellStyle name="40% - Accent2 2 2 2 4 2 3" xfId="21044"/>
    <cellStyle name="40% - Accent2 2 2 2 4 2 3 2" xfId="49905"/>
    <cellStyle name="40% - Accent2 2 2 2 4 2 4" xfId="32795"/>
    <cellStyle name="40% - Accent2 2 2 2 4 3" xfId="7089"/>
    <cellStyle name="40% - Accent2 2 2 2 4 3 2" xfId="24136"/>
    <cellStyle name="40% - Accent2 2 2 2 4 3 2 2" xfId="52997"/>
    <cellStyle name="40% - Accent2 2 2 2 4 3 3" xfId="35950"/>
    <cellStyle name="40% - Accent2 2 2 2 4 4" xfId="12961"/>
    <cellStyle name="40% - Accent2 2 2 2 4 4 2" xfId="18364"/>
    <cellStyle name="40% - Accent2 2 2 2 4 4 2 2" xfId="47225"/>
    <cellStyle name="40% - Accent2 2 2 2 4 4 3" xfId="41822"/>
    <cellStyle name="40% - Accent2 2 2 2 4 5" xfId="15684"/>
    <cellStyle name="40% - Accent2 2 2 2 4 5 2" xfId="44545"/>
    <cellStyle name="40% - Accent2 2 2 2 4 6" xfId="29909"/>
    <cellStyle name="40% - Accent2 2 2 2 5" xfId="1253"/>
    <cellStyle name="40% - Accent2 2 2 2 5 2" xfId="4140"/>
    <cellStyle name="40% - Accent2 2 2 2 5 2 2" xfId="10181"/>
    <cellStyle name="40% - Accent2 2 2 2 5 2 2 2" xfId="27228"/>
    <cellStyle name="40% - Accent2 2 2 2 5 2 2 2 2" xfId="56089"/>
    <cellStyle name="40% - Accent2 2 2 2 5 2 2 3" xfId="39042"/>
    <cellStyle name="40% - Accent2 2 2 2 5 2 3" xfId="21250"/>
    <cellStyle name="40% - Accent2 2 2 2 5 2 3 2" xfId="50111"/>
    <cellStyle name="40% - Accent2 2 2 2 5 2 4" xfId="33001"/>
    <cellStyle name="40% - Accent2 2 2 2 5 3" xfId="7295"/>
    <cellStyle name="40% - Accent2 2 2 2 5 3 2" xfId="24342"/>
    <cellStyle name="40% - Accent2 2 2 2 5 3 2 2" xfId="53203"/>
    <cellStyle name="40% - Accent2 2 2 2 5 3 3" xfId="36156"/>
    <cellStyle name="40% - Accent2 2 2 2 5 4" xfId="13689"/>
    <cellStyle name="40% - Accent2 2 2 2 5 4 2" xfId="18570"/>
    <cellStyle name="40% - Accent2 2 2 2 5 4 2 2" xfId="47431"/>
    <cellStyle name="40% - Accent2 2 2 2 5 4 3" xfId="42550"/>
    <cellStyle name="40% - Accent2 2 2 2 5 5" xfId="15890"/>
    <cellStyle name="40% - Accent2 2 2 2 5 5 2" xfId="44751"/>
    <cellStyle name="40% - Accent2 2 2 2 5 6" xfId="30115"/>
    <cellStyle name="40% - Accent2 2 2 2 6" xfId="1459"/>
    <cellStyle name="40% - Accent2 2 2 2 6 2" xfId="4346"/>
    <cellStyle name="40% - Accent2 2 2 2 6 2 2" xfId="10387"/>
    <cellStyle name="40% - Accent2 2 2 2 6 2 2 2" xfId="27434"/>
    <cellStyle name="40% - Accent2 2 2 2 6 2 2 2 2" xfId="56295"/>
    <cellStyle name="40% - Accent2 2 2 2 6 2 2 3" xfId="39248"/>
    <cellStyle name="40% - Accent2 2 2 2 6 2 3" xfId="21456"/>
    <cellStyle name="40% - Accent2 2 2 2 6 2 3 2" xfId="50317"/>
    <cellStyle name="40% - Accent2 2 2 2 6 2 4" xfId="33207"/>
    <cellStyle name="40% - Accent2 2 2 2 6 3" xfId="7501"/>
    <cellStyle name="40% - Accent2 2 2 2 6 3 2" xfId="24548"/>
    <cellStyle name="40% - Accent2 2 2 2 6 3 2 2" xfId="53409"/>
    <cellStyle name="40% - Accent2 2 2 2 6 3 3" xfId="36362"/>
    <cellStyle name="40% - Accent2 2 2 2 6 4" xfId="12592"/>
    <cellStyle name="40% - Accent2 2 2 2 6 4 2" xfId="18776"/>
    <cellStyle name="40% - Accent2 2 2 2 6 4 2 2" xfId="47637"/>
    <cellStyle name="40% - Accent2 2 2 2 6 4 3" xfId="41453"/>
    <cellStyle name="40% - Accent2 2 2 2 6 5" xfId="16096"/>
    <cellStyle name="40% - Accent2 2 2 2 6 5 2" xfId="44957"/>
    <cellStyle name="40% - Accent2 2 2 2 6 6" xfId="30321"/>
    <cellStyle name="40% - Accent2 2 2 2 7" xfId="1665"/>
    <cellStyle name="40% - Accent2 2 2 2 7 2" xfId="4552"/>
    <cellStyle name="40% - Accent2 2 2 2 7 2 2" xfId="10593"/>
    <cellStyle name="40% - Accent2 2 2 2 7 2 2 2" xfId="27640"/>
    <cellStyle name="40% - Accent2 2 2 2 7 2 2 2 2" xfId="56501"/>
    <cellStyle name="40% - Accent2 2 2 2 7 2 2 3" xfId="39454"/>
    <cellStyle name="40% - Accent2 2 2 2 7 2 3" xfId="21662"/>
    <cellStyle name="40% - Accent2 2 2 2 7 2 3 2" xfId="50523"/>
    <cellStyle name="40% - Accent2 2 2 2 7 2 4" xfId="33413"/>
    <cellStyle name="40% - Accent2 2 2 2 7 3" xfId="7707"/>
    <cellStyle name="40% - Accent2 2 2 2 7 3 2" xfId="24754"/>
    <cellStyle name="40% - Accent2 2 2 2 7 3 2 2" xfId="53615"/>
    <cellStyle name="40% - Accent2 2 2 2 7 3 3" xfId="36568"/>
    <cellStyle name="40% - Accent2 2 2 2 7 4" xfId="13805"/>
    <cellStyle name="40% - Accent2 2 2 2 7 4 2" xfId="18982"/>
    <cellStyle name="40% - Accent2 2 2 2 7 4 2 2" xfId="47843"/>
    <cellStyle name="40% - Accent2 2 2 2 7 4 3" xfId="42666"/>
    <cellStyle name="40% - Accent2 2 2 2 7 5" xfId="16302"/>
    <cellStyle name="40% - Accent2 2 2 2 7 5 2" xfId="45163"/>
    <cellStyle name="40% - Accent2 2 2 2 7 6" xfId="30527"/>
    <cellStyle name="40% - Accent2 2 2 2 8" xfId="1871"/>
    <cellStyle name="40% - Accent2 2 2 2 8 2" xfId="4758"/>
    <cellStyle name="40% - Accent2 2 2 2 8 2 2" xfId="10799"/>
    <cellStyle name="40% - Accent2 2 2 2 8 2 2 2" xfId="27846"/>
    <cellStyle name="40% - Accent2 2 2 2 8 2 2 2 2" xfId="56707"/>
    <cellStyle name="40% - Accent2 2 2 2 8 2 2 3" xfId="39660"/>
    <cellStyle name="40% - Accent2 2 2 2 8 2 3" xfId="21868"/>
    <cellStyle name="40% - Accent2 2 2 2 8 2 3 2" xfId="50729"/>
    <cellStyle name="40% - Accent2 2 2 2 8 2 4" xfId="33619"/>
    <cellStyle name="40% - Accent2 2 2 2 8 3" xfId="7913"/>
    <cellStyle name="40% - Accent2 2 2 2 8 3 2" xfId="24960"/>
    <cellStyle name="40% - Accent2 2 2 2 8 3 2 2" xfId="53821"/>
    <cellStyle name="40% - Accent2 2 2 2 8 3 3" xfId="36774"/>
    <cellStyle name="40% - Accent2 2 2 2 8 4" xfId="12862"/>
    <cellStyle name="40% - Accent2 2 2 2 8 4 2" xfId="19188"/>
    <cellStyle name="40% - Accent2 2 2 2 8 4 2 2" xfId="48049"/>
    <cellStyle name="40% - Accent2 2 2 2 8 4 3" xfId="41723"/>
    <cellStyle name="40% - Accent2 2 2 2 8 5" xfId="16508"/>
    <cellStyle name="40% - Accent2 2 2 2 8 5 2" xfId="45369"/>
    <cellStyle name="40% - Accent2 2 2 2 8 6" xfId="30733"/>
    <cellStyle name="40% - Accent2 2 2 2 9" xfId="2077"/>
    <cellStyle name="40% - Accent2 2 2 2 9 2" xfId="4964"/>
    <cellStyle name="40% - Accent2 2 2 2 9 2 2" xfId="11005"/>
    <cellStyle name="40% - Accent2 2 2 2 9 2 2 2" xfId="28052"/>
    <cellStyle name="40% - Accent2 2 2 2 9 2 2 2 2" xfId="56913"/>
    <cellStyle name="40% - Accent2 2 2 2 9 2 2 3" xfId="39866"/>
    <cellStyle name="40% - Accent2 2 2 2 9 2 3" xfId="22074"/>
    <cellStyle name="40% - Accent2 2 2 2 9 2 3 2" xfId="50935"/>
    <cellStyle name="40% - Accent2 2 2 2 9 2 4" xfId="33825"/>
    <cellStyle name="40% - Accent2 2 2 2 9 3" xfId="8119"/>
    <cellStyle name="40% - Accent2 2 2 2 9 3 2" xfId="25166"/>
    <cellStyle name="40% - Accent2 2 2 2 9 3 2 2" xfId="54027"/>
    <cellStyle name="40% - Accent2 2 2 2 9 3 3" xfId="36980"/>
    <cellStyle name="40% - Accent2 2 2 2 9 4" xfId="12938"/>
    <cellStyle name="40% - Accent2 2 2 2 9 4 2" xfId="19394"/>
    <cellStyle name="40% - Accent2 2 2 2 9 4 2 2" xfId="48255"/>
    <cellStyle name="40% - Accent2 2 2 2 9 4 3" xfId="41799"/>
    <cellStyle name="40% - Accent2 2 2 2 9 5" xfId="16714"/>
    <cellStyle name="40% - Accent2 2 2 2 9 5 2" xfId="45575"/>
    <cellStyle name="40% - Accent2 2 2 2 9 6" xfId="30939"/>
    <cellStyle name="40% - Accent2 2 2 20" xfId="28982"/>
    <cellStyle name="40% - Accent2 2 2 3" xfId="223"/>
    <cellStyle name="40% - Accent2 2 2 3 2" xfId="635"/>
    <cellStyle name="40% - Accent2 2 2 3 2 2" xfId="3522"/>
    <cellStyle name="40% - Accent2 2 2 3 2 2 2" xfId="9563"/>
    <cellStyle name="40% - Accent2 2 2 3 2 2 2 2" xfId="26610"/>
    <cellStyle name="40% - Accent2 2 2 3 2 2 2 2 2" xfId="55471"/>
    <cellStyle name="40% - Accent2 2 2 3 2 2 2 3" xfId="38424"/>
    <cellStyle name="40% - Accent2 2 2 3 2 2 3" xfId="20632"/>
    <cellStyle name="40% - Accent2 2 2 3 2 2 3 2" xfId="49493"/>
    <cellStyle name="40% - Accent2 2 2 3 2 2 4" xfId="32383"/>
    <cellStyle name="40% - Accent2 2 2 3 2 3" xfId="6677"/>
    <cellStyle name="40% - Accent2 2 2 3 2 3 2" xfId="23724"/>
    <cellStyle name="40% - Accent2 2 2 3 2 3 2 2" xfId="52585"/>
    <cellStyle name="40% - Accent2 2 2 3 2 3 3" xfId="35538"/>
    <cellStyle name="40% - Accent2 2 2 3 2 4" xfId="13593"/>
    <cellStyle name="40% - Accent2 2 2 3 2 4 2" xfId="17952"/>
    <cellStyle name="40% - Accent2 2 2 3 2 4 2 2" xfId="46813"/>
    <cellStyle name="40% - Accent2 2 2 3 2 4 3" xfId="42454"/>
    <cellStyle name="40% - Accent2 2 2 3 2 5" xfId="15272"/>
    <cellStyle name="40% - Accent2 2 2 3 2 5 2" xfId="44133"/>
    <cellStyle name="40% - Accent2 2 2 3 2 6" xfId="29497"/>
    <cellStyle name="40% - Accent2 2 2 3 3" xfId="2180"/>
    <cellStyle name="40% - Accent2 2 2 3 3 2" xfId="5067"/>
    <cellStyle name="40% - Accent2 2 2 3 3 2 2" xfId="11108"/>
    <cellStyle name="40% - Accent2 2 2 3 3 2 2 2" xfId="28155"/>
    <cellStyle name="40% - Accent2 2 2 3 3 2 2 2 2" xfId="57016"/>
    <cellStyle name="40% - Accent2 2 2 3 3 2 2 3" xfId="39969"/>
    <cellStyle name="40% - Accent2 2 2 3 3 2 3" xfId="22177"/>
    <cellStyle name="40% - Accent2 2 2 3 3 2 3 2" xfId="51038"/>
    <cellStyle name="40% - Accent2 2 2 3 3 2 4" xfId="33928"/>
    <cellStyle name="40% - Accent2 2 2 3 3 3" xfId="8222"/>
    <cellStyle name="40% - Accent2 2 2 3 3 3 2" xfId="25269"/>
    <cellStyle name="40% - Accent2 2 2 3 3 3 2 2" xfId="54130"/>
    <cellStyle name="40% - Accent2 2 2 3 3 3 3" xfId="37083"/>
    <cellStyle name="40% - Accent2 2 2 3 3 4" xfId="12619"/>
    <cellStyle name="40% - Accent2 2 2 3 3 4 2" xfId="19497"/>
    <cellStyle name="40% - Accent2 2 2 3 3 4 2 2" xfId="48358"/>
    <cellStyle name="40% - Accent2 2 2 3 3 4 3" xfId="41480"/>
    <cellStyle name="40% - Accent2 2 2 3 3 5" xfId="16817"/>
    <cellStyle name="40% - Accent2 2 2 3 3 5 2" xfId="45678"/>
    <cellStyle name="40% - Accent2 2 2 3 3 6" xfId="31042"/>
    <cellStyle name="40% - Accent2 2 2 3 4" xfId="3110"/>
    <cellStyle name="40% - Accent2 2 2 3 4 2" xfId="9151"/>
    <cellStyle name="40% - Accent2 2 2 3 4 2 2" xfId="26198"/>
    <cellStyle name="40% - Accent2 2 2 3 4 2 2 2" xfId="55059"/>
    <cellStyle name="40% - Accent2 2 2 3 4 2 3" xfId="38012"/>
    <cellStyle name="40% - Accent2 2 2 3 4 3" xfId="20220"/>
    <cellStyle name="40% - Accent2 2 2 3 4 3 2" xfId="49081"/>
    <cellStyle name="40% - Accent2 2 2 3 4 4" xfId="31971"/>
    <cellStyle name="40% - Accent2 2 2 3 5" xfId="6265"/>
    <cellStyle name="40% - Accent2 2 2 3 5 2" xfId="23312"/>
    <cellStyle name="40% - Accent2 2 2 3 5 2 2" xfId="52173"/>
    <cellStyle name="40% - Accent2 2 2 3 5 3" xfId="35126"/>
    <cellStyle name="40% - Accent2 2 2 3 6" xfId="13011"/>
    <cellStyle name="40% - Accent2 2 2 3 6 2" xfId="17643"/>
    <cellStyle name="40% - Accent2 2 2 3 6 2 2" xfId="46504"/>
    <cellStyle name="40% - Accent2 2 2 3 6 3" xfId="41872"/>
    <cellStyle name="40% - Accent2 2 2 3 7" xfId="14860"/>
    <cellStyle name="40% - Accent2 2 2 3 7 2" xfId="43721"/>
    <cellStyle name="40% - Accent2 2 2 3 8" xfId="29085"/>
    <cellStyle name="40% - Accent2 2 2 4" xfId="429"/>
    <cellStyle name="40% - Accent2 2 2 4 2" xfId="3316"/>
    <cellStyle name="40% - Accent2 2 2 4 2 2" xfId="9357"/>
    <cellStyle name="40% - Accent2 2 2 4 2 2 2" xfId="26404"/>
    <cellStyle name="40% - Accent2 2 2 4 2 2 2 2" xfId="55265"/>
    <cellStyle name="40% - Accent2 2 2 4 2 2 3" xfId="38218"/>
    <cellStyle name="40% - Accent2 2 2 4 2 3" xfId="20426"/>
    <cellStyle name="40% - Accent2 2 2 4 2 3 2" xfId="49287"/>
    <cellStyle name="40% - Accent2 2 2 4 2 4" xfId="32177"/>
    <cellStyle name="40% - Accent2 2 2 4 3" xfId="6471"/>
    <cellStyle name="40% - Accent2 2 2 4 3 2" xfId="23518"/>
    <cellStyle name="40% - Accent2 2 2 4 3 2 2" xfId="52379"/>
    <cellStyle name="40% - Accent2 2 2 4 3 3" xfId="35332"/>
    <cellStyle name="40% - Accent2 2 2 4 4" xfId="13866"/>
    <cellStyle name="40% - Accent2 2 2 4 4 2" xfId="17746"/>
    <cellStyle name="40% - Accent2 2 2 4 4 2 2" xfId="46607"/>
    <cellStyle name="40% - Accent2 2 2 4 4 3" xfId="42727"/>
    <cellStyle name="40% - Accent2 2 2 4 5" xfId="15066"/>
    <cellStyle name="40% - Accent2 2 2 4 5 2" xfId="43927"/>
    <cellStyle name="40% - Accent2 2 2 4 6" xfId="29291"/>
    <cellStyle name="40% - Accent2 2 2 5" xfId="738"/>
    <cellStyle name="40% - Accent2 2 2 5 2" xfId="3625"/>
    <cellStyle name="40% - Accent2 2 2 5 2 2" xfId="9666"/>
    <cellStyle name="40% - Accent2 2 2 5 2 2 2" xfId="26713"/>
    <cellStyle name="40% - Accent2 2 2 5 2 2 2 2" xfId="55574"/>
    <cellStyle name="40% - Accent2 2 2 5 2 2 3" xfId="38527"/>
    <cellStyle name="40% - Accent2 2 2 5 2 3" xfId="20735"/>
    <cellStyle name="40% - Accent2 2 2 5 2 3 2" xfId="49596"/>
    <cellStyle name="40% - Accent2 2 2 5 2 4" xfId="32486"/>
    <cellStyle name="40% - Accent2 2 2 5 3" xfId="6780"/>
    <cellStyle name="40% - Accent2 2 2 5 3 2" xfId="23827"/>
    <cellStyle name="40% - Accent2 2 2 5 3 2 2" xfId="52688"/>
    <cellStyle name="40% - Accent2 2 2 5 3 3" xfId="35641"/>
    <cellStyle name="40% - Accent2 2 2 5 4" xfId="13820"/>
    <cellStyle name="40% - Accent2 2 2 5 4 2" xfId="18055"/>
    <cellStyle name="40% - Accent2 2 2 5 4 2 2" xfId="46916"/>
    <cellStyle name="40% - Accent2 2 2 5 4 3" xfId="42681"/>
    <cellStyle name="40% - Accent2 2 2 5 5" xfId="15375"/>
    <cellStyle name="40% - Accent2 2 2 5 5 2" xfId="44236"/>
    <cellStyle name="40% - Accent2 2 2 5 6" xfId="29600"/>
    <cellStyle name="40% - Accent2 2 2 6" xfId="944"/>
    <cellStyle name="40% - Accent2 2 2 6 2" xfId="3831"/>
    <cellStyle name="40% - Accent2 2 2 6 2 2" xfId="9872"/>
    <cellStyle name="40% - Accent2 2 2 6 2 2 2" xfId="26919"/>
    <cellStyle name="40% - Accent2 2 2 6 2 2 2 2" xfId="55780"/>
    <cellStyle name="40% - Accent2 2 2 6 2 2 3" xfId="38733"/>
    <cellStyle name="40% - Accent2 2 2 6 2 3" xfId="20941"/>
    <cellStyle name="40% - Accent2 2 2 6 2 3 2" xfId="49802"/>
    <cellStyle name="40% - Accent2 2 2 6 2 4" xfId="32692"/>
    <cellStyle name="40% - Accent2 2 2 6 3" xfId="6986"/>
    <cellStyle name="40% - Accent2 2 2 6 3 2" xfId="24033"/>
    <cellStyle name="40% - Accent2 2 2 6 3 2 2" xfId="52894"/>
    <cellStyle name="40% - Accent2 2 2 6 3 3" xfId="35847"/>
    <cellStyle name="40% - Accent2 2 2 6 4" xfId="12442"/>
    <cellStyle name="40% - Accent2 2 2 6 4 2" xfId="18261"/>
    <cellStyle name="40% - Accent2 2 2 6 4 2 2" xfId="47122"/>
    <cellStyle name="40% - Accent2 2 2 6 4 3" xfId="41303"/>
    <cellStyle name="40% - Accent2 2 2 6 5" xfId="15581"/>
    <cellStyle name="40% - Accent2 2 2 6 5 2" xfId="44442"/>
    <cellStyle name="40% - Accent2 2 2 6 6" xfId="29806"/>
    <cellStyle name="40% - Accent2 2 2 7" xfId="1150"/>
    <cellStyle name="40% - Accent2 2 2 7 2" xfId="4037"/>
    <cellStyle name="40% - Accent2 2 2 7 2 2" xfId="10078"/>
    <cellStyle name="40% - Accent2 2 2 7 2 2 2" xfId="27125"/>
    <cellStyle name="40% - Accent2 2 2 7 2 2 2 2" xfId="55986"/>
    <cellStyle name="40% - Accent2 2 2 7 2 2 3" xfId="38939"/>
    <cellStyle name="40% - Accent2 2 2 7 2 3" xfId="21147"/>
    <cellStyle name="40% - Accent2 2 2 7 2 3 2" xfId="50008"/>
    <cellStyle name="40% - Accent2 2 2 7 2 4" xfId="32898"/>
    <cellStyle name="40% - Accent2 2 2 7 3" xfId="7192"/>
    <cellStyle name="40% - Accent2 2 2 7 3 2" xfId="24239"/>
    <cellStyle name="40% - Accent2 2 2 7 3 2 2" xfId="53100"/>
    <cellStyle name="40% - Accent2 2 2 7 3 3" xfId="36053"/>
    <cellStyle name="40% - Accent2 2 2 7 4" xfId="14055"/>
    <cellStyle name="40% - Accent2 2 2 7 4 2" xfId="18467"/>
    <cellStyle name="40% - Accent2 2 2 7 4 2 2" xfId="47328"/>
    <cellStyle name="40% - Accent2 2 2 7 4 3" xfId="42916"/>
    <cellStyle name="40% - Accent2 2 2 7 5" xfId="15787"/>
    <cellStyle name="40% - Accent2 2 2 7 5 2" xfId="44648"/>
    <cellStyle name="40% - Accent2 2 2 7 6" xfId="30012"/>
    <cellStyle name="40% - Accent2 2 2 8" xfId="1356"/>
    <cellStyle name="40% - Accent2 2 2 8 2" xfId="4243"/>
    <cellStyle name="40% - Accent2 2 2 8 2 2" xfId="10284"/>
    <cellStyle name="40% - Accent2 2 2 8 2 2 2" xfId="27331"/>
    <cellStyle name="40% - Accent2 2 2 8 2 2 2 2" xfId="56192"/>
    <cellStyle name="40% - Accent2 2 2 8 2 2 3" xfId="39145"/>
    <cellStyle name="40% - Accent2 2 2 8 2 3" xfId="21353"/>
    <cellStyle name="40% - Accent2 2 2 8 2 3 2" xfId="50214"/>
    <cellStyle name="40% - Accent2 2 2 8 2 4" xfId="33104"/>
    <cellStyle name="40% - Accent2 2 2 8 3" xfId="7398"/>
    <cellStyle name="40% - Accent2 2 2 8 3 2" xfId="24445"/>
    <cellStyle name="40% - Accent2 2 2 8 3 2 2" xfId="53306"/>
    <cellStyle name="40% - Accent2 2 2 8 3 3" xfId="36259"/>
    <cellStyle name="40% - Accent2 2 2 8 4" xfId="14215"/>
    <cellStyle name="40% - Accent2 2 2 8 4 2" xfId="18673"/>
    <cellStyle name="40% - Accent2 2 2 8 4 2 2" xfId="47534"/>
    <cellStyle name="40% - Accent2 2 2 8 4 3" xfId="43076"/>
    <cellStyle name="40% - Accent2 2 2 8 5" xfId="15993"/>
    <cellStyle name="40% - Accent2 2 2 8 5 2" xfId="44854"/>
    <cellStyle name="40% - Accent2 2 2 8 6" xfId="30218"/>
    <cellStyle name="40% - Accent2 2 2 9" xfId="1562"/>
    <cellStyle name="40% - Accent2 2 2 9 2" xfId="4449"/>
    <cellStyle name="40% - Accent2 2 2 9 2 2" xfId="10490"/>
    <cellStyle name="40% - Accent2 2 2 9 2 2 2" xfId="27537"/>
    <cellStyle name="40% - Accent2 2 2 9 2 2 2 2" xfId="56398"/>
    <cellStyle name="40% - Accent2 2 2 9 2 2 3" xfId="39351"/>
    <cellStyle name="40% - Accent2 2 2 9 2 3" xfId="21559"/>
    <cellStyle name="40% - Accent2 2 2 9 2 3 2" xfId="50420"/>
    <cellStyle name="40% - Accent2 2 2 9 2 4" xfId="33310"/>
    <cellStyle name="40% - Accent2 2 2 9 3" xfId="7604"/>
    <cellStyle name="40% - Accent2 2 2 9 3 2" xfId="24651"/>
    <cellStyle name="40% - Accent2 2 2 9 3 2 2" xfId="53512"/>
    <cellStyle name="40% - Accent2 2 2 9 3 3" xfId="36465"/>
    <cellStyle name="40% - Accent2 2 2 9 4" xfId="13004"/>
    <cellStyle name="40% - Accent2 2 2 9 4 2" xfId="18879"/>
    <cellStyle name="40% - Accent2 2 2 9 4 2 2" xfId="47740"/>
    <cellStyle name="40% - Accent2 2 2 9 4 3" xfId="41865"/>
    <cellStyle name="40% - Accent2 2 2 9 5" xfId="16199"/>
    <cellStyle name="40% - Accent2 2 2 9 5 2" xfId="45060"/>
    <cellStyle name="40% - Accent2 2 2 9 6" xfId="30424"/>
    <cellStyle name="40% - Accent2 2 20" xfId="6136"/>
    <cellStyle name="40% - Accent2 2 20 2" xfId="23183"/>
    <cellStyle name="40% - Accent2 2 20 2 2" xfId="52044"/>
    <cellStyle name="40% - Accent2 2 20 3" xfId="34997"/>
    <cellStyle name="40% - Accent2 2 21" xfId="14525"/>
    <cellStyle name="40% - Accent2 2 21 2" xfId="43386"/>
    <cellStyle name="40% - Accent2 2 22" xfId="28956"/>
    <cellStyle name="40% - Accent2 2 3" xfId="146"/>
    <cellStyle name="40% - Accent2 2 3 10" xfId="1794"/>
    <cellStyle name="40% - Accent2 2 3 10 2" xfId="4681"/>
    <cellStyle name="40% - Accent2 2 3 10 2 2" xfId="10722"/>
    <cellStyle name="40% - Accent2 2 3 10 2 2 2" xfId="27769"/>
    <cellStyle name="40% - Accent2 2 3 10 2 2 2 2" xfId="56630"/>
    <cellStyle name="40% - Accent2 2 3 10 2 2 3" xfId="39583"/>
    <cellStyle name="40% - Accent2 2 3 10 2 3" xfId="21791"/>
    <cellStyle name="40% - Accent2 2 3 10 2 3 2" xfId="50652"/>
    <cellStyle name="40% - Accent2 2 3 10 2 4" xfId="33542"/>
    <cellStyle name="40% - Accent2 2 3 10 3" xfId="7836"/>
    <cellStyle name="40% - Accent2 2 3 10 3 2" xfId="24883"/>
    <cellStyle name="40% - Accent2 2 3 10 3 2 2" xfId="53744"/>
    <cellStyle name="40% - Accent2 2 3 10 3 3" xfId="36697"/>
    <cellStyle name="40% - Accent2 2 3 10 4" xfId="13664"/>
    <cellStyle name="40% - Accent2 2 3 10 4 2" xfId="19111"/>
    <cellStyle name="40% - Accent2 2 3 10 4 2 2" xfId="47972"/>
    <cellStyle name="40% - Accent2 2 3 10 4 3" xfId="42525"/>
    <cellStyle name="40% - Accent2 2 3 10 5" xfId="16431"/>
    <cellStyle name="40% - Accent2 2 3 10 5 2" xfId="45292"/>
    <cellStyle name="40% - Accent2 2 3 10 6" xfId="30656"/>
    <cellStyle name="40% - Accent2 2 3 11" xfId="2000"/>
    <cellStyle name="40% - Accent2 2 3 11 2" xfId="4887"/>
    <cellStyle name="40% - Accent2 2 3 11 2 2" xfId="10928"/>
    <cellStyle name="40% - Accent2 2 3 11 2 2 2" xfId="27975"/>
    <cellStyle name="40% - Accent2 2 3 11 2 2 2 2" xfId="56836"/>
    <cellStyle name="40% - Accent2 2 3 11 2 2 3" xfId="39789"/>
    <cellStyle name="40% - Accent2 2 3 11 2 3" xfId="21997"/>
    <cellStyle name="40% - Accent2 2 3 11 2 3 2" xfId="50858"/>
    <cellStyle name="40% - Accent2 2 3 11 2 4" xfId="33748"/>
    <cellStyle name="40% - Accent2 2 3 11 3" xfId="8042"/>
    <cellStyle name="40% - Accent2 2 3 11 3 2" xfId="25089"/>
    <cellStyle name="40% - Accent2 2 3 11 3 2 2" xfId="53950"/>
    <cellStyle name="40% - Accent2 2 3 11 3 3" xfId="36903"/>
    <cellStyle name="40% - Accent2 2 3 11 4" xfId="14117"/>
    <cellStyle name="40% - Accent2 2 3 11 4 2" xfId="19317"/>
    <cellStyle name="40% - Accent2 2 3 11 4 2 2" xfId="48178"/>
    <cellStyle name="40% - Accent2 2 3 11 4 3" xfId="42978"/>
    <cellStyle name="40% - Accent2 2 3 11 5" xfId="16637"/>
    <cellStyle name="40% - Accent2 2 3 11 5 2" xfId="45498"/>
    <cellStyle name="40% - Accent2 2 3 11 6" xfId="30862"/>
    <cellStyle name="40% - Accent2 2 3 12" xfId="2412"/>
    <cellStyle name="40% - Accent2 2 3 12 2" xfId="5299"/>
    <cellStyle name="40% - Accent2 2 3 12 2 2" xfId="11340"/>
    <cellStyle name="40% - Accent2 2 3 12 2 2 2" xfId="28387"/>
    <cellStyle name="40% - Accent2 2 3 12 2 2 2 2" xfId="57248"/>
    <cellStyle name="40% - Accent2 2 3 12 2 2 3" xfId="40201"/>
    <cellStyle name="40% - Accent2 2 3 12 2 3" xfId="22409"/>
    <cellStyle name="40% - Accent2 2 3 12 2 3 2" xfId="51270"/>
    <cellStyle name="40% - Accent2 2 3 12 2 4" xfId="34160"/>
    <cellStyle name="40% - Accent2 2 3 12 3" xfId="8454"/>
    <cellStyle name="40% - Accent2 2 3 12 3 2" xfId="25501"/>
    <cellStyle name="40% - Accent2 2 3 12 3 2 2" xfId="54362"/>
    <cellStyle name="40% - Accent2 2 3 12 3 3" xfId="37315"/>
    <cellStyle name="40% - Accent2 2 3 12 4" xfId="13215"/>
    <cellStyle name="40% - Accent2 2 3 12 4 2" xfId="19729"/>
    <cellStyle name="40% - Accent2 2 3 12 4 2 2" xfId="48590"/>
    <cellStyle name="40% - Accent2 2 3 12 4 3" xfId="42076"/>
    <cellStyle name="40% - Accent2 2 3 12 5" xfId="17049"/>
    <cellStyle name="40% - Accent2 2 3 12 5 2" xfId="45910"/>
    <cellStyle name="40% - Accent2 2 3 12 6" xfId="31274"/>
    <cellStyle name="40% - Accent2 2 3 13" xfId="2621"/>
    <cellStyle name="40% - Accent2 2 3 13 2" xfId="5507"/>
    <cellStyle name="40% - Accent2 2 3 13 2 2" xfId="11548"/>
    <cellStyle name="40% - Accent2 2 3 13 2 2 2" xfId="28595"/>
    <cellStyle name="40% - Accent2 2 3 13 2 2 2 2" xfId="57456"/>
    <cellStyle name="40% - Accent2 2 3 13 2 2 3" xfId="40409"/>
    <cellStyle name="40% - Accent2 2 3 13 2 3" xfId="22617"/>
    <cellStyle name="40% - Accent2 2 3 13 2 3 2" xfId="51478"/>
    <cellStyle name="40% - Accent2 2 3 13 2 4" xfId="34368"/>
    <cellStyle name="40% - Accent2 2 3 13 3" xfId="8662"/>
    <cellStyle name="40% - Accent2 2 3 13 3 2" xfId="25709"/>
    <cellStyle name="40% - Accent2 2 3 13 3 2 2" xfId="54570"/>
    <cellStyle name="40% - Accent2 2 3 13 3 3" xfId="37523"/>
    <cellStyle name="40% - Accent2 2 3 13 4" xfId="12547"/>
    <cellStyle name="40% - Accent2 2 3 13 4 2" xfId="19937"/>
    <cellStyle name="40% - Accent2 2 3 13 4 2 2" xfId="48798"/>
    <cellStyle name="40% - Accent2 2 3 13 4 3" xfId="41408"/>
    <cellStyle name="40% - Accent2 2 3 13 5" xfId="17257"/>
    <cellStyle name="40% - Accent2 2 3 13 5 2" xfId="46118"/>
    <cellStyle name="40% - Accent2 2 3 13 6" xfId="31482"/>
    <cellStyle name="40% - Accent2 2 3 14" xfId="3033"/>
    <cellStyle name="40% - Accent2 2 3 14 2" xfId="9074"/>
    <cellStyle name="40% - Accent2 2 3 14 2 2" xfId="26121"/>
    <cellStyle name="40% - Accent2 2 3 14 2 2 2" xfId="54982"/>
    <cellStyle name="40% - Accent2 2 3 14 2 3" xfId="37935"/>
    <cellStyle name="40% - Accent2 2 3 14 3" xfId="12056"/>
    <cellStyle name="40% - Accent2 2 3 14 3 2" xfId="20143"/>
    <cellStyle name="40% - Accent2 2 3 14 3 2 2" xfId="49004"/>
    <cellStyle name="40% - Accent2 2 3 14 3 3" xfId="40917"/>
    <cellStyle name="40% - Accent2 2 3 14 4" xfId="14783"/>
    <cellStyle name="40% - Accent2 2 3 14 4 2" xfId="43644"/>
    <cellStyle name="40% - Accent2 2 3 14 5" xfId="31894"/>
    <cellStyle name="40% - Accent2 2 3 15" xfId="2827"/>
    <cellStyle name="40% - Accent2 2 3 15 2" xfId="8868"/>
    <cellStyle name="40% - Accent2 2 3 15 2 2" xfId="25915"/>
    <cellStyle name="40% - Accent2 2 3 15 2 2 2" xfId="54776"/>
    <cellStyle name="40% - Accent2 2 3 15 2 3" xfId="37729"/>
    <cellStyle name="40% - Accent2 2 3 15 3" xfId="17463"/>
    <cellStyle name="40% - Accent2 2 3 15 3 2" xfId="46324"/>
    <cellStyle name="40% - Accent2 2 3 15 4" xfId="31688"/>
    <cellStyle name="40% - Accent2 2 3 16" xfId="5713"/>
    <cellStyle name="40% - Accent2 2 3 16 2" xfId="11754"/>
    <cellStyle name="40% - Accent2 2 3 16 2 2" xfId="28801"/>
    <cellStyle name="40% - Accent2 2 3 16 2 2 2" xfId="57662"/>
    <cellStyle name="40% - Accent2 2 3 16 2 3" xfId="40615"/>
    <cellStyle name="40% - Accent2 2 3 16 3" xfId="22823"/>
    <cellStyle name="40% - Accent2 2 3 16 3 2" xfId="51684"/>
    <cellStyle name="40% - Accent2 2 3 16 4" xfId="34574"/>
    <cellStyle name="40% - Accent2 2 3 17" xfId="5930"/>
    <cellStyle name="40% - Accent2 2 3 17 2" xfId="23029"/>
    <cellStyle name="40% - Accent2 2 3 17 2 2" xfId="51890"/>
    <cellStyle name="40% - Accent2 2 3 17 3" xfId="34791"/>
    <cellStyle name="40% - Accent2 2 3 18" xfId="6188"/>
    <cellStyle name="40% - Accent2 2 3 18 2" xfId="23235"/>
    <cellStyle name="40% - Accent2 2 3 18 2 2" xfId="52096"/>
    <cellStyle name="40% - Accent2 2 3 18 3" xfId="35049"/>
    <cellStyle name="40% - Accent2 2 3 19" xfId="14577"/>
    <cellStyle name="40% - Accent2 2 3 19 2" xfId="43438"/>
    <cellStyle name="40% - Accent2 2 3 2" xfId="352"/>
    <cellStyle name="40% - Accent2 2 3 2 10" xfId="2515"/>
    <cellStyle name="40% - Accent2 2 3 2 10 2" xfId="5402"/>
    <cellStyle name="40% - Accent2 2 3 2 10 2 2" xfId="11443"/>
    <cellStyle name="40% - Accent2 2 3 2 10 2 2 2" xfId="28490"/>
    <cellStyle name="40% - Accent2 2 3 2 10 2 2 2 2" xfId="57351"/>
    <cellStyle name="40% - Accent2 2 3 2 10 2 2 3" xfId="40304"/>
    <cellStyle name="40% - Accent2 2 3 2 10 2 3" xfId="22512"/>
    <cellStyle name="40% - Accent2 2 3 2 10 2 3 2" xfId="51373"/>
    <cellStyle name="40% - Accent2 2 3 2 10 2 4" xfId="34263"/>
    <cellStyle name="40% - Accent2 2 3 2 10 3" xfId="8557"/>
    <cellStyle name="40% - Accent2 2 3 2 10 3 2" xfId="25604"/>
    <cellStyle name="40% - Accent2 2 3 2 10 3 2 2" xfId="54465"/>
    <cellStyle name="40% - Accent2 2 3 2 10 3 3" xfId="37418"/>
    <cellStyle name="40% - Accent2 2 3 2 10 4" xfId="12985"/>
    <cellStyle name="40% - Accent2 2 3 2 10 4 2" xfId="19832"/>
    <cellStyle name="40% - Accent2 2 3 2 10 4 2 2" xfId="48693"/>
    <cellStyle name="40% - Accent2 2 3 2 10 4 3" xfId="41846"/>
    <cellStyle name="40% - Accent2 2 3 2 10 5" xfId="17152"/>
    <cellStyle name="40% - Accent2 2 3 2 10 5 2" xfId="46013"/>
    <cellStyle name="40% - Accent2 2 3 2 10 6" xfId="31377"/>
    <cellStyle name="40% - Accent2 2 3 2 11" xfId="2724"/>
    <cellStyle name="40% - Accent2 2 3 2 11 2" xfId="5610"/>
    <cellStyle name="40% - Accent2 2 3 2 11 2 2" xfId="11651"/>
    <cellStyle name="40% - Accent2 2 3 2 11 2 2 2" xfId="28698"/>
    <cellStyle name="40% - Accent2 2 3 2 11 2 2 2 2" xfId="57559"/>
    <cellStyle name="40% - Accent2 2 3 2 11 2 2 3" xfId="40512"/>
    <cellStyle name="40% - Accent2 2 3 2 11 2 3" xfId="22720"/>
    <cellStyle name="40% - Accent2 2 3 2 11 2 3 2" xfId="51581"/>
    <cellStyle name="40% - Accent2 2 3 2 11 2 4" xfId="34471"/>
    <cellStyle name="40% - Accent2 2 3 2 11 3" xfId="8765"/>
    <cellStyle name="40% - Accent2 2 3 2 11 3 2" xfId="25812"/>
    <cellStyle name="40% - Accent2 2 3 2 11 3 2 2" xfId="54673"/>
    <cellStyle name="40% - Accent2 2 3 2 11 3 3" xfId="37626"/>
    <cellStyle name="40% - Accent2 2 3 2 11 4" xfId="13644"/>
    <cellStyle name="40% - Accent2 2 3 2 11 4 2" xfId="20040"/>
    <cellStyle name="40% - Accent2 2 3 2 11 4 2 2" xfId="48901"/>
    <cellStyle name="40% - Accent2 2 3 2 11 4 3" xfId="42505"/>
    <cellStyle name="40% - Accent2 2 3 2 11 5" xfId="17360"/>
    <cellStyle name="40% - Accent2 2 3 2 11 5 2" xfId="46221"/>
    <cellStyle name="40% - Accent2 2 3 2 11 6" xfId="31585"/>
    <cellStyle name="40% - Accent2 2 3 2 12" xfId="3239"/>
    <cellStyle name="40% - Accent2 2 3 2 12 2" xfId="9280"/>
    <cellStyle name="40% - Accent2 2 3 2 12 2 2" xfId="26327"/>
    <cellStyle name="40% - Accent2 2 3 2 12 2 2 2" xfId="55188"/>
    <cellStyle name="40% - Accent2 2 3 2 12 2 3" xfId="38141"/>
    <cellStyle name="40% - Accent2 2 3 2 12 3" xfId="14098"/>
    <cellStyle name="40% - Accent2 2 3 2 12 3 2" xfId="20349"/>
    <cellStyle name="40% - Accent2 2 3 2 12 3 2 2" xfId="49210"/>
    <cellStyle name="40% - Accent2 2 3 2 12 3 3" xfId="42959"/>
    <cellStyle name="40% - Accent2 2 3 2 12 4" xfId="14989"/>
    <cellStyle name="40% - Accent2 2 3 2 12 4 2" xfId="43850"/>
    <cellStyle name="40% - Accent2 2 3 2 12 5" xfId="32100"/>
    <cellStyle name="40% - Accent2 2 3 2 13" xfId="2930"/>
    <cellStyle name="40% - Accent2 2 3 2 13 2" xfId="8971"/>
    <cellStyle name="40% - Accent2 2 3 2 13 2 2" xfId="26018"/>
    <cellStyle name="40% - Accent2 2 3 2 13 2 2 2" xfId="54879"/>
    <cellStyle name="40% - Accent2 2 3 2 13 2 3" xfId="37832"/>
    <cellStyle name="40% - Accent2 2 3 2 13 3" xfId="17566"/>
    <cellStyle name="40% - Accent2 2 3 2 13 3 2" xfId="46427"/>
    <cellStyle name="40% - Accent2 2 3 2 13 4" xfId="31791"/>
    <cellStyle name="40% - Accent2 2 3 2 14" xfId="5816"/>
    <cellStyle name="40% - Accent2 2 3 2 14 2" xfId="11857"/>
    <cellStyle name="40% - Accent2 2 3 2 14 2 2" xfId="28904"/>
    <cellStyle name="40% - Accent2 2 3 2 14 2 2 2" xfId="57765"/>
    <cellStyle name="40% - Accent2 2 3 2 14 2 3" xfId="40718"/>
    <cellStyle name="40% - Accent2 2 3 2 14 3" xfId="22926"/>
    <cellStyle name="40% - Accent2 2 3 2 14 3 2" xfId="51787"/>
    <cellStyle name="40% - Accent2 2 3 2 14 4" xfId="34677"/>
    <cellStyle name="40% - Accent2 2 3 2 15" xfId="6033"/>
    <cellStyle name="40% - Accent2 2 3 2 15 2" xfId="23132"/>
    <cellStyle name="40% - Accent2 2 3 2 15 2 2" xfId="51993"/>
    <cellStyle name="40% - Accent2 2 3 2 15 3" xfId="34894"/>
    <cellStyle name="40% - Accent2 2 3 2 16" xfId="6394"/>
    <cellStyle name="40% - Accent2 2 3 2 16 2" xfId="23441"/>
    <cellStyle name="40% - Accent2 2 3 2 16 2 2" xfId="52302"/>
    <cellStyle name="40% - Accent2 2 3 2 16 3" xfId="35255"/>
    <cellStyle name="40% - Accent2 2 3 2 17" xfId="14680"/>
    <cellStyle name="40% - Accent2 2 3 2 17 2" xfId="43541"/>
    <cellStyle name="40% - Accent2 2 3 2 18" xfId="29214"/>
    <cellStyle name="40% - Accent2 2 3 2 2" xfId="558"/>
    <cellStyle name="40% - Accent2 2 3 2 2 2" xfId="2309"/>
    <cellStyle name="40% - Accent2 2 3 2 2 2 2" xfId="5196"/>
    <cellStyle name="40% - Accent2 2 3 2 2 2 2 2" xfId="11237"/>
    <cellStyle name="40% - Accent2 2 3 2 2 2 2 2 2" xfId="28284"/>
    <cellStyle name="40% - Accent2 2 3 2 2 2 2 2 2 2" xfId="57145"/>
    <cellStyle name="40% - Accent2 2 3 2 2 2 2 2 3" xfId="40098"/>
    <cellStyle name="40% - Accent2 2 3 2 2 2 2 3" xfId="22306"/>
    <cellStyle name="40% - Accent2 2 3 2 2 2 2 3 2" xfId="51167"/>
    <cellStyle name="40% - Accent2 2 3 2 2 2 2 4" xfId="34057"/>
    <cellStyle name="40% - Accent2 2 3 2 2 2 3" xfId="8351"/>
    <cellStyle name="40% - Accent2 2 3 2 2 2 3 2" xfId="25398"/>
    <cellStyle name="40% - Accent2 2 3 2 2 2 3 2 2" xfId="54259"/>
    <cellStyle name="40% - Accent2 2 3 2 2 2 3 3" xfId="37212"/>
    <cellStyle name="40% - Accent2 2 3 2 2 2 4" xfId="12375"/>
    <cellStyle name="40% - Accent2 2 3 2 2 2 4 2" xfId="19626"/>
    <cellStyle name="40% - Accent2 2 3 2 2 2 4 2 2" xfId="48487"/>
    <cellStyle name="40% - Accent2 2 3 2 2 2 4 3" xfId="41236"/>
    <cellStyle name="40% - Accent2 2 3 2 2 2 5" xfId="16946"/>
    <cellStyle name="40% - Accent2 2 3 2 2 2 5 2" xfId="45807"/>
    <cellStyle name="40% - Accent2 2 3 2 2 2 6" xfId="31171"/>
    <cellStyle name="40% - Accent2 2 3 2 2 3" xfId="3445"/>
    <cellStyle name="40% - Accent2 2 3 2 2 3 2" xfId="9486"/>
    <cellStyle name="40% - Accent2 2 3 2 2 3 2 2" xfId="26533"/>
    <cellStyle name="40% - Accent2 2 3 2 2 3 2 2 2" xfId="55394"/>
    <cellStyle name="40% - Accent2 2 3 2 2 3 2 3" xfId="38347"/>
    <cellStyle name="40% - Accent2 2 3 2 2 3 3" xfId="20555"/>
    <cellStyle name="40% - Accent2 2 3 2 2 3 3 2" xfId="49416"/>
    <cellStyle name="40% - Accent2 2 3 2 2 3 4" xfId="32306"/>
    <cellStyle name="40% - Accent2 2 3 2 2 4" xfId="6600"/>
    <cellStyle name="40% - Accent2 2 3 2 2 4 2" xfId="23647"/>
    <cellStyle name="40% - Accent2 2 3 2 2 4 2 2" xfId="52508"/>
    <cellStyle name="40% - Accent2 2 3 2 2 4 3" xfId="35461"/>
    <cellStyle name="40% - Accent2 2 3 2 2 5" xfId="11962"/>
    <cellStyle name="40% - Accent2 2 3 2 2 5 2" xfId="17875"/>
    <cellStyle name="40% - Accent2 2 3 2 2 5 2 2" xfId="46736"/>
    <cellStyle name="40% - Accent2 2 3 2 2 5 3" xfId="40823"/>
    <cellStyle name="40% - Accent2 2 3 2 2 6" xfId="15195"/>
    <cellStyle name="40% - Accent2 2 3 2 2 6 2" xfId="44056"/>
    <cellStyle name="40% - Accent2 2 3 2 2 7" xfId="29420"/>
    <cellStyle name="40% - Accent2 2 3 2 3" xfId="867"/>
    <cellStyle name="40% - Accent2 2 3 2 3 2" xfId="3754"/>
    <cellStyle name="40% - Accent2 2 3 2 3 2 2" xfId="9795"/>
    <cellStyle name="40% - Accent2 2 3 2 3 2 2 2" xfId="26842"/>
    <cellStyle name="40% - Accent2 2 3 2 3 2 2 2 2" xfId="55703"/>
    <cellStyle name="40% - Accent2 2 3 2 3 2 2 3" xfId="38656"/>
    <cellStyle name="40% - Accent2 2 3 2 3 2 3" xfId="20864"/>
    <cellStyle name="40% - Accent2 2 3 2 3 2 3 2" xfId="49725"/>
    <cellStyle name="40% - Accent2 2 3 2 3 2 4" xfId="32615"/>
    <cellStyle name="40% - Accent2 2 3 2 3 3" xfId="6909"/>
    <cellStyle name="40% - Accent2 2 3 2 3 3 2" xfId="23956"/>
    <cellStyle name="40% - Accent2 2 3 2 3 3 2 2" xfId="52817"/>
    <cellStyle name="40% - Accent2 2 3 2 3 3 3" xfId="35770"/>
    <cellStyle name="40% - Accent2 2 3 2 3 4" xfId="12725"/>
    <cellStyle name="40% - Accent2 2 3 2 3 4 2" xfId="18184"/>
    <cellStyle name="40% - Accent2 2 3 2 3 4 2 2" xfId="47045"/>
    <cellStyle name="40% - Accent2 2 3 2 3 4 3" xfId="41586"/>
    <cellStyle name="40% - Accent2 2 3 2 3 5" xfId="15504"/>
    <cellStyle name="40% - Accent2 2 3 2 3 5 2" xfId="44365"/>
    <cellStyle name="40% - Accent2 2 3 2 3 6" xfId="29729"/>
    <cellStyle name="40% - Accent2 2 3 2 4" xfId="1073"/>
    <cellStyle name="40% - Accent2 2 3 2 4 2" xfId="3960"/>
    <cellStyle name="40% - Accent2 2 3 2 4 2 2" xfId="10001"/>
    <cellStyle name="40% - Accent2 2 3 2 4 2 2 2" xfId="27048"/>
    <cellStyle name="40% - Accent2 2 3 2 4 2 2 2 2" xfId="55909"/>
    <cellStyle name="40% - Accent2 2 3 2 4 2 2 3" xfId="38862"/>
    <cellStyle name="40% - Accent2 2 3 2 4 2 3" xfId="21070"/>
    <cellStyle name="40% - Accent2 2 3 2 4 2 3 2" xfId="49931"/>
    <cellStyle name="40% - Accent2 2 3 2 4 2 4" xfId="32821"/>
    <cellStyle name="40% - Accent2 2 3 2 4 3" xfId="7115"/>
    <cellStyle name="40% - Accent2 2 3 2 4 3 2" xfId="24162"/>
    <cellStyle name="40% - Accent2 2 3 2 4 3 2 2" xfId="53023"/>
    <cellStyle name="40% - Accent2 2 3 2 4 3 3" xfId="35976"/>
    <cellStyle name="40% - Accent2 2 3 2 4 4" xfId="13235"/>
    <cellStyle name="40% - Accent2 2 3 2 4 4 2" xfId="18390"/>
    <cellStyle name="40% - Accent2 2 3 2 4 4 2 2" xfId="47251"/>
    <cellStyle name="40% - Accent2 2 3 2 4 4 3" xfId="42096"/>
    <cellStyle name="40% - Accent2 2 3 2 4 5" xfId="15710"/>
    <cellStyle name="40% - Accent2 2 3 2 4 5 2" xfId="44571"/>
    <cellStyle name="40% - Accent2 2 3 2 4 6" xfId="29935"/>
    <cellStyle name="40% - Accent2 2 3 2 5" xfId="1279"/>
    <cellStyle name="40% - Accent2 2 3 2 5 2" xfId="4166"/>
    <cellStyle name="40% - Accent2 2 3 2 5 2 2" xfId="10207"/>
    <cellStyle name="40% - Accent2 2 3 2 5 2 2 2" xfId="27254"/>
    <cellStyle name="40% - Accent2 2 3 2 5 2 2 2 2" xfId="56115"/>
    <cellStyle name="40% - Accent2 2 3 2 5 2 2 3" xfId="39068"/>
    <cellStyle name="40% - Accent2 2 3 2 5 2 3" xfId="21276"/>
    <cellStyle name="40% - Accent2 2 3 2 5 2 3 2" xfId="50137"/>
    <cellStyle name="40% - Accent2 2 3 2 5 2 4" xfId="33027"/>
    <cellStyle name="40% - Accent2 2 3 2 5 3" xfId="7321"/>
    <cellStyle name="40% - Accent2 2 3 2 5 3 2" xfId="24368"/>
    <cellStyle name="40% - Accent2 2 3 2 5 3 2 2" xfId="53229"/>
    <cellStyle name="40% - Accent2 2 3 2 5 3 3" xfId="36182"/>
    <cellStyle name="40% - Accent2 2 3 2 5 4" xfId="11919"/>
    <cellStyle name="40% - Accent2 2 3 2 5 4 2" xfId="18596"/>
    <cellStyle name="40% - Accent2 2 3 2 5 4 2 2" xfId="47457"/>
    <cellStyle name="40% - Accent2 2 3 2 5 4 3" xfId="40780"/>
    <cellStyle name="40% - Accent2 2 3 2 5 5" xfId="15916"/>
    <cellStyle name="40% - Accent2 2 3 2 5 5 2" xfId="44777"/>
    <cellStyle name="40% - Accent2 2 3 2 5 6" xfId="30141"/>
    <cellStyle name="40% - Accent2 2 3 2 6" xfId="1485"/>
    <cellStyle name="40% - Accent2 2 3 2 6 2" xfId="4372"/>
    <cellStyle name="40% - Accent2 2 3 2 6 2 2" xfId="10413"/>
    <cellStyle name="40% - Accent2 2 3 2 6 2 2 2" xfId="27460"/>
    <cellStyle name="40% - Accent2 2 3 2 6 2 2 2 2" xfId="56321"/>
    <cellStyle name="40% - Accent2 2 3 2 6 2 2 3" xfId="39274"/>
    <cellStyle name="40% - Accent2 2 3 2 6 2 3" xfId="21482"/>
    <cellStyle name="40% - Accent2 2 3 2 6 2 3 2" xfId="50343"/>
    <cellStyle name="40% - Accent2 2 3 2 6 2 4" xfId="33233"/>
    <cellStyle name="40% - Accent2 2 3 2 6 3" xfId="7527"/>
    <cellStyle name="40% - Accent2 2 3 2 6 3 2" xfId="24574"/>
    <cellStyle name="40% - Accent2 2 3 2 6 3 2 2" xfId="53435"/>
    <cellStyle name="40% - Accent2 2 3 2 6 3 3" xfId="36388"/>
    <cellStyle name="40% - Accent2 2 3 2 6 4" xfId="12696"/>
    <cellStyle name="40% - Accent2 2 3 2 6 4 2" xfId="18802"/>
    <cellStyle name="40% - Accent2 2 3 2 6 4 2 2" xfId="47663"/>
    <cellStyle name="40% - Accent2 2 3 2 6 4 3" xfId="41557"/>
    <cellStyle name="40% - Accent2 2 3 2 6 5" xfId="16122"/>
    <cellStyle name="40% - Accent2 2 3 2 6 5 2" xfId="44983"/>
    <cellStyle name="40% - Accent2 2 3 2 6 6" xfId="30347"/>
    <cellStyle name="40% - Accent2 2 3 2 7" xfId="1691"/>
    <cellStyle name="40% - Accent2 2 3 2 7 2" xfId="4578"/>
    <cellStyle name="40% - Accent2 2 3 2 7 2 2" xfId="10619"/>
    <cellStyle name="40% - Accent2 2 3 2 7 2 2 2" xfId="27666"/>
    <cellStyle name="40% - Accent2 2 3 2 7 2 2 2 2" xfId="56527"/>
    <cellStyle name="40% - Accent2 2 3 2 7 2 2 3" xfId="39480"/>
    <cellStyle name="40% - Accent2 2 3 2 7 2 3" xfId="21688"/>
    <cellStyle name="40% - Accent2 2 3 2 7 2 3 2" xfId="50549"/>
    <cellStyle name="40% - Accent2 2 3 2 7 2 4" xfId="33439"/>
    <cellStyle name="40% - Accent2 2 3 2 7 3" xfId="7733"/>
    <cellStyle name="40% - Accent2 2 3 2 7 3 2" xfId="24780"/>
    <cellStyle name="40% - Accent2 2 3 2 7 3 2 2" xfId="53641"/>
    <cellStyle name="40% - Accent2 2 3 2 7 3 3" xfId="36594"/>
    <cellStyle name="40% - Accent2 2 3 2 7 4" xfId="14184"/>
    <cellStyle name="40% - Accent2 2 3 2 7 4 2" xfId="19008"/>
    <cellStyle name="40% - Accent2 2 3 2 7 4 2 2" xfId="47869"/>
    <cellStyle name="40% - Accent2 2 3 2 7 4 3" xfId="43045"/>
    <cellStyle name="40% - Accent2 2 3 2 7 5" xfId="16328"/>
    <cellStyle name="40% - Accent2 2 3 2 7 5 2" xfId="45189"/>
    <cellStyle name="40% - Accent2 2 3 2 7 6" xfId="30553"/>
    <cellStyle name="40% - Accent2 2 3 2 8" xfId="1897"/>
    <cellStyle name="40% - Accent2 2 3 2 8 2" xfId="4784"/>
    <cellStyle name="40% - Accent2 2 3 2 8 2 2" xfId="10825"/>
    <cellStyle name="40% - Accent2 2 3 2 8 2 2 2" xfId="27872"/>
    <cellStyle name="40% - Accent2 2 3 2 8 2 2 2 2" xfId="56733"/>
    <cellStyle name="40% - Accent2 2 3 2 8 2 2 3" xfId="39686"/>
    <cellStyle name="40% - Accent2 2 3 2 8 2 3" xfId="21894"/>
    <cellStyle name="40% - Accent2 2 3 2 8 2 3 2" xfId="50755"/>
    <cellStyle name="40% - Accent2 2 3 2 8 2 4" xfId="33645"/>
    <cellStyle name="40% - Accent2 2 3 2 8 3" xfId="7939"/>
    <cellStyle name="40% - Accent2 2 3 2 8 3 2" xfId="24986"/>
    <cellStyle name="40% - Accent2 2 3 2 8 3 2 2" xfId="53847"/>
    <cellStyle name="40% - Accent2 2 3 2 8 3 3" xfId="36800"/>
    <cellStyle name="40% - Accent2 2 3 2 8 4" xfId="12908"/>
    <cellStyle name="40% - Accent2 2 3 2 8 4 2" xfId="19214"/>
    <cellStyle name="40% - Accent2 2 3 2 8 4 2 2" xfId="48075"/>
    <cellStyle name="40% - Accent2 2 3 2 8 4 3" xfId="41769"/>
    <cellStyle name="40% - Accent2 2 3 2 8 5" xfId="16534"/>
    <cellStyle name="40% - Accent2 2 3 2 8 5 2" xfId="45395"/>
    <cellStyle name="40% - Accent2 2 3 2 8 6" xfId="30759"/>
    <cellStyle name="40% - Accent2 2 3 2 9" xfId="2103"/>
    <cellStyle name="40% - Accent2 2 3 2 9 2" xfId="4990"/>
    <cellStyle name="40% - Accent2 2 3 2 9 2 2" xfId="11031"/>
    <cellStyle name="40% - Accent2 2 3 2 9 2 2 2" xfId="28078"/>
    <cellStyle name="40% - Accent2 2 3 2 9 2 2 2 2" xfId="56939"/>
    <cellStyle name="40% - Accent2 2 3 2 9 2 2 3" xfId="39892"/>
    <cellStyle name="40% - Accent2 2 3 2 9 2 3" xfId="22100"/>
    <cellStyle name="40% - Accent2 2 3 2 9 2 3 2" xfId="50961"/>
    <cellStyle name="40% - Accent2 2 3 2 9 2 4" xfId="33851"/>
    <cellStyle name="40% - Accent2 2 3 2 9 3" xfId="8145"/>
    <cellStyle name="40% - Accent2 2 3 2 9 3 2" xfId="25192"/>
    <cellStyle name="40% - Accent2 2 3 2 9 3 2 2" xfId="54053"/>
    <cellStyle name="40% - Accent2 2 3 2 9 3 3" xfId="37006"/>
    <cellStyle name="40% - Accent2 2 3 2 9 4" xfId="14048"/>
    <cellStyle name="40% - Accent2 2 3 2 9 4 2" xfId="19420"/>
    <cellStyle name="40% - Accent2 2 3 2 9 4 2 2" xfId="48281"/>
    <cellStyle name="40% - Accent2 2 3 2 9 4 3" xfId="42909"/>
    <cellStyle name="40% - Accent2 2 3 2 9 5" xfId="16740"/>
    <cellStyle name="40% - Accent2 2 3 2 9 5 2" xfId="45601"/>
    <cellStyle name="40% - Accent2 2 3 2 9 6" xfId="30965"/>
    <cellStyle name="40% - Accent2 2 3 20" xfId="29008"/>
    <cellStyle name="40% - Accent2 2 3 3" xfId="249"/>
    <cellStyle name="40% - Accent2 2 3 3 2" xfId="661"/>
    <cellStyle name="40% - Accent2 2 3 3 2 2" xfId="3548"/>
    <cellStyle name="40% - Accent2 2 3 3 2 2 2" xfId="9589"/>
    <cellStyle name="40% - Accent2 2 3 3 2 2 2 2" xfId="26636"/>
    <cellStyle name="40% - Accent2 2 3 3 2 2 2 2 2" xfId="55497"/>
    <cellStyle name="40% - Accent2 2 3 3 2 2 2 3" xfId="38450"/>
    <cellStyle name="40% - Accent2 2 3 3 2 2 3" xfId="20658"/>
    <cellStyle name="40% - Accent2 2 3 3 2 2 3 2" xfId="49519"/>
    <cellStyle name="40% - Accent2 2 3 3 2 2 4" xfId="32409"/>
    <cellStyle name="40% - Accent2 2 3 3 2 3" xfId="6703"/>
    <cellStyle name="40% - Accent2 2 3 3 2 3 2" xfId="23750"/>
    <cellStyle name="40% - Accent2 2 3 3 2 3 2 2" xfId="52611"/>
    <cellStyle name="40% - Accent2 2 3 3 2 3 3" xfId="35564"/>
    <cellStyle name="40% - Accent2 2 3 3 2 4" xfId="12746"/>
    <cellStyle name="40% - Accent2 2 3 3 2 4 2" xfId="17978"/>
    <cellStyle name="40% - Accent2 2 3 3 2 4 2 2" xfId="46839"/>
    <cellStyle name="40% - Accent2 2 3 3 2 4 3" xfId="41607"/>
    <cellStyle name="40% - Accent2 2 3 3 2 5" xfId="15298"/>
    <cellStyle name="40% - Accent2 2 3 3 2 5 2" xfId="44159"/>
    <cellStyle name="40% - Accent2 2 3 3 2 6" xfId="29523"/>
    <cellStyle name="40% - Accent2 2 3 3 3" xfId="2206"/>
    <cellStyle name="40% - Accent2 2 3 3 3 2" xfId="5093"/>
    <cellStyle name="40% - Accent2 2 3 3 3 2 2" xfId="11134"/>
    <cellStyle name="40% - Accent2 2 3 3 3 2 2 2" xfId="28181"/>
    <cellStyle name="40% - Accent2 2 3 3 3 2 2 2 2" xfId="57042"/>
    <cellStyle name="40% - Accent2 2 3 3 3 2 2 3" xfId="39995"/>
    <cellStyle name="40% - Accent2 2 3 3 3 2 3" xfId="22203"/>
    <cellStyle name="40% - Accent2 2 3 3 3 2 3 2" xfId="51064"/>
    <cellStyle name="40% - Accent2 2 3 3 3 2 4" xfId="33954"/>
    <cellStyle name="40% - Accent2 2 3 3 3 3" xfId="8248"/>
    <cellStyle name="40% - Accent2 2 3 3 3 3 2" xfId="25295"/>
    <cellStyle name="40% - Accent2 2 3 3 3 3 2 2" xfId="54156"/>
    <cellStyle name="40% - Accent2 2 3 3 3 3 3" xfId="37109"/>
    <cellStyle name="40% - Accent2 2 3 3 3 4" xfId="12816"/>
    <cellStyle name="40% - Accent2 2 3 3 3 4 2" xfId="19523"/>
    <cellStyle name="40% - Accent2 2 3 3 3 4 2 2" xfId="48384"/>
    <cellStyle name="40% - Accent2 2 3 3 3 4 3" xfId="41677"/>
    <cellStyle name="40% - Accent2 2 3 3 3 5" xfId="16843"/>
    <cellStyle name="40% - Accent2 2 3 3 3 5 2" xfId="45704"/>
    <cellStyle name="40% - Accent2 2 3 3 3 6" xfId="31068"/>
    <cellStyle name="40% - Accent2 2 3 3 4" xfId="3136"/>
    <cellStyle name="40% - Accent2 2 3 3 4 2" xfId="9177"/>
    <cellStyle name="40% - Accent2 2 3 3 4 2 2" xfId="26224"/>
    <cellStyle name="40% - Accent2 2 3 3 4 2 2 2" xfId="55085"/>
    <cellStyle name="40% - Accent2 2 3 3 4 2 3" xfId="38038"/>
    <cellStyle name="40% - Accent2 2 3 3 4 3" xfId="20246"/>
    <cellStyle name="40% - Accent2 2 3 3 4 3 2" xfId="49107"/>
    <cellStyle name="40% - Accent2 2 3 3 4 4" xfId="31997"/>
    <cellStyle name="40% - Accent2 2 3 3 5" xfId="6291"/>
    <cellStyle name="40% - Accent2 2 3 3 5 2" xfId="23338"/>
    <cellStyle name="40% - Accent2 2 3 3 5 2 2" xfId="52199"/>
    <cellStyle name="40% - Accent2 2 3 3 5 3" xfId="35152"/>
    <cellStyle name="40% - Accent2 2 3 3 6" xfId="6077"/>
    <cellStyle name="40% - Accent2 2 3 3 6 2" xfId="17669"/>
    <cellStyle name="40% - Accent2 2 3 3 6 2 2" xfId="46530"/>
    <cellStyle name="40% - Accent2 2 3 3 6 3" xfId="34938"/>
    <cellStyle name="40% - Accent2 2 3 3 7" xfId="14886"/>
    <cellStyle name="40% - Accent2 2 3 3 7 2" xfId="43747"/>
    <cellStyle name="40% - Accent2 2 3 3 8" xfId="29111"/>
    <cellStyle name="40% - Accent2 2 3 4" xfId="455"/>
    <cellStyle name="40% - Accent2 2 3 4 2" xfId="3342"/>
    <cellStyle name="40% - Accent2 2 3 4 2 2" xfId="9383"/>
    <cellStyle name="40% - Accent2 2 3 4 2 2 2" xfId="26430"/>
    <cellStyle name="40% - Accent2 2 3 4 2 2 2 2" xfId="55291"/>
    <cellStyle name="40% - Accent2 2 3 4 2 2 3" xfId="38244"/>
    <cellStyle name="40% - Accent2 2 3 4 2 3" xfId="20452"/>
    <cellStyle name="40% - Accent2 2 3 4 2 3 2" xfId="49313"/>
    <cellStyle name="40% - Accent2 2 3 4 2 4" xfId="32203"/>
    <cellStyle name="40% - Accent2 2 3 4 3" xfId="6497"/>
    <cellStyle name="40% - Accent2 2 3 4 3 2" xfId="23544"/>
    <cellStyle name="40% - Accent2 2 3 4 3 2 2" xfId="52405"/>
    <cellStyle name="40% - Accent2 2 3 4 3 3" xfId="35358"/>
    <cellStyle name="40% - Accent2 2 3 4 4" xfId="14298"/>
    <cellStyle name="40% - Accent2 2 3 4 4 2" xfId="17772"/>
    <cellStyle name="40% - Accent2 2 3 4 4 2 2" xfId="46633"/>
    <cellStyle name="40% - Accent2 2 3 4 4 3" xfId="43159"/>
    <cellStyle name="40% - Accent2 2 3 4 5" xfId="15092"/>
    <cellStyle name="40% - Accent2 2 3 4 5 2" xfId="43953"/>
    <cellStyle name="40% - Accent2 2 3 4 6" xfId="29317"/>
    <cellStyle name="40% - Accent2 2 3 5" xfId="764"/>
    <cellStyle name="40% - Accent2 2 3 5 2" xfId="3651"/>
    <cellStyle name="40% - Accent2 2 3 5 2 2" xfId="9692"/>
    <cellStyle name="40% - Accent2 2 3 5 2 2 2" xfId="26739"/>
    <cellStyle name="40% - Accent2 2 3 5 2 2 2 2" xfId="55600"/>
    <cellStyle name="40% - Accent2 2 3 5 2 2 3" xfId="38553"/>
    <cellStyle name="40% - Accent2 2 3 5 2 3" xfId="20761"/>
    <cellStyle name="40% - Accent2 2 3 5 2 3 2" xfId="49622"/>
    <cellStyle name="40% - Accent2 2 3 5 2 4" xfId="32512"/>
    <cellStyle name="40% - Accent2 2 3 5 3" xfId="6806"/>
    <cellStyle name="40% - Accent2 2 3 5 3 2" xfId="23853"/>
    <cellStyle name="40% - Accent2 2 3 5 3 2 2" xfId="52714"/>
    <cellStyle name="40% - Accent2 2 3 5 3 3" xfId="35667"/>
    <cellStyle name="40% - Accent2 2 3 5 4" xfId="12057"/>
    <cellStyle name="40% - Accent2 2 3 5 4 2" xfId="18081"/>
    <cellStyle name="40% - Accent2 2 3 5 4 2 2" xfId="46942"/>
    <cellStyle name="40% - Accent2 2 3 5 4 3" xfId="40918"/>
    <cellStyle name="40% - Accent2 2 3 5 5" xfId="15401"/>
    <cellStyle name="40% - Accent2 2 3 5 5 2" xfId="44262"/>
    <cellStyle name="40% - Accent2 2 3 5 6" xfId="29626"/>
    <cellStyle name="40% - Accent2 2 3 6" xfId="970"/>
    <cellStyle name="40% - Accent2 2 3 6 2" xfId="3857"/>
    <cellStyle name="40% - Accent2 2 3 6 2 2" xfId="9898"/>
    <cellStyle name="40% - Accent2 2 3 6 2 2 2" xfId="26945"/>
    <cellStyle name="40% - Accent2 2 3 6 2 2 2 2" xfId="55806"/>
    <cellStyle name="40% - Accent2 2 3 6 2 2 3" xfId="38759"/>
    <cellStyle name="40% - Accent2 2 3 6 2 3" xfId="20967"/>
    <cellStyle name="40% - Accent2 2 3 6 2 3 2" xfId="49828"/>
    <cellStyle name="40% - Accent2 2 3 6 2 4" xfId="32718"/>
    <cellStyle name="40% - Accent2 2 3 6 3" xfId="7012"/>
    <cellStyle name="40% - Accent2 2 3 6 3 2" xfId="24059"/>
    <cellStyle name="40% - Accent2 2 3 6 3 2 2" xfId="52920"/>
    <cellStyle name="40% - Accent2 2 3 6 3 3" xfId="35873"/>
    <cellStyle name="40% - Accent2 2 3 6 4" xfId="12704"/>
    <cellStyle name="40% - Accent2 2 3 6 4 2" xfId="18287"/>
    <cellStyle name="40% - Accent2 2 3 6 4 2 2" xfId="47148"/>
    <cellStyle name="40% - Accent2 2 3 6 4 3" xfId="41565"/>
    <cellStyle name="40% - Accent2 2 3 6 5" xfId="15607"/>
    <cellStyle name="40% - Accent2 2 3 6 5 2" xfId="44468"/>
    <cellStyle name="40% - Accent2 2 3 6 6" xfId="29832"/>
    <cellStyle name="40% - Accent2 2 3 7" xfId="1176"/>
    <cellStyle name="40% - Accent2 2 3 7 2" xfId="4063"/>
    <cellStyle name="40% - Accent2 2 3 7 2 2" xfId="10104"/>
    <cellStyle name="40% - Accent2 2 3 7 2 2 2" xfId="27151"/>
    <cellStyle name="40% - Accent2 2 3 7 2 2 2 2" xfId="56012"/>
    <cellStyle name="40% - Accent2 2 3 7 2 2 3" xfId="38965"/>
    <cellStyle name="40% - Accent2 2 3 7 2 3" xfId="21173"/>
    <cellStyle name="40% - Accent2 2 3 7 2 3 2" xfId="50034"/>
    <cellStyle name="40% - Accent2 2 3 7 2 4" xfId="32924"/>
    <cellStyle name="40% - Accent2 2 3 7 3" xfId="7218"/>
    <cellStyle name="40% - Accent2 2 3 7 3 2" xfId="24265"/>
    <cellStyle name="40% - Accent2 2 3 7 3 2 2" xfId="53126"/>
    <cellStyle name="40% - Accent2 2 3 7 3 3" xfId="36079"/>
    <cellStyle name="40% - Accent2 2 3 7 4" xfId="14309"/>
    <cellStyle name="40% - Accent2 2 3 7 4 2" xfId="18493"/>
    <cellStyle name="40% - Accent2 2 3 7 4 2 2" xfId="47354"/>
    <cellStyle name="40% - Accent2 2 3 7 4 3" xfId="43170"/>
    <cellStyle name="40% - Accent2 2 3 7 5" xfId="15813"/>
    <cellStyle name="40% - Accent2 2 3 7 5 2" xfId="44674"/>
    <cellStyle name="40% - Accent2 2 3 7 6" xfId="30038"/>
    <cellStyle name="40% - Accent2 2 3 8" xfId="1382"/>
    <cellStyle name="40% - Accent2 2 3 8 2" xfId="4269"/>
    <cellStyle name="40% - Accent2 2 3 8 2 2" xfId="10310"/>
    <cellStyle name="40% - Accent2 2 3 8 2 2 2" xfId="27357"/>
    <cellStyle name="40% - Accent2 2 3 8 2 2 2 2" xfId="56218"/>
    <cellStyle name="40% - Accent2 2 3 8 2 2 3" xfId="39171"/>
    <cellStyle name="40% - Accent2 2 3 8 2 3" xfId="21379"/>
    <cellStyle name="40% - Accent2 2 3 8 2 3 2" xfId="50240"/>
    <cellStyle name="40% - Accent2 2 3 8 2 4" xfId="33130"/>
    <cellStyle name="40% - Accent2 2 3 8 3" xfId="7424"/>
    <cellStyle name="40% - Accent2 2 3 8 3 2" xfId="24471"/>
    <cellStyle name="40% - Accent2 2 3 8 3 2 2" xfId="53332"/>
    <cellStyle name="40% - Accent2 2 3 8 3 3" xfId="36285"/>
    <cellStyle name="40% - Accent2 2 3 8 4" xfId="14446"/>
    <cellStyle name="40% - Accent2 2 3 8 4 2" xfId="18699"/>
    <cellStyle name="40% - Accent2 2 3 8 4 2 2" xfId="47560"/>
    <cellStyle name="40% - Accent2 2 3 8 4 3" xfId="43307"/>
    <cellStyle name="40% - Accent2 2 3 8 5" xfId="16019"/>
    <cellStyle name="40% - Accent2 2 3 8 5 2" xfId="44880"/>
    <cellStyle name="40% - Accent2 2 3 8 6" xfId="30244"/>
    <cellStyle name="40% - Accent2 2 3 9" xfId="1588"/>
    <cellStyle name="40% - Accent2 2 3 9 2" xfId="4475"/>
    <cellStyle name="40% - Accent2 2 3 9 2 2" xfId="10516"/>
    <cellStyle name="40% - Accent2 2 3 9 2 2 2" xfId="27563"/>
    <cellStyle name="40% - Accent2 2 3 9 2 2 2 2" xfId="56424"/>
    <cellStyle name="40% - Accent2 2 3 9 2 2 3" xfId="39377"/>
    <cellStyle name="40% - Accent2 2 3 9 2 3" xfId="21585"/>
    <cellStyle name="40% - Accent2 2 3 9 2 3 2" xfId="50446"/>
    <cellStyle name="40% - Accent2 2 3 9 2 4" xfId="33336"/>
    <cellStyle name="40% - Accent2 2 3 9 3" xfId="7630"/>
    <cellStyle name="40% - Accent2 2 3 9 3 2" xfId="24677"/>
    <cellStyle name="40% - Accent2 2 3 9 3 2 2" xfId="53538"/>
    <cellStyle name="40% - Accent2 2 3 9 3 3" xfId="36491"/>
    <cellStyle name="40% - Accent2 2 3 9 4" xfId="13544"/>
    <cellStyle name="40% - Accent2 2 3 9 4 2" xfId="18905"/>
    <cellStyle name="40% - Accent2 2 3 9 4 2 2" xfId="47766"/>
    <cellStyle name="40% - Accent2 2 3 9 4 3" xfId="42405"/>
    <cellStyle name="40% - Accent2 2 3 9 5" xfId="16225"/>
    <cellStyle name="40% - Accent2 2 3 9 5 2" xfId="45086"/>
    <cellStyle name="40% - Accent2 2 3 9 6" xfId="30450"/>
    <cellStyle name="40% - Accent2 2 4" xfId="300"/>
    <cellStyle name="40% - Accent2 2 4 10" xfId="2463"/>
    <cellStyle name="40% - Accent2 2 4 10 2" xfId="5350"/>
    <cellStyle name="40% - Accent2 2 4 10 2 2" xfId="11391"/>
    <cellStyle name="40% - Accent2 2 4 10 2 2 2" xfId="28438"/>
    <cellStyle name="40% - Accent2 2 4 10 2 2 2 2" xfId="57299"/>
    <cellStyle name="40% - Accent2 2 4 10 2 2 3" xfId="40252"/>
    <cellStyle name="40% - Accent2 2 4 10 2 3" xfId="22460"/>
    <cellStyle name="40% - Accent2 2 4 10 2 3 2" xfId="51321"/>
    <cellStyle name="40% - Accent2 2 4 10 2 4" xfId="34211"/>
    <cellStyle name="40% - Accent2 2 4 10 3" xfId="8505"/>
    <cellStyle name="40% - Accent2 2 4 10 3 2" xfId="25552"/>
    <cellStyle name="40% - Accent2 2 4 10 3 2 2" xfId="54413"/>
    <cellStyle name="40% - Accent2 2 4 10 3 3" xfId="37366"/>
    <cellStyle name="40% - Accent2 2 4 10 4" xfId="13972"/>
    <cellStyle name="40% - Accent2 2 4 10 4 2" xfId="19780"/>
    <cellStyle name="40% - Accent2 2 4 10 4 2 2" xfId="48641"/>
    <cellStyle name="40% - Accent2 2 4 10 4 3" xfId="42833"/>
    <cellStyle name="40% - Accent2 2 4 10 5" xfId="17100"/>
    <cellStyle name="40% - Accent2 2 4 10 5 2" xfId="45961"/>
    <cellStyle name="40% - Accent2 2 4 10 6" xfId="31325"/>
    <cellStyle name="40% - Accent2 2 4 11" xfId="2672"/>
    <cellStyle name="40% - Accent2 2 4 11 2" xfId="5558"/>
    <cellStyle name="40% - Accent2 2 4 11 2 2" xfId="11599"/>
    <cellStyle name="40% - Accent2 2 4 11 2 2 2" xfId="28646"/>
    <cellStyle name="40% - Accent2 2 4 11 2 2 2 2" xfId="57507"/>
    <cellStyle name="40% - Accent2 2 4 11 2 2 3" xfId="40460"/>
    <cellStyle name="40% - Accent2 2 4 11 2 3" xfId="22668"/>
    <cellStyle name="40% - Accent2 2 4 11 2 3 2" xfId="51529"/>
    <cellStyle name="40% - Accent2 2 4 11 2 4" xfId="34419"/>
    <cellStyle name="40% - Accent2 2 4 11 3" xfId="8713"/>
    <cellStyle name="40% - Accent2 2 4 11 3 2" xfId="25760"/>
    <cellStyle name="40% - Accent2 2 4 11 3 2 2" xfId="54621"/>
    <cellStyle name="40% - Accent2 2 4 11 3 3" xfId="37574"/>
    <cellStyle name="40% - Accent2 2 4 11 4" xfId="12185"/>
    <cellStyle name="40% - Accent2 2 4 11 4 2" xfId="19988"/>
    <cellStyle name="40% - Accent2 2 4 11 4 2 2" xfId="48849"/>
    <cellStyle name="40% - Accent2 2 4 11 4 3" xfId="41046"/>
    <cellStyle name="40% - Accent2 2 4 11 5" xfId="17308"/>
    <cellStyle name="40% - Accent2 2 4 11 5 2" xfId="46169"/>
    <cellStyle name="40% - Accent2 2 4 11 6" xfId="31533"/>
    <cellStyle name="40% - Accent2 2 4 12" xfId="3187"/>
    <cellStyle name="40% - Accent2 2 4 12 2" xfId="9228"/>
    <cellStyle name="40% - Accent2 2 4 12 2 2" xfId="26275"/>
    <cellStyle name="40% - Accent2 2 4 12 2 2 2" xfId="55136"/>
    <cellStyle name="40% - Accent2 2 4 12 2 3" xfId="38089"/>
    <cellStyle name="40% - Accent2 2 4 12 3" xfId="13992"/>
    <cellStyle name="40% - Accent2 2 4 12 3 2" xfId="20297"/>
    <cellStyle name="40% - Accent2 2 4 12 3 2 2" xfId="49158"/>
    <cellStyle name="40% - Accent2 2 4 12 3 3" xfId="42853"/>
    <cellStyle name="40% - Accent2 2 4 12 4" xfId="14937"/>
    <cellStyle name="40% - Accent2 2 4 12 4 2" xfId="43798"/>
    <cellStyle name="40% - Accent2 2 4 12 5" xfId="32048"/>
    <cellStyle name="40% - Accent2 2 4 13" xfId="2878"/>
    <cellStyle name="40% - Accent2 2 4 13 2" xfId="8919"/>
    <cellStyle name="40% - Accent2 2 4 13 2 2" xfId="25966"/>
    <cellStyle name="40% - Accent2 2 4 13 2 2 2" xfId="54827"/>
    <cellStyle name="40% - Accent2 2 4 13 2 3" xfId="37780"/>
    <cellStyle name="40% - Accent2 2 4 13 3" xfId="17514"/>
    <cellStyle name="40% - Accent2 2 4 13 3 2" xfId="46375"/>
    <cellStyle name="40% - Accent2 2 4 13 4" xfId="31739"/>
    <cellStyle name="40% - Accent2 2 4 14" xfId="5764"/>
    <cellStyle name="40% - Accent2 2 4 14 2" xfId="11805"/>
    <cellStyle name="40% - Accent2 2 4 14 2 2" xfId="28852"/>
    <cellStyle name="40% - Accent2 2 4 14 2 2 2" xfId="57713"/>
    <cellStyle name="40% - Accent2 2 4 14 2 3" xfId="40666"/>
    <cellStyle name="40% - Accent2 2 4 14 3" xfId="22874"/>
    <cellStyle name="40% - Accent2 2 4 14 3 2" xfId="51735"/>
    <cellStyle name="40% - Accent2 2 4 14 4" xfId="34625"/>
    <cellStyle name="40% - Accent2 2 4 15" xfId="5981"/>
    <cellStyle name="40% - Accent2 2 4 15 2" xfId="23080"/>
    <cellStyle name="40% - Accent2 2 4 15 2 2" xfId="51941"/>
    <cellStyle name="40% - Accent2 2 4 15 3" xfId="34842"/>
    <cellStyle name="40% - Accent2 2 4 16" xfId="6342"/>
    <cellStyle name="40% - Accent2 2 4 16 2" xfId="23389"/>
    <cellStyle name="40% - Accent2 2 4 16 2 2" xfId="52250"/>
    <cellStyle name="40% - Accent2 2 4 16 3" xfId="35203"/>
    <cellStyle name="40% - Accent2 2 4 17" xfId="14628"/>
    <cellStyle name="40% - Accent2 2 4 17 2" xfId="43489"/>
    <cellStyle name="40% - Accent2 2 4 18" xfId="29162"/>
    <cellStyle name="40% - Accent2 2 4 2" xfId="506"/>
    <cellStyle name="40% - Accent2 2 4 2 2" xfId="2257"/>
    <cellStyle name="40% - Accent2 2 4 2 2 2" xfId="5144"/>
    <cellStyle name="40% - Accent2 2 4 2 2 2 2" xfId="11185"/>
    <cellStyle name="40% - Accent2 2 4 2 2 2 2 2" xfId="28232"/>
    <cellStyle name="40% - Accent2 2 4 2 2 2 2 2 2" xfId="57093"/>
    <cellStyle name="40% - Accent2 2 4 2 2 2 2 3" xfId="40046"/>
    <cellStyle name="40% - Accent2 2 4 2 2 2 3" xfId="22254"/>
    <cellStyle name="40% - Accent2 2 4 2 2 2 3 2" xfId="51115"/>
    <cellStyle name="40% - Accent2 2 4 2 2 2 4" xfId="34005"/>
    <cellStyle name="40% - Accent2 2 4 2 2 3" xfId="8299"/>
    <cellStyle name="40% - Accent2 2 4 2 2 3 2" xfId="25346"/>
    <cellStyle name="40% - Accent2 2 4 2 2 3 2 2" xfId="54207"/>
    <cellStyle name="40% - Accent2 2 4 2 2 3 3" xfId="37160"/>
    <cellStyle name="40% - Accent2 2 4 2 2 4" xfId="14429"/>
    <cellStyle name="40% - Accent2 2 4 2 2 4 2" xfId="19574"/>
    <cellStyle name="40% - Accent2 2 4 2 2 4 2 2" xfId="48435"/>
    <cellStyle name="40% - Accent2 2 4 2 2 4 3" xfId="43290"/>
    <cellStyle name="40% - Accent2 2 4 2 2 5" xfId="16894"/>
    <cellStyle name="40% - Accent2 2 4 2 2 5 2" xfId="45755"/>
    <cellStyle name="40% - Accent2 2 4 2 2 6" xfId="31119"/>
    <cellStyle name="40% - Accent2 2 4 2 3" xfId="3393"/>
    <cellStyle name="40% - Accent2 2 4 2 3 2" xfId="9434"/>
    <cellStyle name="40% - Accent2 2 4 2 3 2 2" xfId="26481"/>
    <cellStyle name="40% - Accent2 2 4 2 3 2 2 2" xfId="55342"/>
    <cellStyle name="40% - Accent2 2 4 2 3 2 3" xfId="38295"/>
    <cellStyle name="40% - Accent2 2 4 2 3 3" xfId="20503"/>
    <cellStyle name="40% - Accent2 2 4 2 3 3 2" xfId="49364"/>
    <cellStyle name="40% - Accent2 2 4 2 3 4" xfId="32254"/>
    <cellStyle name="40% - Accent2 2 4 2 4" xfId="6548"/>
    <cellStyle name="40% - Accent2 2 4 2 4 2" xfId="23595"/>
    <cellStyle name="40% - Accent2 2 4 2 4 2 2" xfId="52456"/>
    <cellStyle name="40% - Accent2 2 4 2 4 3" xfId="35409"/>
    <cellStyle name="40% - Accent2 2 4 2 5" xfId="12667"/>
    <cellStyle name="40% - Accent2 2 4 2 5 2" xfId="17823"/>
    <cellStyle name="40% - Accent2 2 4 2 5 2 2" xfId="46684"/>
    <cellStyle name="40% - Accent2 2 4 2 5 3" xfId="41528"/>
    <cellStyle name="40% - Accent2 2 4 2 6" xfId="15143"/>
    <cellStyle name="40% - Accent2 2 4 2 6 2" xfId="44004"/>
    <cellStyle name="40% - Accent2 2 4 2 7" xfId="29368"/>
    <cellStyle name="40% - Accent2 2 4 3" xfId="815"/>
    <cellStyle name="40% - Accent2 2 4 3 2" xfId="3702"/>
    <cellStyle name="40% - Accent2 2 4 3 2 2" xfId="9743"/>
    <cellStyle name="40% - Accent2 2 4 3 2 2 2" xfId="26790"/>
    <cellStyle name="40% - Accent2 2 4 3 2 2 2 2" xfId="55651"/>
    <cellStyle name="40% - Accent2 2 4 3 2 2 3" xfId="38604"/>
    <cellStyle name="40% - Accent2 2 4 3 2 3" xfId="20812"/>
    <cellStyle name="40% - Accent2 2 4 3 2 3 2" xfId="49673"/>
    <cellStyle name="40% - Accent2 2 4 3 2 4" xfId="32563"/>
    <cellStyle name="40% - Accent2 2 4 3 3" xfId="6857"/>
    <cellStyle name="40% - Accent2 2 4 3 3 2" xfId="23904"/>
    <cellStyle name="40% - Accent2 2 4 3 3 2 2" xfId="52765"/>
    <cellStyle name="40% - Accent2 2 4 3 3 3" xfId="35718"/>
    <cellStyle name="40% - Accent2 2 4 3 4" xfId="14428"/>
    <cellStyle name="40% - Accent2 2 4 3 4 2" xfId="18132"/>
    <cellStyle name="40% - Accent2 2 4 3 4 2 2" xfId="46993"/>
    <cellStyle name="40% - Accent2 2 4 3 4 3" xfId="43289"/>
    <cellStyle name="40% - Accent2 2 4 3 5" xfId="15452"/>
    <cellStyle name="40% - Accent2 2 4 3 5 2" xfId="44313"/>
    <cellStyle name="40% - Accent2 2 4 3 6" xfId="29677"/>
    <cellStyle name="40% - Accent2 2 4 4" xfId="1021"/>
    <cellStyle name="40% - Accent2 2 4 4 2" xfId="3908"/>
    <cellStyle name="40% - Accent2 2 4 4 2 2" xfId="9949"/>
    <cellStyle name="40% - Accent2 2 4 4 2 2 2" xfId="26996"/>
    <cellStyle name="40% - Accent2 2 4 4 2 2 2 2" xfId="55857"/>
    <cellStyle name="40% - Accent2 2 4 4 2 2 3" xfId="38810"/>
    <cellStyle name="40% - Accent2 2 4 4 2 3" xfId="21018"/>
    <cellStyle name="40% - Accent2 2 4 4 2 3 2" xfId="49879"/>
    <cellStyle name="40% - Accent2 2 4 4 2 4" xfId="32769"/>
    <cellStyle name="40% - Accent2 2 4 4 3" xfId="7063"/>
    <cellStyle name="40% - Accent2 2 4 4 3 2" xfId="24110"/>
    <cellStyle name="40% - Accent2 2 4 4 3 2 2" xfId="52971"/>
    <cellStyle name="40% - Accent2 2 4 4 3 3" xfId="35924"/>
    <cellStyle name="40% - Accent2 2 4 4 4" xfId="13098"/>
    <cellStyle name="40% - Accent2 2 4 4 4 2" xfId="18338"/>
    <cellStyle name="40% - Accent2 2 4 4 4 2 2" xfId="47199"/>
    <cellStyle name="40% - Accent2 2 4 4 4 3" xfId="41959"/>
    <cellStyle name="40% - Accent2 2 4 4 5" xfId="15658"/>
    <cellStyle name="40% - Accent2 2 4 4 5 2" xfId="44519"/>
    <cellStyle name="40% - Accent2 2 4 4 6" xfId="29883"/>
    <cellStyle name="40% - Accent2 2 4 5" xfId="1227"/>
    <cellStyle name="40% - Accent2 2 4 5 2" xfId="4114"/>
    <cellStyle name="40% - Accent2 2 4 5 2 2" xfId="10155"/>
    <cellStyle name="40% - Accent2 2 4 5 2 2 2" xfId="27202"/>
    <cellStyle name="40% - Accent2 2 4 5 2 2 2 2" xfId="56063"/>
    <cellStyle name="40% - Accent2 2 4 5 2 2 3" xfId="39016"/>
    <cellStyle name="40% - Accent2 2 4 5 2 3" xfId="21224"/>
    <cellStyle name="40% - Accent2 2 4 5 2 3 2" xfId="50085"/>
    <cellStyle name="40% - Accent2 2 4 5 2 4" xfId="32975"/>
    <cellStyle name="40% - Accent2 2 4 5 3" xfId="7269"/>
    <cellStyle name="40% - Accent2 2 4 5 3 2" xfId="24316"/>
    <cellStyle name="40% - Accent2 2 4 5 3 2 2" xfId="53177"/>
    <cellStyle name="40% - Accent2 2 4 5 3 3" xfId="36130"/>
    <cellStyle name="40% - Accent2 2 4 5 4" xfId="13721"/>
    <cellStyle name="40% - Accent2 2 4 5 4 2" xfId="18544"/>
    <cellStyle name="40% - Accent2 2 4 5 4 2 2" xfId="47405"/>
    <cellStyle name="40% - Accent2 2 4 5 4 3" xfId="42582"/>
    <cellStyle name="40% - Accent2 2 4 5 5" xfId="15864"/>
    <cellStyle name="40% - Accent2 2 4 5 5 2" xfId="44725"/>
    <cellStyle name="40% - Accent2 2 4 5 6" xfId="30089"/>
    <cellStyle name="40% - Accent2 2 4 6" xfId="1433"/>
    <cellStyle name="40% - Accent2 2 4 6 2" xfId="4320"/>
    <cellStyle name="40% - Accent2 2 4 6 2 2" xfId="10361"/>
    <cellStyle name="40% - Accent2 2 4 6 2 2 2" xfId="27408"/>
    <cellStyle name="40% - Accent2 2 4 6 2 2 2 2" xfId="56269"/>
    <cellStyle name="40% - Accent2 2 4 6 2 2 3" xfId="39222"/>
    <cellStyle name="40% - Accent2 2 4 6 2 3" xfId="21430"/>
    <cellStyle name="40% - Accent2 2 4 6 2 3 2" xfId="50291"/>
    <cellStyle name="40% - Accent2 2 4 6 2 4" xfId="33181"/>
    <cellStyle name="40% - Accent2 2 4 6 3" xfId="7475"/>
    <cellStyle name="40% - Accent2 2 4 6 3 2" xfId="24522"/>
    <cellStyle name="40% - Accent2 2 4 6 3 2 2" xfId="53383"/>
    <cellStyle name="40% - Accent2 2 4 6 3 3" xfId="36336"/>
    <cellStyle name="40% - Accent2 2 4 6 4" xfId="13724"/>
    <cellStyle name="40% - Accent2 2 4 6 4 2" xfId="18750"/>
    <cellStyle name="40% - Accent2 2 4 6 4 2 2" xfId="47611"/>
    <cellStyle name="40% - Accent2 2 4 6 4 3" xfId="42585"/>
    <cellStyle name="40% - Accent2 2 4 6 5" xfId="16070"/>
    <cellStyle name="40% - Accent2 2 4 6 5 2" xfId="44931"/>
    <cellStyle name="40% - Accent2 2 4 6 6" xfId="30295"/>
    <cellStyle name="40% - Accent2 2 4 7" xfId="1639"/>
    <cellStyle name="40% - Accent2 2 4 7 2" xfId="4526"/>
    <cellStyle name="40% - Accent2 2 4 7 2 2" xfId="10567"/>
    <cellStyle name="40% - Accent2 2 4 7 2 2 2" xfId="27614"/>
    <cellStyle name="40% - Accent2 2 4 7 2 2 2 2" xfId="56475"/>
    <cellStyle name="40% - Accent2 2 4 7 2 2 3" xfId="39428"/>
    <cellStyle name="40% - Accent2 2 4 7 2 3" xfId="21636"/>
    <cellStyle name="40% - Accent2 2 4 7 2 3 2" xfId="50497"/>
    <cellStyle name="40% - Accent2 2 4 7 2 4" xfId="33387"/>
    <cellStyle name="40% - Accent2 2 4 7 3" xfId="7681"/>
    <cellStyle name="40% - Accent2 2 4 7 3 2" xfId="24728"/>
    <cellStyle name="40% - Accent2 2 4 7 3 2 2" xfId="53589"/>
    <cellStyle name="40% - Accent2 2 4 7 3 3" xfId="36542"/>
    <cellStyle name="40% - Accent2 2 4 7 4" xfId="12129"/>
    <cellStyle name="40% - Accent2 2 4 7 4 2" xfId="18956"/>
    <cellStyle name="40% - Accent2 2 4 7 4 2 2" xfId="47817"/>
    <cellStyle name="40% - Accent2 2 4 7 4 3" xfId="40990"/>
    <cellStyle name="40% - Accent2 2 4 7 5" xfId="16276"/>
    <cellStyle name="40% - Accent2 2 4 7 5 2" xfId="45137"/>
    <cellStyle name="40% - Accent2 2 4 7 6" xfId="30501"/>
    <cellStyle name="40% - Accent2 2 4 8" xfId="1845"/>
    <cellStyle name="40% - Accent2 2 4 8 2" xfId="4732"/>
    <cellStyle name="40% - Accent2 2 4 8 2 2" xfId="10773"/>
    <cellStyle name="40% - Accent2 2 4 8 2 2 2" xfId="27820"/>
    <cellStyle name="40% - Accent2 2 4 8 2 2 2 2" xfId="56681"/>
    <cellStyle name="40% - Accent2 2 4 8 2 2 3" xfId="39634"/>
    <cellStyle name="40% - Accent2 2 4 8 2 3" xfId="21842"/>
    <cellStyle name="40% - Accent2 2 4 8 2 3 2" xfId="50703"/>
    <cellStyle name="40% - Accent2 2 4 8 2 4" xfId="33593"/>
    <cellStyle name="40% - Accent2 2 4 8 3" xfId="7887"/>
    <cellStyle name="40% - Accent2 2 4 8 3 2" xfId="24934"/>
    <cellStyle name="40% - Accent2 2 4 8 3 2 2" xfId="53795"/>
    <cellStyle name="40% - Accent2 2 4 8 3 3" xfId="36748"/>
    <cellStyle name="40% - Accent2 2 4 8 4" xfId="12082"/>
    <cellStyle name="40% - Accent2 2 4 8 4 2" xfId="19162"/>
    <cellStyle name="40% - Accent2 2 4 8 4 2 2" xfId="48023"/>
    <cellStyle name="40% - Accent2 2 4 8 4 3" xfId="40943"/>
    <cellStyle name="40% - Accent2 2 4 8 5" xfId="16482"/>
    <cellStyle name="40% - Accent2 2 4 8 5 2" xfId="45343"/>
    <cellStyle name="40% - Accent2 2 4 8 6" xfId="30707"/>
    <cellStyle name="40% - Accent2 2 4 9" xfId="2051"/>
    <cellStyle name="40% - Accent2 2 4 9 2" xfId="4938"/>
    <cellStyle name="40% - Accent2 2 4 9 2 2" xfId="10979"/>
    <cellStyle name="40% - Accent2 2 4 9 2 2 2" xfId="28026"/>
    <cellStyle name="40% - Accent2 2 4 9 2 2 2 2" xfId="56887"/>
    <cellStyle name="40% - Accent2 2 4 9 2 2 3" xfId="39840"/>
    <cellStyle name="40% - Accent2 2 4 9 2 3" xfId="22048"/>
    <cellStyle name="40% - Accent2 2 4 9 2 3 2" xfId="50909"/>
    <cellStyle name="40% - Accent2 2 4 9 2 4" xfId="33799"/>
    <cellStyle name="40% - Accent2 2 4 9 3" xfId="8093"/>
    <cellStyle name="40% - Accent2 2 4 9 3 2" xfId="25140"/>
    <cellStyle name="40% - Accent2 2 4 9 3 2 2" xfId="54001"/>
    <cellStyle name="40% - Accent2 2 4 9 3 3" xfId="36954"/>
    <cellStyle name="40% - Accent2 2 4 9 4" xfId="12485"/>
    <cellStyle name="40% - Accent2 2 4 9 4 2" xfId="19368"/>
    <cellStyle name="40% - Accent2 2 4 9 4 2 2" xfId="48229"/>
    <cellStyle name="40% - Accent2 2 4 9 4 3" xfId="41346"/>
    <cellStyle name="40% - Accent2 2 4 9 5" xfId="16688"/>
    <cellStyle name="40% - Accent2 2 4 9 5 2" xfId="45549"/>
    <cellStyle name="40% - Accent2 2 4 9 6" xfId="30913"/>
    <cellStyle name="40% - Accent2 2 5" xfId="197"/>
    <cellStyle name="40% - Accent2 2 5 2" xfId="609"/>
    <cellStyle name="40% - Accent2 2 5 2 2" xfId="3496"/>
    <cellStyle name="40% - Accent2 2 5 2 2 2" xfId="9537"/>
    <cellStyle name="40% - Accent2 2 5 2 2 2 2" xfId="26584"/>
    <cellStyle name="40% - Accent2 2 5 2 2 2 2 2" xfId="55445"/>
    <cellStyle name="40% - Accent2 2 5 2 2 2 3" xfId="38398"/>
    <cellStyle name="40% - Accent2 2 5 2 2 3" xfId="20606"/>
    <cellStyle name="40% - Accent2 2 5 2 2 3 2" xfId="49467"/>
    <cellStyle name="40% - Accent2 2 5 2 2 4" xfId="32357"/>
    <cellStyle name="40% - Accent2 2 5 2 3" xfId="6651"/>
    <cellStyle name="40% - Accent2 2 5 2 3 2" xfId="23698"/>
    <cellStyle name="40% - Accent2 2 5 2 3 2 2" xfId="52559"/>
    <cellStyle name="40% - Accent2 2 5 2 3 3" xfId="35512"/>
    <cellStyle name="40% - Accent2 2 5 2 4" xfId="12340"/>
    <cellStyle name="40% - Accent2 2 5 2 4 2" xfId="17926"/>
    <cellStyle name="40% - Accent2 2 5 2 4 2 2" xfId="46787"/>
    <cellStyle name="40% - Accent2 2 5 2 4 3" xfId="41201"/>
    <cellStyle name="40% - Accent2 2 5 2 5" xfId="15246"/>
    <cellStyle name="40% - Accent2 2 5 2 5 2" xfId="44107"/>
    <cellStyle name="40% - Accent2 2 5 2 6" xfId="29471"/>
    <cellStyle name="40% - Accent2 2 5 3" xfId="2154"/>
    <cellStyle name="40% - Accent2 2 5 3 2" xfId="5041"/>
    <cellStyle name="40% - Accent2 2 5 3 2 2" xfId="11082"/>
    <cellStyle name="40% - Accent2 2 5 3 2 2 2" xfId="28129"/>
    <cellStyle name="40% - Accent2 2 5 3 2 2 2 2" xfId="56990"/>
    <cellStyle name="40% - Accent2 2 5 3 2 2 3" xfId="39943"/>
    <cellStyle name="40% - Accent2 2 5 3 2 3" xfId="22151"/>
    <cellStyle name="40% - Accent2 2 5 3 2 3 2" xfId="51012"/>
    <cellStyle name="40% - Accent2 2 5 3 2 4" xfId="33902"/>
    <cellStyle name="40% - Accent2 2 5 3 3" xfId="8196"/>
    <cellStyle name="40% - Accent2 2 5 3 3 2" xfId="25243"/>
    <cellStyle name="40% - Accent2 2 5 3 3 2 2" xfId="54104"/>
    <cellStyle name="40% - Accent2 2 5 3 3 3" xfId="37057"/>
    <cellStyle name="40% - Accent2 2 5 3 4" xfId="14024"/>
    <cellStyle name="40% - Accent2 2 5 3 4 2" xfId="19471"/>
    <cellStyle name="40% - Accent2 2 5 3 4 2 2" xfId="48332"/>
    <cellStyle name="40% - Accent2 2 5 3 4 3" xfId="42885"/>
    <cellStyle name="40% - Accent2 2 5 3 5" xfId="16791"/>
    <cellStyle name="40% - Accent2 2 5 3 5 2" xfId="45652"/>
    <cellStyle name="40% - Accent2 2 5 3 6" xfId="31016"/>
    <cellStyle name="40% - Accent2 2 5 4" xfId="3084"/>
    <cellStyle name="40% - Accent2 2 5 4 2" xfId="9125"/>
    <cellStyle name="40% - Accent2 2 5 4 2 2" xfId="26172"/>
    <cellStyle name="40% - Accent2 2 5 4 2 2 2" xfId="55033"/>
    <cellStyle name="40% - Accent2 2 5 4 2 3" xfId="37986"/>
    <cellStyle name="40% - Accent2 2 5 4 3" xfId="20194"/>
    <cellStyle name="40% - Accent2 2 5 4 3 2" xfId="49055"/>
    <cellStyle name="40% - Accent2 2 5 4 4" xfId="31945"/>
    <cellStyle name="40% - Accent2 2 5 5" xfId="6239"/>
    <cellStyle name="40% - Accent2 2 5 5 2" xfId="23286"/>
    <cellStyle name="40% - Accent2 2 5 5 2 2" xfId="52147"/>
    <cellStyle name="40% - Accent2 2 5 5 3" xfId="35100"/>
    <cellStyle name="40% - Accent2 2 5 6" xfId="12397"/>
    <cellStyle name="40% - Accent2 2 5 6 2" xfId="17617"/>
    <cellStyle name="40% - Accent2 2 5 6 2 2" xfId="46478"/>
    <cellStyle name="40% - Accent2 2 5 6 3" xfId="41258"/>
    <cellStyle name="40% - Accent2 2 5 7" xfId="14834"/>
    <cellStyle name="40% - Accent2 2 5 7 2" xfId="43695"/>
    <cellStyle name="40% - Accent2 2 5 8" xfId="29059"/>
    <cellStyle name="40% - Accent2 2 6" xfId="403"/>
    <cellStyle name="40% - Accent2 2 6 2" xfId="3290"/>
    <cellStyle name="40% - Accent2 2 6 2 2" xfId="9331"/>
    <cellStyle name="40% - Accent2 2 6 2 2 2" xfId="26378"/>
    <cellStyle name="40% - Accent2 2 6 2 2 2 2" xfId="55239"/>
    <cellStyle name="40% - Accent2 2 6 2 2 3" xfId="38192"/>
    <cellStyle name="40% - Accent2 2 6 2 3" xfId="20400"/>
    <cellStyle name="40% - Accent2 2 6 2 3 2" xfId="49261"/>
    <cellStyle name="40% - Accent2 2 6 2 4" xfId="32151"/>
    <cellStyle name="40% - Accent2 2 6 3" xfId="6445"/>
    <cellStyle name="40% - Accent2 2 6 3 2" xfId="23492"/>
    <cellStyle name="40% - Accent2 2 6 3 2 2" xfId="52353"/>
    <cellStyle name="40% - Accent2 2 6 3 3" xfId="35306"/>
    <cellStyle name="40% - Accent2 2 6 4" xfId="14354"/>
    <cellStyle name="40% - Accent2 2 6 4 2" xfId="17720"/>
    <cellStyle name="40% - Accent2 2 6 4 2 2" xfId="46581"/>
    <cellStyle name="40% - Accent2 2 6 4 3" xfId="43215"/>
    <cellStyle name="40% - Accent2 2 6 5" xfId="15040"/>
    <cellStyle name="40% - Accent2 2 6 5 2" xfId="43901"/>
    <cellStyle name="40% - Accent2 2 6 6" xfId="29265"/>
    <cellStyle name="40% - Accent2 2 7" xfId="712"/>
    <cellStyle name="40% - Accent2 2 7 2" xfId="3599"/>
    <cellStyle name="40% - Accent2 2 7 2 2" xfId="9640"/>
    <cellStyle name="40% - Accent2 2 7 2 2 2" xfId="26687"/>
    <cellStyle name="40% - Accent2 2 7 2 2 2 2" xfId="55548"/>
    <cellStyle name="40% - Accent2 2 7 2 2 3" xfId="38501"/>
    <cellStyle name="40% - Accent2 2 7 2 3" xfId="20709"/>
    <cellStyle name="40% - Accent2 2 7 2 3 2" xfId="49570"/>
    <cellStyle name="40% - Accent2 2 7 2 4" xfId="32460"/>
    <cellStyle name="40% - Accent2 2 7 3" xfId="6754"/>
    <cellStyle name="40% - Accent2 2 7 3 2" xfId="23801"/>
    <cellStyle name="40% - Accent2 2 7 3 2 2" xfId="52662"/>
    <cellStyle name="40% - Accent2 2 7 3 3" xfId="35615"/>
    <cellStyle name="40% - Accent2 2 7 4" xfId="13279"/>
    <cellStyle name="40% - Accent2 2 7 4 2" xfId="18029"/>
    <cellStyle name="40% - Accent2 2 7 4 2 2" xfId="46890"/>
    <cellStyle name="40% - Accent2 2 7 4 3" xfId="42140"/>
    <cellStyle name="40% - Accent2 2 7 5" xfId="15349"/>
    <cellStyle name="40% - Accent2 2 7 5 2" xfId="44210"/>
    <cellStyle name="40% - Accent2 2 7 6" xfId="29574"/>
    <cellStyle name="40% - Accent2 2 8" xfId="918"/>
    <cellStyle name="40% - Accent2 2 8 2" xfId="3805"/>
    <cellStyle name="40% - Accent2 2 8 2 2" xfId="9846"/>
    <cellStyle name="40% - Accent2 2 8 2 2 2" xfId="26893"/>
    <cellStyle name="40% - Accent2 2 8 2 2 2 2" xfId="55754"/>
    <cellStyle name="40% - Accent2 2 8 2 2 3" xfId="38707"/>
    <cellStyle name="40% - Accent2 2 8 2 3" xfId="20915"/>
    <cellStyle name="40% - Accent2 2 8 2 3 2" xfId="49776"/>
    <cellStyle name="40% - Accent2 2 8 2 4" xfId="32666"/>
    <cellStyle name="40% - Accent2 2 8 3" xfId="6960"/>
    <cellStyle name="40% - Accent2 2 8 3 2" xfId="24007"/>
    <cellStyle name="40% - Accent2 2 8 3 2 2" xfId="52868"/>
    <cellStyle name="40% - Accent2 2 8 3 3" xfId="35821"/>
    <cellStyle name="40% - Accent2 2 8 4" xfId="13447"/>
    <cellStyle name="40% - Accent2 2 8 4 2" xfId="18235"/>
    <cellStyle name="40% - Accent2 2 8 4 2 2" xfId="47096"/>
    <cellStyle name="40% - Accent2 2 8 4 3" xfId="42308"/>
    <cellStyle name="40% - Accent2 2 8 5" xfId="15555"/>
    <cellStyle name="40% - Accent2 2 8 5 2" xfId="44416"/>
    <cellStyle name="40% - Accent2 2 8 6" xfId="29780"/>
    <cellStyle name="40% - Accent2 2 9" xfId="1124"/>
    <cellStyle name="40% - Accent2 2 9 2" xfId="4011"/>
    <cellStyle name="40% - Accent2 2 9 2 2" xfId="10052"/>
    <cellStyle name="40% - Accent2 2 9 2 2 2" xfId="27099"/>
    <cellStyle name="40% - Accent2 2 9 2 2 2 2" xfId="55960"/>
    <cellStyle name="40% - Accent2 2 9 2 2 3" xfId="38913"/>
    <cellStyle name="40% - Accent2 2 9 2 3" xfId="21121"/>
    <cellStyle name="40% - Accent2 2 9 2 3 2" xfId="49982"/>
    <cellStyle name="40% - Accent2 2 9 2 4" xfId="32872"/>
    <cellStyle name="40% - Accent2 2 9 3" xfId="7166"/>
    <cellStyle name="40% - Accent2 2 9 3 2" xfId="24213"/>
    <cellStyle name="40% - Accent2 2 9 3 2 2" xfId="53074"/>
    <cellStyle name="40% - Accent2 2 9 3 3" xfId="36027"/>
    <cellStyle name="40% - Accent2 2 9 4" xfId="14156"/>
    <cellStyle name="40% - Accent2 2 9 4 2" xfId="18441"/>
    <cellStyle name="40% - Accent2 2 9 4 2 2" xfId="47302"/>
    <cellStyle name="40% - Accent2 2 9 4 3" xfId="43017"/>
    <cellStyle name="40% - Accent2 2 9 5" xfId="15761"/>
    <cellStyle name="40% - Accent2 2 9 5 2" xfId="44622"/>
    <cellStyle name="40% - Accent2 2 9 6" xfId="29986"/>
    <cellStyle name="40% - Accent2 20" xfId="5863"/>
    <cellStyle name="40% - Accent2 20 2" xfId="22963"/>
    <cellStyle name="40% - Accent2 20 2 2" xfId="51824"/>
    <cellStyle name="40% - Accent2 20 3" xfId="34724"/>
    <cellStyle name="40% - Accent2 21" xfId="6122"/>
    <cellStyle name="40% - Accent2 21 2" xfId="23169"/>
    <cellStyle name="40% - Accent2 21 2 2" xfId="52030"/>
    <cellStyle name="40% - Accent2 21 3" xfId="34983"/>
    <cellStyle name="40% - Accent2 22" xfId="14511"/>
    <cellStyle name="40% - Accent2 22 2" xfId="43372"/>
    <cellStyle name="40% - Accent2 23" xfId="28942"/>
    <cellStyle name="40% - Accent2 3" xfId="107"/>
    <cellStyle name="40% - Accent2 3 10" xfId="1755"/>
    <cellStyle name="40% - Accent2 3 10 2" xfId="4642"/>
    <cellStyle name="40% - Accent2 3 10 2 2" xfId="10683"/>
    <cellStyle name="40% - Accent2 3 10 2 2 2" xfId="27730"/>
    <cellStyle name="40% - Accent2 3 10 2 2 2 2" xfId="56591"/>
    <cellStyle name="40% - Accent2 3 10 2 2 3" xfId="39544"/>
    <cellStyle name="40% - Accent2 3 10 2 3" xfId="21752"/>
    <cellStyle name="40% - Accent2 3 10 2 3 2" xfId="50613"/>
    <cellStyle name="40% - Accent2 3 10 2 4" xfId="33503"/>
    <cellStyle name="40% - Accent2 3 10 3" xfId="7797"/>
    <cellStyle name="40% - Accent2 3 10 3 2" xfId="24844"/>
    <cellStyle name="40% - Accent2 3 10 3 2 2" xfId="53705"/>
    <cellStyle name="40% - Accent2 3 10 3 3" xfId="36658"/>
    <cellStyle name="40% - Accent2 3 10 4" xfId="12694"/>
    <cellStyle name="40% - Accent2 3 10 4 2" xfId="19072"/>
    <cellStyle name="40% - Accent2 3 10 4 2 2" xfId="47933"/>
    <cellStyle name="40% - Accent2 3 10 4 3" xfId="41555"/>
    <cellStyle name="40% - Accent2 3 10 5" xfId="16392"/>
    <cellStyle name="40% - Accent2 3 10 5 2" xfId="45253"/>
    <cellStyle name="40% - Accent2 3 10 6" xfId="30617"/>
    <cellStyle name="40% - Accent2 3 11" xfId="1961"/>
    <cellStyle name="40% - Accent2 3 11 2" xfId="4848"/>
    <cellStyle name="40% - Accent2 3 11 2 2" xfId="10889"/>
    <cellStyle name="40% - Accent2 3 11 2 2 2" xfId="27936"/>
    <cellStyle name="40% - Accent2 3 11 2 2 2 2" xfId="56797"/>
    <cellStyle name="40% - Accent2 3 11 2 2 3" xfId="39750"/>
    <cellStyle name="40% - Accent2 3 11 2 3" xfId="21958"/>
    <cellStyle name="40% - Accent2 3 11 2 3 2" xfId="50819"/>
    <cellStyle name="40% - Accent2 3 11 2 4" xfId="33709"/>
    <cellStyle name="40% - Accent2 3 11 3" xfId="8003"/>
    <cellStyle name="40% - Accent2 3 11 3 2" xfId="25050"/>
    <cellStyle name="40% - Accent2 3 11 3 2 2" xfId="53911"/>
    <cellStyle name="40% - Accent2 3 11 3 3" xfId="36864"/>
    <cellStyle name="40% - Accent2 3 11 4" xfId="12269"/>
    <cellStyle name="40% - Accent2 3 11 4 2" xfId="19278"/>
    <cellStyle name="40% - Accent2 3 11 4 2 2" xfId="48139"/>
    <cellStyle name="40% - Accent2 3 11 4 3" xfId="41130"/>
    <cellStyle name="40% - Accent2 3 11 5" xfId="16598"/>
    <cellStyle name="40% - Accent2 3 11 5 2" xfId="45459"/>
    <cellStyle name="40% - Accent2 3 11 6" xfId="30823"/>
    <cellStyle name="40% - Accent2 3 12" xfId="2373"/>
    <cellStyle name="40% - Accent2 3 12 2" xfId="5260"/>
    <cellStyle name="40% - Accent2 3 12 2 2" xfId="11301"/>
    <cellStyle name="40% - Accent2 3 12 2 2 2" xfId="28348"/>
    <cellStyle name="40% - Accent2 3 12 2 2 2 2" xfId="57209"/>
    <cellStyle name="40% - Accent2 3 12 2 2 3" xfId="40162"/>
    <cellStyle name="40% - Accent2 3 12 2 3" xfId="22370"/>
    <cellStyle name="40% - Accent2 3 12 2 3 2" xfId="51231"/>
    <cellStyle name="40% - Accent2 3 12 2 4" xfId="34121"/>
    <cellStyle name="40% - Accent2 3 12 3" xfId="8415"/>
    <cellStyle name="40% - Accent2 3 12 3 2" xfId="25462"/>
    <cellStyle name="40% - Accent2 3 12 3 2 2" xfId="54323"/>
    <cellStyle name="40% - Accent2 3 12 3 3" xfId="37276"/>
    <cellStyle name="40% - Accent2 3 12 4" xfId="12945"/>
    <cellStyle name="40% - Accent2 3 12 4 2" xfId="19690"/>
    <cellStyle name="40% - Accent2 3 12 4 2 2" xfId="48551"/>
    <cellStyle name="40% - Accent2 3 12 4 3" xfId="41806"/>
    <cellStyle name="40% - Accent2 3 12 5" xfId="17010"/>
    <cellStyle name="40% - Accent2 3 12 5 2" xfId="45871"/>
    <cellStyle name="40% - Accent2 3 12 6" xfId="31235"/>
    <cellStyle name="40% - Accent2 3 13" xfId="2582"/>
    <cellStyle name="40% - Accent2 3 13 2" xfId="5468"/>
    <cellStyle name="40% - Accent2 3 13 2 2" xfId="11509"/>
    <cellStyle name="40% - Accent2 3 13 2 2 2" xfId="28556"/>
    <cellStyle name="40% - Accent2 3 13 2 2 2 2" xfId="57417"/>
    <cellStyle name="40% - Accent2 3 13 2 2 3" xfId="40370"/>
    <cellStyle name="40% - Accent2 3 13 2 3" xfId="22578"/>
    <cellStyle name="40% - Accent2 3 13 2 3 2" xfId="51439"/>
    <cellStyle name="40% - Accent2 3 13 2 4" xfId="34329"/>
    <cellStyle name="40% - Accent2 3 13 3" xfId="8623"/>
    <cellStyle name="40% - Accent2 3 13 3 2" xfId="25670"/>
    <cellStyle name="40% - Accent2 3 13 3 2 2" xfId="54531"/>
    <cellStyle name="40% - Accent2 3 13 3 3" xfId="37484"/>
    <cellStyle name="40% - Accent2 3 13 4" xfId="13448"/>
    <cellStyle name="40% - Accent2 3 13 4 2" xfId="19898"/>
    <cellStyle name="40% - Accent2 3 13 4 2 2" xfId="48759"/>
    <cellStyle name="40% - Accent2 3 13 4 3" xfId="42309"/>
    <cellStyle name="40% - Accent2 3 13 5" xfId="17218"/>
    <cellStyle name="40% - Accent2 3 13 5 2" xfId="46079"/>
    <cellStyle name="40% - Accent2 3 13 6" xfId="31443"/>
    <cellStyle name="40% - Accent2 3 14" xfId="2994"/>
    <cellStyle name="40% - Accent2 3 14 2" xfId="9035"/>
    <cellStyle name="40% - Accent2 3 14 2 2" xfId="26082"/>
    <cellStyle name="40% - Accent2 3 14 2 2 2" xfId="54943"/>
    <cellStyle name="40% - Accent2 3 14 2 3" xfId="37896"/>
    <cellStyle name="40% - Accent2 3 14 3" xfId="11982"/>
    <cellStyle name="40% - Accent2 3 14 3 2" xfId="20104"/>
    <cellStyle name="40% - Accent2 3 14 3 2 2" xfId="48965"/>
    <cellStyle name="40% - Accent2 3 14 3 3" xfId="40843"/>
    <cellStyle name="40% - Accent2 3 14 4" xfId="14744"/>
    <cellStyle name="40% - Accent2 3 14 4 2" xfId="43605"/>
    <cellStyle name="40% - Accent2 3 14 5" xfId="31855"/>
    <cellStyle name="40% - Accent2 3 15" xfId="2788"/>
    <cellStyle name="40% - Accent2 3 15 2" xfId="8829"/>
    <cellStyle name="40% - Accent2 3 15 2 2" xfId="25876"/>
    <cellStyle name="40% - Accent2 3 15 2 2 2" xfId="54737"/>
    <cellStyle name="40% - Accent2 3 15 2 3" xfId="37690"/>
    <cellStyle name="40% - Accent2 3 15 3" xfId="17424"/>
    <cellStyle name="40% - Accent2 3 15 3 2" xfId="46285"/>
    <cellStyle name="40% - Accent2 3 15 4" xfId="31649"/>
    <cellStyle name="40% - Accent2 3 16" xfId="5674"/>
    <cellStyle name="40% - Accent2 3 16 2" xfId="11715"/>
    <cellStyle name="40% - Accent2 3 16 2 2" xfId="28762"/>
    <cellStyle name="40% - Accent2 3 16 2 2 2" xfId="57623"/>
    <cellStyle name="40% - Accent2 3 16 2 3" xfId="40576"/>
    <cellStyle name="40% - Accent2 3 16 3" xfId="22784"/>
    <cellStyle name="40% - Accent2 3 16 3 2" xfId="51645"/>
    <cellStyle name="40% - Accent2 3 16 4" xfId="34535"/>
    <cellStyle name="40% - Accent2 3 17" xfId="5891"/>
    <cellStyle name="40% - Accent2 3 17 2" xfId="22990"/>
    <cellStyle name="40% - Accent2 3 17 2 2" xfId="51851"/>
    <cellStyle name="40% - Accent2 3 17 3" xfId="34752"/>
    <cellStyle name="40% - Accent2 3 18" xfId="6149"/>
    <cellStyle name="40% - Accent2 3 18 2" xfId="23196"/>
    <cellStyle name="40% - Accent2 3 18 2 2" xfId="52057"/>
    <cellStyle name="40% - Accent2 3 18 3" xfId="35010"/>
    <cellStyle name="40% - Accent2 3 19" xfId="14538"/>
    <cellStyle name="40% - Accent2 3 19 2" xfId="43399"/>
    <cellStyle name="40% - Accent2 3 2" xfId="313"/>
    <cellStyle name="40% - Accent2 3 2 10" xfId="2476"/>
    <cellStyle name="40% - Accent2 3 2 10 2" xfId="5363"/>
    <cellStyle name="40% - Accent2 3 2 10 2 2" xfId="11404"/>
    <cellStyle name="40% - Accent2 3 2 10 2 2 2" xfId="28451"/>
    <cellStyle name="40% - Accent2 3 2 10 2 2 2 2" xfId="57312"/>
    <cellStyle name="40% - Accent2 3 2 10 2 2 3" xfId="40265"/>
    <cellStyle name="40% - Accent2 3 2 10 2 3" xfId="22473"/>
    <cellStyle name="40% - Accent2 3 2 10 2 3 2" xfId="51334"/>
    <cellStyle name="40% - Accent2 3 2 10 2 4" xfId="34224"/>
    <cellStyle name="40% - Accent2 3 2 10 3" xfId="8518"/>
    <cellStyle name="40% - Accent2 3 2 10 3 2" xfId="25565"/>
    <cellStyle name="40% - Accent2 3 2 10 3 2 2" xfId="54426"/>
    <cellStyle name="40% - Accent2 3 2 10 3 3" xfId="37379"/>
    <cellStyle name="40% - Accent2 3 2 10 4" xfId="14344"/>
    <cellStyle name="40% - Accent2 3 2 10 4 2" xfId="19793"/>
    <cellStyle name="40% - Accent2 3 2 10 4 2 2" xfId="48654"/>
    <cellStyle name="40% - Accent2 3 2 10 4 3" xfId="43205"/>
    <cellStyle name="40% - Accent2 3 2 10 5" xfId="17113"/>
    <cellStyle name="40% - Accent2 3 2 10 5 2" xfId="45974"/>
    <cellStyle name="40% - Accent2 3 2 10 6" xfId="31338"/>
    <cellStyle name="40% - Accent2 3 2 11" xfId="2685"/>
    <cellStyle name="40% - Accent2 3 2 11 2" xfId="5571"/>
    <cellStyle name="40% - Accent2 3 2 11 2 2" xfId="11612"/>
    <cellStyle name="40% - Accent2 3 2 11 2 2 2" xfId="28659"/>
    <cellStyle name="40% - Accent2 3 2 11 2 2 2 2" xfId="57520"/>
    <cellStyle name="40% - Accent2 3 2 11 2 2 3" xfId="40473"/>
    <cellStyle name="40% - Accent2 3 2 11 2 3" xfId="22681"/>
    <cellStyle name="40% - Accent2 3 2 11 2 3 2" xfId="51542"/>
    <cellStyle name="40% - Accent2 3 2 11 2 4" xfId="34432"/>
    <cellStyle name="40% - Accent2 3 2 11 3" xfId="8726"/>
    <cellStyle name="40% - Accent2 3 2 11 3 2" xfId="25773"/>
    <cellStyle name="40% - Accent2 3 2 11 3 2 2" xfId="54634"/>
    <cellStyle name="40% - Accent2 3 2 11 3 3" xfId="37587"/>
    <cellStyle name="40% - Accent2 3 2 11 4" xfId="13168"/>
    <cellStyle name="40% - Accent2 3 2 11 4 2" xfId="20001"/>
    <cellStyle name="40% - Accent2 3 2 11 4 2 2" xfId="48862"/>
    <cellStyle name="40% - Accent2 3 2 11 4 3" xfId="42029"/>
    <cellStyle name="40% - Accent2 3 2 11 5" xfId="17321"/>
    <cellStyle name="40% - Accent2 3 2 11 5 2" xfId="46182"/>
    <cellStyle name="40% - Accent2 3 2 11 6" xfId="31546"/>
    <cellStyle name="40% - Accent2 3 2 12" xfId="3200"/>
    <cellStyle name="40% - Accent2 3 2 12 2" xfId="9241"/>
    <cellStyle name="40% - Accent2 3 2 12 2 2" xfId="26288"/>
    <cellStyle name="40% - Accent2 3 2 12 2 2 2" xfId="55149"/>
    <cellStyle name="40% - Accent2 3 2 12 2 3" xfId="38102"/>
    <cellStyle name="40% - Accent2 3 2 12 3" xfId="13671"/>
    <cellStyle name="40% - Accent2 3 2 12 3 2" xfId="20310"/>
    <cellStyle name="40% - Accent2 3 2 12 3 2 2" xfId="49171"/>
    <cellStyle name="40% - Accent2 3 2 12 3 3" xfId="42532"/>
    <cellStyle name="40% - Accent2 3 2 12 4" xfId="14950"/>
    <cellStyle name="40% - Accent2 3 2 12 4 2" xfId="43811"/>
    <cellStyle name="40% - Accent2 3 2 12 5" xfId="32061"/>
    <cellStyle name="40% - Accent2 3 2 13" xfId="2891"/>
    <cellStyle name="40% - Accent2 3 2 13 2" xfId="8932"/>
    <cellStyle name="40% - Accent2 3 2 13 2 2" xfId="25979"/>
    <cellStyle name="40% - Accent2 3 2 13 2 2 2" xfId="54840"/>
    <cellStyle name="40% - Accent2 3 2 13 2 3" xfId="37793"/>
    <cellStyle name="40% - Accent2 3 2 13 3" xfId="17527"/>
    <cellStyle name="40% - Accent2 3 2 13 3 2" xfId="46388"/>
    <cellStyle name="40% - Accent2 3 2 13 4" xfId="31752"/>
    <cellStyle name="40% - Accent2 3 2 14" xfId="5777"/>
    <cellStyle name="40% - Accent2 3 2 14 2" xfId="11818"/>
    <cellStyle name="40% - Accent2 3 2 14 2 2" xfId="28865"/>
    <cellStyle name="40% - Accent2 3 2 14 2 2 2" xfId="57726"/>
    <cellStyle name="40% - Accent2 3 2 14 2 3" xfId="40679"/>
    <cellStyle name="40% - Accent2 3 2 14 3" xfId="22887"/>
    <cellStyle name="40% - Accent2 3 2 14 3 2" xfId="51748"/>
    <cellStyle name="40% - Accent2 3 2 14 4" xfId="34638"/>
    <cellStyle name="40% - Accent2 3 2 15" xfId="5994"/>
    <cellStyle name="40% - Accent2 3 2 15 2" xfId="23093"/>
    <cellStyle name="40% - Accent2 3 2 15 2 2" xfId="51954"/>
    <cellStyle name="40% - Accent2 3 2 15 3" xfId="34855"/>
    <cellStyle name="40% - Accent2 3 2 16" xfId="6355"/>
    <cellStyle name="40% - Accent2 3 2 16 2" xfId="23402"/>
    <cellStyle name="40% - Accent2 3 2 16 2 2" xfId="52263"/>
    <cellStyle name="40% - Accent2 3 2 16 3" xfId="35216"/>
    <cellStyle name="40% - Accent2 3 2 17" xfId="14641"/>
    <cellStyle name="40% - Accent2 3 2 17 2" xfId="43502"/>
    <cellStyle name="40% - Accent2 3 2 18" xfId="29175"/>
    <cellStyle name="40% - Accent2 3 2 2" xfId="519"/>
    <cellStyle name="40% - Accent2 3 2 2 2" xfId="2270"/>
    <cellStyle name="40% - Accent2 3 2 2 2 2" xfId="5157"/>
    <cellStyle name="40% - Accent2 3 2 2 2 2 2" xfId="11198"/>
    <cellStyle name="40% - Accent2 3 2 2 2 2 2 2" xfId="28245"/>
    <cellStyle name="40% - Accent2 3 2 2 2 2 2 2 2" xfId="57106"/>
    <cellStyle name="40% - Accent2 3 2 2 2 2 2 3" xfId="40059"/>
    <cellStyle name="40% - Accent2 3 2 2 2 2 3" xfId="22267"/>
    <cellStyle name="40% - Accent2 3 2 2 2 2 3 2" xfId="51128"/>
    <cellStyle name="40% - Accent2 3 2 2 2 2 4" xfId="34018"/>
    <cellStyle name="40% - Accent2 3 2 2 2 3" xfId="8312"/>
    <cellStyle name="40% - Accent2 3 2 2 2 3 2" xfId="25359"/>
    <cellStyle name="40% - Accent2 3 2 2 2 3 2 2" xfId="54220"/>
    <cellStyle name="40% - Accent2 3 2 2 2 3 3" xfId="37173"/>
    <cellStyle name="40% - Accent2 3 2 2 2 4" xfId="12651"/>
    <cellStyle name="40% - Accent2 3 2 2 2 4 2" xfId="19587"/>
    <cellStyle name="40% - Accent2 3 2 2 2 4 2 2" xfId="48448"/>
    <cellStyle name="40% - Accent2 3 2 2 2 4 3" xfId="41512"/>
    <cellStyle name="40% - Accent2 3 2 2 2 5" xfId="16907"/>
    <cellStyle name="40% - Accent2 3 2 2 2 5 2" xfId="45768"/>
    <cellStyle name="40% - Accent2 3 2 2 2 6" xfId="31132"/>
    <cellStyle name="40% - Accent2 3 2 2 3" xfId="3406"/>
    <cellStyle name="40% - Accent2 3 2 2 3 2" xfId="9447"/>
    <cellStyle name="40% - Accent2 3 2 2 3 2 2" xfId="26494"/>
    <cellStyle name="40% - Accent2 3 2 2 3 2 2 2" xfId="55355"/>
    <cellStyle name="40% - Accent2 3 2 2 3 2 3" xfId="38308"/>
    <cellStyle name="40% - Accent2 3 2 2 3 3" xfId="20516"/>
    <cellStyle name="40% - Accent2 3 2 2 3 3 2" xfId="49377"/>
    <cellStyle name="40% - Accent2 3 2 2 3 4" xfId="32267"/>
    <cellStyle name="40% - Accent2 3 2 2 4" xfId="6561"/>
    <cellStyle name="40% - Accent2 3 2 2 4 2" xfId="23608"/>
    <cellStyle name="40% - Accent2 3 2 2 4 2 2" xfId="52469"/>
    <cellStyle name="40% - Accent2 3 2 2 4 3" xfId="35422"/>
    <cellStyle name="40% - Accent2 3 2 2 5" xfId="14168"/>
    <cellStyle name="40% - Accent2 3 2 2 5 2" xfId="17836"/>
    <cellStyle name="40% - Accent2 3 2 2 5 2 2" xfId="46697"/>
    <cellStyle name="40% - Accent2 3 2 2 5 3" xfId="43029"/>
    <cellStyle name="40% - Accent2 3 2 2 6" xfId="15156"/>
    <cellStyle name="40% - Accent2 3 2 2 6 2" xfId="44017"/>
    <cellStyle name="40% - Accent2 3 2 2 7" xfId="29381"/>
    <cellStyle name="40% - Accent2 3 2 3" xfId="828"/>
    <cellStyle name="40% - Accent2 3 2 3 2" xfId="3715"/>
    <cellStyle name="40% - Accent2 3 2 3 2 2" xfId="9756"/>
    <cellStyle name="40% - Accent2 3 2 3 2 2 2" xfId="26803"/>
    <cellStyle name="40% - Accent2 3 2 3 2 2 2 2" xfId="55664"/>
    <cellStyle name="40% - Accent2 3 2 3 2 2 3" xfId="38617"/>
    <cellStyle name="40% - Accent2 3 2 3 2 3" xfId="20825"/>
    <cellStyle name="40% - Accent2 3 2 3 2 3 2" xfId="49686"/>
    <cellStyle name="40% - Accent2 3 2 3 2 4" xfId="32576"/>
    <cellStyle name="40% - Accent2 3 2 3 3" xfId="6870"/>
    <cellStyle name="40% - Accent2 3 2 3 3 2" xfId="23917"/>
    <cellStyle name="40% - Accent2 3 2 3 3 2 2" xfId="52778"/>
    <cellStyle name="40% - Accent2 3 2 3 3 3" xfId="35731"/>
    <cellStyle name="40% - Accent2 3 2 3 4" xfId="12445"/>
    <cellStyle name="40% - Accent2 3 2 3 4 2" xfId="18145"/>
    <cellStyle name="40% - Accent2 3 2 3 4 2 2" xfId="47006"/>
    <cellStyle name="40% - Accent2 3 2 3 4 3" xfId="41306"/>
    <cellStyle name="40% - Accent2 3 2 3 5" xfId="15465"/>
    <cellStyle name="40% - Accent2 3 2 3 5 2" xfId="44326"/>
    <cellStyle name="40% - Accent2 3 2 3 6" xfId="29690"/>
    <cellStyle name="40% - Accent2 3 2 4" xfId="1034"/>
    <cellStyle name="40% - Accent2 3 2 4 2" xfId="3921"/>
    <cellStyle name="40% - Accent2 3 2 4 2 2" xfId="9962"/>
    <cellStyle name="40% - Accent2 3 2 4 2 2 2" xfId="27009"/>
    <cellStyle name="40% - Accent2 3 2 4 2 2 2 2" xfId="55870"/>
    <cellStyle name="40% - Accent2 3 2 4 2 2 3" xfId="38823"/>
    <cellStyle name="40% - Accent2 3 2 4 2 3" xfId="21031"/>
    <cellStyle name="40% - Accent2 3 2 4 2 3 2" xfId="49892"/>
    <cellStyle name="40% - Accent2 3 2 4 2 4" xfId="32782"/>
    <cellStyle name="40% - Accent2 3 2 4 3" xfId="7076"/>
    <cellStyle name="40% - Accent2 3 2 4 3 2" xfId="24123"/>
    <cellStyle name="40% - Accent2 3 2 4 3 2 2" xfId="52984"/>
    <cellStyle name="40% - Accent2 3 2 4 3 3" xfId="35937"/>
    <cellStyle name="40% - Accent2 3 2 4 4" xfId="12392"/>
    <cellStyle name="40% - Accent2 3 2 4 4 2" xfId="18351"/>
    <cellStyle name="40% - Accent2 3 2 4 4 2 2" xfId="47212"/>
    <cellStyle name="40% - Accent2 3 2 4 4 3" xfId="41253"/>
    <cellStyle name="40% - Accent2 3 2 4 5" xfId="15671"/>
    <cellStyle name="40% - Accent2 3 2 4 5 2" xfId="44532"/>
    <cellStyle name="40% - Accent2 3 2 4 6" xfId="29896"/>
    <cellStyle name="40% - Accent2 3 2 5" xfId="1240"/>
    <cellStyle name="40% - Accent2 3 2 5 2" xfId="4127"/>
    <cellStyle name="40% - Accent2 3 2 5 2 2" xfId="10168"/>
    <cellStyle name="40% - Accent2 3 2 5 2 2 2" xfId="27215"/>
    <cellStyle name="40% - Accent2 3 2 5 2 2 2 2" xfId="56076"/>
    <cellStyle name="40% - Accent2 3 2 5 2 2 3" xfId="39029"/>
    <cellStyle name="40% - Accent2 3 2 5 2 3" xfId="21237"/>
    <cellStyle name="40% - Accent2 3 2 5 2 3 2" xfId="50098"/>
    <cellStyle name="40% - Accent2 3 2 5 2 4" xfId="32988"/>
    <cellStyle name="40% - Accent2 3 2 5 3" xfId="7282"/>
    <cellStyle name="40% - Accent2 3 2 5 3 2" xfId="24329"/>
    <cellStyle name="40% - Accent2 3 2 5 3 2 2" xfId="53190"/>
    <cellStyle name="40% - Accent2 3 2 5 3 3" xfId="36143"/>
    <cellStyle name="40% - Accent2 3 2 5 4" xfId="13075"/>
    <cellStyle name="40% - Accent2 3 2 5 4 2" xfId="18557"/>
    <cellStyle name="40% - Accent2 3 2 5 4 2 2" xfId="47418"/>
    <cellStyle name="40% - Accent2 3 2 5 4 3" xfId="41936"/>
    <cellStyle name="40% - Accent2 3 2 5 5" xfId="15877"/>
    <cellStyle name="40% - Accent2 3 2 5 5 2" xfId="44738"/>
    <cellStyle name="40% - Accent2 3 2 5 6" xfId="30102"/>
    <cellStyle name="40% - Accent2 3 2 6" xfId="1446"/>
    <cellStyle name="40% - Accent2 3 2 6 2" xfId="4333"/>
    <cellStyle name="40% - Accent2 3 2 6 2 2" xfId="10374"/>
    <cellStyle name="40% - Accent2 3 2 6 2 2 2" xfId="27421"/>
    <cellStyle name="40% - Accent2 3 2 6 2 2 2 2" xfId="56282"/>
    <cellStyle name="40% - Accent2 3 2 6 2 2 3" xfId="39235"/>
    <cellStyle name="40% - Accent2 3 2 6 2 3" xfId="21443"/>
    <cellStyle name="40% - Accent2 3 2 6 2 3 2" xfId="50304"/>
    <cellStyle name="40% - Accent2 3 2 6 2 4" xfId="33194"/>
    <cellStyle name="40% - Accent2 3 2 6 3" xfId="7488"/>
    <cellStyle name="40% - Accent2 3 2 6 3 2" xfId="24535"/>
    <cellStyle name="40% - Accent2 3 2 6 3 2 2" xfId="53396"/>
    <cellStyle name="40% - Accent2 3 2 6 3 3" xfId="36349"/>
    <cellStyle name="40% - Accent2 3 2 6 4" xfId="12480"/>
    <cellStyle name="40% - Accent2 3 2 6 4 2" xfId="18763"/>
    <cellStyle name="40% - Accent2 3 2 6 4 2 2" xfId="47624"/>
    <cellStyle name="40% - Accent2 3 2 6 4 3" xfId="41341"/>
    <cellStyle name="40% - Accent2 3 2 6 5" xfId="16083"/>
    <cellStyle name="40% - Accent2 3 2 6 5 2" xfId="44944"/>
    <cellStyle name="40% - Accent2 3 2 6 6" xfId="30308"/>
    <cellStyle name="40% - Accent2 3 2 7" xfId="1652"/>
    <cellStyle name="40% - Accent2 3 2 7 2" xfId="4539"/>
    <cellStyle name="40% - Accent2 3 2 7 2 2" xfId="10580"/>
    <cellStyle name="40% - Accent2 3 2 7 2 2 2" xfId="27627"/>
    <cellStyle name="40% - Accent2 3 2 7 2 2 2 2" xfId="56488"/>
    <cellStyle name="40% - Accent2 3 2 7 2 2 3" xfId="39441"/>
    <cellStyle name="40% - Accent2 3 2 7 2 3" xfId="21649"/>
    <cellStyle name="40% - Accent2 3 2 7 2 3 2" xfId="50510"/>
    <cellStyle name="40% - Accent2 3 2 7 2 4" xfId="33400"/>
    <cellStyle name="40% - Accent2 3 2 7 3" xfId="7694"/>
    <cellStyle name="40% - Accent2 3 2 7 3 2" xfId="24741"/>
    <cellStyle name="40% - Accent2 3 2 7 3 2 2" xfId="53602"/>
    <cellStyle name="40% - Accent2 3 2 7 3 3" xfId="36555"/>
    <cellStyle name="40% - Accent2 3 2 7 4" xfId="14128"/>
    <cellStyle name="40% - Accent2 3 2 7 4 2" xfId="18969"/>
    <cellStyle name="40% - Accent2 3 2 7 4 2 2" xfId="47830"/>
    <cellStyle name="40% - Accent2 3 2 7 4 3" xfId="42989"/>
    <cellStyle name="40% - Accent2 3 2 7 5" xfId="16289"/>
    <cellStyle name="40% - Accent2 3 2 7 5 2" xfId="45150"/>
    <cellStyle name="40% - Accent2 3 2 7 6" xfId="30514"/>
    <cellStyle name="40% - Accent2 3 2 8" xfId="1858"/>
    <cellStyle name="40% - Accent2 3 2 8 2" xfId="4745"/>
    <cellStyle name="40% - Accent2 3 2 8 2 2" xfId="10786"/>
    <cellStyle name="40% - Accent2 3 2 8 2 2 2" xfId="27833"/>
    <cellStyle name="40% - Accent2 3 2 8 2 2 2 2" xfId="56694"/>
    <cellStyle name="40% - Accent2 3 2 8 2 2 3" xfId="39647"/>
    <cellStyle name="40% - Accent2 3 2 8 2 3" xfId="21855"/>
    <cellStyle name="40% - Accent2 3 2 8 2 3 2" xfId="50716"/>
    <cellStyle name="40% - Accent2 3 2 8 2 4" xfId="33606"/>
    <cellStyle name="40% - Accent2 3 2 8 3" xfId="7900"/>
    <cellStyle name="40% - Accent2 3 2 8 3 2" xfId="24947"/>
    <cellStyle name="40% - Accent2 3 2 8 3 2 2" xfId="53808"/>
    <cellStyle name="40% - Accent2 3 2 8 3 3" xfId="36761"/>
    <cellStyle name="40% - Accent2 3 2 8 4" xfId="12781"/>
    <cellStyle name="40% - Accent2 3 2 8 4 2" xfId="19175"/>
    <cellStyle name="40% - Accent2 3 2 8 4 2 2" xfId="48036"/>
    <cellStyle name="40% - Accent2 3 2 8 4 3" xfId="41642"/>
    <cellStyle name="40% - Accent2 3 2 8 5" xfId="16495"/>
    <cellStyle name="40% - Accent2 3 2 8 5 2" xfId="45356"/>
    <cellStyle name="40% - Accent2 3 2 8 6" xfId="30720"/>
    <cellStyle name="40% - Accent2 3 2 9" xfId="2064"/>
    <cellStyle name="40% - Accent2 3 2 9 2" xfId="4951"/>
    <cellStyle name="40% - Accent2 3 2 9 2 2" xfId="10992"/>
    <cellStyle name="40% - Accent2 3 2 9 2 2 2" xfId="28039"/>
    <cellStyle name="40% - Accent2 3 2 9 2 2 2 2" xfId="56900"/>
    <cellStyle name="40% - Accent2 3 2 9 2 2 3" xfId="39853"/>
    <cellStyle name="40% - Accent2 3 2 9 2 3" xfId="22061"/>
    <cellStyle name="40% - Accent2 3 2 9 2 3 2" xfId="50922"/>
    <cellStyle name="40% - Accent2 3 2 9 2 4" xfId="33812"/>
    <cellStyle name="40% - Accent2 3 2 9 3" xfId="8106"/>
    <cellStyle name="40% - Accent2 3 2 9 3 2" xfId="25153"/>
    <cellStyle name="40% - Accent2 3 2 9 3 2 2" xfId="54014"/>
    <cellStyle name="40% - Accent2 3 2 9 3 3" xfId="36967"/>
    <cellStyle name="40% - Accent2 3 2 9 4" xfId="12935"/>
    <cellStyle name="40% - Accent2 3 2 9 4 2" xfId="19381"/>
    <cellStyle name="40% - Accent2 3 2 9 4 2 2" xfId="48242"/>
    <cellStyle name="40% - Accent2 3 2 9 4 3" xfId="41796"/>
    <cellStyle name="40% - Accent2 3 2 9 5" xfId="16701"/>
    <cellStyle name="40% - Accent2 3 2 9 5 2" xfId="45562"/>
    <cellStyle name="40% - Accent2 3 2 9 6" xfId="30926"/>
    <cellStyle name="40% - Accent2 3 20" xfId="28969"/>
    <cellStyle name="40% - Accent2 3 3" xfId="210"/>
    <cellStyle name="40% - Accent2 3 3 2" xfId="622"/>
    <cellStyle name="40% - Accent2 3 3 2 2" xfId="3509"/>
    <cellStyle name="40% - Accent2 3 3 2 2 2" xfId="9550"/>
    <cellStyle name="40% - Accent2 3 3 2 2 2 2" xfId="26597"/>
    <cellStyle name="40% - Accent2 3 3 2 2 2 2 2" xfId="55458"/>
    <cellStyle name="40% - Accent2 3 3 2 2 2 3" xfId="38411"/>
    <cellStyle name="40% - Accent2 3 3 2 2 3" xfId="20619"/>
    <cellStyle name="40% - Accent2 3 3 2 2 3 2" xfId="49480"/>
    <cellStyle name="40% - Accent2 3 3 2 2 4" xfId="32370"/>
    <cellStyle name="40% - Accent2 3 3 2 3" xfId="6664"/>
    <cellStyle name="40% - Accent2 3 3 2 3 2" xfId="23711"/>
    <cellStyle name="40% - Accent2 3 3 2 3 2 2" xfId="52572"/>
    <cellStyle name="40% - Accent2 3 3 2 3 3" xfId="35525"/>
    <cellStyle name="40% - Accent2 3 3 2 4" xfId="12078"/>
    <cellStyle name="40% - Accent2 3 3 2 4 2" xfId="17939"/>
    <cellStyle name="40% - Accent2 3 3 2 4 2 2" xfId="46800"/>
    <cellStyle name="40% - Accent2 3 3 2 4 3" xfId="40939"/>
    <cellStyle name="40% - Accent2 3 3 2 5" xfId="15259"/>
    <cellStyle name="40% - Accent2 3 3 2 5 2" xfId="44120"/>
    <cellStyle name="40% - Accent2 3 3 2 6" xfId="29484"/>
    <cellStyle name="40% - Accent2 3 3 3" xfId="2167"/>
    <cellStyle name="40% - Accent2 3 3 3 2" xfId="5054"/>
    <cellStyle name="40% - Accent2 3 3 3 2 2" xfId="11095"/>
    <cellStyle name="40% - Accent2 3 3 3 2 2 2" xfId="28142"/>
    <cellStyle name="40% - Accent2 3 3 3 2 2 2 2" xfId="57003"/>
    <cellStyle name="40% - Accent2 3 3 3 2 2 3" xfId="39956"/>
    <cellStyle name="40% - Accent2 3 3 3 2 3" xfId="22164"/>
    <cellStyle name="40% - Accent2 3 3 3 2 3 2" xfId="51025"/>
    <cellStyle name="40% - Accent2 3 3 3 2 4" xfId="33915"/>
    <cellStyle name="40% - Accent2 3 3 3 3" xfId="8209"/>
    <cellStyle name="40% - Accent2 3 3 3 3 2" xfId="25256"/>
    <cellStyle name="40% - Accent2 3 3 3 3 2 2" xfId="54117"/>
    <cellStyle name="40% - Accent2 3 3 3 3 3" xfId="37070"/>
    <cellStyle name="40% - Accent2 3 3 3 4" xfId="12284"/>
    <cellStyle name="40% - Accent2 3 3 3 4 2" xfId="19484"/>
    <cellStyle name="40% - Accent2 3 3 3 4 2 2" xfId="48345"/>
    <cellStyle name="40% - Accent2 3 3 3 4 3" xfId="41145"/>
    <cellStyle name="40% - Accent2 3 3 3 5" xfId="16804"/>
    <cellStyle name="40% - Accent2 3 3 3 5 2" xfId="45665"/>
    <cellStyle name="40% - Accent2 3 3 3 6" xfId="31029"/>
    <cellStyle name="40% - Accent2 3 3 4" xfId="3097"/>
    <cellStyle name="40% - Accent2 3 3 4 2" xfId="9138"/>
    <cellStyle name="40% - Accent2 3 3 4 2 2" xfId="26185"/>
    <cellStyle name="40% - Accent2 3 3 4 2 2 2" xfId="55046"/>
    <cellStyle name="40% - Accent2 3 3 4 2 3" xfId="37999"/>
    <cellStyle name="40% - Accent2 3 3 4 3" xfId="20207"/>
    <cellStyle name="40% - Accent2 3 3 4 3 2" xfId="49068"/>
    <cellStyle name="40% - Accent2 3 3 4 4" xfId="31958"/>
    <cellStyle name="40% - Accent2 3 3 5" xfId="6252"/>
    <cellStyle name="40% - Accent2 3 3 5 2" xfId="23299"/>
    <cellStyle name="40% - Accent2 3 3 5 2 2" xfId="52160"/>
    <cellStyle name="40% - Accent2 3 3 5 3" xfId="35113"/>
    <cellStyle name="40% - Accent2 3 3 6" xfId="11901"/>
    <cellStyle name="40% - Accent2 3 3 6 2" xfId="17630"/>
    <cellStyle name="40% - Accent2 3 3 6 2 2" xfId="46491"/>
    <cellStyle name="40% - Accent2 3 3 6 3" xfId="40762"/>
    <cellStyle name="40% - Accent2 3 3 7" xfId="14847"/>
    <cellStyle name="40% - Accent2 3 3 7 2" xfId="43708"/>
    <cellStyle name="40% - Accent2 3 3 8" xfId="29072"/>
    <cellStyle name="40% - Accent2 3 4" xfId="416"/>
    <cellStyle name="40% - Accent2 3 4 2" xfId="3303"/>
    <cellStyle name="40% - Accent2 3 4 2 2" xfId="9344"/>
    <cellStyle name="40% - Accent2 3 4 2 2 2" xfId="26391"/>
    <cellStyle name="40% - Accent2 3 4 2 2 2 2" xfId="55252"/>
    <cellStyle name="40% - Accent2 3 4 2 2 3" xfId="38205"/>
    <cellStyle name="40% - Accent2 3 4 2 3" xfId="20413"/>
    <cellStyle name="40% - Accent2 3 4 2 3 2" xfId="49274"/>
    <cellStyle name="40% - Accent2 3 4 2 4" xfId="32164"/>
    <cellStyle name="40% - Accent2 3 4 3" xfId="6458"/>
    <cellStyle name="40% - Accent2 3 4 3 2" xfId="23505"/>
    <cellStyle name="40% - Accent2 3 4 3 2 2" xfId="52366"/>
    <cellStyle name="40% - Accent2 3 4 3 3" xfId="35319"/>
    <cellStyle name="40% - Accent2 3 4 4" xfId="14083"/>
    <cellStyle name="40% - Accent2 3 4 4 2" xfId="17733"/>
    <cellStyle name="40% - Accent2 3 4 4 2 2" xfId="46594"/>
    <cellStyle name="40% - Accent2 3 4 4 3" xfId="42944"/>
    <cellStyle name="40% - Accent2 3 4 5" xfId="15053"/>
    <cellStyle name="40% - Accent2 3 4 5 2" xfId="43914"/>
    <cellStyle name="40% - Accent2 3 4 6" xfId="29278"/>
    <cellStyle name="40% - Accent2 3 5" xfId="725"/>
    <cellStyle name="40% - Accent2 3 5 2" xfId="3612"/>
    <cellStyle name="40% - Accent2 3 5 2 2" xfId="9653"/>
    <cellStyle name="40% - Accent2 3 5 2 2 2" xfId="26700"/>
    <cellStyle name="40% - Accent2 3 5 2 2 2 2" xfId="55561"/>
    <cellStyle name="40% - Accent2 3 5 2 2 3" xfId="38514"/>
    <cellStyle name="40% - Accent2 3 5 2 3" xfId="20722"/>
    <cellStyle name="40% - Accent2 3 5 2 3 2" xfId="49583"/>
    <cellStyle name="40% - Accent2 3 5 2 4" xfId="32473"/>
    <cellStyle name="40% - Accent2 3 5 3" xfId="6767"/>
    <cellStyle name="40% - Accent2 3 5 3 2" xfId="23814"/>
    <cellStyle name="40% - Accent2 3 5 3 2 2" xfId="52675"/>
    <cellStyle name="40% - Accent2 3 5 3 3" xfId="35628"/>
    <cellStyle name="40% - Accent2 3 5 4" xfId="14423"/>
    <cellStyle name="40% - Accent2 3 5 4 2" xfId="18042"/>
    <cellStyle name="40% - Accent2 3 5 4 2 2" xfId="46903"/>
    <cellStyle name="40% - Accent2 3 5 4 3" xfId="43284"/>
    <cellStyle name="40% - Accent2 3 5 5" xfId="15362"/>
    <cellStyle name="40% - Accent2 3 5 5 2" xfId="44223"/>
    <cellStyle name="40% - Accent2 3 5 6" xfId="29587"/>
    <cellStyle name="40% - Accent2 3 6" xfId="931"/>
    <cellStyle name="40% - Accent2 3 6 2" xfId="3818"/>
    <cellStyle name="40% - Accent2 3 6 2 2" xfId="9859"/>
    <cellStyle name="40% - Accent2 3 6 2 2 2" xfId="26906"/>
    <cellStyle name="40% - Accent2 3 6 2 2 2 2" xfId="55767"/>
    <cellStyle name="40% - Accent2 3 6 2 2 3" xfId="38720"/>
    <cellStyle name="40% - Accent2 3 6 2 3" xfId="20928"/>
    <cellStyle name="40% - Accent2 3 6 2 3 2" xfId="49789"/>
    <cellStyle name="40% - Accent2 3 6 2 4" xfId="32679"/>
    <cellStyle name="40% - Accent2 3 6 3" xfId="6973"/>
    <cellStyle name="40% - Accent2 3 6 3 2" xfId="24020"/>
    <cellStyle name="40% - Accent2 3 6 3 2 2" xfId="52881"/>
    <cellStyle name="40% - Accent2 3 6 3 3" xfId="35834"/>
    <cellStyle name="40% - Accent2 3 6 4" xfId="13183"/>
    <cellStyle name="40% - Accent2 3 6 4 2" xfId="18248"/>
    <cellStyle name="40% - Accent2 3 6 4 2 2" xfId="47109"/>
    <cellStyle name="40% - Accent2 3 6 4 3" xfId="42044"/>
    <cellStyle name="40% - Accent2 3 6 5" xfId="15568"/>
    <cellStyle name="40% - Accent2 3 6 5 2" xfId="44429"/>
    <cellStyle name="40% - Accent2 3 6 6" xfId="29793"/>
    <cellStyle name="40% - Accent2 3 7" xfId="1137"/>
    <cellStyle name="40% - Accent2 3 7 2" xfId="4024"/>
    <cellStyle name="40% - Accent2 3 7 2 2" xfId="10065"/>
    <cellStyle name="40% - Accent2 3 7 2 2 2" xfId="27112"/>
    <cellStyle name="40% - Accent2 3 7 2 2 2 2" xfId="55973"/>
    <cellStyle name="40% - Accent2 3 7 2 2 3" xfId="38926"/>
    <cellStyle name="40% - Accent2 3 7 2 3" xfId="21134"/>
    <cellStyle name="40% - Accent2 3 7 2 3 2" xfId="49995"/>
    <cellStyle name="40% - Accent2 3 7 2 4" xfId="32885"/>
    <cellStyle name="40% - Accent2 3 7 3" xfId="7179"/>
    <cellStyle name="40% - Accent2 3 7 3 2" xfId="24226"/>
    <cellStyle name="40% - Accent2 3 7 3 2 2" xfId="53087"/>
    <cellStyle name="40% - Accent2 3 7 3 3" xfId="36040"/>
    <cellStyle name="40% - Accent2 3 7 4" xfId="13226"/>
    <cellStyle name="40% - Accent2 3 7 4 2" xfId="18454"/>
    <cellStyle name="40% - Accent2 3 7 4 2 2" xfId="47315"/>
    <cellStyle name="40% - Accent2 3 7 4 3" xfId="42087"/>
    <cellStyle name="40% - Accent2 3 7 5" xfId="15774"/>
    <cellStyle name="40% - Accent2 3 7 5 2" xfId="44635"/>
    <cellStyle name="40% - Accent2 3 7 6" xfId="29999"/>
    <cellStyle name="40% - Accent2 3 8" xfId="1343"/>
    <cellStyle name="40% - Accent2 3 8 2" xfId="4230"/>
    <cellStyle name="40% - Accent2 3 8 2 2" xfId="10271"/>
    <cellStyle name="40% - Accent2 3 8 2 2 2" xfId="27318"/>
    <cellStyle name="40% - Accent2 3 8 2 2 2 2" xfId="56179"/>
    <cellStyle name="40% - Accent2 3 8 2 2 3" xfId="39132"/>
    <cellStyle name="40% - Accent2 3 8 2 3" xfId="21340"/>
    <cellStyle name="40% - Accent2 3 8 2 3 2" xfId="50201"/>
    <cellStyle name="40% - Accent2 3 8 2 4" xfId="33091"/>
    <cellStyle name="40% - Accent2 3 8 3" xfId="7385"/>
    <cellStyle name="40% - Accent2 3 8 3 2" xfId="24432"/>
    <cellStyle name="40% - Accent2 3 8 3 2 2" xfId="53293"/>
    <cellStyle name="40% - Accent2 3 8 3 3" xfId="36246"/>
    <cellStyle name="40% - Accent2 3 8 4" xfId="12277"/>
    <cellStyle name="40% - Accent2 3 8 4 2" xfId="18660"/>
    <cellStyle name="40% - Accent2 3 8 4 2 2" xfId="47521"/>
    <cellStyle name="40% - Accent2 3 8 4 3" xfId="41138"/>
    <cellStyle name="40% - Accent2 3 8 5" xfId="15980"/>
    <cellStyle name="40% - Accent2 3 8 5 2" xfId="44841"/>
    <cellStyle name="40% - Accent2 3 8 6" xfId="30205"/>
    <cellStyle name="40% - Accent2 3 9" xfId="1549"/>
    <cellStyle name="40% - Accent2 3 9 2" xfId="4436"/>
    <cellStyle name="40% - Accent2 3 9 2 2" xfId="10477"/>
    <cellStyle name="40% - Accent2 3 9 2 2 2" xfId="27524"/>
    <cellStyle name="40% - Accent2 3 9 2 2 2 2" xfId="56385"/>
    <cellStyle name="40% - Accent2 3 9 2 2 3" xfId="39338"/>
    <cellStyle name="40% - Accent2 3 9 2 3" xfId="21546"/>
    <cellStyle name="40% - Accent2 3 9 2 3 2" xfId="50407"/>
    <cellStyle name="40% - Accent2 3 9 2 4" xfId="33297"/>
    <cellStyle name="40% - Accent2 3 9 3" xfId="7591"/>
    <cellStyle name="40% - Accent2 3 9 3 2" xfId="24638"/>
    <cellStyle name="40% - Accent2 3 9 3 2 2" xfId="53499"/>
    <cellStyle name="40% - Accent2 3 9 3 3" xfId="36452"/>
    <cellStyle name="40% - Accent2 3 9 4" xfId="13431"/>
    <cellStyle name="40% - Accent2 3 9 4 2" xfId="18866"/>
    <cellStyle name="40% - Accent2 3 9 4 2 2" xfId="47727"/>
    <cellStyle name="40% - Accent2 3 9 4 3" xfId="42292"/>
    <cellStyle name="40% - Accent2 3 9 5" xfId="16186"/>
    <cellStyle name="40% - Accent2 3 9 5 2" xfId="45047"/>
    <cellStyle name="40% - Accent2 3 9 6" xfId="30411"/>
    <cellStyle name="40% - Accent2 4" xfId="133"/>
    <cellStyle name="40% - Accent2 4 10" xfId="1781"/>
    <cellStyle name="40% - Accent2 4 10 2" xfId="4668"/>
    <cellStyle name="40% - Accent2 4 10 2 2" xfId="10709"/>
    <cellStyle name="40% - Accent2 4 10 2 2 2" xfId="27756"/>
    <cellStyle name="40% - Accent2 4 10 2 2 2 2" xfId="56617"/>
    <cellStyle name="40% - Accent2 4 10 2 2 3" xfId="39570"/>
    <cellStyle name="40% - Accent2 4 10 2 3" xfId="21778"/>
    <cellStyle name="40% - Accent2 4 10 2 3 2" xfId="50639"/>
    <cellStyle name="40% - Accent2 4 10 2 4" xfId="33529"/>
    <cellStyle name="40% - Accent2 4 10 3" xfId="7823"/>
    <cellStyle name="40% - Accent2 4 10 3 2" xfId="24870"/>
    <cellStyle name="40% - Accent2 4 10 3 2 2" xfId="53731"/>
    <cellStyle name="40% - Accent2 4 10 3 3" xfId="36684"/>
    <cellStyle name="40% - Accent2 4 10 4" xfId="12544"/>
    <cellStyle name="40% - Accent2 4 10 4 2" xfId="19098"/>
    <cellStyle name="40% - Accent2 4 10 4 2 2" xfId="47959"/>
    <cellStyle name="40% - Accent2 4 10 4 3" xfId="41405"/>
    <cellStyle name="40% - Accent2 4 10 5" xfId="16418"/>
    <cellStyle name="40% - Accent2 4 10 5 2" xfId="45279"/>
    <cellStyle name="40% - Accent2 4 10 6" xfId="30643"/>
    <cellStyle name="40% - Accent2 4 11" xfId="1987"/>
    <cellStyle name="40% - Accent2 4 11 2" xfId="4874"/>
    <cellStyle name="40% - Accent2 4 11 2 2" xfId="10915"/>
    <cellStyle name="40% - Accent2 4 11 2 2 2" xfId="27962"/>
    <cellStyle name="40% - Accent2 4 11 2 2 2 2" xfId="56823"/>
    <cellStyle name="40% - Accent2 4 11 2 2 3" xfId="39776"/>
    <cellStyle name="40% - Accent2 4 11 2 3" xfId="21984"/>
    <cellStyle name="40% - Accent2 4 11 2 3 2" xfId="50845"/>
    <cellStyle name="40% - Accent2 4 11 2 4" xfId="33735"/>
    <cellStyle name="40% - Accent2 4 11 3" xfId="8029"/>
    <cellStyle name="40% - Accent2 4 11 3 2" xfId="25076"/>
    <cellStyle name="40% - Accent2 4 11 3 2 2" xfId="53937"/>
    <cellStyle name="40% - Accent2 4 11 3 3" xfId="36890"/>
    <cellStyle name="40% - Accent2 4 11 4" xfId="14384"/>
    <cellStyle name="40% - Accent2 4 11 4 2" xfId="19304"/>
    <cellStyle name="40% - Accent2 4 11 4 2 2" xfId="48165"/>
    <cellStyle name="40% - Accent2 4 11 4 3" xfId="43245"/>
    <cellStyle name="40% - Accent2 4 11 5" xfId="16624"/>
    <cellStyle name="40% - Accent2 4 11 5 2" xfId="45485"/>
    <cellStyle name="40% - Accent2 4 11 6" xfId="30849"/>
    <cellStyle name="40% - Accent2 4 12" xfId="2399"/>
    <cellStyle name="40% - Accent2 4 12 2" xfId="5286"/>
    <cellStyle name="40% - Accent2 4 12 2 2" xfId="11327"/>
    <cellStyle name="40% - Accent2 4 12 2 2 2" xfId="28374"/>
    <cellStyle name="40% - Accent2 4 12 2 2 2 2" xfId="57235"/>
    <cellStyle name="40% - Accent2 4 12 2 2 3" xfId="40188"/>
    <cellStyle name="40% - Accent2 4 12 2 3" xfId="22396"/>
    <cellStyle name="40% - Accent2 4 12 2 3 2" xfId="51257"/>
    <cellStyle name="40% - Accent2 4 12 2 4" xfId="34147"/>
    <cellStyle name="40% - Accent2 4 12 3" xfId="8441"/>
    <cellStyle name="40% - Accent2 4 12 3 2" xfId="25488"/>
    <cellStyle name="40% - Accent2 4 12 3 2 2" xfId="54349"/>
    <cellStyle name="40% - Accent2 4 12 3 3" xfId="37302"/>
    <cellStyle name="40% - Accent2 4 12 4" xfId="12312"/>
    <cellStyle name="40% - Accent2 4 12 4 2" xfId="19716"/>
    <cellStyle name="40% - Accent2 4 12 4 2 2" xfId="48577"/>
    <cellStyle name="40% - Accent2 4 12 4 3" xfId="41173"/>
    <cellStyle name="40% - Accent2 4 12 5" xfId="17036"/>
    <cellStyle name="40% - Accent2 4 12 5 2" xfId="45897"/>
    <cellStyle name="40% - Accent2 4 12 6" xfId="31261"/>
    <cellStyle name="40% - Accent2 4 13" xfId="2608"/>
    <cellStyle name="40% - Accent2 4 13 2" xfId="5494"/>
    <cellStyle name="40% - Accent2 4 13 2 2" xfId="11535"/>
    <cellStyle name="40% - Accent2 4 13 2 2 2" xfId="28582"/>
    <cellStyle name="40% - Accent2 4 13 2 2 2 2" xfId="57443"/>
    <cellStyle name="40% - Accent2 4 13 2 2 3" xfId="40396"/>
    <cellStyle name="40% - Accent2 4 13 2 3" xfId="22604"/>
    <cellStyle name="40% - Accent2 4 13 2 3 2" xfId="51465"/>
    <cellStyle name="40% - Accent2 4 13 2 4" xfId="34355"/>
    <cellStyle name="40% - Accent2 4 13 3" xfId="8649"/>
    <cellStyle name="40% - Accent2 4 13 3 2" xfId="25696"/>
    <cellStyle name="40% - Accent2 4 13 3 2 2" xfId="54557"/>
    <cellStyle name="40% - Accent2 4 13 3 3" xfId="37510"/>
    <cellStyle name="40% - Accent2 4 13 4" xfId="14293"/>
    <cellStyle name="40% - Accent2 4 13 4 2" xfId="19924"/>
    <cellStyle name="40% - Accent2 4 13 4 2 2" xfId="48785"/>
    <cellStyle name="40% - Accent2 4 13 4 3" xfId="43154"/>
    <cellStyle name="40% - Accent2 4 13 5" xfId="17244"/>
    <cellStyle name="40% - Accent2 4 13 5 2" xfId="46105"/>
    <cellStyle name="40% - Accent2 4 13 6" xfId="31469"/>
    <cellStyle name="40% - Accent2 4 14" xfId="3020"/>
    <cellStyle name="40% - Accent2 4 14 2" xfId="9061"/>
    <cellStyle name="40% - Accent2 4 14 2 2" xfId="26108"/>
    <cellStyle name="40% - Accent2 4 14 2 2 2" xfId="54969"/>
    <cellStyle name="40% - Accent2 4 14 2 3" xfId="37922"/>
    <cellStyle name="40% - Accent2 4 14 3" xfId="6089"/>
    <cellStyle name="40% - Accent2 4 14 3 2" xfId="20130"/>
    <cellStyle name="40% - Accent2 4 14 3 2 2" xfId="48991"/>
    <cellStyle name="40% - Accent2 4 14 3 3" xfId="34950"/>
    <cellStyle name="40% - Accent2 4 14 4" xfId="14770"/>
    <cellStyle name="40% - Accent2 4 14 4 2" xfId="43631"/>
    <cellStyle name="40% - Accent2 4 14 5" xfId="31881"/>
    <cellStyle name="40% - Accent2 4 15" xfId="2814"/>
    <cellStyle name="40% - Accent2 4 15 2" xfId="8855"/>
    <cellStyle name="40% - Accent2 4 15 2 2" xfId="25902"/>
    <cellStyle name="40% - Accent2 4 15 2 2 2" xfId="54763"/>
    <cellStyle name="40% - Accent2 4 15 2 3" xfId="37716"/>
    <cellStyle name="40% - Accent2 4 15 3" xfId="17450"/>
    <cellStyle name="40% - Accent2 4 15 3 2" xfId="46311"/>
    <cellStyle name="40% - Accent2 4 15 4" xfId="31675"/>
    <cellStyle name="40% - Accent2 4 16" xfId="5700"/>
    <cellStyle name="40% - Accent2 4 16 2" xfId="11741"/>
    <cellStyle name="40% - Accent2 4 16 2 2" xfId="28788"/>
    <cellStyle name="40% - Accent2 4 16 2 2 2" xfId="57649"/>
    <cellStyle name="40% - Accent2 4 16 2 3" xfId="40602"/>
    <cellStyle name="40% - Accent2 4 16 3" xfId="22810"/>
    <cellStyle name="40% - Accent2 4 16 3 2" xfId="51671"/>
    <cellStyle name="40% - Accent2 4 16 4" xfId="34561"/>
    <cellStyle name="40% - Accent2 4 17" xfId="5917"/>
    <cellStyle name="40% - Accent2 4 17 2" xfId="23016"/>
    <cellStyle name="40% - Accent2 4 17 2 2" xfId="51877"/>
    <cellStyle name="40% - Accent2 4 17 3" xfId="34778"/>
    <cellStyle name="40% - Accent2 4 18" xfId="6175"/>
    <cellStyle name="40% - Accent2 4 18 2" xfId="23222"/>
    <cellStyle name="40% - Accent2 4 18 2 2" xfId="52083"/>
    <cellStyle name="40% - Accent2 4 18 3" xfId="35036"/>
    <cellStyle name="40% - Accent2 4 19" xfId="14564"/>
    <cellStyle name="40% - Accent2 4 19 2" xfId="43425"/>
    <cellStyle name="40% - Accent2 4 2" xfId="339"/>
    <cellStyle name="40% - Accent2 4 2 10" xfId="2502"/>
    <cellStyle name="40% - Accent2 4 2 10 2" xfId="5389"/>
    <cellStyle name="40% - Accent2 4 2 10 2 2" xfId="11430"/>
    <cellStyle name="40% - Accent2 4 2 10 2 2 2" xfId="28477"/>
    <cellStyle name="40% - Accent2 4 2 10 2 2 2 2" xfId="57338"/>
    <cellStyle name="40% - Accent2 4 2 10 2 2 3" xfId="40291"/>
    <cellStyle name="40% - Accent2 4 2 10 2 3" xfId="22499"/>
    <cellStyle name="40% - Accent2 4 2 10 2 3 2" xfId="51360"/>
    <cellStyle name="40% - Accent2 4 2 10 2 4" xfId="34250"/>
    <cellStyle name="40% - Accent2 4 2 10 3" xfId="8544"/>
    <cellStyle name="40% - Accent2 4 2 10 3 2" xfId="25591"/>
    <cellStyle name="40% - Accent2 4 2 10 3 2 2" xfId="54452"/>
    <cellStyle name="40% - Accent2 4 2 10 3 3" xfId="37405"/>
    <cellStyle name="40% - Accent2 4 2 10 4" xfId="12656"/>
    <cellStyle name="40% - Accent2 4 2 10 4 2" xfId="19819"/>
    <cellStyle name="40% - Accent2 4 2 10 4 2 2" xfId="48680"/>
    <cellStyle name="40% - Accent2 4 2 10 4 3" xfId="41517"/>
    <cellStyle name="40% - Accent2 4 2 10 5" xfId="17139"/>
    <cellStyle name="40% - Accent2 4 2 10 5 2" xfId="46000"/>
    <cellStyle name="40% - Accent2 4 2 10 6" xfId="31364"/>
    <cellStyle name="40% - Accent2 4 2 11" xfId="2711"/>
    <cellStyle name="40% - Accent2 4 2 11 2" xfId="5597"/>
    <cellStyle name="40% - Accent2 4 2 11 2 2" xfId="11638"/>
    <cellStyle name="40% - Accent2 4 2 11 2 2 2" xfId="28685"/>
    <cellStyle name="40% - Accent2 4 2 11 2 2 2 2" xfId="57546"/>
    <cellStyle name="40% - Accent2 4 2 11 2 2 3" xfId="40499"/>
    <cellStyle name="40% - Accent2 4 2 11 2 3" xfId="22707"/>
    <cellStyle name="40% - Accent2 4 2 11 2 3 2" xfId="51568"/>
    <cellStyle name="40% - Accent2 4 2 11 2 4" xfId="34458"/>
    <cellStyle name="40% - Accent2 4 2 11 3" xfId="8752"/>
    <cellStyle name="40% - Accent2 4 2 11 3 2" xfId="25799"/>
    <cellStyle name="40% - Accent2 4 2 11 3 2 2" xfId="54660"/>
    <cellStyle name="40% - Accent2 4 2 11 3 3" xfId="37613"/>
    <cellStyle name="40% - Accent2 4 2 11 4" xfId="12419"/>
    <cellStyle name="40% - Accent2 4 2 11 4 2" xfId="20027"/>
    <cellStyle name="40% - Accent2 4 2 11 4 2 2" xfId="48888"/>
    <cellStyle name="40% - Accent2 4 2 11 4 3" xfId="41280"/>
    <cellStyle name="40% - Accent2 4 2 11 5" xfId="17347"/>
    <cellStyle name="40% - Accent2 4 2 11 5 2" xfId="46208"/>
    <cellStyle name="40% - Accent2 4 2 11 6" xfId="31572"/>
    <cellStyle name="40% - Accent2 4 2 12" xfId="3226"/>
    <cellStyle name="40% - Accent2 4 2 12 2" xfId="9267"/>
    <cellStyle name="40% - Accent2 4 2 12 2 2" xfId="26314"/>
    <cellStyle name="40% - Accent2 4 2 12 2 2 2" xfId="55175"/>
    <cellStyle name="40% - Accent2 4 2 12 2 3" xfId="38128"/>
    <cellStyle name="40% - Accent2 4 2 12 3" xfId="13319"/>
    <cellStyle name="40% - Accent2 4 2 12 3 2" xfId="20336"/>
    <cellStyle name="40% - Accent2 4 2 12 3 2 2" xfId="49197"/>
    <cellStyle name="40% - Accent2 4 2 12 3 3" xfId="42180"/>
    <cellStyle name="40% - Accent2 4 2 12 4" xfId="14976"/>
    <cellStyle name="40% - Accent2 4 2 12 4 2" xfId="43837"/>
    <cellStyle name="40% - Accent2 4 2 12 5" xfId="32087"/>
    <cellStyle name="40% - Accent2 4 2 13" xfId="2917"/>
    <cellStyle name="40% - Accent2 4 2 13 2" xfId="8958"/>
    <cellStyle name="40% - Accent2 4 2 13 2 2" xfId="26005"/>
    <cellStyle name="40% - Accent2 4 2 13 2 2 2" xfId="54866"/>
    <cellStyle name="40% - Accent2 4 2 13 2 3" xfId="37819"/>
    <cellStyle name="40% - Accent2 4 2 13 3" xfId="17553"/>
    <cellStyle name="40% - Accent2 4 2 13 3 2" xfId="46414"/>
    <cellStyle name="40% - Accent2 4 2 13 4" xfId="31778"/>
    <cellStyle name="40% - Accent2 4 2 14" xfId="5803"/>
    <cellStyle name="40% - Accent2 4 2 14 2" xfId="11844"/>
    <cellStyle name="40% - Accent2 4 2 14 2 2" xfId="28891"/>
    <cellStyle name="40% - Accent2 4 2 14 2 2 2" xfId="57752"/>
    <cellStyle name="40% - Accent2 4 2 14 2 3" xfId="40705"/>
    <cellStyle name="40% - Accent2 4 2 14 3" xfId="22913"/>
    <cellStyle name="40% - Accent2 4 2 14 3 2" xfId="51774"/>
    <cellStyle name="40% - Accent2 4 2 14 4" xfId="34664"/>
    <cellStyle name="40% - Accent2 4 2 15" xfId="6020"/>
    <cellStyle name="40% - Accent2 4 2 15 2" xfId="23119"/>
    <cellStyle name="40% - Accent2 4 2 15 2 2" xfId="51980"/>
    <cellStyle name="40% - Accent2 4 2 15 3" xfId="34881"/>
    <cellStyle name="40% - Accent2 4 2 16" xfId="6381"/>
    <cellStyle name="40% - Accent2 4 2 16 2" xfId="23428"/>
    <cellStyle name="40% - Accent2 4 2 16 2 2" xfId="52289"/>
    <cellStyle name="40% - Accent2 4 2 16 3" xfId="35242"/>
    <cellStyle name="40% - Accent2 4 2 17" xfId="14667"/>
    <cellStyle name="40% - Accent2 4 2 17 2" xfId="43528"/>
    <cellStyle name="40% - Accent2 4 2 18" xfId="29201"/>
    <cellStyle name="40% - Accent2 4 2 2" xfId="545"/>
    <cellStyle name="40% - Accent2 4 2 2 2" xfId="2296"/>
    <cellStyle name="40% - Accent2 4 2 2 2 2" xfId="5183"/>
    <cellStyle name="40% - Accent2 4 2 2 2 2 2" xfId="11224"/>
    <cellStyle name="40% - Accent2 4 2 2 2 2 2 2" xfId="28271"/>
    <cellStyle name="40% - Accent2 4 2 2 2 2 2 2 2" xfId="57132"/>
    <cellStyle name="40% - Accent2 4 2 2 2 2 2 3" xfId="40085"/>
    <cellStyle name="40% - Accent2 4 2 2 2 2 3" xfId="22293"/>
    <cellStyle name="40% - Accent2 4 2 2 2 2 3 2" xfId="51154"/>
    <cellStyle name="40% - Accent2 4 2 2 2 2 4" xfId="34044"/>
    <cellStyle name="40% - Accent2 4 2 2 2 3" xfId="8338"/>
    <cellStyle name="40% - Accent2 4 2 2 2 3 2" xfId="25385"/>
    <cellStyle name="40% - Accent2 4 2 2 2 3 2 2" xfId="54246"/>
    <cellStyle name="40% - Accent2 4 2 2 2 3 3" xfId="37199"/>
    <cellStyle name="40% - Accent2 4 2 2 2 4" xfId="12587"/>
    <cellStyle name="40% - Accent2 4 2 2 2 4 2" xfId="19613"/>
    <cellStyle name="40% - Accent2 4 2 2 2 4 2 2" xfId="48474"/>
    <cellStyle name="40% - Accent2 4 2 2 2 4 3" xfId="41448"/>
    <cellStyle name="40% - Accent2 4 2 2 2 5" xfId="16933"/>
    <cellStyle name="40% - Accent2 4 2 2 2 5 2" xfId="45794"/>
    <cellStyle name="40% - Accent2 4 2 2 2 6" xfId="31158"/>
    <cellStyle name="40% - Accent2 4 2 2 3" xfId="3432"/>
    <cellStyle name="40% - Accent2 4 2 2 3 2" xfId="9473"/>
    <cellStyle name="40% - Accent2 4 2 2 3 2 2" xfId="26520"/>
    <cellStyle name="40% - Accent2 4 2 2 3 2 2 2" xfId="55381"/>
    <cellStyle name="40% - Accent2 4 2 2 3 2 3" xfId="38334"/>
    <cellStyle name="40% - Accent2 4 2 2 3 3" xfId="20542"/>
    <cellStyle name="40% - Accent2 4 2 2 3 3 2" xfId="49403"/>
    <cellStyle name="40% - Accent2 4 2 2 3 4" xfId="32293"/>
    <cellStyle name="40% - Accent2 4 2 2 4" xfId="6587"/>
    <cellStyle name="40% - Accent2 4 2 2 4 2" xfId="23634"/>
    <cellStyle name="40% - Accent2 4 2 2 4 2 2" xfId="52495"/>
    <cellStyle name="40% - Accent2 4 2 2 4 3" xfId="35448"/>
    <cellStyle name="40% - Accent2 4 2 2 5" xfId="13454"/>
    <cellStyle name="40% - Accent2 4 2 2 5 2" xfId="17862"/>
    <cellStyle name="40% - Accent2 4 2 2 5 2 2" xfId="46723"/>
    <cellStyle name="40% - Accent2 4 2 2 5 3" xfId="42315"/>
    <cellStyle name="40% - Accent2 4 2 2 6" xfId="15182"/>
    <cellStyle name="40% - Accent2 4 2 2 6 2" xfId="44043"/>
    <cellStyle name="40% - Accent2 4 2 2 7" xfId="29407"/>
    <cellStyle name="40% - Accent2 4 2 3" xfId="854"/>
    <cellStyle name="40% - Accent2 4 2 3 2" xfId="3741"/>
    <cellStyle name="40% - Accent2 4 2 3 2 2" xfId="9782"/>
    <cellStyle name="40% - Accent2 4 2 3 2 2 2" xfId="26829"/>
    <cellStyle name="40% - Accent2 4 2 3 2 2 2 2" xfId="55690"/>
    <cellStyle name="40% - Accent2 4 2 3 2 2 3" xfId="38643"/>
    <cellStyle name="40% - Accent2 4 2 3 2 3" xfId="20851"/>
    <cellStyle name="40% - Accent2 4 2 3 2 3 2" xfId="49712"/>
    <cellStyle name="40% - Accent2 4 2 3 2 4" xfId="32602"/>
    <cellStyle name="40% - Accent2 4 2 3 3" xfId="6896"/>
    <cellStyle name="40% - Accent2 4 2 3 3 2" xfId="23943"/>
    <cellStyle name="40% - Accent2 4 2 3 3 2 2" xfId="52804"/>
    <cellStyle name="40% - Accent2 4 2 3 3 3" xfId="35757"/>
    <cellStyle name="40% - Accent2 4 2 3 4" xfId="12572"/>
    <cellStyle name="40% - Accent2 4 2 3 4 2" xfId="18171"/>
    <cellStyle name="40% - Accent2 4 2 3 4 2 2" xfId="47032"/>
    <cellStyle name="40% - Accent2 4 2 3 4 3" xfId="41433"/>
    <cellStyle name="40% - Accent2 4 2 3 5" xfId="15491"/>
    <cellStyle name="40% - Accent2 4 2 3 5 2" xfId="44352"/>
    <cellStyle name="40% - Accent2 4 2 3 6" xfId="29716"/>
    <cellStyle name="40% - Accent2 4 2 4" xfId="1060"/>
    <cellStyle name="40% - Accent2 4 2 4 2" xfId="3947"/>
    <cellStyle name="40% - Accent2 4 2 4 2 2" xfId="9988"/>
    <cellStyle name="40% - Accent2 4 2 4 2 2 2" xfId="27035"/>
    <cellStyle name="40% - Accent2 4 2 4 2 2 2 2" xfId="55896"/>
    <cellStyle name="40% - Accent2 4 2 4 2 2 3" xfId="38849"/>
    <cellStyle name="40% - Accent2 4 2 4 2 3" xfId="21057"/>
    <cellStyle name="40% - Accent2 4 2 4 2 3 2" xfId="49918"/>
    <cellStyle name="40% - Accent2 4 2 4 2 4" xfId="32808"/>
    <cellStyle name="40% - Accent2 4 2 4 3" xfId="7102"/>
    <cellStyle name="40% - Accent2 4 2 4 3 2" xfId="24149"/>
    <cellStyle name="40% - Accent2 4 2 4 3 2 2" xfId="53010"/>
    <cellStyle name="40% - Accent2 4 2 4 3 3" xfId="35963"/>
    <cellStyle name="40% - Accent2 4 2 4 4" xfId="13927"/>
    <cellStyle name="40% - Accent2 4 2 4 4 2" xfId="18377"/>
    <cellStyle name="40% - Accent2 4 2 4 4 2 2" xfId="47238"/>
    <cellStyle name="40% - Accent2 4 2 4 4 3" xfId="42788"/>
    <cellStyle name="40% - Accent2 4 2 4 5" xfId="15697"/>
    <cellStyle name="40% - Accent2 4 2 4 5 2" xfId="44558"/>
    <cellStyle name="40% - Accent2 4 2 4 6" xfId="29922"/>
    <cellStyle name="40% - Accent2 4 2 5" xfId="1266"/>
    <cellStyle name="40% - Accent2 4 2 5 2" xfId="4153"/>
    <cellStyle name="40% - Accent2 4 2 5 2 2" xfId="10194"/>
    <cellStyle name="40% - Accent2 4 2 5 2 2 2" xfId="27241"/>
    <cellStyle name="40% - Accent2 4 2 5 2 2 2 2" xfId="56102"/>
    <cellStyle name="40% - Accent2 4 2 5 2 2 3" xfId="39055"/>
    <cellStyle name="40% - Accent2 4 2 5 2 3" xfId="21263"/>
    <cellStyle name="40% - Accent2 4 2 5 2 3 2" xfId="50124"/>
    <cellStyle name="40% - Accent2 4 2 5 2 4" xfId="33014"/>
    <cellStyle name="40% - Accent2 4 2 5 3" xfId="7308"/>
    <cellStyle name="40% - Accent2 4 2 5 3 2" xfId="24355"/>
    <cellStyle name="40% - Accent2 4 2 5 3 2 2" xfId="53216"/>
    <cellStyle name="40% - Accent2 4 2 5 3 3" xfId="36169"/>
    <cellStyle name="40% - Accent2 4 2 5 4" xfId="12903"/>
    <cellStyle name="40% - Accent2 4 2 5 4 2" xfId="18583"/>
    <cellStyle name="40% - Accent2 4 2 5 4 2 2" xfId="47444"/>
    <cellStyle name="40% - Accent2 4 2 5 4 3" xfId="41764"/>
    <cellStyle name="40% - Accent2 4 2 5 5" xfId="15903"/>
    <cellStyle name="40% - Accent2 4 2 5 5 2" xfId="44764"/>
    <cellStyle name="40% - Accent2 4 2 5 6" xfId="30128"/>
    <cellStyle name="40% - Accent2 4 2 6" xfId="1472"/>
    <cellStyle name="40% - Accent2 4 2 6 2" xfId="4359"/>
    <cellStyle name="40% - Accent2 4 2 6 2 2" xfId="10400"/>
    <cellStyle name="40% - Accent2 4 2 6 2 2 2" xfId="27447"/>
    <cellStyle name="40% - Accent2 4 2 6 2 2 2 2" xfId="56308"/>
    <cellStyle name="40% - Accent2 4 2 6 2 2 3" xfId="39261"/>
    <cellStyle name="40% - Accent2 4 2 6 2 3" xfId="21469"/>
    <cellStyle name="40% - Accent2 4 2 6 2 3 2" xfId="50330"/>
    <cellStyle name="40% - Accent2 4 2 6 2 4" xfId="33220"/>
    <cellStyle name="40% - Accent2 4 2 6 3" xfId="7514"/>
    <cellStyle name="40% - Accent2 4 2 6 3 2" xfId="24561"/>
    <cellStyle name="40% - Accent2 4 2 6 3 2 2" xfId="53422"/>
    <cellStyle name="40% - Accent2 4 2 6 3 3" xfId="36375"/>
    <cellStyle name="40% - Accent2 4 2 6 4" xfId="12553"/>
    <cellStyle name="40% - Accent2 4 2 6 4 2" xfId="18789"/>
    <cellStyle name="40% - Accent2 4 2 6 4 2 2" xfId="47650"/>
    <cellStyle name="40% - Accent2 4 2 6 4 3" xfId="41414"/>
    <cellStyle name="40% - Accent2 4 2 6 5" xfId="16109"/>
    <cellStyle name="40% - Accent2 4 2 6 5 2" xfId="44970"/>
    <cellStyle name="40% - Accent2 4 2 6 6" xfId="30334"/>
    <cellStyle name="40% - Accent2 4 2 7" xfId="1678"/>
    <cellStyle name="40% - Accent2 4 2 7 2" xfId="4565"/>
    <cellStyle name="40% - Accent2 4 2 7 2 2" xfId="10606"/>
    <cellStyle name="40% - Accent2 4 2 7 2 2 2" xfId="27653"/>
    <cellStyle name="40% - Accent2 4 2 7 2 2 2 2" xfId="56514"/>
    <cellStyle name="40% - Accent2 4 2 7 2 2 3" xfId="39467"/>
    <cellStyle name="40% - Accent2 4 2 7 2 3" xfId="21675"/>
    <cellStyle name="40% - Accent2 4 2 7 2 3 2" xfId="50536"/>
    <cellStyle name="40% - Accent2 4 2 7 2 4" xfId="33426"/>
    <cellStyle name="40% - Accent2 4 2 7 3" xfId="7720"/>
    <cellStyle name="40% - Accent2 4 2 7 3 2" xfId="24767"/>
    <cellStyle name="40% - Accent2 4 2 7 3 2 2" xfId="53628"/>
    <cellStyle name="40% - Accent2 4 2 7 3 3" xfId="36581"/>
    <cellStyle name="40% - Accent2 4 2 7 4" xfId="12381"/>
    <cellStyle name="40% - Accent2 4 2 7 4 2" xfId="18995"/>
    <cellStyle name="40% - Accent2 4 2 7 4 2 2" xfId="47856"/>
    <cellStyle name="40% - Accent2 4 2 7 4 3" xfId="41242"/>
    <cellStyle name="40% - Accent2 4 2 7 5" xfId="16315"/>
    <cellStyle name="40% - Accent2 4 2 7 5 2" xfId="45176"/>
    <cellStyle name="40% - Accent2 4 2 7 6" xfId="30540"/>
    <cellStyle name="40% - Accent2 4 2 8" xfId="1884"/>
    <cellStyle name="40% - Accent2 4 2 8 2" xfId="4771"/>
    <cellStyle name="40% - Accent2 4 2 8 2 2" xfId="10812"/>
    <cellStyle name="40% - Accent2 4 2 8 2 2 2" xfId="27859"/>
    <cellStyle name="40% - Accent2 4 2 8 2 2 2 2" xfId="56720"/>
    <cellStyle name="40% - Accent2 4 2 8 2 2 3" xfId="39673"/>
    <cellStyle name="40% - Accent2 4 2 8 2 3" xfId="21881"/>
    <cellStyle name="40% - Accent2 4 2 8 2 3 2" xfId="50742"/>
    <cellStyle name="40% - Accent2 4 2 8 2 4" xfId="33632"/>
    <cellStyle name="40% - Accent2 4 2 8 3" xfId="7926"/>
    <cellStyle name="40% - Accent2 4 2 8 3 2" xfId="24973"/>
    <cellStyle name="40% - Accent2 4 2 8 3 2 2" xfId="53834"/>
    <cellStyle name="40% - Accent2 4 2 8 3 3" xfId="36787"/>
    <cellStyle name="40% - Accent2 4 2 8 4" xfId="11906"/>
    <cellStyle name="40% - Accent2 4 2 8 4 2" xfId="19201"/>
    <cellStyle name="40% - Accent2 4 2 8 4 2 2" xfId="48062"/>
    <cellStyle name="40% - Accent2 4 2 8 4 3" xfId="40767"/>
    <cellStyle name="40% - Accent2 4 2 8 5" xfId="16521"/>
    <cellStyle name="40% - Accent2 4 2 8 5 2" xfId="45382"/>
    <cellStyle name="40% - Accent2 4 2 8 6" xfId="30746"/>
    <cellStyle name="40% - Accent2 4 2 9" xfId="2090"/>
    <cellStyle name="40% - Accent2 4 2 9 2" xfId="4977"/>
    <cellStyle name="40% - Accent2 4 2 9 2 2" xfId="11018"/>
    <cellStyle name="40% - Accent2 4 2 9 2 2 2" xfId="28065"/>
    <cellStyle name="40% - Accent2 4 2 9 2 2 2 2" xfId="56926"/>
    <cellStyle name="40% - Accent2 4 2 9 2 2 3" xfId="39879"/>
    <cellStyle name="40% - Accent2 4 2 9 2 3" xfId="22087"/>
    <cellStyle name="40% - Accent2 4 2 9 2 3 2" xfId="50948"/>
    <cellStyle name="40% - Accent2 4 2 9 2 4" xfId="33838"/>
    <cellStyle name="40% - Accent2 4 2 9 3" xfId="8132"/>
    <cellStyle name="40% - Accent2 4 2 9 3 2" xfId="25179"/>
    <cellStyle name="40% - Accent2 4 2 9 3 2 2" xfId="54040"/>
    <cellStyle name="40% - Accent2 4 2 9 3 3" xfId="36993"/>
    <cellStyle name="40% - Accent2 4 2 9 4" xfId="12235"/>
    <cellStyle name="40% - Accent2 4 2 9 4 2" xfId="19407"/>
    <cellStyle name="40% - Accent2 4 2 9 4 2 2" xfId="48268"/>
    <cellStyle name="40% - Accent2 4 2 9 4 3" xfId="41096"/>
    <cellStyle name="40% - Accent2 4 2 9 5" xfId="16727"/>
    <cellStyle name="40% - Accent2 4 2 9 5 2" xfId="45588"/>
    <cellStyle name="40% - Accent2 4 2 9 6" xfId="30952"/>
    <cellStyle name="40% - Accent2 4 20" xfId="28995"/>
    <cellStyle name="40% - Accent2 4 3" xfId="236"/>
    <cellStyle name="40% - Accent2 4 3 2" xfId="648"/>
    <cellStyle name="40% - Accent2 4 3 2 2" xfId="3535"/>
    <cellStyle name="40% - Accent2 4 3 2 2 2" xfId="9576"/>
    <cellStyle name="40% - Accent2 4 3 2 2 2 2" xfId="26623"/>
    <cellStyle name="40% - Accent2 4 3 2 2 2 2 2" xfId="55484"/>
    <cellStyle name="40% - Accent2 4 3 2 2 2 3" xfId="38437"/>
    <cellStyle name="40% - Accent2 4 3 2 2 3" xfId="20645"/>
    <cellStyle name="40% - Accent2 4 3 2 2 3 2" xfId="49506"/>
    <cellStyle name="40% - Accent2 4 3 2 2 4" xfId="32396"/>
    <cellStyle name="40% - Accent2 4 3 2 3" xfId="6690"/>
    <cellStyle name="40% - Accent2 4 3 2 3 2" xfId="23737"/>
    <cellStyle name="40% - Accent2 4 3 2 3 2 2" xfId="52598"/>
    <cellStyle name="40% - Accent2 4 3 2 3 3" xfId="35551"/>
    <cellStyle name="40% - Accent2 4 3 2 4" xfId="14140"/>
    <cellStyle name="40% - Accent2 4 3 2 4 2" xfId="17965"/>
    <cellStyle name="40% - Accent2 4 3 2 4 2 2" xfId="46826"/>
    <cellStyle name="40% - Accent2 4 3 2 4 3" xfId="43001"/>
    <cellStyle name="40% - Accent2 4 3 2 5" xfId="15285"/>
    <cellStyle name="40% - Accent2 4 3 2 5 2" xfId="44146"/>
    <cellStyle name="40% - Accent2 4 3 2 6" xfId="29510"/>
    <cellStyle name="40% - Accent2 4 3 3" xfId="2193"/>
    <cellStyle name="40% - Accent2 4 3 3 2" xfId="5080"/>
    <cellStyle name="40% - Accent2 4 3 3 2 2" xfId="11121"/>
    <cellStyle name="40% - Accent2 4 3 3 2 2 2" xfId="28168"/>
    <cellStyle name="40% - Accent2 4 3 3 2 2 2 2" xfId="57029"/>
    <cellStyle name="40% - Accent2 4 3 3 2 2 3" xfId="39982"/>
    <cellStyle name="40% - Accent2 4 3 3 2 3" xfId="22190"/>
    <cellStyle name="40% - Accent2 4 3 3 2 3 2" xfId="51051"/>
    <cellStyle name="40% - Accent2 4 3 3 2 4" xfId="33941"/>
    <cellStyle name="40% - Accent2 4 3 3 3" xfId="8235"/>
    <cellStyle name="40% - Accent2 4 3 3 3 2" xfId="25282"/>
    <cellStyle name="40% - Accent2 4 3 3 3 2 2" xfId="54143"/>
    <cellStyle name="40% - Accent2 4 3 3 3 3" xfId="37096"/>
    <cellStyle name="40% - Accent2 4 3 3 4" xfId="12548"/>
    <cellStyle name="40% - Accent2 4 3 3 4 2" xfId="19510"/>
    <cellStyle name="40% - Accent2 4 3 3 4 2 2" xfId="48371"/>
    <cellStyle name="40% - Accent2 4 3 3 4 3" xfId="41409"/>
    <cellStyle name="40% - Accent2 4 3 3 5" xfId="16830"/>
    <cellStyle name="40% - Accent2 4 3 3 5 2" xfId="45691"/>
    <cellStyle name="40% - Accent2 4 3 3 6" xfId="31055"/>
    <cellStyle name="40% - Accent2 4 3 4" xfId="3123"/>
    <cellStyle name="40% - Accent2 4 3 4 2" xfId="9164"/>
    <cellStyle name="40% - Accent2 4 3 4 2 2" xfId="26211"/>
    <cellStyle name="40% - Accent2 4 3 4 2 2 2" xfId="55072"/>
    <cellStyle name="40% - Accent2 4 3 4 2 3" xfId="38025"/>
    <cellStyle name="40% - Accent2 4 3 4 3" xfId="20233"/>
    <cellStyle name="40% - Accent2 4 3 4 3 2" xfId="49094"/>
    <cellStyle name="40% - Accent2 4 3 4 4" xfId="31984"/>
    <cellStyle name="40% - Accent2 4 3 5" xfId="6278"/>
    <cellStyle name="40% - Accent2 4 3 5 2" xfId="23325"/>
    <cellStyle name="40% - Accent2 4 3 5 2 2" xfId="52186"/>
    <cellStyle name="40% - Accent2 4 3 5 3" xfId="35139"/>
    <cellStyle name="40% - Accent2 4 3 6" xfId="14126"/>
    <cellStyle name="40% - Accent2 4 3 6 2" xfId="17656"/>
    <cellStyle name="40% - Accent2 4 3 6 2 2" xfId="46517"/>
    <cellStyle name="40% - Accent2 4 3 6 3" xfId="42987"/>
    <cellStyle name="40% - Accent2 4 3 7" xfId="14873"/>
    <cellStyle name="40% - Accent2 4 3 7 2" xfId="43734"/>
    <cellStyle name="40% - Accent2 4 3 8" xfId="29098"/>
    <cellStyle name="40% - Accent2 4 4" xfId="442"/>
    <cellStyle name="40% - Accent2 4 4 2" xfId="3329"/>
    <cellStyle name="40% - Accent2 4 4 2 2" xfId="9370"/>
    <cellStyle name="40% - Accent2 4 4 2 2 2" xfId="26417"/>
    <cellStyle name="40% - Accent2 4 4 2 2 2 2" xfId="55278"/>
    <cellStyle name="40% - Accent2 4 4 2 2 3" xfId="38231"/>
    <cellStyle name="40% - Accent2 4 4 2 3" xfId="20439"/>
    <cellStyle name="40% - Accent2 4 4 2 3 2" xfId="49300"/>
    <cellStyle name="40% - Accent2 4 4 2 4" xfId="32190"/>
    <cellStyle name="40% - Accent2 4 4 3" xfId="6484"/>
    <cellStyle name="40% - Accent2 4 4 3 2" xfId="23531"/>
    <cellStyle name="40% - Accent2 4 4 3 2 2" xfId="52392"/>
    <cellStyle name="40% - Accent2 4 4 3 3" xfId="35345"/>
    <cellStyle name="40% - Accent2 4 4 4" xfId="13604"/>
    <cellStyle name="40% - Accent2 4 4 4 2" xfId="17759"/>
    <cellStyle name="40% - Accent2 4 4 4 2 2" xfId="46620"/>
    <cellStyle name="40% - Accent2 4 4 4 3" xfId="42465"/>
    <cellStyle name="40% - Accent2 4 4 5" xfId="15079"/>
    <cellStyle name="40% - Accent2 4 4 5 2" xfId="43940"/>
    <cellStyle name="40% - Accent2 4 4 6" xfId="29304"/>
    <cellStyle name="40% - Accent2 4 5" xfId="751"/>
    <cellStyle name="40% - Accent2 4 5 2" xfId="3638"/>
    <cellStyle name="40% - Accent2 4 5 2 2" xfId="9679"/>
    <cellStyle name="40% - Accent2 4 5 2 2 2" xfId="26726"/>
    <cellStyle name="40% - Accent2 4 5 2 2 2 2" xfId="55587"/>
    <cellStyle name="40% - Accent2 4 5 2 2 3" xfId="38540"/>
    <cellStyle name="40% - Accent2 4 5 2 3" xfId="20748"/>
    <cellStyle name="40% - Accent2 4 5 2 3 2" xfId="49609"/>
    <cellStyle name="40% - Accent2 4 5 2 4" xfId="32499"/>
    <cellStyle name="40% - Accent2 4 5 3" xfId="6793"/>
    <cellStyle name="40% - Accent2 4 5 3 2" xfId="23840"/>
    <cellStyle name="40% - Accent2 4 5 3 2 2" xfId="52701"/>
    <cellStyle name="40% - Accent2 4 5 3 3" xfId="35654"/>
    <cellStyle name="40% - Accent2 4 5 4" xfId="13618"/>
    <cellStyle name="40% - Accent2 4 5 4 2" xfId="18068"/>
    <cellStyle name="40% - Accent2 4 5 4 2 2" xfId="46929"/>
    <cellStyle name="40% - Accent2 4 5 4 3" xfId="42479"/>
    <cellStyle name="40% - Accent2 4 5 5" xfId="15388"/>
    <cellStyle name="40% - Accent2 4 5 5 2" xfId="44249"/>
    <cellStyle name="40% - Accent2 4 5 6" xfId="29613"/>
    <cellStyle name="40% - Accent2 4 6" xfId="957"/>
    <cellStyle name="40% - Accent2 4 6 2" xfId="3844"/>
    <cellStyle name="40% - Accent2 4 6 2 2" xfId="9885"/>
    <cellStyle name="40% - Accent2 4 6 2 2 2" xfId="26932"/>
    <cellStyle name="40% - Accent2 4 6 2 2 2 2" xfId="55793"/>
    <cellStyle name="40% - Accent2 4 6 2 2 3" xfId="38746"/>
    <cellStyle name="40% - Accent2 4 6 2 3" xfId="20954"/>
    <cellStyle name="40% - Accent2 4 6 2 3 2" xfId="49815"/>
    <cellStyle name="40% - Accent2 4 6 2 4" xfId="32705"/>
    <cellStyle name="40% - Accent2 4 6 3" xfId="6999"/>
    <cellStyle name="40% - Accent2 4 6 3 2" xfId="24046"/>
    <cellStyle name="40% - Accent2 4 6 3 2 2" xfId="52907"/>
    <cellStyle name="40% - Accent2 4 6 3 3" xfId="35860"/>
    <cellStyle name="40% - Accent2 4 6 4" xfId="14197"/>
    <cellStyle name="40% - Accent2 4 6 4 2" xfId="18274"/>
    <cellStyle name="40% - Accent2 4 6 4 2 2" xfId="47135"/>
    <cellStyle name="40% - Accent2 4 6 4 3" xfId="43058"/>
    <cellStyle name="40% - Accent2 4 6 5" xfId="15594"/>
    <cellStyle name="40% - Accent2 4 6 5 2" xfId="44455"/>
    <cellStyle name="40% - Accent2 4 6 6" xfId="29819"/>
    <cellStyle name="40% - Accent2 4 7" xfId="1163"/>
    <cellStyle name="40% - Accent2 4 7 2" xfId="4050"/>
    <cellStyle name="40% - Accent2 4 7 2 2" xfId="10091"/>
    <cellStyle name="40% - Accent2 4 7 2 2 2" xfId="27138"/>
    <cellStyle name="40% - Accent2 4 7 2 2 2 2" xfId="55999"/>
    <cellStyle name="40% - Accent2 4 7 2 2 3" xfId="38952"/>
    <cellStyle name="40% - Accent2 4 7 2 3" xfId="21160"/>
    <cellStyle name="40% - Accent2 4 7 2 3 2" xfId="50021"/>
    <cellStyle name="40% - Accent2 4 7 2 4" xfId="32911"/>
    <cellStyle name="40% - Accent2 4 7 3" xfId="7205"/>
    <cellStyle name="40% - Accent2 4 7 3 2" xfId="24252"/>
    <cellStyle name="40% - Accent2 4 7 3 2 2" xfId="53113"/>
    <cellStyle name="40% - Accent2 4 7 3 3" xfId="36066"/>
    <cellStyle name="40% - Accent2 4 7 4" xfId="13308"/>
    <cellStyle name="40% - Accent2 4 7 4 2" xfId="18480"/>
    <cellStyle name="40% - Accent2 4 7 4 2 2" xfId="47341"/>
    <cellStyle name="40% - Accent2 4 7 4 3" xfId="42169"/>
    <cellStyle name="40% - Accent2 4 7 5" xfId="15800"/>
    <cellStyle name="40% - Accent2 4 7 5 2" xfId="44661"/>
    <cellStyle name="40% - Accent2 4 7 6" xfId="30025"/>
    <cellStyle name="40% - Accent2 4 8" xfId="1369"/>
    <cellStyle name="40% - Accent2 4 8 2" xfId="4256"/>
    <cellStyle name="40% - Accent2 4 8 2 2" xfId="10297"/>
    <cellStyle name="40% - Accent2 4 8 2 2 2" xfId="27344"/>
    <cellStyle name="40% - Accent2 4 8 2 2 2 2" xfId="56205"/>
    <cellStyle name="40% - Accent2 4 8 2 2 3" xfId="39158"/>
    <cellStyle name="40% - Accent2 4 8 2 3" xfId="21366"/>
    <cellStyle name="40% - Accent2 4 8 2 3 2" xfId="50227"/>
    <cellStyle name="40% - Accent2 4 8 2 4" xfId="33117"/>
    <cellStyle name="40% - Accent2 4 8 3" xfId="7411"/>
    <cellStyle name="40% - Accent2 4 8 3 2" xfId="24458"/>
    <cellStyle name="40% - Accent2 4 8 3 2 2" xfId="53319"/>
    <cellStyle name="40% - Accent2 4 8 3 3" xfId="36272"/>
    <cellStyle name="40% - Accent2 4 8 4" xfId="13581"/>
    <cellStyle name="40% - Accent2 4 8 4 2" xfId="18686"/>
    <cellStyle name="40% - Accent2 4 8 4 2 2" xfId="47547"/>
    <cellStyle name="40% - Accent2 4 8 4 3" xfId="42442"/>
    <cellStyle name="40% - Accent2 4 8 5" xfId="16006"/>
    <cellStyle name="40% - Accent2 4 8 5 2" xfId="44867"/>
    <cellStyle name="40% - Accent2 4 8 6" xfId="30231"/>
    <cellStyle name="40% - Accent2 4 9" xfId="1575"/>
    <cellStyle name="40% - Accent2 4 9 2" xfId="4462"/>
    <cellStyle name="40% - Accent2 4 9 2 2" xfId="10503"/>
    <cellStyle name="40% - Accent2 4 9 2 2 2" xfId="27550"/>
    <cellStyle name="40% - Accent2 4 9 2 2 2 2" xfId="56411"/>
    <cellStyle name="40% - Accent2 4 9 2 2 3" xfId="39364"/>
    <cellStyle name="40% - Accent2 4 9 2 3" xfId="21572"/>
    <cellStyle name="40% - Accent2 4 9 2 3 2" xfId="50433"/>
    <cellStyle name="40% - Accent2 4 9 2 4" xfId="33323"/>
    <cellStyle name="40% - Accent2 4 9 3" xfId="7617"/>
    <cellStyle name="40% - Accent2 4 9 3 2" xfId="24664"/>
    <cellStyle name="40% - Accent2 4 9 3 2 2" xfId="53525"/>
    <cellStyle name="40% - Accent2 4 9 3 3" xfId="36478"/>
    <cellStyle name="40% - Accent2 4 9 4" xfId="13094"/>
    <cellStyle name="40% - Accent2 4 9 4 2" xfId="18892"/>
    <cellStyle name="40% - Accent2 4 9 4 2 2" xfId="47753"/>
    <cellStyle name="40% - Accent2 4 9 4 3" xfId="41955"/>
    <cellStyle name="40% - Accent2 4 9 5" xfId="16212"/>
    <cellStyle name="40% - Accent2 4 9 5 2" xfId="45073"/>
    <cellStyle name="40% - Accent2 4 9 6" xfId="30437"/>
    <cellStyle name="40% - Accent2 5" xfId="286"/>
    <cellStyle name="40% - Accent2 5 10" xfId="2449"/>
    <cellStyle name="40% - Accent2 5 10 2" xfId="5336"/>
    <cellStyle name="40% - Accent2 5 10 2 2" xfId="11377"/>
    <cellStyle name="40% - Accent2 5 10 2 2 2" xfId="28424"/>
    <cellStyle name="40% - Accent2 5 10 2 2 2 2" xfId="57285"/>
    <cellStyle name="40% - Accent2 5 10 2 2 3" xfId="40238"/>
    <cellStyle name="40% - Accent2 5 10 2 3" xfId="22446"/>
    <cellStyle name="40% - Accent2 5 10 2 3 2" xfId="51307"/>
    <cellStyle name="40% - Accent2 5 10 2 4" xfId="34197"/>
    <cellStyle name="40% - Accent2 5 10 3" xfId="8491"/>
    <cellStyle name="40% - Accent2 5 10 3 2" xfId="25538"/>
    <cellStyle name="40% - Accent2 5 10 3 2 2" xfId="54399"/>
    <cellStyle name="40% - Accent2 5 10 3 3" xfId="37352"/>
    <cellStyle name="40% - Accent2 5 10 4" xfId="14296"/>
    <cellStyle name="40% - Accent2 5 10 4 2" xfId="19766"/>
    <cellStyle name="40% - Accent2 5 10 4 2 2" xfId="48627"/>
    <cellStyle name="40% - Accent2 5 10 4 3" xfId="43157"/>
    <cellStyle name="40% - Accent2 5 10 5" xfId="17086"/>
    <cellStyle name="40% - Accent2 5 10 5 2" xfId="45947"/>
    <cellStyle name="40% - Accent2 5 10 6" xfId="31311"/>
    <cellStyle name="40% - Accent2 5 11" xfId="2658"/>
    <cellStyle name="40% - Accent2 5 11 2" xfId="5544"/>
    <cellStyle name="40% - Accent2 5 11 2 2" xfId="11585"/>
    <cellStyle name="40% - Accent2 5 11 2 2 2" xfId="28632"/>
    <cellStyle name="40% - Accent2 5 11 2 2 2 2" xfId="57493"/>
    <cellStyle name="40% - Accent2 5 11 2 2 3" xfId="40446"/>
    <cellStyle name="40% - Accent2 5 11 2 3" xfId="22654"/>
    <cellStyle name="40% - Accent2 5 11 2 3 2" xfId="51515"/>
    <cellStyle name="40% - Accent2 5 11 2 4" xfId="34405"/>
    <cellStyle name="40% - Accent2 5 11 3" xfId="8699"/>
    <cellStyle name="40% - Accent2 5 11 3 2" xfId="25746"/>
    <cellStyle name="40% - Accent2 5 11 3 2 2" xfId="54607"/>
    <cellStyle name="40% - Accent2 5 11 3 3" xfId="37560"/>
    <cellStyle name="40% - Accent2 5 11 4" xfId="13490"/>
    <cellStyle name="40% - Accent2 5 11 4 2" xfId="19974"/>
    <cellStyle name="40% - Accent2 5 11 4 2 2" xfId="48835"/>
    <cellStyle name="40% - Accent2 5 11 4 3" xfId="42351"/>
    <cellStyle name="40% - Accent2 5 11 5" xfId="17294"/>
    <cellStyle name="40% - Accent2 5 11 5 2" xfId="46155"/>
    <cellStyle name="40% - Accent2 5 11 6" xfId="31519"/>
    <cellStyle name="40% - Accent2 5 12" xfId="3173"/>
    <cellStyle name="40% - Accent2 5 12 2" xfId="9214"/>
    <cellStyle name="40% - Accent2 5 12 2 2" xfId="26261"/>
    <cellStyle name="40% - Accent2 5 12 2 2 2" xfId="55122"/>
    <cellStyle name="40% - Accent2 5 12 2 3" xfId="38075"/>
    <cellStyle name="40% - Accent2 5 12 3" xfId="13981"/>
    <cellStyle name="40% - Accent2 5 12 3 2" xfId="20283"/>
    <cellStyle name="40% - Accent2 5 12 3 2 2" xfId="49144"/>
    <cellStyle name="40% - Accent2 5 12 3 3" xfId="42842"/>
    <cellStyle name="40% - Accent2 5 12 4" xfId="14923"/>
    <cellStyle name="40% - Accent2 5 12 4 2" xfId="43784"/>
    <cellStyle name="40% - Accent2 5 12 5" xfId="32034"/>
    <cellStyle name="40% - Accent2 5 13" xfId="2864"/>
    <cellStyle name="40% - Accent2 5 13 2" xfId="8905"/>
    <cellStyle name="40% - Accent2 5 13 2 2" xfId="25952"/>
    <cellStyle name="40% - Accent2 5 13 2 2 2" xfId="54813"/>
    <cellStyle name="40% - Accent2 5 13 2 3" xfId="37766"/>
    <cellStyle name="40% - Accent2 5 13 3" xfId="17500"/>
    <cellStyle name="40% - Accent2 5 13 3 2" xfId="46361"/>
    <cellStyle name="40% - Accent2 5 13 4" xfId="31725"/>
    <cellStyle name="40% - Accent2 5 14" xfId="5750"/>
    <cellStyle name="40% - Accent2 5 14 2" xfId="11791"/>
    <cellStyle name="40% - Accent2 5 14 2 2" xfId="28838"/>
    <cellStyle name="40% - Accent2 5 14 2 2 2" xfId="57699"/>
    <cellStyle name="40% - Accent2 5 14 2 3" xfId="40652"/>
    <cellStyle name="40% - Accent2 5 14 3" xfId="22860"/>
    <cellStyle name="40% - Accent2 5 14 3 2" xfId="51721"/>
    <cellStyle name="40% - Accent2 5 14 4" xfId="34611"/>
    <cellStyle name="40% - Accent2 5 15" xfId="5967"/>
    <cellStyle name="40% - Accent2 5 15 2" xfId="23066"/>
    <cellStyle name="40% - Accent2 5 15 2 2" xfId="51927"/>
    <cellStyle name="40% - Accent2 5 15 3" xfId="34828"/>
    <cellStyle name="40% - Accent2 5 16" xfId="6328"/>
    <cellStyle name="40% - Accent2 5 16 2" xfId="23375"/>
    <cellStyle name="40% - Accent2 5 16 2 2" xfId="52236"/>
    <cellStyle name="40% - Accent2 5 16 3" xfId="35189"/>
    <cellStyle name="40% - Accent2 5 17" xfId="14614"/>
    <cellStyle name="40% - Accent2 5 17 2" xfId="43475"/>
    <cellStyle name="40% - Accent2 5 18" xfId="29148"/>
    <cellStyle name="40% - Accent2 5 2" xfId="492"/>
    <cellStyle name="40% - Accent2 5 2 2" xfId="2243"/>
    <cellStyle name="40% - Accent2 5 2 2 2" xfId="5130"/>
    <cellStyle name="40% - Accent2 5 2 2 2 2" xfId="11171"/>
    <cellStyle name="40% - Accent2 5 2 2 2 2 2" xfId="28218"/>
    <cellStyle name="40% - Accent2 5 2 2 2 2 2 2" xfId="57079"/>
    <cellStyle name="40% - Accent2 5 2 2 2 2 3" xfId="40032"/>
    <cellStyle name="40% - Accent2 5 2 2 2 3" xfId="22240"/>
    <cellStyle name="40% - Accent2 5 2 2 2 3 2" xfId="51101"/>
    <cellStyle name="40% - Accent2 5 2 2 2 4" xfId="33991"/>
    <cellStyle name="40% - Accent2 5 2 2 3" xfId="8285"/>
    <cellStyle name="40% - Accent2 5 2 2 3 2" xfId="25332"/>
    <cellStyle name="40% - Accent2 5 2 2 3 2 2" xfId="54193"/>
    <cellStyle name="40% - Accent2 5 2 2 3 3" xfId="37146"/>
    <cellStyle name="40% - Accent2 5 2 2 4" xfId="12966"/>
    <cellStyle name="40% - Accent2 5 2 2 4 2" xfId="19560"/>
    <cellStyle name="40% - Accent2 5 2 2 4 2 2" xfId="48421"/>
    <cellStyle name="40% - Accent2 5 2 2 4 3" xfId="41827"/>
    <cellStyle name="40% - Accent2 5 2 2 5" xfId="16880"/>
    <cellStyle name="40% - Accent2 5 2 2 5 2" xfId="45741"/>
    <cellStyle name="40% - Accent2 5 2 2 6" xfId="31105"/>
    <cellStyle name="40% - Accent2 5 2 3" xfId="3379"/>
    <cellStyle name="40% - Accent2 5 2 3 2" xfId="9420"/>
    <cellStyle name="40% - Accent2 5 2 3 2 2" xfId="26467"/>
    <cellStyle name="40% - Accent2 5 2 3 2 2 2" xfId="55328"/>
    <cellStyle name="40% - Accent2 5 2 3 2 3" xfId="38281"/>
    <cellStyle name="40% - Accent2 5 2 3 3" xfId="20489"/>
    <cellStyle name="40% - Accent2 5 2 3 3 2" xfId="49350"/>
    <cellStyle name="40% - Accent2 5 2 3 4" xfId="32240"/>
    <cellStyle name="40% - Accent2 5 2 4" xfId="6534"/>
    <cellStyle name="40% - Accent2 5 2 4 2" xfId="23581"/>
    <cellStyle name="40% - Accent2 5 2 4 2 2" xfId="52442"/>
    <cellStyle name="40% - Accent2 5 2 4 3" xfId="35395"/>
    <cellStyle name="40% - Accent2 5 2 5" xfId="12610"/>
    <cellStyle name="40% - Accent2 5 2 5 2" xfId="17809"/>
    <cellStyle name="40% - Accent2 5 2 5 2 2" xfId="46670"/>
    <cellStyle name="40% - Accent2 5 2 5 3" xfId="41471"/>
    <cellStyle name="40% - Accent2 5 2 6" xfId="15129"/>
    <cellStyle name="40% - Accent2 5 2 6 2" xfId="43990"/>
    <cellStyle name="40% - Accent2 5 2 7" xfId="29354"/>
    <cellStyle name="40% - Accent2 5 3" xfId="801"/>
    <cellStyle name="40% - Accent2 5 3 2" xfId="3688"/>
    <cellStyle name="40% - Accent2 5 3 2 2" xfId="9729"/>
    <cellStyle name="40% - Accent2 5 3 2 2 2" xfId="26776"/>
    <cellStyle name="40% - Accent2 5 3 2 2 2 2" xfId="55637"/>
    <cellStyle name="40% - Accent2 5 3 2 2 3" xfId="38590"/>
    <cellStyle name="40% - Accent2 5 3 2 3" xfId="20798"/>
    <cellStyle name="40% - Accent2 5 3 2 3 2" xfId="49659"/>
    <cellStyle name="40% - Accent2 5 3 2 4" xfId="32549"/>
    <cellStyle name="40% - Accent2 5 3 3" xfId="6843"/>
    <cellStyle name="40% - Accent2 5 3 3 2" xfId="23890"/>
    <cellStyle name="40% - Accent2 5 3 3 2 2" xfId="52751"/>
    <cellStyle name="40% - Accent2 5 3 3 3" xfId="35704"/>
    <cellStyle name="40% - Accent2 5 3 4" xfId="13500"/>
    <cellStyle name="40% - Accent2 5 3 4 2" xfId="18118"/>
    <cellStyle name="40% - Accent2 5 3 4 2 2" xfId="46979"/>
    <cellStyle name="40% - Accent2 5 3 4 3" xfId="42361"/>
    <cellStyle name="40% - Accent2 5 3 5" xfId="15438"/>
    <cellStyle name="40% - Accent2 5 3 5 2" xfId="44299"/>
    <cellStyle name="40% - Accent2 5 3 6" xfId="29663"/>
    <cellStyle name="40% - Accent2 5 4" xfId="1007"/>
    <cellStyle name="40% - Accent2 5 4 2" xfId="3894"/>
    <cellStyle name="40% - Accent2 5 4 2 2" xfId="9935"/>
    <cellStyle name="40% - Accent2 5 4 2 2 2" xfId="26982"/>
    <cellStyle name="40% - Accent2 5 4 2 2 2 2" xfId="55843"/>
    <cellStyle name="40% - Accent2 5 4 2 2 3" xfId="38796"/>
    <cellStyle name="40% - Accent2 5 4 2 3" xfId="21004"/>
    <cellStyle name="40% - Accent2 5 4 2 3 2" xfId="49865"/>
    <cellStyle name="40% - Accent2 5 4 2 4" xfId="32755"/>
    <cellStyle name="40% - Accent2 5 4 3" xfId="7049"/>
    <cellStyle name="40% - Accent2 5 4 3 2" xfId="24096"/>
    <cellStyle name="40% - Accent2 5 4 3 2 2" xfId="52957"/>
    <cellStyle name="40% - Accent2 5 4 3 3" xfId="35910"/>
    <cellStyle name="40% - Accent2 5 4 4" xfId="13545"/>
    <cellStyle name="40% - Accent2 5 4 4 2" xfId="18324"/>
    <cellStyle name="40% - Accent2 5 4 4 2 2" xfId="47185"/>
    <cellStyle name="40% - Accent2 5 4 4 3" xfId="42406"/>
    <cellStyle name="40% - Accent2 5 4 5" xfId="15644"/>
    <cellStyle name="40% - Accent2 5 4 5 2" xfId="44505"/>
    <cellStyle name="40% - Accent2 5 4 6" xfId="29869"/>
    <cellStyle name="40% - Accent2 5 5" xfId="1213"/>
    <cellStyle name="40% - Accent2 5 5 2" xfId="4100"/>
    <cellStyle name="40% - Accent2 5 5 2 2" xfId="10141"/>
    <cellStyle name="40% - Accent2 5 5 2 2 2" xfId="27188"/>
    <cellStyle name="40% - Accent2 5 5 2 2 2 2" xfId="56049"/>
    <cellStyle name="40% - Accent2 5 5 2 2 3" xfId="39002"/>
    <cellStyle name="40% - Accent2 5 5 2 3" xfId="21210"/>
    <cellStyle name="40% - Accent2 5 5 2 3 2" xfId="50071"/>
    <cellStyle name="40% - Accent2 5 5 2 4" xfId="32961"/>
    <cellStyle name="40% - Accent2 5 5 3" xfId="7255"/>
    <cellStyle name="40% - Accent2 5 5 3 2" xfId="24302"/>
    <cellStyle name="40% - Accent2 5 5 3 2 2" xfId="53163"/>
    <cellStyle name="40% - Accent2 5 5 3 3" xfId="36116"/>
    <cellStyle name="40% - Accent2 5 5 4" xfId="14441"/>
    <cellStyle name="40% - Accent2 5 5 4 2" xfId="18530"/>
    <cellStyle name="40% - Accent2 5 5 4 2 2" xfId="47391"/>
    <cellStyle name="40% - Accent2 5 5 4 3" xfId="43302"/>
    <cellStyle name="40% - Accent2 5 5 5" xfId="15850"/>
    <cellStyle name="40% - Accent2 5 5 5 2" xfId="44711"/>
    <cellStyle name="40% - Accent2 5 5 6" xfId="30075"/>
    <cellStyle name="40% - Accent2 5 6" xfId="1419"/>
    <cellStyle name="40% - Accent2 5 6 2" xfId="4306"/>
    <cellStyle name="40% - Accent2 5 6 2 2" xfId="10347"/>
    <cellStyle name="40% - Accent2 5 6 2 2 2" xfId="27394"/>
    <cellStyle name="40% - Accent2 5 6 2 2 2 2" xfId="56255"/>
    <cellStyle name="40% - Accent2 5 6 2 2 3" xfId="39208"/>
    <cellStyle name="40% - Accent2 5 6 2 3" xfId="21416"/>
    <cellStyle name="40% - Accent2 5 6 2 3 2" xfId="50277"/>
    <cellStyle name="40% - Accent2 5 6 2 4" xfId="33167"/>
    <cellStyle name="40% - Accent2 5 6 3" xfId="7461"/>
    <cellStyle name="40% - Accent2 5 6 3 2" xfId="24508"/>
    <cellStyle name="40% - Accent2 5 6 3 2 2" xfId="53369"/>
    <cellStyle name="40% - Accent2 5 6 3 3" xfId="36322"/>
    <cellStyle name="40% - Accent2 5 6 4" xfId="13907"/>
    <cellStyle name="40% - Accent2 5 6 4 2" xfId="18736"/>
    <cellStyle name="40% - Accent2 5 6 4 2 2" xfId="47597"/>
    <cellStyle name="40% - Accent2 5 6 4 3" xfId="42768"/>
    <cellStyle name="40% - Accent2 5 6 5" xfId="16056"/>
    <cellStyle name="40% - Accent2 5 6 5 2" xfId="44917"/>
    <cellStyle name="40% - Accent2 5 6 6" xfId="30281"/>
    <cellStyle name="40% - Accent2 5 7" xfId="1625"/>
    <cellStyle name="40% - Accent2 5 7 2" xfId="4512"/>
    <cellStyle name="40% - Accent2 5 7 2 2" xfId="10553"/>
    <cellStyle name="40% - Accent2 5 7 2 2 2" xfId="27600"/>
    <cellStyle name="40% - Accent2 5 7 2 2 2 2" xfId="56461"/>
    <cellStyle name="40% - Accent2 5 7 2 2 3" xfId="39414"/>
    <cellStyle name="40% - Accent2 5 7 2 3" xfId="21622"/>
    <cellStyle name="40% - Accent2 5 7 2 3 2" xfId="50483"/>
    <cellStyle name="40% - Accent2 5 7 2 4" xfId="33373"/>
    <cellStyle name="40% - Accent2 5 7 3" xfId="7667"/>
    <cellStyle name="40% - Accent2 5 7 3 2" xfId="24714"/>
    <cellStyle name="40% - Accent2 5 7 3 2 2" xfId="53575"/>
    <cellStyle name="40% - Accent2 5 7 3 3" xfId="36528"/>
    <cellStyle name="40% - Accent2 5 7 4" xfId="12458"/>
    <cellStyle name="40% - Accent2 5 7 4 2" xfId="18942"/>
    <cellStyle name="40% - Accent2 5 7 4 2 2" xfId="47803"/>
    <cellStyle name="40% - Accent2 5 7 4 3" xfId="41319"/>
    <cellStyle name="40% - Accent2 5 7 5" xfId="16262"/>
    <cellStyle name="40% - Accent2 5 7 5 2" xfId="45123"/>
    <cellStyle name="40% - Accent2 5 7 6" xfId="30487"/>
    <cellStyle name="40% - Accent2 5 8" xfId="1831"/>
    <cellStyle name="40% - Accent2 5 8 2" xfId="4718"/>
    <cellStyle name="40% - Accent2 5 8 2 2" xfId="10759"/>
    <cellStyle name="40% - Accent2 5 8 2 2 2" xfId="27806"/>
    <cellStyle name="40% - Accent2 5 8 2 2 2 2" xfId="56667"/>
    <cellStyle name="40% - Accent2 5 8 2 2 3" xfId="39620"/>
    <cellStyle name="40% - Accent2 5 8 2 3" xfId="21828"/>
    <cellStyle name="40% - Accent2 5 8 2 3 2" xfId="50689"/>
    <cellStyle name="40% - Accent2 5 8 2 4" xfId="33579"/>
    <cellStyle name="40% - Accent2 5 8 3" xfId="7873"/>
    <cellStyle name="40% - Accent2 5 8 3 2" xfId="24920"/>
    <cellStyle name="40% - Accent2 5 8 3 2 2" xfId="53781"/>
    <cellStyle name="40% - Accent2 5 8 3 3" xfId="36734"/>
    <cellStyle name="40% - Accent2 5 8 4" xfId="13038"/>
    <cellStyle name="40% - Accent2 5 8 4 2" xfId="19148"/>
    <cellStyle name="40% - Accent2 5 8 4 2 2" xfId="48009"/>
    <cellStyle name="40% - Accent2 5 8 4 3" xfId="41899"/>
    <cellStyle name="40% - Accent2 5 8 5" xfId="16468"/>
    <cellStyle name="40% - Accent2 5 8 5 2" xfId="45329"/>
    <cellStyle name="40% - Accent2 5 8 6" xfId="30693"/>
    <cellStyle name="40% - Accent2 5 9" xfId="2037"/>
    <cellStyle name="40% - Accent2 5 9 2" xfId="4924"/>
    <cellStyle name="40% - Accent2 5 9 2 2" xfId="10965"/>
    <cellStyle name="40% - Accent2 5 9 2 2 2" xfId="28012"/>
    <cellStyle name="40% - Accent2 5 9 2 2 2 2" xfId="56873"/>
    <cellStyle name="40% - Accent2 5 9 2 2 3" xfId="39826"/>
    <cellStyle name="40% - Accent2 5 9 2 3" xfId="22034"/>
    <cellStyle name="40% - Accent2 5 9 2 3 2" xfId="50895"/>
    <cellStyle name="40% - Accent2 5 9 2 4" xfId="33785"/>
    <cellStyle name="40% - Accent2 5 9 3" xfId="8079"/>
    <cellStyle name="40% - Accent2 5 9 3 2" xfId="25126"/>
    <cellStyle name="40% - Accent2 5 9 3 2 2" xfId="53987"/>
    <cellStyle name="40% - Accent2 5 9 3 3" xfId="36940"/>
    <cellStyle name="40% - Accent2 5 9 4" xfId="13596"/>
    <cellStyle name="40% - Accent2 5 9 4 2" xfId="19354"/>
    <cellStyle name="40% - Accent2 5 9 4 2 2" xfId="48215"/>
    <cellStyle name="40% - Accent2 5 9 4 3" xfId="42457"/>
    <cellStyle name="40% - Accent2 5 9 5" xfId="16674"/>
    <cellStyle name="40% - Accent2 5 9 5 2" xfId="45535"/>
    <cellStyle name="40% - Accent2 5 9 6" xfId="30899"/>
    <cellStyle name="40% - Accent2 6" xfId="183"/>
    <cellStyle name="40% - Accent2 6 2" xfId="595"/>
    <cellStyle name="40% - Accent2 6 2 2" xfId="3482"/>
    <cellStyle name="40% - Accent2 6 2 2 2" xfId="9523"/>
    <cellStyle name="40% - Accent2 6 2 2 2 2" xfId="26570"/>
    <cellStyle name="40% - Accent2 6 2 2 2 2 2" xfId="55431"/>
    <cellStyle name="40% - Accent2 6 2 2 2 3" xfId="38384"/>
    <cellStyle name="40% - Accent2 6 2 2 3" xfId="20592"/>
    <cellStyle name="40% - Accent2 6 2 2 3 2" xfId="49453"/>
    <cellStyle name="40% - Accent2 6 2 2 4" xfId="32343"/>
    <cellStyle name="40% - Accent2 6 2 3" xfId="6637"/>
    <cellStyle name="40% - Accent2 6 2 3 2" xfId="23684"/>
    <cellStyle name="40% - Accent2 6 2 3 2 2" xfId="52545"/>
    <cellStyle name="40% - Accent2 6 2 3 3" xfId="35498"/>
    <cellStyle name="40% - Accent2 6 2 4" xfId="13875"/>
    <cellStyle name="40% - Accent2 6 2 4 2" xfId="17912"/>
    <cellStyle name="40% - Accent2 6 2 4 2 2" xfId="46773"/>
    <cellStyle name="40% - Accent2 6 2 4 3" xfId="42736"/>
    <cellStyle name="40% - Accent2 6 2 5" xfId="15232"/>
    <cellStyle name="40% - Accent2 6 2 5 2" xfId="44093"/>
    <cellStyle name="40% - Accent2 6 2 6" xfId="29457"/>
    <cellStyle name="40% - Accent2 6 3" xfId="2140"/>
    <cellStyle name="40% - Accent2 6 3 2" xfId="5027"/>
    <cellStyle name="40% - Accent2 6 3 2 2" xfId="11068"/>
    <cellStyle name="40% - Accent2 6 3 2 2 2" xfId="28115"/>
    <cellStyle name="40% - Accent2 6 3 2 2 2 2" xfId="56976"/>
    <cellStyle name="40% - Accent2 6 3 2 2 3" xfId="39929"/>
    <cellStyle name="40% - Accent2 6 3 2 3" xfId="22137"/>
    <cellStyle name="40% - Accent2 6 3 2 3 2" xfId="50998"/>
    <cellStyle name="40% - Accent2 6 3 2 4" xfId="33888"/>
    <cellStyle name="40% - Accent2 6 3 3" xfId="8182"/>
    <cellStyle name="40% - Accent2 6 3 3 2" xfId="25229"/>
    <cellStyle name="40% - Accent2 6 3 3 2 2" xfId="54090"/>
    <cellStyle name="40% - Accent2 6 3 3 3" xfId="37043"/>
    <cellStyle name="40% - Accent2 6 3 4" xfId="12997"/>
    <cellStyle name="40% - Accent2 6 3 4 2" xfId="19457"/>
    <cellStyle name="40% - Accent2 6 3 4 2 2" xfId="48318"/>
    <cellStyle name="40% - Accent2 6 3 4 3" xfId="41858"/>
    <cellStyle name="40% - Accent2 6 3 5" xfId="16777"/>
    <cellStyle name="40% - Accent2 6 3 5 2" xfId="45638"/>
    <cellStyle name="40% - Accent2 6 3 6" xfId="31002"/>
    <cellStyle name="40% - Accent2 6 4" xfId="3070"/>
    <cellStyle name="40% - Accent2 6 4 2" xfId="9111"/>
    <cellStyle name="40% - Accent2 6 4 2 2" xfId="26158"/>
    <cellStyle name="40% - Accent2 6 4 2 2 2" xfId="55019"/>
    <cellStyle name="40% - Accent2 6 4 2 3" xfId="37972"/>
    <cellStyle name="40% - Accent2 6 4 3" xfId="20180"/>
    <cellStyle name="40% - Accent2 6 4 3 2" xfId="49041"/>
    <cellStyle name="40% - Accent2 6 4 4" xfId="31931"/>
    <cellStyle name="40% - Accent2 6 5" xfId="6225"/>
    <cellStyle name="40% - Accent2 6 5 2" xfId="23272"/>
    <cellStyle name="40% - Accent2 6 5 2 2" xfId="52133"/>
    <cellStyle name="40% - Accent2 6 5 3" xfId="35086"/>
    <cellStyle name="40% - Accent2 6 6" xfId="13975"/>
    <cellStyle name="40% - Accent2 6 6 2" xfId="17603"/>
    <cellStyle name="40% - Accent2 6 6 2 2" xfId="46464"/>
    <cellStyle name="40% - Accent2 6 6 3" xfId="42836"/>
    <cellStyle name="40% - Accent2 6 7" xfId="14820"/>
    <cellStyle name="40% - Accent2 6 7 2" xfId="43681"/>
    <cellStyle name="40% - Accent2 6 8" xfId="29045"/>
    <cellStyle name="40% - Accent2 7" xfId="389"/>
    <cellStyle name="40% - Accent2 7 2" xfId="3276"/>
    <cellStyle name="40% - Accent2 7 2 2" xfId="9317"/>
    <cellStyle name="40% - Accent2 7 2 2 2" xfId="26364"/>
    <cellStyle name="40% - Accent2 7 2 2 2 2" xfId="55225"/>
    <cellStyle name="40% - Accent2 7 2 2 3" xfId="38178"/>
    <cellStyle name="40% - Accent2 7 2 3" xfId="20386"/>
    <cellStyle name="40% - Accent2 7 2 3 2" xfId="49247"/>
    <cellStyle name="40% - Accent2 7 2 4" xfId="32137"/>
    <cellStyle name="40% - Accent2 7 3" xfId="6431"/>
    <cellStyle name="40% - Accent2 7 3 2" xfId="23478"/>
    <cellStyle name="40% - Accent2 7 3 2 2" xfId="52339"/>
    <cellStyle name="40% - Accent2 7 3 3" xfId="35292"/>
    <cellStyle name="40% - Accent2 7 4" xfId="13561"/>
    <cellStyle name="40% - Accent2 7 4 2" xfId="17706"/>
    <cellStyle name="40% - Accent2 7 4 2 2" xfId="46567"/>
    <cellStyle name="40% - Accent2 7 4 3" xfId="42422"/>
    <cellStyle name="40% - Accent2 7 5" xfId="15026"/>
    <cellStyle name="40% - Accent2 7 5 2" xfId="43887"/>
    <cellStyle name="40% - Accent2 7 6" xfId="29251"/>
    <cellStyle name="40% - Accent2 8" xfId="698"/>
    <cellStyle name="40% - Accent2 8 2" xfId="3585"/>
    <cellStyle name="40% - Accent2 8 2 2" xfId="9626"/>
    <cellStyle name="40% - Accent2 8 2 2 2" xfId="26673"/>
    <cellStyle name="40% - Accent2 8 2 2 2 2" xfId="55534"/>
    <cellStyle name="40% - Accent2 8 2 2 3" xfId="38487"/>
    <cellStyle name="40% - Accent2 8 2 3" xfId="20695"/>
    <cellStyle name="40% - Accent2 8 2 3 2" xfId="49556"/>
    <cellStyle name="40% - Accent2 8 2 4" xfId="32446"/>
    <cellStyle name="40% - Accent2 8 3" xfId="6740"/>
    <cellStyle name="40% - Accent2 8 3 2" xfId="23787"/>
    <cellStyle name="40% - Accent2 8 3 2 2" xfId="52648"/>
    <cellStyle name="40% - Accent2 8 3 3" xfId="35601"/>
    <cellStyle name="40% - Accent2 8 4" xfId="14367"/>
    <cellStyle name="40% - Accent2 8 4 2" xfId="18015"/>
    <cellStyle name="40% - Accent2 8 4 2 2" xfId="46876"/>
    <cellStyle name="40% - Accent2 8 4 3" xfId="43228"/>
    <cellStyle name="40% - Accent2 8 5" xfId="15335"/>
    <cellStyle name="40% - Accent2 8 5 2" xfId="44196"/>
    <cellStyle name="40% - Accent2 8 6" xfId="29560"/>
    <cellStyle name="40% - Accent2 9" xfId="904"/>
    <cellStyle name="40% - Accent2 9 2" xfId="3791"/>
    <cellStyle name="40% - Accent2 9 2 2" xfId="9832"/>
    <cellStyle name="40% - Accent2 9 2 2 2" xfId="26879"/>
    <cellStyle name="40% - Accent2 9 2 2 2 2" xfId="55740"/>
    <cellStyle name="40% - Accent2 9 2 2 3" xfId="38693"/>
    <cellStyle name="40% - Accent2 9 2 3" xfId="20901"/>
    <cellStyle name="40% - Accent2 9 2 3 2" xfId="49762"/>
    <cellStyle name="40% - Accent2 9 2 4" xfId="32652"/>
    <cellStyle name="40% - Accent2 9 3" xfId="6946"/>
    <cellStyle name="40% - Accent2 9 3 2" xfId="23993"/>
    <cellStyle name="40% - Accent2 9 3 2 2" xfId="52854"/>
    <cellStyle name="40% - Accent2 9 3 3" xfId="35807"/>
    <cellStyle name="40% - Accent2 9 4" xfId="12308"/>
    <cellStyle name="40% - Accent2 9 4 2" xfId="18221"/>
    <cellStyle name="40% - Accent2 9 4 2 2" xfId="47082"/>
    <cellStyle name="40% - Accent2 9 4 3" xfId="41169"/>
    <cellStyle name="40% - Accent2 9 5" xfId="15541"/>
    <cellStyle name="40% - Accent2 9 5 2" xfId="44402"/>
    <cellStyle name="40% - Accent2 9 6" xfId="29766"/>
    <cellStyle name="40% - Accent3" xfId="75" builtinId="39" customBuiltin="1"/>
    <cellStyle name="40% - Accent3 10" xfId="1112"/>
    <cellStyle name="40% - Accent3 10 2" xfId="3999"/>
    <cellStyle name="40% - Accent3 10 2 2" xfId="10040"/>
    <cellStyle name="40% - Accent3 10 2 2 2" xfId="27087"/>
    <cellStyle name="40% - Accent3 10 2 2 2 2" xfId="55948"/>
    <cellStyle name="40% - Accent3 10 2 2 3" xfId="38901"/>
    <cellStyle name="40% - Accent3 10 2 3" xfId="21109"/>
    <cellStyle name="40% - Accent3 10 2 3 2" xfId="49970"/>
    <cellStyle name="40% - Accent3 10 2 4" xfId="32860"/>
    <cellStyle name="40% - Accent3 10 3" xfId="7154"/>
    <cellStyle name="40% - Accent3 10 3 2" xfId="24201"/>
    <cellStyle name="40% - Accent3 10 3 2 2" xfId="53062"/>
    <cellStyle name="40% - Accent3 10 3 3" xfId="36015"/>
    <cellStyle name="40% - Accent3 10 4" xfId="14118"/>
    <cellStyle name="40% - Accent3 10 4 2" xfId="18429"/>
    <cellStyle name="40% - Accent3 10 4 2 2" xfId="47290"/>
    <cellStyle name="40% - Accent3 10 4 3" xfId="42979"/>
    <cellStyle name="40% - Accent3 10 5" xfId="15749"/>
    <cellStyle name="40% - Accent3 10 5 2" xfId="44610"/>
    <cellStyle name="40% - Accent3 10 6" xfId="29974"/>
    <cellStyle name="40% - Accent3 11" xfId="1318"/>
    <cellStyle name="40% - Accent3 11 2" xfId="4205"/>
    <cellStyle name="40% - Accent3 11 2 2" xfId="10246"/>
    <cellStyle name="40% - Accent3 11 2 2 2" xfId="27293"/>
    <cellStyle name="40% - Accent3 11 2 2 2 2" xfId="56154"/>
    <cellStyle name="40% - Accent3 11 2 2 3" xfId="39107"/>
    <cellStyle name="40% - Accent3 11 2 3" xfId="21315"/>
    <cellStyle name="40% - Accent3 11 2 3 2" xfId="50176"/>
    <cellStyle name="40% - Accent3 11 2 4" xfId="33066"/>
    <cellStyle name="40% - Accent3 11 3" xfId="7360"/>
    <cellStyle name="40% - Accent3 11 3 2" xfId="24407"/>
    <cellStyle name="40% - Accent3 11 3 2 2" xfId="53268"/>
    <cellStyle name="40% - Accent3 11 3 3" xfId="36221"/>
    <cellStyle name="40% - Accent3 11 4" xfId="13794"/>
    <cellStyle name="40% - Accent3 11 4 2" xfId="18635"/>
    <cellStyle name="40% - Accent3 11 4 2 2" xfId="47496"/>
    <cellStyle name="40% - Accent3 11 4 3" xfId="42655"/>
    <cellStyle name="40% - Accent3 11 5" xfId="15955"/>
    <cellStyle name="40% - Accent3 11 5 2" xfId="44816"/>
    <cellStyle name="40% - Accent3 11 6" xfId="30180"/>
    <cellStyle name="40% - Accent3 12" xfId="1524"/>
    <cellStyle name="40% - Accent3 12 2" xfId="4411"/>
    <cellStyle name="40% - Accent3 12 2 2" xfId="10452"/>
    <cellStyle name="40% - Accent3 12 2 2 2" xfId="27499"/>
    <cellStyle name="40% - Accent3 12 2 2 2 2" xfId="56360"/>
    <cellStyle name="40% - Accent3 12 2 2 3" xfId="39313"/>
    <cellStyle name="40% - Accent3 12 2 3" xfId="21521"/>
    <cellStyle name="40% - Accent3 12 2 3 2" xfId="50382"/>
    <cellStyle name="40% - Accent3 12 2 4" xfId="33272"/>
    <cellStyle name="40% - Accent3 12 3" xfId="7566"/>
    <cellStyle name="40% - Accent3 12 3 2" xfId="24613"/>
    <cellStyle name="40% - Accent3 12 3 2 2" xfId="53474"/>
    <cellStyle name="40% - Accent3 12 3 3" xfId="36427"/>
    <cellStyle name="40% - Accent3 12 4" xfId="11930"/>
    <cellStyle name="40% - Accent3 12 4 2" xfId="18841"/>
    <cellStyle name="40% - Accent3 12 4 2 2" xfId="47702"/>
    <cellStyle name="40% - Accent3 12 4 3" xfId="40791"/>
    <cellStyle name="40% - Accent3 12 5" xfId="16161"/>
    <cellStyle name="40% - Accent3 12 5 2" xfId="45022"/>
    <cellStyle name="40% - Accent3 12 6" xfId="30386"/>
    <cellStyle name="40% - Accent3 13" xfId="1730"/>
    <cellStyle name="40% - Accent3 13 2" xfId="4617"/>
    <cellStyle name="40% - Accent3 13 2 2" xfId="10658"/>
    <cellStyle name="40% - Accent3 13 2 2 2" xfId="27705"/>
    <cellStyle name="40% - Accent3 13 2 2 2 2" xfId="56566"/>
    <cellStyle name="40% - Accent3 13 2 2 3" xfId="39519"/>
    <cellStyle name="40% - Accent3 13 2 3" xfId="21727"/>
    <cellStyle name="40% - Accent3 13 2 3 2" xfId="50588"/>
    <cellStyle name="40% - Accent3 13 2 4" xfId="33478"/>
    <cellStyle name="40% - Accent3 13 3" xfId="7772"/>
    <cellStyle name="40% - Accent3 13 3 2" xfId="24819"/>
    <cellStyle name="40% - Accent3 13 3 2 2" xfId="53680"/>
    <cellStyle name="40% - Accent3 13 3 3" xfId="36633"/>
    <cellStyle name="40% - Accent3 13 4" xfId="14033"/>
    <cellStyle name="40% - Accent3 13 4 2" xfId="19047"/>
    <cellStyle name="40% - Accent3 13 4 2 2" xfId="47908"/>
    <cellStyle name="40% - Accent3 13 4 3" xfId="42894"/>
    <cellStyle name="40% - Accent3 13 5" xfId="16367"/>
    <cellStyle name="40% - Accent3 13 5 2" xfId="45228"/>
    <cellStyle name="40% - Accent3 13 6" xfId="30592"/>
    <cellStyle name="40% - Accent3 14" xfId="1936"/>
    <cellStyle name="40% - Accent3 14 2" xfId="4823"/>
    <cellStyle name="40% - Accent3 14 2 2" xfId="10864"/>
    <cellStyle name="40% - Accent3 14 2 2 2" xfId="27911"/>
    <cellStyle name="40% - Accent3 14 2 2 2 2" xfId="56772"/>
    <cellStyle name="40% - Accent3 14 2 2 3" xfId="39725"/>
    <cellStyle name="40% - Accent3 14 2 3" xfId="21933"/>
    <cellStyle name="40% - Accent3 14 2 3 2" xfId="50794"/>
    <cellStyle name="40% - Accent3 14 2 4" xfId="33684"/>
    <cellStyle name="40% - Accent3 14 3" xfId="7978"/>
    <cellStyle name="40% - Accent3 14 3 2" xfId="25025"/>
    <cellStyle name="40% - Accent3 14 3 2 2" xfId="53886"/>
    <cellStyle name="40% - Accent3 14 3 3" xfId="36839"/>
    <cellStyle name="40% - Accent3 14 4" xfId="12956"/>
    <cellStyle name="40% - Accent3 14 4 2" xfId="19253"/>
    <cellStyle name="40% - Accent3 14 4 2 2" xfId="48114"/>
    <cellStyle name="40% - Accent3 14 4 3" xfId="41817"/>
    <cellStyle name="40% - Accent3 14 5" xfId="16573"/>
    <cellStyle name="40% - Accent3 14 5 2" xfId="45434"/>
    <cellStyle name="40% - Accent3 14 6" xfId="30798"/>
    <cellStyle name="40% - Accent3 15" xfId="2348"/>
    <cellStyle name="40% - Accent3 15 2" xfId="5235"/>
    <cellStyle name="40% - Accent3 15 2 2" xfId="11276"/>
    <cellStyle name="40% - Accent3 15 2 2 2" xfId="28323"/>
    <cellStyle name="40% - Accent3 15 2 2 2 2" xfId="57184"/>
    <cellStyle name="40% - Accent3 15 2 2 3" xfId="40137"/>
    <cellStyle name="40% - Accent3 15 2 3" xfId="22345"/>
    <cellStyle name="40% - Accent3 15 2 3 2" xfId="51206"/>
    <cellStyle name="40% - Accent3 15 2 4" xfId="34096"/>
    <cellStyle name="40% - Accent3 15 3" xfId="8390"/>
    <cellStyle name="40% - Accent3 15 3 2" xfId="25437"/>
    <cellStyle name="40% - Accent3 15 3 2 2" xfId="54298"/>
    <cellStyle name="40% - Accent3 15 3 3" xfId="37251"/>
    <cellStyle name="40% - Accent3 15 4" xfId="13299"/>
    <cellStyle name="40% - Accent3 15 4 2" xfId="19665"/>
    <cellStyle name="40% - Accent3 15 4 2 2" xfId="48526"/>
    <cellStyle name="40% - Accent3 15 4 3" xfId="42160"/>
    <cellStyle name="40% - Accent3 15 5" xfId="16985"/>
    <cellStyle name="40% - Accent3 15 5 2" xfId="45846"/>
    <cellStyle name="40% - Accent3 15 6" xfId="31210"/>
    <cellStyle name="40% - Accent3 16" xfId="2557"/>
    <cellStyle name="40% - Accent3 16 2" xfId="5443"/>
    <cellStyle name="40% - Accent3 16 2 2" xfId="11484"/>
    <cellStyle name="40% - Accent3 16 2 2 2" xfId="28531"/>
    <cellStyle name="40% - Accent3 16 2 2 2 2" xfId="57392"/>
    <cellStyle name="40% - Accent3 16 2 2 3" xfId="40345"/>
    <cellStyle name="40% - Accent3 16 2 3" xfId="22553"/>
    <cellStyle name="40% - Accent3 16 2 3 2" xfId="51414"/>
    <cellStyle name="40% - Accent3 16 2 4" xfId="34304"/>
    <cellStyle name="40% - Accent3 16 3" xfId="8598"/>
    <cellStyle name="40% - Accent3 16 3 2" xfId="25645"/>
    <cellStyle name="40% - Accent3 16 3 2 2" xfId="54506"/>
    <cellStyle name="40% - Accent3 16 3 3" xfId="37459"/>
    <cellStyle name="40% - Accent3 16 4" xfId="13822"/>
    <cellStyle name="40% - Accent3 16 4 2" xfId="19873"/>
    <cellStyle name="40% - Accent3 16 4 2 2" xfId="48734"/>
    <cellStyle name="40% - Accent3 16 4 3" xfId="42683"/>
    <cellStyle name="40% - Accent3 16 5" xfId="17193"/>
    <cellStyle name="40% - Accent3 16 5 2" xfId="46054"/>
    <cellStyle name="40% - Accent3 16 6" xfId="31418"/>
    <cellStyle name="40% - Accent3 17" xfId="2969"/>
    <cellStyle name="40% - Accent3 17 2" xfId="9010"/>
    <cellStyle name="40% - Accent3 17 2 2" xfId="26057"/>
    <cellStyle name="40% - Accent3 17 2 2 2" xfId="54918"/>
    <cellStyle name="40% - Accent3 17 2 3" xfId="37871"/>
    <cellStyle name="40% - Accent3 17 3" xfId="12994"/>
    <cellStyle name="40% - Accent3 17 3 2" xfId="20079"/>
    <cellStyle name="40% - Accent3 17 3 2 2" xfId="48940"/>
    <cellStyle name="40% - Accent3 17 3 3" xfId="41855"/>
    <cellStyle name="40% - Accent3 17 4" xfId="14719"/>
    <cellStyle name="40% - Accent3 17 4 2" xfId="43580"/>
    <cellStyle name="40% - Accent3 17 5" xfId="31830"/>
    <cellStyle name="40% - Accent3 18" xfId="2763"/>
    <cellStyle name="40% - Accent3 18 2" xfId="8804"/>
    <cellStyle name="40% - Accent3 18 2 2" xfId="25851"/>
    <cellStyle name="40% - Accent3 18 2 2 2" xfId="54712"/>
    <cellStyle name="40% - Accent3 18 2 3" xfId="37665"/>
    <cellStyle name="40% - Accent3 18 3" xfId="17399"/>
    <cellStyle name="40% - Accent3 18 3 2" xfId="46260"/>
    <cellStyle name="40% - Accent3 18 4" xfId="31624"/>
    <cellStyle name="40% - Accent3 19" xfId="5649"/>
    <cellStyle name="40% - Accent3 19 2" xfId="11690"/>
    <cellStyle name="40% - Accent3 19 2 2" xfId="28737"/>
    <cellStyle name="40% - Accent3 19 2 2 2" xfId="57598"/>
    <cellStyle name="40% - Accent3 19 2 3" xfId="40551"/>
    <cellStyle name="40% - Accent3 19 3" xfId="22759"/>
    <cellStyle name="40% - Accent3 19 3 2" xfId="51620"/>
    <cellStyle name="40% - Accent3 19 4" xfId="34510"/>
    <cellStyle name="40% - Accent3 2" xfId="96"/>
    <cellStyle name="40% - Accent3 2 10" xfId="1332"/>
    <cellStyle name="40% - Accent3 2 10 2" xfId="4219"/>
    <cellStyle name="40% - Accent3 2 10 2 2" xfId="10260"/>
    <cellStyle name="40% - Accent3 2 10 2 2 2" xfId="27307"/>
    <cellStyle name="40% - Accent3 2 10 2 2 2 2" xfId="56168"/>
    <cellStyle name="40% - Accent3 2 10 2 2 3" xfId="39121"/>
    <cellStyle name="40% - Accent3 2 10 2 3" xfId="21329"/>
    <cellStyle name="40% - Accent3 2 10 2 3 2" xfId="50190"/>
    <cellStyle name="40% - Accent3 2 10 2 4" xfId="33080"/>
    <cellStyle name="40% - Accent3 2 10 3" xfId="7374"/>
    <cellStyle name="40% - Accent3 2 10 3 2" xfId="24421"/>
    <cellStyle name="40% - Accent3 2 10 3 2 2" xfId="53282"/>
    <cellStyle name="40% - Accent3 2 10 3 3" xfId="36235"/>
    <cellStyle name="40% - Accent3 2 10 4" xfId="12177"/>
    <cellStyle name="40% - Accent3 2 10 4 2" xfId="18649"/>
    <cellStyle name="40% - Accent3 2 10 4 2 2" xfId="47510"/>
    <cellStyle name="40% - Accent3 2 10 4 3" xfId="41038"/>
    <cellStyle name="40% - Accent3 2 10 5" xfId="15969"/>
    <cellStyle name="40% - Accent3 2 10 5 2" xfId="44830"/>
    <cellStyle name="40% - Accent3 2 10 6" xfId="30194"/>
    <cellStyle name="40% - Accent3 2 11" xfId="1538"/>
    <cellStyle name="40% - Accent3 2 11 2" xfId="4425"/>
    <cellStyle name="40% - Accent3 2 11 2 2" xfId="10466"/>
    <cellStyle name="40% - Accent3 2 11 2 2 2" xfId="27513"/>
    <cellStyle name="40% - Accent3 2 11 2 2 2 2" xfId="56374"/>
    <cellStyle name="40% - Accent3 2 11 2 2 3" xfId="39327"/>
    <cellStyle name="40% - Accent3 2 11 2 3" xfId="21535"/>
    <cellStyle name="40% - Accent3 2 11 2 3 2" xfId="50396"/>
    <cellStyle name="40% - Accent3 2 11 2 4" xfId="33286"/>
    <cellStyle name="40% - Accent3 2 11 3" xfId="7580"/>
    <cellStyle name="40% - Accent3 2 11 3 2" xfId="24627"/>
    <cellStyle name="40% - Accent3 2 11 3 2 2" xfId="53488"/>
    <cellStyle name="40% - Accent3 2 11 3 3" xfId="36441"/>
    <cellStyle name="40% - Accent3 2 11 4" xfId="12250"/>
    <cellStyle name="40% - Accent3 2 11 4 2" xfId="18855"/>
    <cellStyle name="40% - Accent3 2 11 4 2 2" xfId="47716"/>
    <cellStyle name="40% - Accent3 2 11 4 3" xfId="41111"/>
    <cellStyle name="40% - Accent3 2 11 5" xfId="16175"/>
    <cellStyle name="40% - Accent3 2 11 5 2" xfId="45036"/>
    <cellStyle name="40% - Accent3 2 11 6" xfId="30400"/>
    <cellStyle name="40% - Accent3 2 12" xfId="1744"/>
    <cellStyle name="40% - Accent3 2 12 2" xfId="4631"/>
    <cellStyle name="40% - Accent3 2 12 2 2" xfId="10672"/>
    <cellStyle name="40% - Accent3 2 12 2 2 2" xfId="27719"/>
    <cellStyle name="40% - Accent3 2 12 2 2 2 2" xfId="56580"/>
    <cellStyle name="40% - Accent3 2 12 2 2 3" xfId="39533"/>
    <cellStyle name="40% - Accent3 2 12 2 3" xfId="21741"/>
    <cellStyle name="40% - Accent3 2 12 2 3 2" xfId="50602"/>
    <cellStyle name="40% - Accent3 2 12 2 4" xfId="33492"/>
    <cellStyle name="40% - Accent3 2 12 3" xfId="7786"/>
    <cellStyle name="40% - Accent3 2 12 3 2" xfId="24833"/>
    <cellStyle name="40% - Accent3 2 12 3 2 2" xfId="53694"/>
    <cellStyle name="40% - Accent3 2 12 3 3" xfId="36647"/>
    <cellStyle name="40% - Accent3 2 12 4" xfId="12937"/>
    <cellStyle name="40% - Accent3 2 12 4 2" xfId="19061"/>
    <cellStyle name="40% - Accent3 2 12 4 2 2" xfId="47922"/>
    <cellStyle name="40% - Accent3 2 12 4 3" xfId="41798"/>
    <cellStyle name="40% - Accent3 2 12 5" xfId="16381"/>
    <cellStyle name="40% - Accent3 2 12 5 2" xfId="45242"/>
    <cellStyle name="40% - Accent3 2 12 6" xfId="30606"/>
    <cellStyle name="40% - Accent3 2 13" xfId="1950"/>
    <cellStyle name="40% - Accent3 2 13 2" xfId="4837"/>
    <cellStyle name="40% - Accent3 2 13 2 2" xfId="10878"/>
    <cellStyle name="40% - Accent3 2 13 2 2 2" xfId="27925"/>
    <cellStyle name="40% - Accent3 2 13 2 2 2 2" xfId="56786"/>
    <cellStyle name="40% - Accent3 2 13 2 2 3" xfId="39739"/>
    <cellStyle name="40% - Accent3 2 13 2 3" xfId="21947"/>
    <cellStyle name="40% - Accent3 2 13 2 3 2" xfId="50808"/>
    <cellStyle name="40% - Accent3 2 13 2 4" xfId="33698"/>
    <cellStyle name="40% - Accent3 2 13 3" xfId="7992"/>
    <cellStyle name="40% - Accent3 2 13 3 2" xfId="25039"/>
    <cellStyle name="40% - Accent3 2 13 3 2 2" xfId="53900"/>
    <cellStyle name="40% - Accent3 2 13 3 3" xfId="36853"/>
    <cellStyle name="40% - Accent3 2 13 4" xfId="13583"/>
    <cellStyle name="40% - Accent3 2 13 4 2" xfId="19267"/>
    <cellStyle name="40% - Accent3 2 13 4 2 2" xfId="48128"/>
    <cellStyle name="40% - Accent3 2 13 4 3" xfId="42444"/>
    <cellStyle name="40% - Accent3 2 13 5" xfId="16587"/>
    <cellStyle name="40% - Accent3 2 13 5 2" xfId="45448"/>
    <cellStyle name="40% - Accent3 2 13 6" xfId="30812"/>
    <cellStyle name="40% - Accent3 2 14" xfId="2362"/>
    <cellStyle name="40% - Accent3 2 14 2" xfId="5249"/>
    <cellStyle name="40% - Accent3 2 14 2 2" xfId="11290"/>
    <cellStyle name="40% - Accent3 2 14 2 2 2" xfId="28337"/>
    <cellStyle name="40% - Accent3 2 14 2 2 2 2" xfId="57198"/>
    <cellStyle name="40% - Accent3 2 14 2 2 3" xfId="40151"/>
    <cellStyle name="40% - Accent3 2 14 2 3" xfId="22359"/>
    <cellStyle name="40% - Accent3 2 14 2 3 2" xfId="51220"/>
    <cellStyle name="40% - Accent3 2 14 2 4" xfId="34110"/>
    <cellStyle name="40% - Accent3 2 14 3" xfId="8404"/>
    <cellStyle name="40% - Accent3 2 14 3 2" xfId="25451"/>
    <cellStyle name="40% - Accent3 2 14 3 2 2" xfId="54312"/>
    <cellStyle name="40% - Accent3 2 14 3 3" xfId="37265"/>
    <cellStyle name="40% - Accent3 2 14 4" xfId="13282"/>
    <cellStyle name="40% - Accent3 2 14 4 2" xfId="19679"/>
    <cellStyle name="40% - Accent3 2 14 4 2 2" xfId="48540"/>
    <cellStyle name="40% - Accent3 2 14 4 3" xfId="42143"/>
    <cellStyle name="40% - Accent3 2 14 5" xfId="16999"/>
    <cellStyle name="40% - Accent3 2 14 5 2" xfId="45860"/>
    <cellStyle name="40% - Accent3 2 14 6" xfId="31224"/>
    <cellStyle name="40% - Accent3 2 15" xfId="2571"/>
    <cellStyle name="40% - Accent3 2 15 2" xfId="5457"/>
    <cellStyle name="40% - Accent3 2 15 2 2" xfId="11498"/>
    <cellStyle name="40% - Accent3 2 15 2 2 2" xfId="28545"/>
    <cellStyle name="40% - Accent3 2 15 2 2 2 2" xfId="57406"/>
    <cellStyle name="40% - Accent3 2 15 2 2 3" xfId="40359"/>
    <cellStyle name="40% - Accent3 2 15 2 3" xfId="22567"/>
    <cellStyle name="40% - Accent3 2 15 2 3 2" xfId="51428"/>
    <cellStyle name="40% - Accent3 2 15 2 4" xfId="34318"/>
    <cellStyle name="40% - Accent3 2 15 3" xfId="8612"/>
    <cellStyle name="40% - Accent3 2 15 3 2" xfId="25659"/>
    <cellStyle name="40% - Accent3 2 15 3 2 2" xfId="54520"/>
    <cellStyle name="40% - Accent3 2 15 3 3" xfId="37473"/>
    <cellStyle name="40% - Accent3 2 15 4" xfId="13217"/>
    <cellStyle name="40% - Accent3 2 15 4 2" xfId="19887"/>
    <cellStyle name="40% - Accent3 2 15 4 2 2" xfId="48748"/>
    <cellStyle name="40% - Accent3 2 15 4 3" xfId="42078"/>
    <cellStyle name="40% - Accent3 2 15 5" xfId="17207"/>
    <cellStyle name="40% - Accent3 2 15 5 2" xfId="46068"/>
    <cellStyle name="40% - Accent3 2 15 6" xfId="31432"/>
    <cellStyle name="40% - Accent3 2 16" xfId="2983"/>
    <cellStyle name="40% - Accent3 2 16 2" xfId="9024"/>
    <cellStyle name="40% - Accent3 2 16 2 2" xfId="26071"/>
    <cellStyle name="40% - Accent3 2 16 2 2 2" xfId="54932"/>
    <cellStyle name="40% - Accent3 2 16 2 3" xfId="37885"/>
    <cellStyle name="40% - Accent3 2 16 3" xfId="12649"/>
    <cellStyle name="40% - Accent3 2 16 3 2" xfId="20093"/>
    <cellStyle name="40% - Accent3 2 16 3 2 2" xfId="48954"/>
    <cellStyle name="40% - Accent3 2 16 3 3" xfId="41510"/>
    <cellStyle name="40% - Accent3 2 16 4" xfId="14733"/>
    <cellStyle name="40% - Accent3 2 16 4 2" xfId="43594"/>
    <cellStyle name="40% - Accent3 2 16 5" xfId="31844"/>
    <cellStyle name="40% - Accent3 2 17" xfId="2777"/>
    <cellStyle name="40% - Accent3 2 17 2" xfId="8818"/>
    <cellStyle name="40% - Accent3 2 17 2 2" xfId="25865"/>
    <cellStyle name="40% - Accent3 2 17 2 2 2" xfId="54726"/>
    <cellStyle name="40% - Accent3 2 17 2 3" xfId="37679"/>
    <cellStyle name="40% - Accent3 2 17 3" xfId="17413"/>
    <cellStyle name="40% - Accent3 2 17 3 2" xfId="46274"/>
    <cellStyle name="40% - Accent3 2 17 4" xfId="31638"/>
    <cellStyle name="40% - Accent3 2 18" xfId="5663"/>
    <cellStyle name="40% - Accent3 2 18 2" xfId="11704"/>
    <cellStyle name="40% - Accent3 2 18 2 2" xfId="28751"/>
    <cellStyle name="40% - Accent3 2 18 2 2 2" xfId="57612"/>
    <cellStyle name="40% - Accent3 2 18 2 3" xfId="40565"/>
    <cellStyle name="40% - Accent3 2 18 3" xfId="22773"/>
    <cellStyle name="40% - Accent3 2 18 3 2" xfId="51634"/>
    <cellStyle name="40% - Accent3 2 18 4" xfId="34524"/>
    <cellStyle name="40% - Accent3 2 19" xfId="5880"/>
    <cellStyle name="40% - Accent3 2 19 2" xfId="22979"/>
    <cellStyle name="40% - Accent3 2 19 2 2" xfId="51840"/>
    <cellStyle name="40% - Accent3 2 19 3" xfId="34741"/>
    <cellStyle name="40% - Accent3 2 2" xfId="122"/>
    <cellStyle name="40% - Accent3 2 2 10" xfId="1770"/>
    <cellStyle name="40% - Accent3 2 2 10 2" xfId="4657"/>
    <cellStyle name="40% - Accent3 2 2 10 2 2" xfId="10698"/>
    <cellStyle name="40% - Accent3 2 2 10 2 2 2" xfId="27745"/>
    <cellStyle name="40% - Accent3 2 2 10 2 2 2 2" xfId="56606"/>
    <cellStyle name="40% - Accent3 2 2 10 2 2 3" xfId="39559"/>
    <cellStyle name="40% - Accent3 2 2 10 2 3" xfId="21767"/>
    <cellStyle name="40% - Accent3 2 2 10 2 3 2" xfId="50628"/>
    <cellStyle name="40% - Accent3 2 2 10 2 4" xfId="33518"/>
    <cellStyle name="40% - Accent3 2 2 10 3" xfId="7812"/>
    <cellStyle name="40% - Accent3 2 2 10 3 2" xfId="24859"/>
    <cellStyle name="40% - Accent3 2 2 10 3 2 2" xfId="53720"/>
    <cellStyle name="40% - Accent3 2 2 10 3 3" xfId="36673"/>
    <cellStyle name="40% - Accent3 2 2 10 4" xfId="12450"/>
    <cellStyle name="40% - Accent3 2 2 10 4 2" xfId="19087"/>
    <cellStyle name="40% - Accent3 2 2 10 4 2 2" xfId="47948"/>
    <cellStyle name="40% - Accent3 2 2 10 4 3" xfId="41311"/>
    <cellStyle name="40% - Accent3 2 2 10 5" xfId="16407"/>
    <cellStyle name="40% - Accent3 2 2 10 5 2" xfId="45268"/>
    <cellStyle name="40% - Accent3 2 2 10 6" xfId="30632"/>
    <cellStyle name="40% - Accent3 2 2 11" xfId="1976"/>
    <cellStyle name="40% - Accent3 2 2 11 2" xfId="4863"/>
    <cellStyle name="40% - Accent3 2 2 11 2 2" xfId="10904"/>
    <cellStyle name="40% - Accent3 2 2 11 2 2 2" xfId="27951"/>
    <cellStyle name="40% - Accent3 2 2 11 2 2 2 2" xfId="56812"/>
    <cellStyle name="40% - Accent3 2 2 11 2 2 3" xfId="39765"/>
    <cellStyle name="40% - Accent3 2 2 11 2 3" xfId="21973"/>
    <cellStyle name="40% - Accent3 2 2 11 2 3 2" xfId="50834"/>
    <cellStyle name="40% - Accent3 2 2 11 2 4" xfId="33724"/>
    <cellStyle name="40% - Accent3 2 2 11 3" xfId="8018"/>
    <cellStyle name="40% - Accent3 2 2 11 3 2" xfId="25065"/>
    <cellStyle name="40% - Accent3 2 2 11 3 2 2" xfId="53926"/>
    <cellStyle name="40% - Accent3 2 2 11 3 3" xfId="36879"/>
    <cellStyle name="40% - Accent3 2 2 11 4" xfId="12962"/>
    <cellStyle name="40% - Accent3 2 2 11 4 2" xfId="19293"/>
    <cellStyle name="40% - Accent3 2 2 11 4 2 2" xfId="48154"/>
    <cellStyle name="40% - Accent3 2 2 11 4 3" xfId="41823"/>
    <cellStyle name="40% - Accent3 2 2 11 5" xfId="16613"/>
    <cellStyle name="40% - Accent3 2 2 11 5 2" xfId="45474"/>
    <cellStyle name="40% - Accent3 2 2 11 6" xfId="30838"/>
    <cellStyle name="40% - Accent3 2 2 12" xfId="2388"/>
    <cellStyle name="40% - Accent3 2 2 12 2" xfId="5275"/>
    <cellStyle name="40% - Accent3 2 2 12 2 2" xfId="11316"/>
    <cellStyle name="40% - Accent3 2 2 12 2 2 2" xfId="28363"/>
    <cellStyle name="40% - Accent3 2 2 12 2 2 2 2" xfId="57224"/>
    <cellStyle name="40% - Accent3 2 2 12 2 2 3" xfId="40177"/>
    <cellStyle name="40% - Accent3 2 2 12 2 3" xfId="22385"/>
    <cellStyle name="40% - Accent3 2 2 12 2 3 2" xfId="51246"/>
    <cellStyle name="40% - Accent3 2 2 12 2 4" xfId="34136"/>
    <cellStyle name="40% - Accent3 2 2 12 3" xfId="8430"/>
    <cellStyle name="40% - Accent3 2 2 12 3 2" xfId="25477"/>
    <cellStyle name="40% - Accent3 2 2 12 3 2 2" xfId="54338"/>
    <cellStyle name="40% - Accent3 2 2 12 3 3" xfId="37291"/>
    <cellStyle name="40% - Accent3 2 2 12 4" xfId="12494"/>
    <cellStyle name="40% - Accent3 2 2 12 4 2" xfId="19705"/>
    <cellStyle name="40% - Accent3 2 2 12 4 2 2" xfId="48566"/>
    <cellStyle name="40% - Accent3 2 2 12 4 3" xfId="41355"/>
    <cellStyle name="40% - Accent3 2 2 12 5" xfId="17025"/>
    <cellStyle name="40% - Accent3 2 2 12 5 2" xfId="45886"/>
    <cellStyle name="40% - Accent3 2 2 12 6" xfId="31250"/>
    <cellStyle name="40% - Accent3 2 2 13" xfId="2597"/>
    <cellStyle name="40% - Accent3 2 2 13 2" xfId="5483"/>
    <cellStyle name="40% - Accent3 2 2 13 2 2" xfId="11524"/>
    <cellStyle name="40% - Accent3 2 2 13 2 2 2" xfId="28571"/>
    <cellStyle name="40% - Accent3 2 2 13 2 2 2 2" xfId="57432"/>
    <cellStyle name="40% - Accent3 2 2 13 2 2 3" xfId="40385"/>
    <cellStyle name="40% - Accent3 2 2 13 2 3" xfId="22593"/>
    <cellStyle name="40% - Accent3 2 2 13 2 3 2" xfId="51454"/>
    <cellStyle name="40% - Accent3 2 2 13 2 4" xfId="34344"/>
    <cellStyle name="40% - Accent3 2 2 13 3" xfId="8638"/>
    <cellStyle name="40% - Accent3 2 2 13 3 2" xfId="25685"/>
    <cellStyle name="40% - Accent3 2 2 13 3 2 2" xfId="54546"/>
    <cellStyle name="40% - Accent3 2 2 13 3 3" xfId="37499"/>
    <cellStyle name="40% - Accent3 2 2 13 4" xfId="13445"/>
    <cellStyle name="40% - Accent3 2 2 13 4 2" xfId="19913"/>
    <cellStyle name="40% - Accent3 2 2 13 4 2 2" xfId="48774"/>
    <cellStyle name="40% - Accent3 2 2 13 4 3" xfId="42306"/>
    <cellStyle name="40% - Accent3 2 2 13 5" xfId="17233"/>
    <cellStyle name="40% - Accent3 2 2 13 5 2" xfId="46094"/>
    <cellStyle name="40% - Accent3 2 2 13 6" xfId="31458"/>
    <cellStyle name="40% - Accent3 2 2 14" xfId="3009"/>
    <cellStyle name="40% - Accent3 2 2 14 2" xfId="9050"/>
    <cellStyle name="40% - Accent3 2 2 14 2 2" xfId="26097"/>
    <cellStyle name="40% - Accent3 2 2 14 2 2 2" xfId="54958"/>
    <cellStyle name="40% - Accent3 2 2 14 2 3" xfId="37911"/>
    <cellStyle name="40% - Accent3 2 2 14 3" xfId="12618"/>
    <cellStyle name="40% - Accent3 2 2 14 3 2" xfId="20119"/>
    <cellStyle name="40% - Accent3 2 2 14 3 2 2" xfId="48980"/>
    <cellStyle name="40% - Accent3 2 2 14 3 3" xfId="41479"/>
    <cellStyle name="40% - Accent3 2 2 14 4" xfId="14759"/>
    <cellStyle name="40% - Accent3 2 2 14 4 2" xfId="43620"/>
    <cellStyle name="40% - Accent3 2 2 14 5" xfId="31870"/>
    <cellStyle name="40% - Accent3 2 2 15" xfId="2803"/>
    <cellStyle name="40% - Accent3 2 2 15 2" xfId="8844"/>
    <cellStyle name="40% - Accent3 2 2 15 2 2" xfId="25891"/>
    <cellStyle name="40% - Accent3 2 2 15 2 2 2" xfId="54752"/>
    <cellStyle name="40% - Accent3 2 2 15 2 3" xfId="37705"/>
    <cellStyle name="40% - Accent3 2 2 15 3" xfId="17439"/>
    <cellStyle name="40% - Accent3 2 2 15 3 2" xfId="46300"/>
    <cellStyle name="40% - Accent3 2 2 15 4" xfId="31664"/>
    <cellStyle name="40% - Accent3 2 2 16" xfId="5689"/>
    <cellStyle name="40% - Accent3 2 2 16 2" xfId="11730"/>
    <cellStyle name="40% - Accent3 2 2 16 2 2" xfId="28777"/>
    <cellStyle name="40% - Accent3 2 2 16 2 2 2" xfId="57638"/>
    <cellStyle name="40% - Accent3 2 2 16 2 3" xfId="40591"/>
    <cellStyle name="40% - Accent3 2 2 16 3" xfId="22799"/>
    <cellStyle name="40% - Accent3 2 2 16 3 2" xfId="51660"/>
    <cellStyle name="40% - Accent3 2 2 16 4" xfId="34550"/>
    <cellStyle name="40% - Accent3 2 2 17" xfId="5906"/>
    <cellStyle name="40% - Accent3 2 2 17 2" xfId="23005"/>
    <cellStyle name="40% - Accent3 2 2 17 2 2" xfId="51866"/>
    <cellStyle name="40% - Accent3 2 2 17 3" xfId="34767"/>
    <cellStyle name="40% - Accent3 2 2 18" xfId="6164"/>
    <cellStyle name="40% - Accent3 2 2 18 2" xfId="23211"/>
    <cellStyle name="40% - Accent3 2 2 18 2 2" xfId="52072"/>
    <cellStyle name="40% - Accent3 2 2 18 3" xfId="35025"/>
    <cellStyle name="40% - Accent3 2 2 19" xfId="14553"/>
    <cellStyle name="40% - Accent3 2 2 19 2" xfId="43414"/>
    <cellStyle name="40% - Accent3 2 2 2" xfId="328"/>
    <cellStyle name="40% - Accent3 2 2 2 10" xfId="2491"/>
    <cellStyle name="40% - Accent3 2 2 2 10 2" xfId="5378"/>
    <cellStyle name="40% - Accent3 2 2 2 10 2 2" xfId="11419"/>
    <cellStyle name="40% - Accent3 2 2 2 10 2 2 2" xfId="28466"/>
    <cellStyle name="40% - Accent3 2 2 2 10 2 2 2 2" xfId="57327"/>
    <cellStyle name="40% - Accent3 2 2 2 10 2 2 3" xfId="40280"/>
    <cellStyle name="40% - Accent3 2 2 2 10 2 3" xfId="22488"/>
    <cellStyle name="40% - Accent3 2 2 2 10 2 3 2" xfId="51349"/>
    <cellStyle name="40% - Accent3 2 2 2 10 2 4" xfId="34239"/>
    <cellStyle name="40% - Accent3 2 2 2 10 3" xfId="8533"/>
    <cellStyle name="40% - Accent3 2 2 2 10 3 2" xfId="25580"/>
    <cellStyle name="40% - Accent3 2 2 2 10 3 2 2" xfId="54441"/>
    <cellStyle name="40% - Accent3 2 2 2 10 3 3" xfId="37394"/>
    <cellStyle name="40% - Accent3 2 2 2 10 4" xfId="12274"/>
    <cellStyle name="40% - Accent3 2 2 2 10 4 2" xfId="19808"/>
    <cellStyle name="40% - Accent3 2 2 2 10 4 2 2" xfId="48669"/>
    <cellStyle name="40% - Accent3 2 2 2 10 4 3" xfId="41135"/>
    <cellStyle name="40% - Accent3 2 2 2 10 5" xfId="17128"/>
    <cellStyle name="40% - Accent3 2 2 2 10 5 2" xfId="45989"/>
    <cellStyle name="40% - Accent3 2 2 2 10 6" xfId="31353"/>
    <cellStyle name="40% - Accent3 2 2 2 11" xfId="2700"/>
    <cellStyle name="40% - Accent3 2 2 2 11 2" xfId="5586"/>
    <cellStyle name="40% - Accent3 2 2 2 11 2 2" xfId="11627"/>
    <cellStyle name="40% - Accent3 2 2 2 11 2 2 2" xfId="28674"/>
    <cellStyle name="40% - Accent3 2 2 2 11 2 2 2 2" xfId="57535"/>
    <cellStyle name="40% - Accent3 2 2 2 11 2 2 3" xfId="40488"/>
    <cellStyle name="40% - Accent3 2 2 2 11 2 3" xfId="22696"/>
    <cellStyle name="40% - Accent3 2 2 2 11 2 3 2" xfId="51557"/>
    <cellStyle name="40% - Accent3 2 2 2 11 2 4" xfId="34447"/>
    <cellStyle name="40% - Accent3 2 2 2 11 3" xfId="8741"/>
    <cellStyle name="40% - Accent3 2 2 2 11 3 2" xfId="25788"/>
    <cellStyle name="40% - Accent3 2 2 2 11 3 2 2" xfId="54649"/>
    <cellStyle name="40% - Accent3 2 2 2 11 3 3" xfId="37602"/>
    <cellStyle name="40% - Accent3 2 2 2 11 4" xfId="13078"/>
    <cellStyle name="40% - Accent3 2 2 2 11 4 2" xfId="20016"/>
    <cellStyle name="40% - Accent3 2 2 2 11 4 2 2" xfId="48877"/>
    <cellStyle name="40% - Accent3 2 2 2 11 4 3" xfId="41939"/>
    <cellStyle name="40% - Accent3 2 2 2 11 5" xfId="17336"/>
    <cellStyle name="40% - Accent3 2 2 2 11 5 2" xfId="46197"/>
    <cellStyle name="40% - Accent3 2 2 2 11 6" xfId="31561"/>
    <cellStyle name="40% - Accent3 2 2 2 12" xfId="3215"/>
    <cellStyle name="40% - Accent3 2 2 2 12 2" xfId="9256"/>
    <cellStyle name="40% - Accent3 2 2 2 12 2 2" xfId="26303"/>
    <cellStyle name="40% - Accent3 2 2 2 12 2 2 2" xfId="55164"/>
    <cellStyle name="40% - Accent3 2 2 2 12 2 3" xfId="38117"/>
    <cellStyle name="40% - Accent3 2 2 2 12 3" xfId="13410"/>
    <cellStyle name="40% - Accent3 2 2 2 12 3 2" xfId="20325"/>
    <cellStyle name="40% - Accent3 2 2 2 12 3 2 2" xfId="49186"/>
    <cellStyle name="40% - Accent3 2 2 2 12 3 3" xfId="42271"/>
    <cellStyle name="40% - Accent3 2 2 2 12 4" xfId="14965"/>
    <cellStyle name="40% - Accent3 2 2 2 12 4 2" xfId="43826"/>
    <cellStyle name="40% - Accent3 2 2 2 12 5" xfId="32076"/>
    <cellStyle name="40% - Accent3 2 2 2 13" xfId="2906"/>
    <cellStyle name="40% - Accent3 2 2 2 13 2" xfId="8947"/>
    <cellStyle name="40% - Accent3 2 2 2 13 2 2" xfId="25994"/>
    <cellStyle name="40% - Accent3 2 2 2 13 2 2 2" xfId="54855"/>
    <cellStyle name="40% - Accent3 2 2 2 13 2 3" xfId="37808"/>
    <cellStyle name="40% - Accent3 2 2 2 13 3" xfId="17542"/>
    <cellStyle name="40% - Accent3 2 2 2 13 3 2" xfId="46403"/>
    <cellStyle name="40% - Accent3 2 2 2 13 4" xfId="31767"/>
    <cellStyle name="40% - Accent3 2 2 2 14" xfId="5792"/>
    <cellStyle name="40% - Accent3 2 2 2 14 2" xfId="11833"/>
    <cellStyle name="40% - Accent3 2 2 2 14 2 2" xfId="28880"/>
    <cellStyle name="40% - Accent3 2 2 2 14 2 2 2" xfId="57741"/>
    <cellStyle name="40% - Accent3 2 2 2 14 2 3" xfId="40694"/>
    <cellStyle name="40% - Accent3 2 2 2 14 3" xfId="22902"/>
    <cellStyle name="40% - Accent3 2 2 2 14 3 2" xfId="51763"/>
    <cellStyle name="40% - Accent3 2 2 2 14 4" xfId="34653"/>
    <cellStyle name="40% - Accent3 2 2 2 15" xfId="6009"/>
    <cellStyle name="40% - Accent3 2 2 2 15 2" xfId="23108"/>
    <cellStyle name="40% - Accent3 2 2 2 15 2 2" xfId="51969"/>
    <cellStyle name="40% - Accent3 2 2 2 15 3" xfId="34870"/>
    <cellStyle name="40% - Accent3 2 2 2 16" xfId="6370"/>
    <cellStyle name="40% - Accent3 2 2 2 16 2" xfId="23417"/>
    <cellStyle name="40% - Accent3 2 2 2 16 2 2" xfId="52278"/>
    <cellStyle name="40% - Accent3 2 2 2 16 3" xfId="35231"/>
    <cellStyle name="40% - Accent3 2 2 2 17" xfId="14656"/>
    <cellStyle name="40% - Accent3 2 2 2 17 2" xfId="43517"/>
    <cellStyle name="40% - Accent3 2 2 2 18" xfId="29190"/>
    <cellStyle name="40% - Accent3 2 2 2 2" xfId="534"/>
    <cellStyle name="40% - Accent3 2 2 2 2 2" xfId="2285"/>
    <cellStyle name="40% - Accent3 2 2 2 2 2 2" xfId="5172"/>
    <cellStyle name="40% - Accent3 2 2 2 2 2 2 2" xfId="11213"/>
    <cellStyle name="40% - Accent3 2 2 2 2 2 2 2 2" xfId="28260"/>
    <cellStyle name="40% - Accent3 2 2 2 2 2 2 2 2 2" xfId="57121"/>
    <cellStyle name="40% - Accent3 2 2 2 2 2 2 2 3" xfId="40074"/>
    <cellStyle name="40% - Accent3 2 2 2 2 2 2 3" xfId="22282"/>
    <cellStyle name="40% - Accent3 2 2 2 2 2 2 3 2" xfId="51143"/>
    <cellStyle name="40% - Accent3 2 2 2 2 2 2 4" xfId="34033"/>
    <cellStyle name="40% - Accent3 2 2 2 2 2 3" xfId="8327"/>
    <cellStyle name="40% - Accent3 2 2 2 2 2 3 2" xfId="25374"/>
    <cellStyle name="40% - Accent3 2 2 2 2 2 3 2 2" xfId="54235"/>
    <cellStyle name="40% - Accent3 2 2 2 2 2 3 3" xfId="37188"/>
    <cellStyle name="40% - Accent3 2 2 2 2 2 4" xfId="14280"/>
    <cellStyle name="40% - Accent3 2 2 2 2 2 4 2" xfId="19602"/>
    <cellStyle name="40% - Accent3 2 2 2 2 2 4 2 2" xfId="48463"/>
    <cellStyle name="40% - Accent3 2 2 2 2 2 4 3" xfId="43141"/>
    <cellStyle name="40% - Accent3 2 2 2 2 2 5" xfId="16922"/>
    <cellStyle name="40% - Accent3 2 2 2 2 2 5 2" xfId="45783"/>
    <cellStyle name="40% - Accent3 2 2 2 2 2 6" xfId="31147"/>
    <cellStyle name="40% - Accent3 2 2 2 2 3" xfId="3421"/>
    <cellStyle name="40% - Accent3 2 2 2 2 3 2" xfId="9462"/>
    <cellStyle name="40% - Accent3 2 2 2 2 3 2 2" xfId="26509"/>
    <cellStyle name="40% - Accent3 2 2 2 2 3 2 2 2" xfId="55370"/>
    <cellStyle name="40% - Accent3 2 2 2 2 3 2 3" xfId="38323"/>
    <cellStyle name="40% - Accent3 2 2 2 2 3 3" xfId="20531"/>
    <cellStyle name="40% - Accent3 2 2 2 2 3 3 2" xfId="49392"/>
    <cellStyle name="40% - Accent3 2 2 2 2 3 4" xfId="32282"/>
    <cellStyle name="40% - Accent3 2 2 2 2 4" xfId="6576"/>
    <cellStyle name="40% - Accent3 2 2 2 2 4 2" xfId="23623"/>
    <cellStyle name="40% - Accent3 2 2 2 2 4 2 2" xfId="52484"/>
    <cellStyle name="40% - Accent3 2 2 2 2 4 3" xfId="35437"/>
    <cellStyle name="40% - Accent3 2 2 2 2 5" xfId="13878"/>
    <cellStyle name="40% - Accent3 2 2 2 2 5 2" xfId="17851"/>
    <cellStyle name="40% - Accent3 2 2 2 2 5 2 2" xfId="46712"/>
    <cellStyle name="40% - Accent3 2 2 2 2 5 3" xfId="42739"/>
    <cellStyle name="40% - Accent3 2 2 2 2 6" xfId="15171"/>
    <cellStyle name="40% - Accent3 2 2 2 2 6 2" xfId="44032"/>
    <cellStyle name="40% - Accent3 2 2 2 2 7" xfId="29396"/>
    <cellStyle name="40% - Accent3 2 2 2 3" xfId="843"/>
    <cellStyle name="40% - Accent3 2 2 2 3 2" xfId="3730"/>
    <cellStyle name="40% - Accent3 2 2 2 3 2 2" xfId="9771"/>
    <cellStyle name="40% - Accent3 2 2 2 3 2 2 2" xfId="26818"/>
    <cellStyle name="40% - Accent3 2 2 2 3 2 2 2 2" xfId="55679"/>
    <cellStyle name="40% - Accent3 2 2 2 3 2 2 3" xfId="38632"/>
    <cellStyle name="40% - Accent3 2 2 2 3 2 3" xfId="20840"/>
    <cellStyle name="40% - Accent3 2 2 2 3 2 3 2" xfId="49701"/>
    <cellStyle name="40% - Accent3 2 2 2 3 2 4" xfId="32591"/>
    <cellStyle name="40% - Accent3 2 2 2 3 3" xfId="6885"/>
    <cellStyle name="40% - Accent3 2 2 2 3 3 2" xfId="23932"/>
    <cellStyle name="40% - Accent3 2 2 2 3 3 2 2" xfId="52793"/>
    <cellStyle name="40% - Accent3 2 2 2 3 3 3" xfId="35746"/>
    <cellStyle name="40% - Accent3 2 2 2 3 4" xfId="12291"/>
    <cellStyle name="40% - Accent3 2 2 2 3 4 2" xfId="18160"/>
    <cellStyle name="40% - Accent3 2 2 2 3 4 2 2" xfId="47021"/>
    <cellStyle name="40% - Accent3 2 2 2 3 4 3" xfId="41152"/>
    <cellStyle name="40% - Accent3 2 2 2 3 5" xfId="15480"/>
    <cellStyle name="40% - Accent3 2 2 2 3 5 2" xfId="44341"/>
    <cellStyle name="40% - Accent3 2 2 2 3 6" xfId="29705"/>
    <cellStyle name="40% - Accent3 2 2 2 4" xfId="1049"/>
    <cellStyle name="40% - Accent3 2 2 2 4 2" xfId="3936"/>
    <cellStyle name="40% - Accent3 2 2 2 4 2 2" xfId="9977"/>
    <cellStyle name="40% - Accent3 2 2 2 4 2 2 2" xfId="27024"/>
    <cellStyle name="40% - Accent3 2 2 2 4 2 2 2 2" xfId="55885"/>
    <cellStyle name="40% - Accent3 2 2 2 4 2 2 3" xfId="38838"/>
    <cellStyle name="40% - Accent3 2 2 2 4 2 3" xfId="21046"/>
    <cellStyle name="40% - Accent3 2 2 2 4 2 3 2" xfId="49907"/>
    <cellStyle name="40% - Accent3 2 2 2 4 2 4" xfId="32797"/>
    <cellStyle name="40% - Accent3 2 2 2 4 3" xfId="7091"/>
    <cellStyle name="40% - Accent3 2 2 2 4 3 2" xfId="24138"/>
    <cellStyle name="40% - Accent3 2 2 2 4 3 2 2" xfId="52999"/>
    <cellStyle name="40% - Accent3 2 2 2 4 3 3" xfId="35952"/>
    <cellStyle name="40% - Accent3 2 2 2 4 4" xfId="14160"/>
    <cellStyle name="40% - Accent3 2 2 2 4 4 2" xfId="18366"/>
    <cellStyle name="40% - Accent3 2 2 2 4 4 2 2" xfId="47227"/>
    <cellStyle name="40% - Accent3 2 2 2 4 4 3" xfId="43021"/>
    <cellStyle name="40% - Accent3 2 2 2 4 5" xfId="15686"/>
    <cellStyle name="40% - Accent3 2 2 2 4 5 2" xfId="44547"/>
    <cellStyle name="40% - Accent3 2 2 2 4 6" xfId="29911"/>
    <cellStyle name="40% - Accent3 2 2 2 5" xfId="1255"/>
    <cellStyle name="40% - Accent3 2 2 2 5 2" xfId="4142"/>
    <cellStyle name="40% - Accent3 2 2 2 5 2 2" xfId="10183"/>
    <cellStyle name="40% - Accent3 2 2 2 5 2 2 2" xfId="27230"/>
    <cellStyle name="40% - Accent3 2 2 2 5 2 2 2 2" xfId="56091"/>
    <cellStyle name="40% - Accent3 2 2 2 5 2 2 3" xfId="39044"/>
    <cellStyle name="40% - Accent3 2 2 2 5 2 3" xfId="21252"/>
    <cellStyle name="40% - Accent3 2 2 2 5 2 3 2" xfId="50113"/>
    <cellStyle name="40% - Accent3 2 2 2 5 2 4" xfId="33003"/>
    <cellStyle name="40% - Accent3 2 2 2 5 3" xfId="7297"/>
    <cellStyle name="40% - Accent3 2 2 2 5 3 2" xfId="24344"/>
    <cellStyle name="40% - Accent3 2 2 2 5 3 2 2" xfId="53205"/>
    <cellStyle name="40% - Accent3 2 2 2 5 3 3" xfId="36158"/>
    <cellStyle name="40% - Accent3 2 2 2 5 4" xfId="13479"/>
    <cellStyle name="40% - Accent3 2 2 2 5 4 2" xfId="18572"/>
    <cellStyle name="40% - Accent3 2 2 2 5 4 2 2" xfId="47433"/>
    <cellStyle name="40% - Accent3 2 2 2 5 4 3" xfId="42340"/>
    <cellStyle name="40% - Accent3 2 2 2 5 5" xfId="15892"/>
    <cellStyle name="40% - Accent3 2 2 2 5 5 2" xfId="44753"/>
    <cellStyle name="40% - Accent3 2 2 2 5 6" xfId="30117"/>
    <cellStyle name="40% - Accent3 2 2 2 6" xfId="1461"/>
    <cellStyle name="40% - Accent3 2 2 2 6 2" xfId="4348"/>
    <cellStyle name="40% - Accent3 2 2 2 6 2 2" xfId="10389"/>
    <cellStyle name="40% - Accent3 2 2 2 6 2 2 2" xfId="27436"/>
    <cellStyle name="40% - Accent3 2 2 2 6 2 2 2 2" xfId="56297"/>
    <cellStyle name="40% - Accent3 2 2 2 6 2 2 3" xfId="39250"/>
    <cellStyle name="40% - Accent3 2 2 2 6 2 3" xfId="21458"/>
    <cellStyle name="40% - Accent3 2 2 2 6 2 3 2" xfId="50319"/>
    <cellStyle name="40% - Accent3 2 2 2 6 2 4" xfId="33209"/>
    <cellStyle name="40% - Accent3 2 2 2 6 3" xfId="7503"/>
    <cellStyle name="40% - Accent3 2 2 2 6 3 2" xfId="24550"/>
    <cellStyle name="40% - Accent3 2 2 2 6 3 2 2" xfId="53411"/>
    <cellStyle name="40% - Accent3 2 2 2 6 3 3" xfId="36364"/>
    <cellStyle name="40% - Accent3 2 2 2 6 4" xfId="13247"/>
    <cellStyle name="40% - Accent3 2 2 2 6 4 2" xfId="18778"/>
    <cellStyle name="40% - Accent3 2 2 2 6 4 2 2" xfId="47639"/>
    <cellStyle name="40% - Accent3 2 2 2 6 4 3" xfId="42108"/>
    <cellStyle name="40% - Accent3 2 2 2 6 5" xfId="16098"/>
    <cellStyle name="40% - Accent3 2 2 2 6 5 2" xfId="44959"/>
    <cellStyle name="40% - Accent3 2 2 2 6 6" xfId="30323"/>
    <cellStyle name="40% - Accent3 2 2 2 7" xfId="1667"/>
    <cellStyle name="40% - Accent3 2 2 2 7 2" xfId="4554"/>
    <cellStyle name="40% - Accent3 2 2 2 7 2 2" xfId="10595"/>
    <cellStyle name="40% - Accent3 2 2 2 7 2 2 2" xfId="27642"/>
    <cellStyle name="40% - Accent3 2 2 2 7 2 2 2 2" xfId="56503"/>
    <cellStyle name="40% - Accent3 2 2 2 7 2 2 3" xfId="39456"/>
    <cellStyle name="40% - Accent3 2 2 2 7 2 3" xfId="21664"/>
    <cellStyle name="40% - Accent3 2 2 2 7 2 3 2" xfId="50525"/>
    <cellStyle name="40% - Accent3 2 2 2 7 2 4" xfId="33415"/>
    <cellStyle name="40% - Accent3 2 2 2 7 3" xfId="7709"/>
    <cellStyle name="40% - Accent3 2 2 2 7 3 2" xfId="24756"/>
    <cellStyle name="40% - Accent3 2 2 2 7 3 2 2" xfId="53617"/>
    <cellStyle name="40% - Accent3 2 2 2 7 3 3" xfId="36570"/>
    <cellStyle name="40% - Accent3 2 2 2 7 4" xfId="14080"/>
    <cellStyle name="40% - Accent3 2 2 2 7 4 2" xfId="18984"/>
    <cellStyle name="40% - Accent3 2 2 2 7 4 2 2" xfId="47845"/>
    <cellStyle name="40% - Accent3 2 2 2 7 4 3" xfId="42941"/>
    <cellStyle name="40% - Accent3 2 2 2 7 5" xfId="16304"/>
    <cellStyle name="40% - Accent3 2 2 2 7 5 2" xfId="45165"/>
    <cellStyle name="40% - Accent3 2 2 2 7 6" xfId="30529"/>
    <cellStyle name="40% - Accent3 2 2 2 8" xfId="1873"/>
    <cellStyle name="40% - Accent3 2 2 2 8 2" xfId="4760"/>
    <cellStyle name="40% - Accent3 2 2 2 8 2 2" xfId="10801"/>
    <cellStyle name="40% - Accent3 2 2 2 8 2 2 2" xfId="27848"/>
    <cellStyle name="40% - Accent3 2 2 2 8 2 2 2 2" xfId="56709"/>
    <cellStyle name="40% - Accent3 2 2 2 8 2 2 3" xfId="39662"/>
    <cellStyle name="40% - Accent3 2 2 2 8 2 3" xfId="21870"/>
    <cellStyle name="40% - Accent3 2 2 2 8 2 3 2" xfId="50731"/>
    <cellStyle name="40% - Accent3 2 2 2 8 2 4" xfId="33621"/>
    <cellStyle name="40% - Accent3 2 2 2 8 3" xfId="7915"/>
    <cellStyle name="40% - Accent3 2 2 2 8 3 2" xfId="24962"/>
    <cellStyle name="40% - Accent3 2 2 2 8 3 2 2" xfId="53823"/>
    <cellStyle name="40% - Accent3 2 2 2 8 3 3" xfId="36776"/>
    <cellStyle name="40% - Accent3 2 2 2 8 4" xfId="12766"/>
    <cellStyle name="40% - Accent3 2 2 2 8 4 2" xfId="19190"/>
    <cellStyle name="40% - Accent3 2 2 2 8 4 2 2" xfId="48051"/>
    <cellStyle name="40% - Accent3 2 2 2 8 4 3" xfId="41627"/>
    <cellStyle name="40% - Accent3 2 2 2 8 5" xfId="16510"/>
    <cellStyle name="40% - Accent3 2 2 2 8 5 2" xfId="45371"/>
    <cellStyle name="40% - Accent3 2 2 2 8 6" xfId="30735"/>
    <cellStyle name="40% - Accent3 2 2 2 9" xfId="2079"/>
    <cellStyle name="40% - Accent3 2 2 2 9 2" xfId="4966"/>
    <cellStyle name="40% - Accent3 2 2 2 9 2 2" xfId="11007"/>
    <cellStyle name="40% - Accent3 2 2 2 9 2 2 2" xfId="28054"/>
    <cellStyle name="40% - Accent3 2 2 2 9 2 2 2 2" xfId="56915"/>
    <cellStyle name="40% - Accent3 2 2 2 9 2 2 3" xfId="39868"/>
    <cellStyle name="40% - Accent3 2 2 2 9 2 3" xfId="22076"/>
    <cellStyle name="40% - Accent3 2 2 2 9 2 3 2" xfId="50937"/>
    <cellStyle name="40% - Accent3 2 2 2 9 2 4" xfId="33827"/>
    <cellStyle name="40% - Accent3 2 2 2 9 3" xfId="8121"/>
    <cellStyle name="40% - Accent3 2 2 2 9 3 2" xfId="25168"/>
    <cellStyle name="40% - Accent3 2 2 2 9 3 2 2" xfId="54029"/>
    <cellStyle name="40% - Accent3 2 2 2 9 3 3" xfId="36982"/>
    <cellStyle name="40% - Accent3 2 2 2 9 4" xfId="13455"/>
    <cellStyle name="40% - Accent3 2 2 2 9 4 2" xfId="19396"/>
    <cellStyle name="40% - Accent3 2 2 2 9 4 2 2" xfId="48257"/>
    <cellStyle name="40% - Accent3 2 2 2 9 4 3" xfId="42316"/>
    <cellStyle name="40% - Accent3 2 2 2 9 5" xfId="16716"/>
    <cellStyle name="40% - Accent3 2 2 2 9 5 2" xfId="45577"/>
    <cellStyle name="40% - Accent3 2 2 2 9 6" xfId="30941"/>
    <cellStyle name="40% - Accent3 2 2 20" xfId="28984"/>
    <cellStyle name="40% - Accent3 2 2 3" xfId="225"/>
    <cellStyle name="40% - Accent3 2 2 3 2" xfId="637"/>
    <cellStyle name="40% - Accent3 2 2 3 2 2" xfId="3524"/>
    <cellStyle name="40% - Accent3 2 2 3 2 2 2" xfId="9565"/>
    <cellStyle name="40% - Accent3 2 2 3 2 2 2 2" xfId="26612"/>
    <cellStyle name="40% - Accent3 2 2 3 2 2 2 2 2" xfId="55473"/>
    <cellStyle name="40% - Accent3 2 2 3 2 2 2 3" xfId="38426"/>
    <cellStyle name="40% - Accent3 2 2 3 2 2 3" xfId="20634"/>
    <cellStyle name="40% - Accent3 2 2 3 2 2 3 2" xfId="49495"/>
    <cellStyle name="40% - Accent3 2 2 3 2 2 4" xfId="32385"/>
    <cellStyle name="40% - Accent3 2 2 3 2 3" xfId="6679"/>
    <cellStyle name="40% - Accent3 2 2 3 2 3 2" xfId="23726"/>
    <cellStyle name="40% - Accent3 2 2 3 2 3 2 2" xfId="52587"/>
    <cellStyle name="40% - Accent3 2 2 3 2 3 3" xfId="35540"/>
    <cellStyle name="40% - Accent3 2 2 3 2 4" xfId="13883"/>
    <cellStyle name="40% - Accent3 2 2 3 2 4 2" xfId="17954"/>
    <cellStyle name="40% - Accent3 2 2 3 2 4 2 2" xfId="46815"/>
    <cellStyle name="40% - Accent3 2 2 3 2 4 3" xfId="42744"/>
    <cellStyle name="40% - Accent3 2 2 3 2 5" xfId="15274"/>
    <cellStyle name="40% - Accent3 2 2 3 2 5 2" xfId="44135"/>
    <cellStyle name="40% - Accent3 2 2 3 2 6" xfId="29499"/>
    <cellStyle name="40% - Accent3 2 2 3 3" xfId="2182"/>
    <cellStyle name="40% - Accent3 2 2 3 3 2" xfId="5069"/>
    <cellStyle name="40% - Accent3 2 2 3 3 2 2" xfId="11110"/>
    <cellStyle name="40% - Accent3 2 2 3 3 2 2 2" xfId="28157"/>
    <cellStyle name="40% - Accent3 2 2 3 3 2 2 2 2" xfId="57018"/>
    <cellStyle name="40% - Accent3 2 2 3 3 2 2 3" xfId="39971"/>
    <cellStyle name="40% - Accent3 2 2 3 3 2 3" xfId="22179"/>
    <cellStyle name="40% - Accent3 2 2 3 3 2 3 2" xfId="51040"/>
    <cellStyle name="40% - Accent3 2 2 3 3 2 4" xfId="33930"/>
    <cellStyle name="40% - Accent3 2 2 3 3 3" xfId="8224"/>
    <cellStyle name="40% - Accent3 2 2 3 3 3 2" xfId="25271"/>
    <cellStyle name="40% - Accent3 2 2 3 3 3 2 2" xfId="54132"/>
    <cellStyle name="40% - Accent3 2 2 3 3 3 3" xfId="37085"/>
    <cellStyle name="40% - Accent3 2 2 3 3 4" xfId="13037"/>
    <cellStyle name="40% - Accent3 2 2 3 3 4 2" xfId="19499"/>
    <cellStyle name="40% - Accent3 2 2 3 3 4 2 2" xfId="48360"/>
    <cellStyle name="40% - Accent3 2 2 3 3 4 3" xfId="41898"/>
    <cellStyle name="40% - Accent3 2 2 3 3 5" xfId="16819"/>
    <cellStyle name="40% - Accent3 2 2 3 3 5 2" xfId="45680"/>
    <cellStyle name="40% - Accent3 2 2 3 3 6" xfId="31044"/>
    <cellStyle name="40% - Accent3 2 2 3 4" xfId="3112"/>
    <cellStyle name="40% - Accent3 2 2 3 4 2" xfId="9153"/>
    <cellStyle name="40% - Accent3 2 2 3 4 2 2" xfId="26200"/>
    <cellStyle name="40% - Accent3 2 2 3 4 2 2 2" xfId="55061"/>
    <cellStyle name="40% - Accent3 2 2 3 4 2 3" xfId="38014"/>
    <cellStyle name="40% - Accent3 2 2 3 4 3" xfId="20222"/>
    <cellStyle name="40% - Accent3 2 2 3 4 3 2" xfId="49083"/>
    <cellStyle name="40% - Accent3 2 2 3 4 4" xfId="31973"/>
    <cellStyle name="40% - Accent3 2 2 3 5" xfId="6267"/>
    <cellStyle name="40% - Accent3 2 2 3 5 2" xfId="23314"/>
    <cellStyle name="40% - Accent3 2 2 3 5 2 2" xfId="52175"/>
    <cellStyle name="40% - Accent3 2 2 3 5 3" xfId="35128"/>
    <cellStyle name="40% - Accent3 2 2 3 6" xfId="12386"/>
    <cellStyle name="40% - Accent3 2 2 3 6 2" xfId="17645"/>
    <cellStyle name="40% - Accent3 2 2 3 6 2 2" xfId="46506"/>
    <cellStyle name="40% - Accent3 2 2 3 6 3" xfId="41247"/>
    <cellStyle name="40% - Accent3 2 2 3 7" xfId="14862"/>
    <cellStyle name="40% - Accent3 2 2 3 7 2" xfId="43723"/>
    <cellStyle name="40% - Accent3 2 2 3 8" xfId="29087"/>
    <cellStyle name="40% - Accent3 2 2 4" xfId="431"/>
    <cellStyle name="40% - Accent3 2 2 4 2" xfId="3318"/>
    <cellStyle name="40% - Accent3 2 2 4 2 2" xfId="9359"/>
    <cellStyle name="40% - Accent3 2 2 4 2 2 2" xfId="26406"/>
    <cellStyle name="40% - Accent3 2 2 4 2 2 2 2" xfId="55267"/>
    <cellStyle name="40% - Accent3 2 2 4 2 2 3" xfId="38220"/>
    <cellStyle name="40% - Accent3 2 2 4 2 3" xfId="20428"/>
    <cellStyle name="40% - Accent3 2 2 4 2 3 2" xfId="49289"/>
    <cellStyle name="40% - Accent3 2 2 4 2 4" xfId="32179"/>
    <cellStyle name="40% - Accent3 2 2 4 3" xfId="6473"/>
    <cellStyle name="40% - Accent3 2 2 4 3 2" xfId="23520"/>
    <cellStyle name="40% - Accent3 2 2 4 3 2 2" xfId="52381"/>
    <cellStyle name="40% - Accent3 2 2 4 3 3" xfId="35334"/>
    <cellStyle name="40% - Accent3 2 2 4 4" xfId="13567"/>
    <cellStyle name="40% - Accent3 2 2 4 4 2" xfId="17748"/>
    <cellStyle name="40% - Accent3 2 2 4 4 2 2" xfId="46609"/>
    <cellStyle name="40% - Accent3 2 2 4 4 3" xfId="42428"/>
    <cellStyle name="40% - Accent3 2 2 4 5" xfId="15068"/>
    <cellStyle name="40% - Accent3 2 2 4 5 2" xfId="43929"/>
    <cellStyle name="40% - Accent3 2 2 4 6" xfId="29293"/>
    <cellStyle name="40% - Accent3 2 2 5" xfId="740"/>
    <cellStyle name="40% - Accent3 2 2 5 2" xfId="3627"/>
    <cellStyle name="40% - Accent3 2 2 5 2 2" xfId="9668"/>
    <cellStyle name="40% - Accent3 2 2 5 2 2 2" xfId="26715"/>
    <cellStyle name="40% - Accent3 2 2 5 2 2 2 2" xfId="55576"/>
    <cellStyle name="40% - Accent3 2 2 5 2 2 3" xfId="38529"/>
    <cellStyle name="40% - Accent3 2 2 5 2 3" xfId="20737"/>
    <cellStyle name="40% - Accent3 2 2 5 2 3 2" xfId="49598"/>
    <cellStyle name="40% - Accent3 2 2 5 2 4" xfId="32488"/>
    <cellStyle name="40% - Accent3 2 2 5 3" xfId="6782"/>
    <cellStyle name="40% - Accent3 2 2 5 3 2" xfId="23829"/>
    <cellStyle name="40% - Accent3 2 2 5 3 2 2" xfId="52690"/>
    <cellStyle name="40% - Accent3 2 2 5 3 3" xfId="35643"/>
    <cellStyle name="40% - Accent3 2 2 5 4" xfId="14239"/>
    <cellStyle name="40% - Accent3 2 2 5 4 2" xfId="18057"/>
    <cellStyle name="40% - Accent3 2 2 5 4 2 2" xfId="46918"/>
    <cellStyle name="40% - Accent3 2 2 5 4 3" xfId="43100"/>
    <cellStyle name="40% - Accent3 2 2 5 5" xfId="15377"/>
    <cellStyle name="40% - Accent3 2 2 5 5 2" xfId="44238"/>
    <cellStyle name="40% - Accent3 2 2 5 6" xfId="29602"/>
    <cellStyle name="40% - Accent3 2 2 6" xfId="946"/>
    <cellStyle name="40% - Accent3 2 2 6 2" xfId="3833"/>
    <cellStyle name="40% - Accent3 2 2 6 2 2" xfId="9874"/>
    <cellStyle name="40% - Accent3 2 2 6 2 2 2" xfId="26921"/>
    <cellStyle name="40% - Accent3 2 2 6 2 2 2 2" xfId="55782"/>
    <cellStyle name="40% - Accent3 2 2 6 2 2 3" xfId="38735"/>
    <cellStyle name="40% - Accent3 2 2 6 2 3" xfId="20943"/>
    <cellStyle name="40% - Accent3 2 2 6 2 3 2" xfId="49804"/>
    <cellStyle name="40% - Accent3 2 2 6 2 4" xfId="32694"/>
    <cellStyle name="40% - Accent3 2 2 6 3" xfId="6988"/>
    <cellStyle name="40% - Accent3 2 2 6 3 2" xfId="24035"/>
    <cellStyle name="40% - Accent3 2 2 6 3 2 2" xfId="52896"/>
    <cellStyle name="40% - Accent3 2 2 6 3 3" xfId="35849"/>
    <cellStyle name="40% - Accent3 2 2 6 4" xfId="12222"/>
    <cellStyle name="40% - Accent3 2 2 6 4 2" xfId="18263"/>
    <cellStyle name="40% - Accent3 2 2 6 4 2 2" xfId="47124"/>
    <cellStyle name="40% - Accent3 2 2 6 4 3" xfId="41083"/>
    <cellStyle name="40% - Accent3 2 2 6 5" xfId="15583"/>
    <cellStyle name="40% - Accent3 2 2 6 5 2" xfId="44444"/>
    <cellStyle name="40% - Accent3 2 2 6 6" xfId="29808"/>
    <cellStyle name="40% - Accent3 2 2 7" xfId="1152"/>
    <cellStyle name="40% - Accent3 2 2 7 2" xfId="4039"/>
    <cellStyle name="40% - Accent3 2 2 7 2 2" xfId="10080"/>
    <cellStyle name="40% - Accent3 2 2 7 2 2 2" xfId="27127"/>
    <cellStyle name="40% - Accent3 2 2 7 2 2 2 2" xfId="55988"/>
    <cellStyle name="40% - Accent3 2 2 7 2 2 3" xfId="38941"/>
    <cellStyle name="40% - Accent3 2 2 7 2 3" xfId="21149"/>
    <cellStyle name="40% - Accent3 2 2 7 2 3 2" xfId="50010"/>
    <cellStyle name="40% - Accent3 2 2 7 2 4" xfId="32900"/>
    <cellStyle name="40% - Accent3 2 2 7 3" xfId="7194"/>
    <cellStyle name="40% - Accent3 2 2 7 3 2" xfId="24241"/>
    <cellStyle name="40% - Accent3 2 2 7 3 2 2" xfId="53102"/>
    <cellStyle name="40% - Accent3 2 2 7 3 3" xfId="36055"/>
    <cellStyle name="40% - Accent3 2 2 7 4" xfId="11980"/>
    <cellStyle name="40% - Accent3 2 2 7 4 2" xfId="18469"/>
    <cellStyle name="40% - Accent3 2 2 7 4 2 2" xfId="47330"/>
    <cellStyle name="40% - Accent3 2 2 7 4 3" xfId="40841"/>
    <cellStyle name="40% - Accent3 2 2 7 5" xfId="15789"/>
    <cellStyle name="40% - Accent3 2 2 7 5 2" xfId="44650"/>
    <cellStyle name="40% - Accent3 2 2 7 6" xfId="30014"/>
    <cellStyle name="40% - Accent3 2 2 8" xfId="1358"/>
    <cellStyle name="40% - Accent3 2 2 8 2" xfId="4245"/>
    <cellStyle name="40% - Accent3 2 2 8 2 2" xfId="10286"/>
    <cellStyle name="40% - Accent3 2 2 8 2 2 2" xfId="27333"/>
    <cellStyle name="40% - Accent3 2 2 8 2 2 2 2" xfId="56194"/>
    <cellStyle name="40% - Accent3 2 2 8 2 2 3" xfId="39147"/>
    <cellStyle name="40% - Accent3 2 2 8 2 3" xfId="21355"/>
    <cellStyle name="40% - Accent3 2 2 8 2 3 2" xfId="50216"/>
    <cellStyle name="40% - Accent3 2 2 8 2 4" xfId="33106"/>
    <cellStyle name="40% - Accent3 2 2 8 3" xfId="7400"/>
    <cellStyle name="40% - Accent3 2 2 8 3 2" xfId="24447"/>
    <cellStyle name="40% - Accent3 2 2 8 3 2 2" xfId="53308"/>
    <cellStyle name="40% - Accent3 2 2 8 3 3" xfId="36261"/>
    <cellStyle name="40% - Accent3 2 2 8 4" xfId="11886"/>
    <cellStyle name="40% - Accent3 2 2 8 4 2" xfId="18675"/>
    <cellStyle name="40% - Accent3 2 2 8 4 2 2" xfId="47536"/>
    <cellStyle name="40% - Accent3 2 2 8 4 3" xfId="40747"/>
    <cellStyle name="40% - Accent3 2 2 8 5" xfId="15995"/>
    <cellStyle name="40% - Accent3 2 2 8 5 2" xfId="44856"/>
    <cellStyle name="40% - Accent3 2 2 8 6" xfId="30220"/>
    <cellStyle name="40% - Accent3 2 2 9" xfId="1564"/>
    <cellStyle name="40% - Accent3 2 2 9 2" xfId="4451"/>
    <cellStyle name="40% - Accent3 2 2 9 2 2" xfId="10492"/>
    <cellStyle name="40% - Accent3 2 2 9 2 2 2" xfId="27539"/>
    <cellStyle name="40% - Accent3 2 2 9 2 2 2 2" xfId="56400"/>
    <cellStyle name="40% - Accent3 2 2 9 2 2 3" xfId="39353"/>
    <cellStyle name="40% - Accent3 2 2 9 2 3" xfId="21561"/>
    <cellStyle name="40% - Accent3 2 2 9 2 3 2" xfId="50422"/>
    <cellStyle name="40% - Accent3 2 2 9 2 4" xfId="33312"/>
    <cellStyle name="40% - Accent3 2 2 9 3" xfId="7606"/>
    <cellStyle name="40% - Accent3 2 2 9 3 2" xfId="24653"/>
    <cellStyle name="40% - Accent3 2 2 9 3 2 2" xfId="53514"/>
    <cellStyle name="40% - Accent3 2 2 9 3 3" xfId="36467"/>
    <cellStyle name="40% - Accent3 2 2 9 4" xfId="12086"/>
    <cellStyle name="40% - Accent3 2 2 9 4 2" xfId="18881"/>
    <cellStyle name="40% - Accent3 2 2 9 4 2 2" xfId="47742"/>
    <cellStyle name="40% - Accent3 2 2 9 4 3" xfId="40947"/>
    <cellStyle name="40% - Accent3 2 2 9 5" xfId="16201"/>
    <cellStyle name="40% - Accent3 2 2 9 5 2" xfId="45062"/>
    <cellStyle name="40% - Accent3 2 2 9 6" xfId="30426"/>
    <cellStyle name="40% - Accent3 2 20" xfId="6138"/>
    <cellStyle name="40% - Accent3 2 20 2" xfId="23185"/>
    <cellStyle name="40% - Accent3 2 20 2 2" xfId="52046"/>
    <cellStyle name="40% - Accent3 2 20 3" xfId="34999"/>
    <cellStyle name="40% - Accent3 2 21" xfId="14527"/>
    <cellStyle name="40% - Accent3 2 21 2" xfId="43388"/>
    <cellStyle name="40% - Accent3 2 22" xfId="28958"/>
    <cellStyle name="40% - Accent3 2 3" xfId="148"/>
    <cellStyle name="40% - Accent3 2 3 10" xfId="1796"/>
    <cellStyle name="40% - Accent3 2 3 10 2" xfId="4683"/>
    <cellStyle name="40% - Accent3 2 3 10 2 2" xfId="10724"/>
    <cellStyle name="40% - Accent3 2 3 10 2 2 2" xfId="27771"/>
    <cellStyle name="40% - Accent3 2 3 10 2 2 2 2" xfId="56632"/>
    <cellStyle name="40% - Accent3 2 3 10 2 2 3" xfId="39585"/>
    <cellStyle name="40% - Accent3 2 3 10 2 3" xfId="21793"/>
    <cellStyle name="40% - Accent3 2 3 10 2 3 2" xfId="50654"/>
    <cellStyle name="40% - Accent3 2 3 10 2 4" xfId="33544"/>
    <cellStyle name="40% - Accent3 2 3 10 3" xfId="7838"/>
    <cellStyle name="40% - Accent3 2 3 10 3 2" xfId="24885"/>
    <cellStyle name="40% - Accent3 2 3 10 3 2 2" xfId="53746"/>
    <cellStyle name="40% - Accent3 2 3 10 3 3" xfId="36699"/>
    <cellStyle name="40% - Accent3 2 3 10 4" xfId="12638"/>
    <cellStyle name="40% - Accent3 2 3 10 4 2" xfId="19113"/>
    <cellStyle name="40% - Accent3 2 3 10 4 2 2" xfId="47974"/>
    <cellStyle name="40% - Accent3 2 3 10 4 3" xfId="41499"/>
    <cellStyle name="40% - Accent3 2 3 10 5" xfId="16433"/>
    <cellStyle name="40% - Accent3 2 3 10 5 2" xfId="45294"/>
    <cellStyle name="40% - Accent3 2 3 10 6" xfId="30658"/>
    <cellStyle name="40% - Accent3 2 3 11" xfId="2002"/>
    <cellStyle name="40% - Accent3 2 3 11 2" xfId="4889"/>
    <cellStyle name="40% - Accent3 2 3 11 2 2" xfId="10930"/>
    <cellStyle name="40% - Accent3 2 3 11 2 2 2" xfId="27977"/>
    <cellStyle name="40% - Accent3 2 3 11 2 2 2 2" xfId="56838"/>
    <cellStyle name="40% - Accent3 2 3 11 2 2 3" xfId="39791"/>
    <cellStyle name="40% - Accent3 2 3 11 2 3" xfId="21999"/>
    <cellStyle name="40% - Accent3 2 3 11 2 3 2" xfId="50860"/>
    <cellStyle name="40% - Accent3 2 3 11 2 4" xfId="33750"/>
    <cellStyle name="40% - Accent3 2 3 11 3" xfId="8044"/>
    <cellStyle name="40% - Accent3 2 3 11 3 2" xfId="25091"/>
    <cellStyle name="40% - Accent3 2 3 11 3 2 2" xfId="53952"/>
    <cellStyle name="40% - Accent3 2 3 11 3 3" xfId="36905"/>
    <cellStyle name="40% - Accent3 2 3 11 4" xfId="12441"/>
    <cellStyle name="40% - Accent3 2 3 11 4 2" xfId="19319"/>
    <cellStyle name="40% - Accent3 2 3 11 4 2 2" xfId="48180"/>
    <cellStyle name="40% - Accent3 2 3 11 4 3" xfId="41302"/>
    <cellStyle name="40% - Accent3 2 3 11 5" xfId="16639"/>
    <cellStyle name="40% - Accent3 2 3 11 5 2" xfId="45500"/>
    <cellStyle name="40% - Accent3 2 3 11 6" xfId="30864"/>
    <cellStyle name="40% - Accent3 2 3 12" xfId="2414"/>
    <cellStyle name="40% - Accent3 2 3 12 2" xfId="5301"/>
    <cellStyle name="40% - Accent3 2 3 12 2 2" xfId="11342"/>
    <cellStyle name="40% - Accent3 2 3 12 2 2 2" xfId="28389"/>
    <cellStyle name="40% - Accent3 2 3 12 2 2 2 2" xfId="57250"/>
    <cellStyle name="40% - Accent3 2 3 12 2 2 3" xfId="40203"/>
    <cellStyle name="40% - Accent3 2 3 12 2 3" xfId="22411"/>
    <cellStyle name="40% - Accent3 2 3 12 2 3 2" xfId="51272"/>
    <cellStyle name="40% - Accent3 2 3 12 2 4" xfId="34162"/>
    <cellStyle name="40% - Accent3 2 3 12 3" xfId="8456"/>
    <cellStyle name="40% - Accent3 2 3 12 3 2" xfId="25503"/>
    <cellStyle name="40% - Accent3 2 3 12 3 2 2" xfId="54364"/>
    <cellStyle name="40% - Accent3 2 3 12 3 3" xfId="37317"/>
    <cellStyle name="40% - Accent3 2 3 12 4" xfId="12072"/>
    <cellStyle name="40% - Accent3 2 3 12 4 2" xfId="19731"/>
    <cellStyle name="40% - Accent3 2 3 12 4 2 2" xfId="48592"/>
    <cellStyle name="40% - Accent3 2 3 12 4 3" xfId="40933"/>
    <cellStyle name="40% - Accent3 2 3 12 5" xfId="17051"/>
    <cellStyle name="40% - Accent3 2 3 12 5 2" xfId="45912"/>
    <cellStyle name="40% - Accent3 2 3 12 6" xfId="31276"/>
    <cellStyle name="40% - Accent3 2 3 13" xfId="2623"/>
    <cellStyle name="40% - Accent3 2 3 13 2" xfId="5509"/>
    <cellStyle name="40% - Accent3 2 3 13 2 2" xfId="11550"/>
    <cellStyle name="40% - Accent3 2 3 13 2 2 2" xfId="28597"/>
    <cellStyle name="40% - Accent3 2 3 13 2 2 2 2" xfId="57458"/>
    <cellStyle name="40% - Accent3 2 3 13 2 2 3" xfId="40411"/>
    <cellStyle name="40% - Accent3 2 3 13 2 3" xfId="22619"/>
    <cellStyle name="40% - Accent3 2 3 13 2 3 2" xfId="51480"/>
    <cellStyle name="40% - Accent3 2 3 13 2 4" xfId="34370"/>
    <cellStyle name="40% - Accent3 2 3 13 3" xfId="8664"/>
    <cellStyle name="40% - Accent3 2 3 13 3 2" xfId="25711"/>
    <cellStyle name="40% - Accent3 2 3 13 3 2 2" xfId="54572"/>
    <cellStyle name="40% - Accent3 2 3 13 3 3" xfId="37525"/>
    <cellStyle name="40% - Accent3 2 3 13 4" xfId="12027"/>
    <cellStyle name="40% - Accent3 2 3 13 4 2" xfId="19939"/>
    <cellStyle name="40% - Accent3 2 3 13 4 2 2" xfId="48800"/>
    <cellStyle name="40% - Accent3 2 3 13 4 3" xfId="40888"/>
    <cellStyle name="40% - Accent3 2 3 13 5" xfId="17259"/>
    <cellStyle name="40% - Accent3 2 3 13 5 2" xfId="46120"/>
    <cellStyle name="40% - Accent3 2 3 13 6" xfId="31484"/>
    <cellStyle name="40% - Accent3 2 3 14" xfId="3035"/>
    <cellStyle name="40% - Accent3 2 3 14 2" xfId="9076"/>
    <cellStyle name="40% - Accent3 2 3 14 2 2" xfId="26123"/>
    <cellStyle name="40% - Accent3 2 3 14 2 2 2" xfId="54984"/>
    <cellStyle name="40% - Accent3 2 3 14 2 3" xfId="37937"/>
    <cellStyle name="40% - Accent3 2 3 14 3" xfId="12264"/>
    <cellStyle name="40% - Accent3 2 3 14 3 2" xfId="20145"/>
    <cellStyle name="40% - Accent3 2 3 14 3 2 2" xfId="49006"/>
    <cellStyle name="40% - Accent3 2 3 14 3 3" xfId="41125"/>
    <cellStyle name="40% - Accent3 2 3 14 4" xfId="14785"/>
    <cellStyle name="40% - Accent3 2 3 14 4 2" xfId="43646"/>
    <cellStyle name="40% - Accent3 2 3 14 5" xfId="31896"/>
    <cellStyle name="40% - Accent3 2 3 15" xfId="2829"/>
    <cellStyle name="40% - Accent3 2 3 15 2" xfId="8870"/>
    <cellStyle name="40% - Accent3 2 3 15 2 2" xfId="25917"/>
    <cellStyle name="40% - Accent3 2 3 15 2 2 2" xfId="54778"/>
    <cellStyle name="40% - Accent3 2 3 15 2 3" xfId="37731"/>
    <cellStyle name="40% - Accent3 2 3 15 3" xfId="17465"/>
    <cellStyle name="40% - Accent3 2 3 15 3 2" xfId="46326"/>
    <cellStyle name="40% - Accent3 2 3 15 4" xfId="31690"/>
    <cellStyle name="40% - Accent3 2 3 16" xfId="5715"/>
    <cellStyle name="40% - Accent3 2 3 16 2" xfId="11756"/>
    <cellStyle name="40% - Accent3 2 3 16 2 2" xfId="28803"/>
    <cellStyle name="40% - Accent3 2 3 16 2 2 2" xfId="57664"/>
    <cellStyle name="40% - Accent3 2 3 16 2 3" xfId="40617"/>
    <cellStyle name="40% - Accent3 2 3 16 3" xfId="22825"/>
    <cellStyle name="40% - Accent3 2 3 16 3 2" xfId="51686"/>
    <cellStyle name="40% - Accent3 2 3 16 4" xfId="34576"/>
    <cellStyle name="40% - Accent3 2 3 17" xfId="5932"/>
    <cellStyle name="40% - Accent3 2 3 17 2" xfId="23031"/>
    <cellStyle name="40% - Accent3 2 3 17 2 2" xfId="51892"/>
    <cellStyle name="40% - Accent3 2 3 17 3" xfId="34793"/>
    <cellStyle name="40% - Accent3 2 3 18" xfId="6190"/>
    <cellStyle name="40% - Accent3 2 3 18 2" xfId="23237"/>
    <cellStyle name="40% - Accent3 2 3 18 2 2" xfId="52098"/>
    <cellStyle name="40% - Accent3 2 3 18 3" xfId="35051"/>
    <cellStyle name="40% - Accent3 2 3 19" xfId="14579"/>
    <cellStyle name="40% - Accent3 2 3 19 2" xfId="43440"/>
    <cellStyle name="40% - Accent3 2 3 2" xfId="354"/>
    <cellStyle name="40% - Accent3 2 3 2 10" xfId="2517"/>
    <cellStyle name="40% - Accent3 2 3 2 10 2" xfId="5404"/>
    <cellStyle name="40% - Accent3 2 3 2 10 2 2" xfId="11445"/>
    <cellStyle name="40% - Accent3 2 3 2 10 2 2 2" xfId="28492"/>
    <cellStyle name="40% - Accent3 2 3 2 10 2 2 2 2" xfId="57353"/>
    <cellStyle name="40% - Accent3 2 3 2 10 2 2 3" xfId="40306"/>
    <cellStyle name="40% - Accent3 2 3 2 10 2 3" xfId="22514"/>
    <cellStyle name="40% - Accent3 2 3 2 10 2 3 2" xfId="51375"/>
    <cellStyle name="40% - Accent3 2 3 2 10 2 4" xfId="34265"/>
    <cellStyle name="40% - Accent3 2 3 2 10 3" xfId="8559"/>
    <cellStyle name="40% - Accent3 2 3 2 10 3 2" xfId="25606"/>
    <cellStyle name="40% - Accent3 2 3 2 10 3 2 2" xfId="54467"/>
    <cellStyle name="40% - Accent3 2 3 2 10 3 3" xfId="37420"/>
    <cellStyle name="40% - Accent3 2 3 2 10 4" xfId="13552"/>
    <cellStyle name="40% - Accent3 2 3 2 10 4 2" xfId="19834"/>
    <cellStyle name="40% - Accent3 2 3 2 10 4 2 2" xfId="48695"/>
    <cellStyle name="40% - Accent3 2 3 2 10 4 3" xfId="42413"/>
    <cellStyle name="40% - Accent3 2 3 2 10 5" xfId="17154"/>
    <cellStyle name="40% - Accent3 2 3 2 10 5 2" xfId="46015"/>
    <cellStyle name="40% - Accent3 2 3 2 10 6" xfId="31379"/>
    <cellStyle name="40% - Accent3 2 3 2 11" xfId="2726"/>
    <cellStyle name="40% - Accent3 2 3 2 11 2" xfId="5612"/>
    <cellStyle name="40% - Accent3 2 3 2 11 2 2" xfId="11653"/>
    <cellStyle name="40% - Accent3 2 3 2 11 2 2 2" xfId="28700"/>
    <cellStyle name="40% - Accent3 2 3 2 11 2 2 2 2" xfId="57561"/>
    <cellStyle name="40% - Accent3 2 3 2 11 2 2 3" xfId="40514"/>
    <cellStyle name="40% - Accent3 2 3 2 11 2 3" xfId="22722"/>
    <cellStyle name="40% - Accent3 2 3 2 11 2 3 2" xfId="51583"/>
    <cellStyle name="40% - Accent3 2 3 2 11 2 4" xfId="34473"/>
    <cellStyle name="40% - Accent3 2 3 2 11 3" xfId="8767"/>
    <cellStyle name="40% - Accent3 2 3 2 11 3 2" xfId="25814"/>
    <cellStyle name="40% - Accent3 2 3 2 11 3 2 2" xfId="54675"/>
    <cellStyle name="40% - Accent3 2 3 2 11 3 3" xfId="37628"/>
    <cellStyle name="40% - Accent3 2 3 2 11 4" xfId="11973"/>
    <cellStyle name="40% - Accent3 2 3 2 11 4 2" xfId="20042"/>
    <cellStyle name="40% - Accent3 2 3 2 11 4 2 2" xfId="48903"/>
    <cellStyle name="40% - Accent3 2 3 2 11 4 3" xfId="40834"/>
    <cellStyle name="40% - Accent3 2 3 2 11 5" xfId="17362"/>
    <cellStyle name="40% - Accent3 2 3 2 11 5 2" xfId="46223"/>
    <cellStyle name="40% - Accent3 2 3 2 11 6" xfId="31587"/>
    <cellStyle name="40% - Accent3 2 3 2 12" xfId="3241"/>
    <cellStyle name="40% - Accent3 2 3 2 12 2" xfId="9282"/>
    <cellStyle name="40% - Accent3 2 3 2 12 2 2" xfId="26329"/>
    <cellStyle name="40% - Accent3 2 3 2 12 2 2 2" xfId="55190"/>
    <cellStyle name="40% - Accent3 2 3 2 12 2 3" xfId="38143"/>
    <cellStyle name="40% - Accent3 2 3 2 12 3" xfId="12581"/>
    <cellStyle name="40% - Accent3 2 3 2 12 3 2" xfId="20351"/>
    <cellStyle name="40% - Accent3 2 3 2 12 3 2 2" xfId="49212"/>
    <cellStyle name="40% - Accent3 2 3 2 12 3 3" xfId="41442"/>
    <cellStyle name="40% - Accent3 2 3 2 12 4" xfId="14991"/>
    <cellStyle name="40% - Accent3 2 3 2 12 4 2" xfId="43852"/>
    <cellStyle name="40% - Accent3 2 3 2 12 5" xfId="32102"/>
    <cellStyle name="40% - Accent3 2 3 2 13" xfId="2932"/>
    <cellStyle name="40% - Accent3 2 3 2 13 2" xfId="8973"/>
    <cellStyle name="40% - Accent3 2 3 2 13 2 2" xfId="26020"/>
    <cellStyle name="40% - Accent3 2 3 2 13 2 2 2" xfId="54881"/>
    <cellStyle name="40% - Accent3 2 3 2 13 2 3" xfId="37834"/>
    <cellStyle name="40% - Accent3 2 3 2 13 3" xfId="17568"/>
    <cellStyle name="40% - Accent3 2 3 2 13 3 2" xfId="46429"/>
    <cellStyle name="40% - Accent3 2 3 2 13 4" xfId="31793"/>
    <cellStyle name="40% - Accent3 2 3 2 14" xfId="5818"/>
    <cellStyle name="40% - Accent3 2 3 2 14 2" xfId="11859"/>
    <cellStyle name="40% - Accent3 2 3 2 14 2 2" xfId="28906"/>
    <cellStyle name="40% - Accent3 2 3 2 14 2 2 2" xfId="57767"/>
    <cellStyle name="40% - Accent3 2 3 2 14 2 3" xfId="40720"/>
    <cellStyle name="40% - Accent3 2 3 2 14 3" xfId="22928"/>
    <cellStyle name="40% - Accent3 2 3 2 14 3 2" xfId="51789"/>
    <cellStyle name="40% - Accent3 2 3 2 14 4" xfId="34679"/>
    <cellStyle name="40% - Accent3 2 3 2 15" xfId="6035"/>
    <cellStyle name="40% - Accent3 2 3 2 15 2" xfId="23134"/>
    <cellStyle name="40% - Accent3 2 3 2 15 2 2" xfId="51995"/>
    <cellStyle name="40% - Accent3 2 3 2 15 3" xfId="34896"/>
    <cellStyle name="40% - Accent3 2 3 2 16" xfId="6396"/>
    <cellStyle name="40% - Accent3 2 3 2 16 2" xfId="23443"/>
    <cellStyle name="40% - Accent3 2 3 2 16 2 2" xfId="52304"/>
    <cellStyle name="40% - Accent3 2 3 2 16 3" xfId="35257"/>
    <cellStyle name="40% - Accent3 2 3 2 17" xfId="14682"/>
    <cellStyle name="40% - Accent3 2 3 2 17 2" xfId="43543"/>
    <cellStyle name="40% - Accent3 2 3 2 18" xfId="29216"/>
    <cellStyle name="40% - Accent3 2 3 2 2" xfId="560"/>
    <cellStyle name="40% - Accent3 2 3 2 2 2" xfId="2311"/>
    <cellStyle name="40% - Accent3 2 3 2 2 2 2" xfId="5198"/>
    <cellStyle name="40% - Accent3 2 3 2 2 2 2 2" xfId="11239"/>
    <cellStyle name="40% - Accent3 2 3 2 2 2 2 2 2" xfId="28286"/>
    <cellStyle name="40% - Accent3 2 3 2 2 2 2 2 2 2" xfId="57147"/>
    <cellStyle name="40% - Accent3 2 3 2 2 2 2 2 3" xfId="40100"/>
    <cellStyle name="40% - Accent3 2 3 2 2 2 2 3" xfId="22308"/>
    <cellStyle name="40% - Accent3 2 3 2 2 2 2 3 2" xfId="51169"/>
    <cellStyle name="40% - Accent3 2 3 2 2 2 2 4" xfId="34059"/>
    <cellStyle name="40% - Accent3 2 3 2 2 2 3" xfId="8353"/>
    <cellStyle name="40% - Accent3 2 3 2 2 2 3 2" xfId="25400"/>
    <cellStyle name="40% - Accent3 2 3 2 2 2 3 2 2" xfId="54261"/>
    <cellStyle name="40% - Accent3 2 3 2 2 2 3 3" xfId="37214"/>
    <cellStyle name="40% - Accent3 2 3 2 2 2 4" xfId="11951"/>
    <cellStyle name="40% - Accent3 2 3 2 2 2 4 2" xfId="19628"/>
    <cellStyle name="40% - Accent3 2 3 2 2 2 4 2 2" xfId="48489"/>
    <cellStyle name="40% - Accent3 2 3 2 2 2 4 3" xfId="40812"/>
    <cellStyle name="40% - Accent3 2 3 2 2 2 5" xfId="16948"/>
    <cellStyle name="40% - Accent3 2 3 2 2 2 5 2" xfId="45809"/>
    <cellStyle name="40% - Accent3 2 3 2 2 2 6" xfId="31173"/>
    <cellStyle name="40% - Accent3 2 3 2 2 3" xfId="3447"/>
    <cellStyle name="40% - Accent3 2 3 2 2 3 2" xfId="9488"/>
    <cellStyle name="40% - Accent3 2 3 2 2 3 2 2" xfId="26535"/>
    <cellStyle name="40% - Accent3 2 3 2 2 3 2 2 2" xfId="55396"/>
    <cellStyle name="40% - Accent3 2 3 2 2 3 2 3" xfId="38349"/>
    <cellStyle name="40% - Accent3 2 3 2 2 3 3" xfId="20557"/>
    <cellStyle name="40% - Accent3 2 3 2 2 3 3 2" xfId="49418"/>
    <cellStyle name="40% - Accent3 2 3 2 2 3 4" xfId="32308"/>
    <cellStyle name="40% - Accent3 2 3 2 2 4" xfId="6602"/>
    <cellStyle name="40% - Accent3 2 3 2 2 4 2" xfId="23649"/>
    <cellStyle name="40% - Accent3 2 3 2 2 4 2 2" xfId="52510"/>
    <cellStyle name="40% - Accent3 2 3 2 2 4 3" xfId="35463"/>
    <cellStyle name="40% - Accent3 2 3 2 2 5" xfId="5838"/>
    <cellStyle name="40% - Accent3 2 3 2 2 5 2" xfId="17877"/>
    <cellStyle name="40% - Accent3 2 3 2 2 5 2 2" xfId="46738"/>
    <cellStyle name="40% - Accent3 2 3 2 2 5 3" xfId="34699"/>
    <cellStyle name="40% - Accent3 2 3 2 2 6" xfId="15197"/>
    <cellStyle name="40% - Accent3 2 3 2 2 6 2" xfId="44058"/>
    <cellStyle name="40% - Accent3 2 3 2 2 7" xfId="29422"/>
    <cellStyle name="40% - Accent3 2 3 2 3" xfId="869"/>
    <cellStyle name="40% - Accent3 2 3 2 3 2" xfId="3756"/>
    <cellStyle name="40% - Accent3 2 3 2 3 2 2" xfId="9797"/>
    <cellStyle name="40% - Accent3 2 3 2 3 2 2 2" xfId="26844"/>
    <cellStyle name="40% - Accent3 2 3 2 3 2 2 2 2" xfId="55705"/>
    <cellStyle name="40% - Accent3 2 3 2 3 2 2 3" xfId="38658"/>
    <cellStyle name="40% - Accent3 2 3 2 3 2 3" xfId="20866"/>
    <cellStyle name="40% - Accent3 2 3 2 3 2 3 2" xfId="49727"/>
    <cellStyle name="40% - Accent3 2 3 2 3 2 4" xfId="32617"/>
    <cellStyle name="40% - Accent3 2 3 2 3 3" xfId="6911"/>
    <cellStyle name="40% - Accent3 2 3 2 3 3 2" xfId="23958"/>
    <cellStyle name="40% - Accent3 2 3 2 3 3 2 2" xfId="52819"/>
    <cellStyle name="40% - Accent3 2 3 2 3 3 3" xfId="35772"/>
    <cellStyle name="40% - Accent3 2 3 2 3 4" xfId="12112"/>
    <cellStyle name="40% - Accent3 2 3 2 3 4 2" xfId="18186"/>
    <cellStyle name="40% - Accent3 2 3 2 3 4 2 2" xfId="47047"/>
    <cellStyle name="40% - Accent3 2 3 2 3 4 3" xfId="40973"/>
    <cellStyle name="40% - Accent3 2 3 2 3 5" xfId="15506"/>
    <cellStyle name="40% - Accent3 2 3 2 3 5 2" xfId="44367"/>
    <cellStyle name="40% - Accent3 2 3 2 3 6" xfId="29731"/>
    <cellStyle name="40% - Accent3 2 3 2 4" xfId="1075"/>
    <cellStyle name="40% - Accent3 2 3 2 4 2" xfId="3962"/>
    <cellStyle name="40% - Accent3 2 3 2 4 2 2" xfId="10003"/>
    <cellStyle name="40% - Accent3 2 3 2 4 2 2 2" xfId="27050"/>
    <cellStyle name="40% - Accent3 2 3 2 4 2 2 2 2" xfId="55911"/>
    <cellStyle name="40% - Accent3 2 3 2 4 2 2 3" xfId="38864"/>
    <cellStyle name="40% - Accent3 2 3 2 4 2 3" xfId="21072"/>
    <cellStyle name="40% - Accent3 2 3 2 4 2 3 2" xfId="49933"/>
    <cellStyle name="40% - Accent3 2 3 2 4 2 4" xfId="32823"/>
    <cellStyle name="40% - Accent3 2 3 2 4 3" xfId="7117"/>
    <cellStyle name="40% - Accent3 2 3 2 4 3 2" xfId="24164"/>
    <cellStyle name="40% - Accent3 2 3 2 4 3 2 2" xfId="53025"/>
    <cellStyle name="40% - Accent3 2 3 2 4 3 3" xfId="35978"/>
    <cellStyle name="40% - Accent3 2 3 2 4 4" xfId="12496"/>
    <cellStyle name="40% - Accent3 2 3 2 4 4 2" xfId="18392"/>
    <cellStyle name="40% - Accent3 2 3 2 4 4 2 2" xfId="47253"/>
    <cellStyle name="40% - Accent3 2 3 2 4 4 3" xfId="41357"/>
    <cellStyle name="40% - Accent3 2 3 2 4 5" xfId="15712"/>
    <cellStyle name="40% - Accent3 2 3 2 4 5 2" xfId="44573"/>
    <cellStyle name="40% - Accent3 2 3 2 4 6" xfId="29937"/>
    <cellStyle name="40% - Accent3 2 3 2 5" xfId="1281"/>
    <cellStyle name="40% - Accent3 2 3 2 5 2" xfId="4168"/>
    <cellStyle name="40% - Accent3 2 3 2 5 2 2" xfId="10209"/>
    <cellStyle name="40% - Accent3 2 3 2 5 2 2 2" xfId="27256"/>
    <cellStyle name="40% - Accent3 2 3 2 5 2 2 2 2" xfId="56117"/>
    <cellStyle name="40% - Accent3 2 3 2 5 2 2 3" xfId="39070"/>
    <cellStyle name="40% - Accent3 2 3 2 5 2 3" xfId="21278"/>
    <cellStyle name="40% - Accent3 2 3 2 5 2 3 2" xfId="50139"/>
    <cellStyle name="40% - Accent3 2 3 2 5 2 4" xfId="33029"/>
    <cellStyle name="40% - Accent3 2 3 2 5 3" xfId="7323"/>
    <cellStyle name="40% - Accent3 2 3 2 5 3 2" xfId="24370"/>
    <cellStyle name="40% - Accent3 2 3 2 5 3 2 2" xfId="53231"/>
    <cellStyle name="40% - Accent3 2 3 2 5 3 3" xfId="36184"/>
    <cellStyle name="40% - Accent3 2 3 2 5 4" xfId="14015"/>
    <cellStyle name="40% - Accent3 2 3 2 5 4 2" xfId="18598"/>
    <cellStyle name="40% - Accent3 2 3 2 5 4 2 2" xfId="47459"/>
    <cellStyle name="40% - Accent3 2 3 2 5 4 3" xfId="42876"/>
    <cellStyle name="40% - Accent3 2 3 2 5 5" xfId="15918"/>
    <cellStyle name="40% - Accent3 2 3 2 5 5 2" xfId="44779"/>
    <cellStyle name="40% - Accent3 2 3 2 5 6" xfId="30143"/>
    <cellStyle name="40% - Accent3 2 3 2 6" xfId="1487"/>
    <cellStyle name="40% - Accent3 2 3 2 6 2" xfId="4374"/>
    <cellStyle name="40% - Accent3 2 3 2 6 2 2" xfId="10415"/>
    <cellStyle name="40% - Accent3 2 3 2 6 2 2 2" xfId="27462"/>
    <cellStyle name="40% - Accent3 2 3 2 6 2 2 2 2" xfId="56323"/>
    <cellStyle name="40% - Accent3 2 3 2 6 2 2 3" xfId="39276"/>
    <cellStyle name="40% - Accent3 2 3 2 6 2 3" xfId="21484"/>
    <cellStyle name="40% - Accent3 2 3 2 6 2 3 2" xfId="50345"/>
    <cellStyle name="40% - Accent3 2 3 2 6 2 4" xfId="33235"/>
    <cellStyle name="40% - Accent3 2 3 2 6 3" xfId="7529"/>
    <cellStyle name="40% - Accent3 2 3 2 6 3 2" xfId="24576"/>
    <cellStyle name="40% - Accent3 2 3 2 6 3 2 2" xfId="53437"/>
    <cellStyle name="40% - Accent3 2 3 2 6 3 3" xfId="36390"/>
    <cellStyle name="40% - Accent3 2 3 2 6 4" xfId="13423"/>
    <cellStyle name="40% - Accent3 2 3 2 6 4 2" xfId="18804"/>
    <cellStyle name="40% - Accent3 2 3 2 6 4 2 2" xfId="47665"/>
    <cellStyle name="40% - Accent3 2 3 2 6 4 3" xfId="42284"/>
    <cellStyle name="40% - Accent3 2 3 2 6 5" xfId="16124"/>
    <cellStyle name="40% - Accent3 2 3 2 6 5 2" xfId="44985"/>
    <cellStyle name="40% - Accent3 2 3 2 6 6" xfId="30349"/>
    <cellStyle name="40% - Accent3 2 3 2 7" xfId="1693"/>
    <cellStyle name="40% - Accent3 2 3 2 7 2" xfId="4580"/>
    <cellStyle name="40% - Accent3 2 3 2 7 2 2" xfId="10621"/>
    <cellStyle name="40% - Accent3 2 3 2 7 2 2 2" xfId="27668"/>
    <cellStyle name="40% - Accent3 2 3 2 7 2 2 2 2" xfId="56529"/>
    <cellStyle name="40% - Accent3 2 3 2 7 2 2 3" xfId="39482"/>
    <cellStyle name="40% - Accent3 2 3 2 7 2 3" xfId="21690"/>
    <cellStyle name="40% - Accent3 2 3 2 7 2 3 2" xfId="50551"/>
    <cellStyle name="40% - Accent3 2 3 2 7 2 4" xfId="33441"/>
    <cellStyle name="40% - Accent3 2 3 2 7 3" xfId="7735"/>
    <cellStyle name="40% - Accent3 2 3 2 7 3 2" xfId="24782"/>
    <cellStyle name="40% - Accent3 2 3 2 7 3 2 2" xfId="53643"/>
    <cellStyle name="40% - Accent3 2 3 2 7 3 3" xfId="36596"/>
    <cellStyle name="40% - Accent3 2 3 2 7 4" xfId="13173"/>
    <cellStyle name="40% - Accent3 2 3 2 7 4 2" xfId="19010"/>
    <cellStyle name="40% - Accent3 2 3 2 7 4 2 2" xfId="47871"/>
    <cellStyle name="40% - Accent3 2 3 2 7 4 3" xfId="42034"/>
    <cellStyle name="40% - Accent3 2 3 2 7 5" xfId="16330"/>
    <cellStyle name="40% - Accent3 2 3 2 7 5 2" xfId="45191"/>
    <cellStyle name="40% - Accent3 2 3 2 7 6" xfId="30555"/>
    <cellStyle name="40% - Accent3 2 3 2 8" xfId="1899"/>
    <cellStyle name="40% - Accent3 2 3 2 8 2" xfId="4786"/>
    <cellStyle name="40% - Accent3 2 3 2 8 2 2" xfId="10827"/>
    <cellStyle name="40% - Accent3 2 3 2 8 2 2 2" xfId="27874"/>
    <cellStyle name="40% - Accent3 2 3 2 8 2 2 2 2" xfId="56735"/>
    <cellStyle name="40% - Accent3 2 3 2 8 2 2 3" xfId="39688"/>
    <cellStyle name="40% - Accent3 2 3 2 8 2 3" xfId="21896"/>
    <cellStyle name="40% - Accent3 2 3 2 8 2 3 2" xfId="50757"/>
    <cellStyle name="40% - Accent3 2 3 2 8 2 4" xfId="33647"/>
    <cellStyle name="40% - Accent3 2 3 2 8 3" xfId="7941"/>
    <cellStyle name="40% - Accent3 2 3 2 8 3 2" xfId="24988"/>
    <cellStyle name="40% - Accent3 2 3 2 8 3 2 2" xfId="53849"/>
    <cellStyle name="40% - Accent3 2 3 2 8 3 3" xfId="36802"/>
    <cellStyle name="40% - Accent3 2 3 2 8 4" xfId="14028"/>
    <cellStyle name="40% - Accent3 2 3 2 8 4 2" xfId="19216"/>
    <cellStyle name="40% - Accent3 2 3 2 8 4 2 2" xfId="48077"/>
    <cellStyle name="40% - Accent3 2 3 2 8 4 3" xfId="42889"/>
    <cellStyle name="40% - Accent3 2 3 2 8 5" xfId="16536"/>
    <cellStyle name="40% - Accent3 2 3 2 8 5 2" xfId="45397"/>
    <cellStyle name="40% - Accent3 2 3 2 8 6" xfId="30761"/>
    <cellStyle name="40% - Accent3 2 3 2 9" xfId="2105"/>
    <cellStyle name="40% - Accent3 2 3 2 9 2" xfId="4992"/>
    <cellStyle name="40% - Accent3 2 3 2 9 2 2" xfId="11033"/>
    <cellStyle name="40% - Accent3 2 3 2 9 2 2 2" xfId="28080"/>
    <cellStyle name="40% - Accent3 2 3 2 9 2 2 2 2" xfId="56941"/>
    <cellStyle name="40% - Accent3 2 3 2 9 2 2 3" xfId="39894"/>
    <cellStyle name="40% - Accent3 2 3 2 9 2 3" xfId="22102"/>
    <cellStyle name="40% - Accent3 2 3 2 9 2 3 2" xfId="50963"/>
    <cellStyle name="40% - Accent3 2 3 2 9 2 4" xfId="33853"/>
    <cellStyle name="40% - Accent3 2 3 2 9 3" xfId="8147"/>
    <cellStyle name="40% - Accent3 2 3 2 9 3 2" xfId="25194"/>
    <cellStyle name="40% - Accent3 2 3 2 9 3 2 2" xfId="54055"/>
    <cellStyle name="40% - Accent3 2 3 2 9 3 3" xfId="37008"/>
    <cellStyle name="40% - Accent3 2 3 2 9 4" xfId="11976"/>
    <cellStyle name="40% - Accent3 2 3 2 9 4 2" xfId="19422"/>
    <cellStyle name="40% - Accent3 2 3 2 9 4 2 2" xfId="48283"/>
    <cellStyle name="40% - Accent3 2 3 2 9 4 3" xfId="40837"/>
    <cellStyle name="40% - Accent3 2 3 2 9 5" xfId="16742"/>
    <cellStyle name="40% - Accent3 2 3 2 9 5 2" xfId="45603"/>
    <cellStyle name="40% - Accent3 2 3 2 9 6" xfId="30967"/>
    <cellStyle name="40% - Accent3 2 3 20" xfId="29010"/>
    <cellStyle name="40% - Accent3 2 3 3" xfId="251"/>
    <cellStyle name="40% - Accent3 2 3 3 2" xfId="663"/>
    <cellStyle name="40% - Accent3 2 3 3 2 2" xfId="3550"/>
    <cellStyle name="40% - Accent3 2 3 3 2 2 2" xfId="9591"/>
    <cellStyle name="40% - Accent3 2 3 3 2 2 2 2" xfId="26638"/>
    <cellStyle name="40% - Accent3 2 3 3 2 2 2 2 2" xfId="55499"/>
    <cellStyle name="40% - Accent3 2 3 3 2 2 2 3" xfId="38452"/>
    <cellStyle name="40% - Accent3 2 3 3 2 2 3" xfId="20660"/>
    <cellStyle name="40% - Accent3 2 3 3 2 2 3 2" xfId="49521"/>
    <cellStyle name="40% - Accent3 2 3 3 2 2 4" xfId="32411"/>
    <cellStyle name="40% - Accent3 2 3 3 2 3" xfId="6705"/>
    <cellStyle name="40% - Accent3 2 3 3 2 3 2" xfId="23752"/>
    <cellStyle name="40% - Accent3 2 3 3 2 3 2 2" xfId="52613"/>
    <cellStyle name="40% - Accent3 2 3 3 2 3 3" xfId="35566"/>
    <cellStyle name="40% - Accent3 2 3 3 2 4" xfId="12106"/>
    <cellStyle name="40% - Accent3 2 3 3 2 4 2" xfId="17980"/>
    <cellStyle name="40% - Accent3 2 3 3 2 4 2 2" xfId="46841"/>
    <cellStyle name="40% - Accent3 2 3 3 2 4 3" xfId="40967"/>
    <cellStyle name="40% - Accent3 2 3 3 2 5" xfId="15300"/>
    <cellStyle name="40% - Accent3 2 3 3 2 5 2" xfId="44161"/>
    <cellStyle name="40% - Accent3 2 3 3 2 6" xfId="29525"/>
    <cellStyle name="40% - Accent3 2 3 3 3" xfId="2208"/>
    <cellStyle name="40% - Accent3 2 3 3 3 2" xfId="5095"/>
    <cellStyle name="40% - Accent3 2 3 3 3 2 2" xfId="11136"/>
    <cellStyle name="40% - Accent3 2 3 3 3 2 2 2" xfId="28183"/>
    <cellStyle name="40% - Accent3 2 3 3 3 2 2 2 2" xfId="57044"/>
    <cellStyle name="40% - Accent3 2 3 3 3 2 2 3" xfId="39997"/>
    <cellStyle name="40% - Accent3 2 3 3 3 2 3" xfId="22205"/>
    <cellStyle name="40% - Accent3 2 3 3 3 2 3 2" xfId="51066"/>
    <cellStyle name="40% - Accent3 2 3 3 3 2 4" xfId="33956"/>
    <cellStyle name="40% - Accent3 2 3 3 3 3" xfId="8250"/>
    <cellStyle name="40% - Accent3 2 3 3 3 3 2" xfId="25297"/>
    <cellStyle name="40% - Accent3 2 3 3 3 3 2 2" xfId="54158"/>
    <cellStyle name="40% - Accent3 2 3 3 3 3 3" xfId="37111"/>
    <cellStyle name="40% - Accent3 2 3 3 3 4" xfId="12552"/>
    <cellStyle name="40% - Accent3 2 3 3 3 4 2" xfId="19525"/>
    <cellStyle name="40% - Accent3 2 3 3 3 4 2 2" xfId="48386"/>
    <cellStyle name="40% - Accent3 2 3 3 3 4 3" xfId="41413"/>
    <cellStyle name="40% - Accent3 2 3 3 3 5" xfId="16845"/>
    <cellStyle name="40% - Accent3 2 3 3 3 5 2" xfId="45706"/>
    <cellStyle name="40% - Accent3 2 3 3 3 6" xfId="31070"/>
    <cellStyle name="40% - Accent3 2 3 3 4" xfId="3138"/>
    <cellStyle name="40% - Accent3 2 3 3 4 2" xfId="9179"/>
    <cellStyle name="40% - Accent3 2 3 3 4 2 2" xfId="26226"/>
    <cellStyle name="40% - Accent3 2 3 3 4 2 2 2" xfId="55087"/>
    <cellStyle name="40% - Accent3 2 3 3 4 2 3" xfId="38040"/>
    <cellStyle name="40% - Accent3 2 3 3 4 3" xfId="20248"/>
    <cellStyle name="40% - Accent3 2 3 3 4 3 2" xfId="49109"/>
    <cellStyle name="40% - Accent3 2 3 3 4 4" xfId="31999"/>
    <cellStyle name="40% - Accent3 2 3 3 5" xfId="6293"/>
    <cellStyle name="40% - Accent3 2 3 3 5 2" xfId="23340"/>
    <cellStyle name="40% - Accent3 2 3 3 5 2 2" xfId="52201"/>
    <cellStyle name="40% - Accent3 2 3 3 5 3" xfId="35154"/>
    <cellStyle name="40% - Accent3 2 3 3 6" xfId="13502"/>
    <cellStyle name="40% - Accent3 2 3 3 6 2" xfId="17671"/>
    <cellStyle name="40% - Accent3 2 3 3 6 2 2" xfId="46532"/>
    <cellStyle name="40% - Accent3 2 3 3 6 3" xfId="42363"/>
    <cellStyle name="40% - Accent3 2 3 3 7" xfId="14888"/>
    <cellStyle name="40% - Accent3 2 3 3 7 2" xfId="43749"/>
    <cellStyle name="40% - Accent3 2 3 3 8" xfId="29113"/>
    <cellStyle name="40% - Accent3 2 3 4" xfId="457"/>
    <cellStyle name="40% - Accent3 2 3 4 2" xfId="3344"/>
    <cellStyle name="40% - Accent3 2 3 4 2 2" xfId="9385"/>
    <cellStyle name="40% - Accent3 2 3 4 2 2 2" xfId="26432"/>
    <cellStyle name="40% - Accent3 2 3 4 2 2 2 2" xfId="55293"/>
    <cellStyle name="40% - Accent3 2 3 4 2 2 3" xfId="38246"/>
    <cellStyle name="40% - Accent3 2 3 4 2 3" xfId="20454"/>
    <cellStyle name="40% - Accent3 2 3 4 2 3 2" xfId="49315"/>
    <cellStyle name="40% - Accent3 2 3 4 2 4" xfId="32205"/>
    <cellStyle name="40% - Accent3 2 3 4 3" xfId="6499"/>
    <cellStyle name="40% - Accent3 2 3 4 3 2" xfId="23546"/>
    <cellStyle name="40% - Accent3 2 3 4 3 2 2" xfId="52407"/>
    <cellStyle name="40% - Accent3 2 3 4 3 3" xfId="35360"/>
    <cellStyle name="40% - Accent3 2 3 4 4" xfId="13946"/>
    <cellStyle name="40% - Accent3 2 3 4 4 2" xfId="17774"/>
    <cellStyle name="40% - Accent3 2 3 4 4 2 2" xfId="46635"/>
    <cellStyle name="40% - Accent3 2 3 4 4 3" xfId="42807"/>
    <cellStyle name="40% - Accent3 2 3 4 5" xfId="15094"/>
    <cellStyle name="40% - Accent3 2 3 4 5 2" xfId="43955"/>
    <cellStyle name="40% - Accent3 2 3 4 6" xfId="29319"/>
    <cellStyle name="40% - Accent3 2 3 5" xfId="766"/>
    <cellStyle name="40% - Accent3 2 3 5 2" xfId="3653"/>
    <cellStyle name="40% - Accent3 2 3 5 2 2" xfId="9694"/>
    <cellStyle name="40% - Accent3 2 3 5 2 2 2" xfId="26741"/>
    <cellStyle name="40% - Accent3 2 3 5 2 2 2 2" xfId="55602"/>
    <cellStyle name="40% - Accent3 2 3 5 2 2 3" xfId="38555"/>
    <cellStyle name="40% - Accent3 2 3 5 2 3" xfId="20763"/>
    <cellStyle name="40% - Accent3 2 3 5 2 3 2" xfId="49624"/>
    <cellStyle name="40% - Accent3 2 3 5 2 4" xfId="32514"/>
    <cellStyle name="40% - Accent3 2 3 5 3" xfId="6808"/>
    <cellStyle name="40% - Accent3 2 3 5 3 2" xfId="23855"/>
    <cellStyle name="40% - Accent3 2 3 5 3 2 2" xfId="52716"/>
    <cellStyle name="40% - Accent3 2 3 5 3 3" xfId="35669"/>
    <cellStyle name="40% - Accent3 2 3 5 4" xfId="11967"/>
    <cellStyle name="40% - Accent3 2 3 5 4 2" xfId="18083"/>
    <cellStyle name="40% - Accent3 2 3 5 4 2 2" xfId="46944"/>
    <cellStyle name="40% - Accent3 2 3 5 4 3" xfId="40828"/>
    <cellStyle name="40% - Accent3 2 3 5 5" xfId="15403"/>
    <cellStyle name="40% - Accent3 2 3 5 5 2" xfId="44264"/>
    <cellStyle name="40% - Accent3 2 3 5 6" xfId="29628"/>
    <cellStyle name="40% - Accent3 2 3 6" xfId="972"/>
    <cellStyle name="40% - Accent3 2 3 6 2" xfId="3859"/>
    <cellStyle name="40% - Accent3 2 3 6 2 2" xfId="9900"/>
    <cellStyle name="40% - Accent3 2 3 6 2 2 2" xfId="26947"/>
    <cellStyle name="40% - Accent3 2 3 6 2 2 2 2" xfId="55808"/>
    <cellStyle name="40% - Accent3 2 3 6 2 2 3" xfId="38761"/>
    <cellStyle name="40% - Accent3 2 3 6 2 3" xfId="20969"/>
    <cellStyle name="40% - Accent3 2 3 6 2 3 2" xfId="49830"/>
    <cellStyle name="40% - Accent3 2 3 6 2 4" xfId="32720"/>
    <cellStyle name="40% - Accent3 2 3 6 3" xfId="7014"/>
    <cellStyle name="40% - Accent3 2 3 6 3 2" xfId="24061"/>
    <cellStyle name="40% - Accent3 2 3 6 3 2 2" xfId="52922"/>
    <cellStyle name="40% - Accent3 2 3 6 3 3" xfId="35875"/>
    <cellStyle name="40% - Accent3 2 3 6 4" xfId="13266"/>
    <cellStyle name="40% - Accent3 2 3 6 4 2" xfId="18289"/>
    <cellStyle name="40% - Accent3 2 3 6 4 2 2" xfId="47150"/>
    <cellStyle name="40% - Accent3 2 3 6 4 3" xfId="42127"/>
    <cellStyle name="40% - Accent3 2 3 6 5" xfId="15609"/>
    <cellStyle name="40% - Accent3 2 3 6 5 2" xfId="44470"/>
    <cellStyle name="40% - Accent3 2 3 6 6" xfId="29834"/>
    <cellStyle name="40% - Accent3 2 3 7" xfId="1178"/>
    <cellStyle name="40% - Accent3 2 3 7 2" xfId="4065"/>
    <cellStyle name="40% - Accent3 2 3 7 2 2" xfId="10106"/>
    <cellStyle name="40% - Accent3 2 3 7 2 2 2" xfId="27153"/>
    <cellStyle name="40% - Accent3 2 3 7 2 2 2 2" xfId="56014"/>
    <cellStyle name="40% - Accent3 2 3 7 2 2 3" xfId="38967"/>
    <cellStyle name="40% - Accent3 2 3 7 2 3" xfId="21175"/>
    <cellStyle name="40% - Accent3 2 3 7 2 3 2" xfId="50036"/>
    <cellStyle name="40% - Accent3 2 3 7 2 4" xfId="32926"/>
    <cellStyle name="40% - Accent3 2 3 7 3" xfId="7220"/>
    <cellStyle name="40% - Accent3 2 3 7 3 2" xfId="24267"/>
    <cellStyle name="40% - Accent3 2 3 7 3 2 2" xfId="53128"/>
    <cellStyle name="40% - Accent3 2 3 7 3 3" xfId="36081"/>
    <cellStyle name="40% - Accent3 2 3 7 4" xfId="14099"/>
    <cellStyle name="40% - Accent3 2 3 7 4 2" xfId="18495"/>
    <cellStyle name="40% - Accent3 2 3 7 4 2 2" xfId="47356"/>
    <cellStyle name="40% - Accent3 2 3 7 4 3" xfId="42960"/>
    <cellStyle name="40% - Accent3 2 3 7 5" xfId="15815"/>
    <cellStyle name="40% - Accent3 2 3 7 5 2" xfId="44676"/>
    <cellStyle name="40% - Accent3 2 3 7 6" xfId="30040"/>
    <cellStyle name="40% - Accent3 2 3 8" xfId="1384"/>
    <cellStyle name="40% - Accent3 2 3 8 2" xfId="4271"/>
    <cellStyle name="40% - Accent3 2 3 8 2 2" xfId="10312"/>
    <cellStyle name="40% - Accent3 2 3 8 2 2 2" xfId="27359"/>
    <cellStyle name="40% - Accent3 2 3 8 2 2 2 2" xfId="56220"/>
    <cellStyle name="40% - Accent3 2 3 8 2 2 3" xfId="39173"/>
    <cellStyle name="40% - Accent3 2 3 8 2 3" xfId="21381"/>
    <cellStyle name="40% - Accent3 2 3 8 2 3 2" xfId="50242"/>
    <cellStyle name="40% - Accent3 2 3 8 2 4" xfId="33132"/>
    <cellStyle name="40% - Accent3 2 3 8 3" xfId="7426"/>
    <cellStyle name="40% - Accent3 2 3 8 3 2" xfId="24473"/>
    <cellStyle name="40% - Accent3 2 3 8 3 2 2" xfId="53334"/>
    <cellStyle name="40% - Accent3 2 3 8 3 3" xfId="36287"/>
    <cellStyle name="40% - Accent3 2 3 8 4" xfId="12339"/>
    <cellStyle name="40% - Accent3 2 3 8 4 2" xfId="18701"/>
    <cellStyle name="40% - Accent3 2 3 8 4 2 2" xfId="47562"/>
    <cellStyle name="40% - Accent3 2 3 8 4 3" xfId="41200"/>
    <cellStyle name="40% - Accent3 2 3 8 5" xfId="16021"/>
    <cellStyle name="40% - Accent3 2 3 8 5 2" xfId="44882"/>
    <cellStyle name="40% - Accent3 2 3 8 6" xfId="30246"/>
    <cellStyle name="40% - Accent3 2 3 9" xfId="1590"/>
    <cellStyle name="40% - Accent3 2 3 9 2" xfId="4477"/>
    <cellStyle name="40% - Accent3 2 3 9 2 2" xfId="10518"/>
    <cellStyle name="40% - Accent3 2 3 9 2 2 2" xfId="27565"/>
    <cellStyle name="40% - Accent3 2 3 9 2 2 2 2" xfId="56426"/>
    <cellStyle name="40% - Accent3 2 3 9 2 2 3" xfId="39379"/>
    <cellStyle name="40% - Accent3 2 3 9 2 3" xfId="21587"/>
    <cellStyle name="40% - Accent3 2 3 9 2 3 2" xfId="50448"/>
    <cellStyle name="40% - Accent3 2 3 9 2 4" xfId="33338"/>
    <cellStyle name="40% - Accent3 2 3 9 3" xfId="7632"/>
    <cellStyle name="40% - Accent3 2 3 9 3 2" xfId="24679"/>
    <cellStyle name="40% - Accent3 2 3 9 3 2 2" xfId="53540"/>
    <cellStyle name="40% - Accent3 2 3 9 3 3" xfId="36493"/>
    <cellStyle name="40% - Accent3 2 3 9 4" xfId="13807"/>
    <cellStyle name="40% - Accent3 2 3 9 4 2" xfId="18907"/>
    <cellStyle name="40% - Accent3 2 3 9 4 2 2" xfId="47768"/>
    <cellStyle name="40% - Accent3 2 3 9 4 3" xfId="42668"/>
    <cellStyle name="40% - Accent3 2 3 9 5" xfId="16227"/>
    <cellStyle name="40% - Accent3 2 3 9 5 2" xfId="45088"/>
    <cellStyle name="40% - Accent3 2 3 9 6" xfId="30452"/>
    <cellStyle name="40% - Accent3 2 4" xfId="302"/>
    <cellStyle name="40% - Accent3 2 4 10" xfId="2465"/>
    <cellStyle name="40% - Accent3 2 4 10 2" xfId="5352"/>
    <cellStyle name="40% - Accent3 2 4 10 2 2" xfId="11393"/>
    <cellStyle name="40% - Accent3 2 4 10 2 2 2" xfId="28440"/>
    <cellStyle name="40% - Accent3 2 4 10 2 2 2 2" xfId="57301"/>
    <cellStyle name="40% - Accent3 2 4 10 2 2 3" xfId="40254"/>
    <cellStyle name="40% - Accent3 2 4 10 2 3" xfId="22462"/>
    <cellStyle name="40% - Accent3 2 4 10 2 3 2" xfId="51323"/>
    <cellStyle name="40% - Accent3 2 4 10 2 4" xfId="34213"/>
    <cellStyle name="40% - Accent3 2 4 10 3" xfId="8507"/>
    <cellStyle name="40% - Accent3 2 4 10 3 2" xfId="25554"/>
    <cellStyle name="40% - Accent3 2 4 10 3 2 2" xfId="54415"/>
    <cellStyle name="40% - Accent3 2 4 10 3 3" xfId="37368"/>
    <cellStyle name="40% - Accent3 2 4 10 4" xfId="13016"/>
    <cellStyle name="40% - Accent3 2 4 10 4 2" xfId="19782"/>
    <cellStyle name="40% - Accent3 2 4 10 4 2 2" xfId="48643"/>
    <cellStyle name="40% - Accent3 2 4 10 4 3" xfId="41877"/>
    <cellStyle name="40% - Accent3 2 4 10 5" xfId="17102"/>
    <cellStyle name="40% - Accent3 2 4 10 5 2" xfId="45963"/>
    <cellStyle name="40% - Accent3 2 4 10 6" xfId="31327"/>
    <cellStyle name="40% - Accent3 2 4 11" xfId="2674"/>
    <cellStyle name="40% - Accent3 2 4 11 2" xfId="5560"/>
    <cellStyle name="40% - Accent3 2 4 11 2 2" xfId="11601"/>
    <cellStyle name="40% - Accent3 2 4 11 2 2 2" xfId="28648"/>
    <cellStyle name="40% - Accent3 2 4 11 2 2 2 2" xfId="57509"/>
    <cellStyle name="40% - Accent3 2 4 11 2 2 3" xfId="40462"/>
    <cellStyle name="40% - Accent3 2 4 11 2 3" xfId="22670"/>
    <cellStyle name="40% - Accent3 2 4 11 2 3 2" xfId="51531"/>
    <cellStyle name="40% - Accent3 2 4 11 2 4" xfId="34421"/>
    <cellStyle name="40% - Accent3 2 4 11 3" xfId="8715"/>
    <cellStyle name="40% - Accent3 2 4 11 3 2" xfId="25762"/>
    <cellStyle name="40% - Accent3 2 4 11 3 2 2" xfId="54623"/>
    <cellStyle name="40% - Accent3 2 4 11 3 3" xfId="37576"/>
    <cellStyle name="40% - Accent3 2 4 11 4" xfId="12886"/>
    <cellStyle name="40% - Accent3 2 4 11 4 2" xfId="19990"/>
    <cellStyle name="40% - Accent3 2 4 11 4 2 2" xfId="48851"/>
    <cellStyle name="40% - Accent3 2 4 11 4 3" xfId="41747"/>
    <cellStyle name="40% - Accent3 2 4 11 5" xfId="17310"/>
    <cellStyle name="40% - Accent3 2 4 11 5 2" xfId="46171"/>
    <cellStyle name="40% - Accent3 2 4 11 6" xfId="31535"/>
    <cellStyle name="40% - Accent3 2 4 12" xfId="3189"/>
    <cellStyle name="40% - Accent3 2 4 12 2" xfId="9230"/>
    <cellStyle name="40% - Accent3 2 4 12 2 2" xfId="26277"/>
    <cellStyle name="40% - Accent3 2 4 12 2 2 2" xfId="55138"/>
    <cellStyle name="40% - Accent3 2 4 12 2 3" xfId="38091"/>
    <cellStyle name="40% - Accent3 2 4 12 3" xfId="14155"/>
    <cellStyle name="40% - Accent3 2 4 12 3 2" xfId="20299"/>
    <cellStyle name="40% - Accent3 2 4 12 3 2 2" xfId="49160"/>
    <cellStyle name="40% - Accent3 2 4 12 3 3" xfId="43016"/>
    <cellStyle name="40% - Accent3 2 4 12 4" xfId="14939"/>
    <cellStyle name="40% - Accent3 2 4 12 4 2" xfId="43800"/>
    <cellStyle name="40% - Accent3 2 4 12 5" xfId="32050"/>
    <cellStyle name="40% - Accent3 2 4 13" xfId="2880"/>
    <cellStyle name="40% - Accent3 2 4 13 2" xfId="8921"/>
    <cellStyle name="40% - Accent3 2 4 13 2 2" xfId="25968"/>
    <cellStyle name="40% - Accent3 2 4 13 2 2 2" xfId="54829"/>
    <cellStyle name="40% - Accent3 2 4 13 2 3" xfId="37782"/>
    <cellStyle name="40% - Accent3 2 4 13 3" xfId="17516"/>
    <cellStyle name="40% - Accent3 2 4 13 3 2" xfId="46377"/>
    <cellStyle name="40% - Accent3 2 4 13 4" xfId="31741"/>
    <cellStyle name="40% - Accent3 2 4 14" xfId="5766"/>
    <cellStyle name="40% - Accent3 2 4 14 2" xfId="11807"/>
    <cellStyle name="40% - Accent3 2 4 14 2 2" xfId="28854"/>
    <cellStyle name="40% - Accent3 2 4 14 2 2 2" xfId="57715"/>
    <cellStyle name="40% - Accent3 2 4 14 2 3" xfId="40668"/>
    <cellStyle name="40% - Accent3 2 4 14 3" xfId="22876"/>
    <cellStyle name="40% - Accent3 2 4 14 3 2" xfId="51737"/>
    <cellStyle name="40% - Accent3 2 4 14 4" xfId="34627"/>
    <cellStyle name="40% - Accent3 2 4 15" xfId="5983"/>
    <cellStyle name="40% - Accent3 2 4 15 2" xfId="23082"/>
    <cellStyle name="40% - Accent3 2 4 15 2 2" xfId="51943"/>
    <cellStyle name="40% - Accent3 2 4 15 3" xfId="34844"/>
    <cellStyle name="40% - Accent3 2 4 16" xfId="6344"/>
    <cellStyle name="40% - Accent3 2 4 16 2" xfId="23391"/>
    <cellStyle name="40% - Accent3 2 4 16 2 2" xfId="52252"/>
    <cellStyle name="40% - Accent3 2 4 16 3" xfId="35205"/>
    <cellStyle name="40% - Accent3 2 4 17" xfId="14630"/>
    <cellStyle name="40% - Accent3 2 4 17 2" xfId="43491"/>
    <cellStyle name="40% - Accent3 2 4 18" xfId="29164"/>
    <cellStyle name="40% - Accent3 2 4 2" xfId="508"/>
    <cellStyle name="40% - Accent3 2 4 2 2" xfId="2259"/>
    <cellStyle name="40% - Accent3 2 4 2 2 2" xfId="5146"/>
    <cellStyle name="40% - Accent3 2 4 2 2 2 2" xfId="11187"/>
    <cellStyle name="40% - Accent3 2 4 2 2 2 2 2" xfId="28234"/>
    <cellStyle name="40% - Accent3 2 4 2 2 2 2 2 2" xfId="57095"/>
    <cellStyle name="40% - Accent3 2 4 2 2 2 2 3" xfId="40048"/>
    <cellStyle name="40% - Accent3 2 4 2 2 2 3" xfId="22256"/>
    <cellStyle name="40% - Accent3 2 4 2 2 2 3 2" xfId="51117"/>
    <cellStyle name="40% - Accent3 2 4 2 2 2 4" xfId="34007"/>
    <cellStyle name="40% - Accent3 2 4 2 2 3" xfId="8301"/>
    <cellStyle name="40% - Accent3 2 4 2 2 3 2" xfId="25348"/>
    <cellStyle name="40% - Accent3 2 4 2 2 3 2 2" xfId="54209"/>
    <cellStyle name="40% - Accent3 2 4 2 2 3 3" xfId="37162"/>
    <cellStyle name="40% - Accent3 2 4 2 2 4" xfId="14422"/>
    <cellStyle name="40% - Accent3 2 4 2 2 4 2" xfId="19576"/>
    <cellStyle name="40% - Accent3 2 4 2 2 4 2 2" xfId="48437"/>
    <cellStyle name="40% - Accent3 2 4 2 2 4 3" xfId="43283"/>
    <cellStyle name="40% - Accent3 2 4 2 2 5" xfId="16896"/>
    <cellStyle name="40% - Accent3 2 4 2 2 5 2" xfId="45757"/>
    <cellStyle name="40% - Accent3 2 4 2 2 6" xfId="31121"/>
    <cellStyle name="40% - Accent3 2 4 2 3" xfId="3395"/>
    <cellStyle name="40% - Accent3 2 4 2 3 2" xfId="9436"/>
    <cellStyle name="40% - Accent3 2 4 2 3 2 2" xfId="26483"/>
    <cellStyle name="40% - Accent3 2 4 2 3 2 2 2" xfId="55344"/>
    <cellStyle name="40% - Accent3 2 4 2 3 2 3" xfId="38297"/>
    <cellStyle name="40% - Accent3 2 4 2 3 3" xfId="20505"/>
    <cellStyle name="40% - Accent3 2 4 2 3 3 2" xfId="49366"/>
    <cellStyle name="40% - Accent3 2 4 2 3 4" xfId="32256"/>
    <cellStyle name="40% - Accent3 2 4 2 4" xfId="6550"/>
    <cellStyle name="40% - Accent3 2 4 2 4 2" xfId="23597"/>
    <cellStyle name="40% - Accent3 2 4 2 4 2 2" xfId="52458"/>
    <cellStyle name="40% - Accent3 2 4 2 4 3" xfId="35411"/>
    <cellStyle name="40% - Accent3 2 4 2 5" xfId="13755"/>
    <cellStyle name="40% - Accent3 2 4 2 5 2" xfId="17825"/>
    <cellStyle name="40% - Accent3 2 4 2 5 2 2" xfId="46686"/>
    <cellStyle name="40% - Accent3 2 4 2 5 3" xfId="42616"/>
    <cellStyle name="40% - Accent3 2 4 2 6" xfId="15145"/>
    <cellStyle name="40% - Accent3 2 4 2 6 2" xfId="44006"/>
    <cellStyle name="40% - Accent3 2 4 2 7" xfId="29370"/>
    <cellStyle name="40% - Accent3 2 4 3" xfId="817"/>
    <cellStyle name="40% - Accent3 2 4 3 2" xfId="3704"/>
    <cellStyle name="40% - Accent3 2 4 3 2 2" xfId="9745"/>
    <cellStyle name="40% - Accent3 2 4 3 2 2 2" xfId="26792"/>
    <cellStyle name="40% - Accent3 2 4 3 2 2 2 2" xfId="55653"/>
    <cellStyle name="40% - Accent3 2 4 3 2 2 3" xfId="38606"/>
    <cellStyle name="40% - Accent3 2 4 3 2 3" xfId="20814"/>
    <cellStyle name="40% - Accent3 2 4 3 2 3 2" xfId="49675"/>
    <cellStyle name="40% - Accent3 2 4 3 2 4" xfId="32565"/>
    <cellStyle name="40% - Accent3 2 4 3 3" xfId="6859"/>
    <cellStyle name="40% - Accent3 2 4 3 3 2" xfId="23906"/>
    <cellStyle name="40% - Accent3 2 4 3 3 2 2" xfId="52767"/>
    <cellStyle name="40% - Accent3 2 4 3 3 3" xfId="35720"/>
    <cellStyle name="40% - Accent3 2 4 3 4" xfId="12118"/>
    <cellStyle name="40% - Accent3 2 4 3 4 2" xfId="18134"/>
    <cellStyle name="40% - Accent3 2 4 3 4 2 2" xfId="46995"/>
    <cellStyle name="40% - Accent3 2 4 3 4 3" xfId="40979"/>
    <cellStyle name="40% - Accent3 2 4 3 5" xfId="15454"/>
    <cellStyle name="40% - Accent3 2 4 3 5 2" xfId="44315"/>
    <cellStyle name="40% - Accent3 2 4 3 6" xfId="29679"/>
    <cellStyle name="40% - Accent3 2 4 4" xfId="1023"/>
    <cellStyle name="40% - Accent3 2 4 4 2" xfId="3910"/>
    <cellStyle name="40% - Accent3 2 4 4 2 2" xfId="9951"/>
    <cellStyle name="40% - Accent3 2 4 4 2 2 2" xfId="26998"/>
    <cellStyle name="40% - Accent3 2 4 4 2 2 2 2" xfId="55859"/>
    <cellStyle name="40% - Accent3 2 4 4 2 2 3" xfId="38812"/>
    <cellStyle name="40% - Accent3 2 4 4 2 3" xfId="21020"/>
    <cellStyle name="40% - Accent3 2 4 4 2 3 2" xfId="49881"/>
    <cellStyle name="40% - Accent3 2 4 4 2 4" xfId="32771"/>
    <cellStyle name="40% - Accent3 2 4 4 3" xfId="7065"/>
    <cellStyle name="40% - Accent3 2 4 4 3 2" xfId="24112"/>
    <cellStyle name="40% - Accent3 2 4 4 3 2 2" xfId="52973"/>
    <cellStyle name="40% - Accent3 2 4 4 3 3" xfId="35926"/>
    <cellStyle name="40% - Accent3 2 4 4 4" xfId="14375"/>
    <cellStyle name="40% - Accent3 2 4 4 4 2" xfId="18340"/>
    <cellStyle name="40% - Accent3 2 4 4 4 2 2" xfId="47201"/>
    <cellStyle name="40% - Accent3 2 4 4 4 3" xfId="43236"/>
    <cellStyle name="40% - Accent3 2 4 4 5" xfId="15660"/>
    <cellStyle name="40% - Accent3 2 4 4 5 2" xfId="44521"/>
    <cellStyle name="40% - Accent3 2 4 4 6" xfId="29885"/>
    <cellStyle name="40% - Accent3 2 4 5" xfId="1229"/>
    <cellStyle name="40% - Accent3 2 4 5 2" xfId="4116"/>
    <cellStyle name="40% - Accent3 2 4 5 2 2" xfId="10157"/>
    <cellStyle name="40% - Accent3 2 4 5 2 2 2" xfId="27204"/>
    <cellStyle name="40% - Accent3 2 4 5 2 2 2 2" xfId="56065"/>
    <cellStyle name="40% - Accent3 2 4 5 2 2 3" xfId="39018"/>
    <cellStyle name="40% - Accent3 2 4 5 2 3" xfId="21226"/>
    <cellStyle name="40% - Accent3 2 4 5 2 3 2" xfId="50087"/>
    <cellStyle name="40% - Accent3 2 4 5 2 4" xfId="32977"/>
    <cellStyle name="40% - Accent3 2 4 5 3" xfId="7271"/>
    <cellStyle name="40% - Accent3 2 4 5 3 2" xfId="24318"/>
    <cellStyle name="40% - Accent3 2 4 5 3 2 2" xfId="53179"/>
    <cellStyle name="40% - Accent3 2 4 5 3 3" xfId="36132"/>
    <cellStyle name="40% - Accent3 2 4 5 4" xfId="14277"/>
    <cellStyle name="40% - Accent3 2 4 5 4 2" xfId="18546"/>
    <cellStyle name="40% - Accent3 2 4 5 4 2 2" xfId="47407"/>
    <cellStyle name="40% - Accent3 2 4 5 4 3" xfId="43138"/>
    <cellStyle name="40% - Accent3 2 4 5 5" xfId="15866"/>
    <cellStyle name="40% - Accent3 2 4 5 5 2" xfId="44727"/>
    <cellStyle name="40% - Accent3 2 4 5 6" xfId="30091"/>
    <cellStyle name="40% - Accent3 2 4 6" xfId="1435"/>
    <cellStyle name="40% - Accent3 2 4 6 2" xfId="4322"/>
    <cellStyle name="40% - Accent3 2 4 6 2 2" xfId="10363"/>
    <cellStyle name="40% - Accent3 2 4 6 2 2 2" xfId="27410"/>
    <cellStyle name="40% - Accent3 2 4 6 2 2 2 2" xfId="56271"/>
    <cellStyle name="40% - Accent3 2 4 6 2 2 3" xfId="39224"/>
    <cellStyle name="40% - Accent3 2 4 6 2 3" xfId="21432"/>
    <cellStyle name="40% - Accent3 2 4 6 2 3 2" xfId="50293"/>
    <cellStyle name="40% - Accent3 2 4 6 2 4" xfId="33183"/>
    <cellStyle name="40% - Accent3 2 4 6 3" xfId="7477"/>
    <cellStyle name="40% - Accent3 2 4 6 3 2" xfId="24524"/>
    <cellStyle name="40% - Accent3 2 4 6 3 2 2" xfId="53385"/>
    <cellStyle name="40% - Accent3 2 4 6 3 3" xfId="36338"/>
    <cellStyle name="40% - Accent3 2 4 6 4" xfId="14111"/>
    <cellStyle name="40% - Accent3 2 4 6 4 2" xfId="18752"/>
    <cellStyle name="40% - Accent3 2 4 6 4 2 2" xfId="47613"/>
    <cellStyle name="40% - Accent3 2 4 6 4 3" xfId="42972"/>
    <cellStyle name="40% - Accent3 2 4 6 5" xfId="16072"/>
    <cellStyle name="40% - Accent3 2 4 6 5 2" xfId="44933"/>
    <cellStyle name="40% - Accent3 2 4 6 6" xfId="30297"/>
    <cellStyle name="40% - Accent3 2 4 7" xfId="1641"/>
    <cellStyle name="40% - Accent3 2 4 7 2" xfId="4528"/>
    <cellStyle name="40% - Accent3 2 4 7 2 2" xfId="10569"/>
    <cellStyle name="40% - Accent3 2 4 7 2 2 2" xfId="27616"/>
    <cellStyle name="40% - Accent3 2 4 7 2 2 2 2" xfId="56477"/>
    <cellStyle name="40% - Accent3 2 4 7 2 2 3" xfId="39430"/>
    <cellStyle name="40% - Accent3 2 4 7 2 3" xfId="21638"/>
    <cellStyle name="40% - Accent3 2 4 7 2 3 2" xfId="50499"/>
    <cellStyle name="40% - Accent3 2 4 7 2 4" xfId="33389"/>
    <cellStyle name="40% - Accent3 2 4 7 3" xfId="7683"/>
    <cellStyle name="40% - Accent3 2 4 7 3 2" xfId="24730"/>
    <cellStyle name="40% - Accent3 2 4 7 3 2 2" xfId="53591"/>
    <cellStyle name="40% - Accent3 2 4 7 3 3" xfId="36544"/>
    <cellStyle name="40% - Accent3 2 4 7 4" xfId="13478"/>
    <cellStyle name="40% - Accent3 2 4 7 4 2" xfId="18958"/>
    <cellStyle name="40% - Accent3 2 4 7 4 2 2" xfId="47819"/>
    <cellStyle name="40% - Accent3 2 4 7 4 3" xfId="42339"/>
    <cellStyle name="40% - Accent3 2 4 7 5" xfId="16278"/>
    <cellStyle name="40% - Accent3 2 4 7 5 2" xfId="45139"/>
    <cellStyle name="40% - Accent3 2 4 7 6" xfId="30503"/>
    <cellStyle name="40% - Accent3 2 4 8" xfId="1847"/>
    <cellStyle name="40% - Accent3 2 4 8 2" xfId="4734"/>
    <cellStyle name="40% - Accent3 2 4 8 2 2" xfId="10775"/>
    <cellStyle name="40% - Accent3 2 4 8 2 2 2" xfId="27822"/>
    <cellStyle name="40% - Accent3 2 4 8 2 2 2 2" xfId="56683"/>
    <cellStyle name="40% - Accent3 2 4 8 2 2 3" xfId="39636"/>
    <cellStyle name="40% - Accent3 2 4 8 2 3" xfId="21844"/>
    <cellStyle name="40% - Accent3 2 4 8 2 3 2" xfId="50705"/>
    <cellStyle name="40% - Accent3 2 4 8 2 4" xfId="33595"/>
    <cellStyle name="40% - Accent3 2 4 8 3" xfId="7889"/>
    <cellStyle name="40% - Accent3 2 4 8 3 2" xfId="24936"/>
    <cellStyle name="40% - Accent3 2 4 8 3 2 2" xfId="53797"/>
    <cellStyle name="40% - Accent3 2 4 8 3 3" xfId="36750"/>
    <cellStyle name="40% - Accent3 2 4 8 4" xfId="12737"/>
    <cellStyle name="40% - Accent3 2 4 8 4 2" xfId="19164"/>
    <cellStyle name="40% - Accent3 2 4 8 4 2 2" xfId="48025"/>
    <cellStyle name="40% - Accent3 2 4 8 4 3" xfId="41598"/>
    <cellStyle name="40% - Accent3 2 4 8 5" xfId="16484"/>
    <cellStyle name="40% - Accent3 2 4 8 5 2" xfId="45345"/>
    <cellStyle name="40% - Accent3 2 4 8 6" xfId="30709"/>
    <cellStyle name="40% - Accent3 2 4 9" xfId="2053"/>
    <cellStyle name="40% - Accent3 2 4 9 2" xfId="4940"/>
    <cellStyle name="40% - Accent3 2 4 9 2 2" xfId="10981"/>
    <cellStyle name="40% - Accent3 2 4 9 2 2 2" xfId="28028"/>
    <cellStyle name="40% - Accent3 2 4 9 2 2 2 2" xfId="56889"/>
    <cellStyle name="40% - Accent3 2 4 9 2 2 3" xfId="39842"/>
    <cellStyle name="40% - Accent3 2 4 9 2 3" xfId="22050"/>
    <cellStyle name="40% - Accent3 2 4 9 2 3 2" xfId="50911"/>
    <cellStyle name="40% - Accent3 2 4 9 2 4" xfId="33801"/>
    <cellStyle name="40% - Accent3 2 4 9 3" xfId="8095"/>
    <cellStyle name="40% - Accent3 2 4 9 3 2" xfId="25142"/>
    <cellStyle name="40% - Accent3 2 4 9 3 2 2" xfId="54003"/>
    <cellStyle name="40% - Accent3 2 4 9 3 3" xfId="36956"/>
    <cellStyle name="40% - Accent3 2 4 9 4" xfId="11971"/>
    <cellStyle name="40% - Accent3 2 4 9 4 2" xfId="19370"/>
    <cellStyle name="40% - Accent3 2 4 9 4 2 2" xfId="48231"/>
    <cellStyle name="40% - Accent3 2 4 9 4 3" xfId="40832"/>
    <cellStyle name="40% - Accent3 2 4 9 5" xfId="16690"/>
    <cellStyle name="40% - Accent3 2 4 9 5 2" xfId="45551"/>
    <cellStyle name="40% - Accent3 2 4 9 6" xfId="30915"/>
    <cellStyle name="40% - Accent3 2 5" xfId="199"/>
    <cellStyle name="40% - Accent3 2 5 2" xfId="611"/>
    <cellStyle name="40% - Accent3 2 5 2 2" xfId="3498"/>
    <cellStyle name="40% - Accent3 2 5 2 2 2" xfId="9539"/>
    <cellStyle name="40% - Accent3 2 5 2 2 2 2" xfId="26586"/>
    <cellStyle name="40% - Accent3 2 5 2 2 2 2 2" xfId="55447"/>
    <cellStyle name="40% - Accent3 2 5 2 2 2 3" xfId="38400"/>
    <cellStyle name="40% - Accent3 2 5 2 2 3" xfId="20608"/>
    <cellStyle name="40% - Accent3 2 5 2 2 3 2" xfId="49469"/>
    <cellStyle name="40% - Accent3 2 5 2 2 4" xfId="32359"/>
    <cellStyle name="40% - Accent3 2 5 2 3" xfId="6653"/>
    <cellStyle name="40% - Accent3 2 5 2 3 2" xfId="23700"/>
    <cellStyle name="40% - Accent3 2 5 2 3 2 2" xfId="52561"/>
    <cellStyle name="40% - Accent3 2 5 2 3 3" xfId="35514"/>
    <cellStyle name="40% - Accent3 2 5 2 4" xfId="13010"/>
    <cellStyle name="40% - Accent3 2 5 2 4 2" xfId="17928"/>
    <cellStyle name="40% - Accent3 2 5 2 4 2 2" xfId="46789"/>
    <cellStyle name="40% - Accent3 2 5 2 4 3" xfId="41871"/>
    <cellStyle name="40% - Accent3 2 5 2 5" xfId="15248"/>
    <cellStyle name="40% - Accent3 2 5 2 5 2" xfId="44109"/>
    <cellStyle name="40% - Accent3 2 5 2 6" xfId="29473"/>
    <cellStyle name="40% - Accent3 2 5 3" xfId="2156"/>
    <cellStyle name="40% - Accent3 2 5 3 2" xfId="5043"/>
    <cellStyle name="40% - Accent3 2 5 3 2 2" xfId="11084"/>
    <cellStyle name="40% - Accent3 2 5 3 2 2 2" xfId="28131"/>
    <cellStyle name="40% - Accent3 2 5 3 2 2 2 2" xfId="56992"/>
    <cellStyle name="40% - Accent3 2 5 3 2 2 3" xfId="39945"/>
    <cellStyle name="40% - Accent3 2 5 3 2 3" xfId="22153"/>
    <cellStyle name="40% - Accent3 2 5 3 2 3 2" xfId="51014"/>
    <cellStyle name="40% - Accent3 2 5 3 2 4" xfId="33904"/>
    <cellStyle name="40% - Accent3 2 5 3 3" xfId="8198"/>
    <cellStyle name="40% - Accent3 2 5 3 3 2" xfId="25245"/>
    <cellStyle name="40% - Accent3 2 5 3 3 2 2" xfId="54106"/>
    <cellStyle name="40% - Accent3 2 5 3 3 3" xfId="37059"/>
    <cellStyle name="40% - Accent3 2 5 3 4" xfId="13044"/>
    <cellStyle name="40% - Accent3 2 5 3 4 2" xfId="19473"/>
    <cellStyle name="40% - Accent3 2 5 3 4 2 2" xfId="48334"/>
    <cellStyle name="40% - Accent3 2 5 3 4 3" xfId="41905"/>
    <cellStyle name="40% - Accent3 2 5 3 5" xfId="16793"/>
    <cellStyle name="40% - Accent3 2 5 3 5 2" xfId="45654"/>
    <cellStyle name="40% - Accent3 2 5 3 6" xfId="31018"/>
    <cellStyle name="40% - Accent3 2 5 4" xfId="3086"/>
    <cellStyle name="40% - Accent3 2 5 4 2" xfId="9127"/>
    <cellStyle name="40% - Accent3 2 5 4 2 2" xfId="26174"/>
    <cellStyle name="40% - Accent3 2 5 4 2 2 2" xfId="55035"/>
    <cellStyle name="40% - Accent3 2 5 4 2 3" xfId="37988"/>
    <cellStyle name="40% - Accent3 2 5 4 3" xfId="20196"/>
    <cellStyle name="40% - Accent3 2 5 4 3 2" xfId="49057"/>
    <cellStyle name="40% - Accent3 2 5 4 4" xfId="31947"/>
    <cellStyle name="40% - Accent3 2 5 5" xfId="6241"/>
    <cellStyle name="40% - Accent3 2 5 5 2" xfId="23288"/>
    <cellStyle name="40% - Accent3 2 5 5 2 2" xfId="52149"/>
    <cellStyle name="40% - Accent3 2 5 5 3" xfId="35102"/>
    <cellStyle name="40% - Accent3 2 5 6" xfId="14125"/>
    <cellStyle name="40% - Accent3 2 5 6 2" xfId="17619"/>
    <cellStyle name="40% - Accent3 2 5 6 2 2" xfId="46480"/>
    <cellStyle name="40% - Accent3 2 5 6 3" xfId="42986"/>
    <cellStyle name="40% - Accent3 2 5 7" xfId="14836"/>
    <cellStyle name="40% - Accent3 2 5 7 2" xfId="43697"/>
    <cellStyle name="40% - Accent3 2 5 8" xfId="29061"/>
    <cellStyle name="40% - Accent3 2 6" xfId="405"/>
    <cellStyle name="40% - Accent3 2 6 2" xfId="3292"/>
    <cellStyle name="40% - Accent3 2 6 2 2" xfId="9333"/>
    <cellStyle name="40% - Accent3 2 6 2 2 2" xfId="26380"/>
    <cellStyle name="40% - Accent3 2 6 2 2 2 2" xfId="55241"/>
    <cellStyle name="40% - Accent3 2 6 2 2 3" xfId="38194"/>
    <cellStyle name="40% - Accent3 2 6 2 3" xfId="20402"/>
    <cellStyle name="40% - Accent3 2 6 2 3 2" xfId="49263"/>
    <cellStyle name="40% - Accent3 2 6 2 4" xfId="32153"/>
    <cellStyle name="40% - Accent3 2 6 3" xfId="6447"/>
    <cellStyle name="40% - Accent3 2 6 3 2" xfId="23494"/>
    <cellStyle name="40% - Accent3 2 6 3 2 2" xfId="52355"/>
    <cellStyle name="40% - Accent3 2 6 3 3" xfId="35308"/>
    <cellStyle name="40% - Accent3 2 6 4" xfId="13165"/>
    <cellStyle name="40% - Accent3 2 6 4 2" xfId="17722"/>
    <cellStyle name="40% - Accent3 2 6 4 2 2" xfId="46583"/>
    <cellStyle name="40% - Accent3 2 6 4 3" xfId="42026"/>
    <cellStyle name="40% - Accent3 2 6 5" xfId="15042"/>
    <cellStyle name="40% - Accent3 2 6 5 2" xfId="43903"/>
    <cellStyle name="40% - Accent3 2 6 6" xfId="29267"/>
    <cellStyle name="40% - Accent3 2 7" xfId="714"/>
    <cellStyle name="40% - Accent3 2 7 2" xfId="3601"/>
    <cellStyle name="40% - Accent3 2 7 2 2" xfId="9642"/>
    <cellStyle name="40% - Accent3 2 7 2 2 2" xfId="26689"/>
    <cellStyle name="40% - Accent3 2 7 2 2 2 2" xfId="55550"/>
    <cellStyle name="40% - Accent3 2 7 2 2 3" xfId="38503"/>
    <cellStyle name="40% - Accent3 2 7 2 3" xfId="20711"/>
    <cellStyle name="40% - Accent3 2 7 2 3 2" xfId="49572"/>
    <cellStyle name="40% - Accent3 2 7 2 4" xfId="32462"/>
    <cellStyle name="40% - Accent3 2 7 3" xfId="6756"/>
    <cellStyle name="40% - Accent3 2 7 3 2" xfId="23803"/>
    <cellStyle name="40% - Accent3 2 7 3 2 2" xfId="52664"/>
    <cellStyle name="40% - Accent3 2 7 3 3" xfId="35617"/>
    <cellStyle name="40% - Accent3 2 7 4" xfId="12703"/>
    <cellStyle name="40% - Accent3 2 7 4 2" xfId="18031"/>
    <cellStyle name="40% - Accent3 2 7 4 2 2" xfId="46892"/>
    <cellStyle name="40% - Accent3 2 7 4 3" xfId="41564"/>
    <cellStyle name="40% - Accent3 2 7 5" xfId="15351"/>
    <cellStyle name="40% - Accent3 2 7 5 2" xfId="44212"/>
    <cellStyle name="40% - Accent3 2 7 6" xfId="29576"/>
    <cellStyle name="40% - Accent3 2 8" xfId="920"/>
    <cellStyle name="40% - Accent3 2 8 2" xfId="3807"/>
    <cellStyle name="40% - Accent3 2 8 2 2" xfId="9848"/>
    <cellStyle name="40% - Accent3 2 8 2 2 2" xfId="26895"/>
    <cellStyle name="40% - Accent3 2 8 2 2 2 2" xfId="55756"/>
    <cellStyle name="40% - Accent3 2 8 2 2 3" xfId="38709"/>
    <cellStyle name="40% - Accent3 2 8 2 3" xfId="20917"/>
    <cellStyle name="40% - Accent3 2 8 2 3 2" xfId="49778"/>
    <cellStyle name="40% - Accent3 2 8 2 4" xfId="32668"/>
    <cellStyle name="40% - Accent3 2 8 3" xfId="6962"/>
    <cellStyle name="40% - Accent3 2 8 3 2" xfId="24009"/>
    <cellStyle name="40% - Accent3 2 8 3 2 2" xfId="52870"/>
    <cellStyle name="40% - Accent3 2 8 3 3" xfId="35823"/>
    <cellStyle name="40% - Accent3 2 8 4" xfId="13580"/>
    <cellStyle name="40% - Accent3 2 8 4 2" xfId="18237"/>
    <cellStyle name="40% - Accent3 2 8 4 2 2" xfId="47098"/>
    <cellStyle name="40% - Accent3 2 8 4 3" xfId="42441"/>
    <cellStyle name="40% - Accent3 2 8 5" xfId="15557"/>
    <cellStyle name="40% - Accent3 2 8 5 2" xfId="44418"/>
    <cellStyle name="40% - Accent3 2 8 6" xfId="29782"/>
    <cellStyle name="40% - Accent3 2 9" xfId="1126"/>
    <cellStyle name="40% - Accent3 2 9 2" xfId="4013"/>
    <cellStyle name="40% - Accent3 2 9 2 2" xfId="10054"/>
    <cellStyle name="40% - Accent3 2 9 2 2 2" xfId="27101"/>
    <cellStyle name="40% - Accent3 2 9 2 2 2 2" xfId="55962"/>
    <cellStyle name="40% - Accent3 2 9 2 2 3" xfId="38915"/>
    <cellStyle name="40% - Accent3 2 9 2 3" xfId="21123"/>
    <cellStyle name="40% - Accent3 2 9 2 3 2" xfId="49984"/>
    <cellStyle name="40% - Accent3 2 9 2 4" xfId="32874"/>
    <cellStyle name="40% - Accent3 2 9 3" xfId="7168"/>
    <cellStyle name="40% - Accent3 2 9 3 2" xfId="24215"/>
    <cellStyle name="40% - Accent3 2 9 3 2 2" xfId="53076"/>
    <cellStyle name="40% - Accent3 2 9 3 3" xfId="36029"/>
    <cellStyle name="40% - Accent3 2 9 4" xfId="13770"/>
    <cellStyle name="40% - Accent3 2 9 4 2" xfId="18443"/>
    <cellStyle name="40% - Accent3 2 9 4 2 2" xfId="47304"/>
    <cellStyle name="40% - Accent3 2 9 4 3" xfId="42631"/>
    <cellStyle name="40% - Accent3 2 9 5" xfId="15763"/>
    <cellStyle name="40% - Accent3 2 9 5 2" xfId="44624"/>
    <cellStyle name="40% - Accent3 2 9 6" xfId="29988"/>
    <cellStyle name="40% - Accent3 20" xfId="5865"/>
    <cellStyle name="40% - Accent3 20 2" xfId="22965"/>
    <cellStyle name="40% - Accent3 20 2 2" xfId="51826"/>
    <cellStyle name="40% - Accent3 20 3" xfId="34726"/>
    <cellStyle name="40% - Accent3 21" xfId="6124"/>
    <cellStyle name="40% - Accent3 21 2" xfId="23171"/>
    <cellStyle name="40% - Accent3 21 2 2" xfId="52032"/>
    <cellStyle name="40% - Accent3 21 3" xfId="34985"/>
    <cellStyle name="40% - Accent3 22" xfId="14513"/>
    <cellStyle name="40% - Accent3 22 2" xfId="43374"/>
    <cellStyle name="40% - Accent3 23" xfId="28944"/>
    <cellStyle name="40% - Accent3 3" xfId="109"/>
    <cellStyle name="40% - Accent3 3 10" xfId="1757"/>
    <cellStyle name="40% - Accent3 3 10 2" xfId="4644"/>
    <cellStyle name="40% - Accent3 3 10 2 2" xfId="10685"/>
    <cellStyle name="40% - Accent3 3 10 2 2 2" xfId="27732"/>
    <cellStyle name="40% - Accent3 3 10 2 2 2 2" xfId="56593"/>
    <cellStyle name="40% - Accent3 3 10 2 2 3" xfId="39546"/>
    <cellStyle name="40% - Accent3 3 10 2 3" xfId="21754"/>
    <cellStyle name="40% - Accent3 3 10 2 3 2" xfId="50615"/>
    <cellStyle name="40% - Accent3 3 10 2 4" xfId="33505"/>
    <cellStyle name="40% - Accent3 3 10 3" xfId="7799"/>
    <cellStyle name="40% - Accent3 3 10 3 2" xfId="24846"/>
    <cellStyle name="40% - Accent3 3 10 3 2 2" xfId="53707"/>
    <cellStyle name="40% - Accent3 3 10 3 3" xfId="36660"/>
    <cellStyle name="40% - Accent3 3 10 4" xfId="12415"/>
    <cellStyle name="40% - Accent3 3 10 4 2" xfId="19074"/>
    <cellStyle name="40% - Accent3 3 10 4 2 2" xfId="47935"/>
    <cellStyle name="40% - Accent3 3 10 4 3" xfId="41276"/>
    <cellStyle name="40% - Accent3 3 10 5" xfId="16394"/>
    <cellStyle name="40% - Accent3 3 10 5 2" xfId="45255"/>
    <cellStyle name="40% - Accent3 3 10 6" xfId="30619"/>
    <cellStyle name="40% - Accent3 3 11" xfId="1963"/>
    <cellStyle name="40% - Accent3 3 11 2" xfId="4850"/>
    <cellStyle name="40% - Accent3 3 11 2 2" xfId="10891"/>
    <cellStyle name="40% - Accent3 3 11 2 2 2" xfId="27938"/>
    <cellStyle name="40% - Accent3 3 11 2 2 2 2" xfId="56799"/>
    <cellStyle name="40% - Accent3 3 11 2 2 3" xfId="39752"/>
    <cellStyle name="40% - Accent3 3 11 2 3" xfId="21960"/>
    <cellStyle name="40% - Accent3 3 11 2 3 2" xfId="50821"/>
    <cellStyle name="40% - Accent3 3 11 2 4" xfId="33711"/>
    <cellStyle name="40% - Accent3 3 11 3" xfId="8005"/>
    <cellStyle name="40% - Accent3 3 11 3 2" xfId="25052"/>
    <cellStyle name="40% - Accent3 3 11 3 2 2" xfId="53913"/>
    <cellStyle name="40% - Accent3 3 11 3 3" xfId="36866"/>
    <cellStyle name="40% - Accent3 3 11 4" xfId="13973"/>
    <cellStyle name="40% - Accent3 3 11 4 2" xfId="19280"/>
    <cellStyle name="40% - Accent3 3 11 4 2 2" xfId="48141"/>
    <cellStyle name="40% - Accent3 3 11 4 3" xfId="42834"/>
    <cellStyle name="40% - Accent3 3 11 5" xfId="16600"/>
    <cellStyle name="40% - Accent3 3 11 5 2" xfId="45461"/>
    <cellStyle name="40% - Accent3 3 11 6" xfId="30825"/>
    <cellStyle name="40% - Accent3 3 12" xfId="2375"/>
    <cellStyle name="40% - Accent3 3 12 2" xfId="5262"/>
    <cellStyle name="40% - Accent3 3 12 2 2" xfId="11303"/>
    <cellStyle name="40% - Accent3 3 12 2 2 2" xfId="28350"/>
    <cellStyle name="40% - Accent3 3 12 2 2 2 2" xfId="57211"/>
    <cellStyle name="40% - Accent3 3 12 2 2 3" xfId="40164"/>
    <cellStyle name="40% - Accent3 3 12 2 3" xfId="22372"/>
    <cellStyle name="40% - Accent3 3 12 2 3 2" xfId="51233"/>
    <cellStyle name="40% - Accent3 3 12 2 4" xfId="34123"/>
    <cellStyle name="40% - Accent3 3 12 3" xfId="8417"/>
    <cellStyle name="40% - Accent3 3 12 3 2" xfId="25464"/>
    <cellStyle name="40% - Accent3 3 12 3 2 2" xfId="54325"/>
    <cellStyle name="40% - Accent3 3 12 3 3" xfId="37278"/>
    <cellStyle name="40% - Accent3 3 12 4" xfId="14031"/>
    <cellStyle name="40% - Accent3 3 12 4 2" xfId="19692"/>
    <cellStyle name="40% - Accent3 3 12 4 2 2" xfId="48553"/>
    <cellStyle name="40% - Accent3 3 12 4 3" xfId="42892"/>
    <cellStyle name="40% - Accent3 3 12 5" xfId="17012"/>
    <cellStyle name="40% - Accent3 3 12 5 2" xfId="45873"/>
    <cellStyle name="40% - Accent3 3 12 6" xfId="31237"/>
    <cellStyle name="40% - Accent3 3 13" xfId="2584"/>
    <cellStyle name="40% - Accent3 3 13 2" xfId="5470"/>
    <cellStyle name="40% - Accent3 3 13 2 2" xfId="11511"/>
    <cellStyle name="40% - Accent3 3 13 2 2 2" xfId="28558"/>
    <cellStyle name="40% - Accent3 3 13 2 2 2 2" xfId="57419"/>
    <cellStyle name="40% - Accent3 3 13 2 2 3" xfId="40372"/>
    <cellStyle name="40% - Accent3 3 13 2 3" xfId="22580"/>
    <cellStyle name="40% - Accent3 3 13 2 3 2" xfId="51441"/>
    <cellStyle name="40% - Accent3 3 13 2 4" xfId="34331"/>
    <cellStyle name="40% - Accent3 3 13 3" xfId="8625"/>
    <cellStyle name="40% - Accent3 3 13 3 2" xfId="25672"/>
    <cellStyle name="40% - Accent3 3 13 3 2 2" xfId="54533"/>
    <cellStyle name="40% - Accent3 3 13 3 3" xfId="37486"/>
    <cellStyle name="40% - Accent3 3 13 4" xfId="14068"/>
    <cellStyle name="40% - Accent3 3 13 4 2" xfId="19900"/>
    <cellStyle name="40% - Accent3 3 13 4 2 2" xfId="48761"/>
    <cellStyle name="40% - Accent3 3 13 4 3" xfId="42929"/>
    <cellStyle name="40% - Accent3 3 13 5" xfId="17220"/>
    <cellStyle name="40% - Accent3 3 13 5 2" xfId="46081"/>
    <cellStyle name="40% - Accent3 3 13 6" xfId="31445"/>
    <cellStyle name="40% - Accent3 3 14" xfId="2996"/>
    <cellStyle name="40% - Accent3 3 14 2" xfId="9037"/>
    <cellStyle name="40% - Accent3 3 14 2 2" xfId="26084"/>
    <cellStyle name="40% - Accent3 3 14 2 2 2" xfId="54945"/>
    <cellStyle name="40% - Accent3 3 14 2 3" xfId="37898"/>
    <cellStyle name="40% - Accent3 3 14 3" xfId="12849"/>
    <cellStyle name="40% - Accent3 3 14 3 2" xfId="20106"/>
    <cellStyle name="40% - Accent3 3 14 3 2 2" xfId="48967"/>
    <cellStyle name="40% - Accent3 3 14 3 3" xfId="41710"/>
    <cellStyle name="40% - Accent3 3 14 4" xfId="14746"/>
    <cellStyle name="40% - Accent3 3 14 4 2" xfId="43607"/>
    <cellStyle name="40% - Accent3 3 14 5" xfId="31857"/>
    <cellStyle name="40% - Accent3 3 15" xfId="2790"/>
    <cellStyle name="40% - Accent3 3 15 2" xfId="8831"/>
    <cellStyle name="40% - Accent3 3 15 2 2" xfId="25878"/>
    <cellStyle name="40% - Accent3 3 15 2 2 2" xfId="54739"/>
    <cellStyle name="40% - Accent3 3 15 2 3" xfId="37692"/>
    <cellStyle name="40% - Accent3 3 15 3" xfId="17426"/>
    <cellStyle name="40% - Accent3 3 15 3 2" xfId="46287"/>
    <cellStyle name="40% - Accent3 3 15 4" xfId="31651"/>
    <cellStyle name="40% - Accent3 3 16" xfId="5676"/>
    <cellStyle name="40% - Accent3 3 16 2" xfId="11717"/>
    <cellStyle name="40% - Accent3 3 16 2 2" xfId="28764"/>
    <cellStyle name="40% - Accent3 3 16 2 2 2" xfId="57625"/>
    <cellStyle name="40% - Accent3 3 16 2 3" xfId="40578"/>
    <cellStyle name="40% - Accent3 3 16 3" xfId="22786"/>
    <cellStyle name="40% - Accent3 3 16 3 2" xfId="51647"/>
    <cellStyle name="40% - Accent3 3 16 4" xfId="34537"/>
    <cellStyle name="40% - Accent3 3 17" xfId="5893"/>
    <cellStyle name="40% - Accent3 3 17 2" xfId="22992"/>
    <cellStyle name="40% - Accent3 3 17 2 2" xfId="51853"/>
    <cellStyle name="40% - Accent3 3 17 3" xfId="34754"/>
    <cellStyle name="40% - Accent3 3 18" xfId="6151"/>
    <cellStyle name="40% - Accent3 3 18 2" xfId="23198"/>
    <cellStyle name="40% - Accent3 3 18 2 2" xfId="52059"/>
    <cellStyle name="40% - Accent3 3 18 3" xfId="35012"/>
    <cellStyle name="40% - Accent3 3 19" xfId="14540"/>
    <cellStyle name="40% - Accent3 3 19 2" xfId="43401"/>
    <cellStyle name="40% - Accent3 3 2" xfId="315"/>
    <cellStyle name="40% - Accent3 3 2 10" xfId="2478"/>
    <cellStyle name="40% - Accent3 3 2 10 2" xfId="5365"/>
    <cellStyle name="40% - Accent3 3 2 10 2 2" xfId="11406"/>
    <cellStyle name="40% - Accent3 3 2 10 2 2 2" xfId="28453"/>
    <cellStyle name="40% - Accent3 3 2 10 2 2 2 2" xfId="57314"/>
    <cellStyle name="40% - Accent3 3 2 10 2 2 3" xfId="40267"/>
    <cellStyle name="40% - Accent3 3 2 10 2 3" xfId="22475"/>
    <cellStyle name="40% - Accent3 3 2 10 2 3 2" xfId="51336"/>
    <cellStyle name="40% - Accent3 3 2 10 2 4" xfId="34226"/>
    <cellStyle name="40% - Accent3 3 2 10 3" xfId="8520"/>
    <cellStyle name="40% - Accent3 3 2 10 3 2" xfId="25567"/>
    <cellStyle name="40% - Accent3 3 2 10 3 2 2" xfId="54428"/>
    <cellStyle name="40% - Accent3 3 2 10 3 3" xfId="37381"/>
    <cellStyle name="40% - Accent3 3 2 10 4" xfId="12866"/>
    <cellStyle name="40% - Accent3 3 2 10 4 2" xfId="19795"/>
    <cellStyle name="40% - Accent3 3 2 10 4 2 2" xfId="48656"/>
    <cellStyle name="40% - Accent3 3 2 10 4 3" xfId="41727"/>
    <cellStyle name="40% - Accent3 3 2 10 5" xfId="17115"/>
    <cellStyle name="40% - Accent3 3 2 10 5 2" xfId="45976"/>
    <cellStyle name="40% - Accent3 3 2 10 6" xfId="31340"/>
    <cellStyle name="40% - Accent3 3 2 11" xfId="2687"/>
    <cellStyle name="40% - Accent3 3 2 11 2" xfId="5573"/>
    <cellStyle name="40% - Accent3 3 2 11 2 2" xfId="11614"/>
    <cellStyle name="40% - Accent3 3 2 11 2 2 2" xfId="28661"/>
    <cellStyle name="40% - Accent3 3 2 11 2 2 2 2" xfId="57522"/>
    <cellStyle name="40% - Accent3 3 2 11 2 2 3" xfId="40475"/>
    <cellStyle name="40% - Accent3 3 2 11 2 3" xfId="22683"/>
    <cellStyle name="40% - Accent3 3 2 11 2 3 2" xfId="51544"/>
    <cellStyle name="40% - Accent3 3 2 11 2 4" xfId="34434"/>
    <cellStyle name="40% - Accent3 3 2 11 3" xfId="8728"/>
    <cellStyle name="40% - Accent3 3 2 11 3 2" xfId="25775"/>
    <cellStyle name="40% - Accent3 3 2 11 3 2 2" xfId="54636"/>
    <cellStyle name="40% - Accent3 3 2 11 3 3" xfId="37589"/>
    <cellStyle name="40% - Accent3 3 2 11 4" xfId="13196"/>
    <cellStyle name="40% - Accent3 3 2 11 4 2" xfId="20003"/>
    <cellStyle name="40% - Accent3 3 2 11 4 2 2" xfId="48864"/>
    <cellStyle name="40% - Accent3 3 2 11 4 3" xfId="42057"/>
    <cellStyle name="40% - Accent3 3 2 11 5" xfId="17323"/>
    <cellStyle name="40% - Accent3 3 2 11 5 2" xfId="46184"/>
    <cellStyle name="40% - Accent3 3 2 11 6" xfId="31548"/>
    <cellStyle name="40% - Accent3 3 2 12" xfId="3202"/>
    <cellStyle name="40% - Accent3 3 2 12 2" xfId="9243"/>
    <cellStyle name="40% - Accent3 3 2 12 2 2" xfId="26290"/>
    <cellStyle name="40% - Accent3 3 2 12 2 2 2" xfId="55151"/>
    <cellStyle name="40% - Accent3 3 2 12 2 3" xfId="38104"/>
    <cellStyle name="40% - Accent3 3 2 12 3" xfId="12208"/>
    <cellStyle name="40% - Accent3 3 2 12 3 2" xfId="20312"/>
    <cellStyle name="40% - Accent3 3 2 12 3 2 2" xfId="49173"/>
    <cellStyle name="40% - Accent3 3 2 12 3 3" xfId="41069"/>
    <cellStyle name="40% - Accent3 3 2 12 4" xfId="14952"/>
    <cellStyle name="40% - Accent3 3 2 12 4 2" xfId="43813"/>
    <cellStyle name="40% - Accent3 3 2 12 5" xfId="32063"/>
    <cellStyle name="40% - Accent3 3 2 13" xfId="2893"/>
    <cellStyle name="40% - Accent3 3 2 13 2" xfId="8934"/>
    <cellStyle name="40% - Accent3 3 2 13 2 2" xfId="25981"/>
    <cellStyle name="40% - Accent3 3 2 13 2 2 2" xfId="54842"/>
    <cellStyle name="40% - Accent3 3 2 13 2 3" xfId="37795"/>
    <cellStyle name="40% - Accent3 3 2 13 3" xfId="17529"/>
    <cellStyle name="40% - Accent3 3 2 13 3 2" xfId="46390"/>
    <cellStyle name="40% - Accent3 3 2 13 4" xfId="31754"/>
    <cellStyle name="40% - Accent3 3 2 14" xfId="5779"/>
    <cellStyle name="40% - Accent3 3 2 14 2" xfId="11820"/>
    <cellStyle name="40% - Accent3 3 2 14 2 2" xfId="28867"/>
    <cellStyle name="40% - Accent3 3 2 14 2 2 2" xfId="57728"/>
    <cellStyle name="40% - Accent3 3 2 14 2 3" xfId="40681"/>
    <cellStyle name="40% - Accent3 3 2 14 3" xfId="22889"/>
    <cellStyle name="40% - Accent3 3 2 14 3 2" xfId="51750"/>
    <cellStyle name="40% - Accent3 3 2 14 4" xfId="34640"/>
    <cellStyle name="40% - Accent3 3 2 15" xfId="5996"/>
    <cellStyle name="40% - Accent3 3 2 15 2" xfId="23095"/>
    <cellStyle name="40% - Accent3 3 2 15 2 2" xfId="51956"/>
    <cellStyle name="40% - Accent3 3 2 15 3" xfId="34857"/>
    <cellStyle name="40% - Accent3 3 2 16" xfId="6357"/>
    <cellStyle name="40% - Accent3 3 2 16 2" xfId="23404"/>
    <cellStyle name="40% - Accent3 3 2 16 2 2" xfId="52265"/>
    <cellStyle name="40% - Accent3 3 2 16 3" xfId="35218"/>
    <cellStyle name="40% - Accent3 3 2 17" xfId="14643"/>
    <cellStyle name="40% - Accent3 3 2 17 2" xfId="43504"/>
    <cellStyle name="40% - Accent3 3 2 18" xfId="29177"/>
    <cellStyle name="40% - Accent3 3 2 2" xfId="521"/>
    <cellStyle name="40% - Accent3 3 2 2 2" xfId="2272"/>
    <cellStyle name="40% - Accent3 3 2 2 2 2" xfId="5159"/>
    <cellStyle name="40% - Accent3 3 2 2 2 2 2" xfId="11200"/>
    <cellStyle name="40% - Accent3 3 2 2 2 2 2 2" xfId="28247"/>
    <cellStyle name="40% - Accent3 3 2 2 2 2 2 2 2" xfId="57108"/>
    <cellStyle name="40% - Accent3 3 2 2 2 2 2 3" xfId="40061"/>
    <cellStyle name="40% - Accent3 3 2 2 2 2 3" xfId="22269"/>
    <cellStyle name="40% - Accent3 3 2 2 2 2 3 2" xfId="51130"/>
    <cellStyle name="40% - Accent3 3 2 2 2 2 4" xfId="34020"/>
    <cellStyle name="40% - Accent3 3 2 2 2 3" xfId="8314"/>
    <cellStyle name="40% - Accent3 3 2 2 2 3 2" xfId="25361"/>
    <cellStyle name="40% - Accent3 3 2 2 2 3 2 2" xfId="54222"/>
    <cellStyle name="40% - Accent3 3 2 2 2 3 3" xfId="37175"/>
    <cellStyle name="40% - Accent3 3 2 2 2 4" xfId="13444"/>
    <cellStyle name="40% - Accent3 3 2 2 2 4 2" xfId="19589"/>
    <cellStyle name="40% - Accent3 3 2 2 2 4 2 2" xfId="48450"/>
    <cellStyle name="40% - Accent3 3 2 2 2 4 3" xfId="42305"/>
    <cellStyle name="40% - Accent3 3 2 2 2 5" xfId="16909"/>
    <cellStyle name="40% - Accent3 3 2 2 2 5 2" xfId="45770"/>
    <cellStyle name="40% - Accent3 3 2 2 2 6" xfId="31134"/>
    <cellStyle name="40% - Accent3 3 2 2 3" xfId="3408"/>
    <cellStyle name="40% - Accent3 3 2 2 3 2" xfId="9449"/>
    <cellStyle name="40% - Accent3 3 2 2 3 2 2" xfId="26496"/>
    <cellStyle name="40% - Accent3 3 2 2 3 2 2 2" xfId="55357"/>
    <cellStyle name="40% - Accent3 3 2 2 3 2 3" xfId="38310"/>
    <cellStyle name="40% - Accent3 3 2 2 3 3" xfId="20518"/>
    <cellStyle name="40% - Accent3 3 2 2 3 3 2" xfId="49379"/>
    <cellStyle name="40% - Accent3 3 2 2 3 4" xfId="32269"/>
    <cellStyle name="40% - Accent3 3 2 2 4" xfId="6563"/>
    <cellStyle name="40% - Accent3 3 2 2 4 2" xfId="23610"/>
    <cellStyle name="40% - Accent3 3 2 2 4 2 2" xfId="52471"/>
    <cellStyle name="40% - Accent3 3 2 2 4 3" xfId="35424"/>
    <cellStyle name="40% - Accent3 3 2 2 5" xfId="12957"/>
    <cellStyle name="40% - Accent3 3 2 2 5 2" xfId="17838"/>
    <cellStyle name="40% - Accent3 3 2 2 5 2 2" xfId="46699"/>
    <cellStyle name="40% - Accent3 3 2 2 5 3" xfId="41818"/>
    <cellStyle name="40% - Accent3 3 2 2 6" xfId="15158"/>
    <cellStyle name="40% - Accent3 3 2 2 6 2" xfId="44019"/>
    <cellStyle name="40% - Accent3 3 2 2 7" xfId="29383"/>
    <cellStyle name="40% - Accent3 3 2 3" xfId="830"/>
    <cellStyle name="40% - Accent3 3 2 3 2" xfId="3717"/>
    <cellStyle name="40% - Accent3 3 2 3 2 2" xfId="9758"/>
    <cellStyle name="40% - Accent3 3 2 3 2 2 2" xfId="26805"/>
    <cellStyle name="40% - Accent3 3 2 3 2 2 2 2" xfId="55666"/>
    <cellStyle name="40% - Accent3 3 2 3 2 2 3" xfId="38619"/>
    <cellStyle name="40% - Accent3 3 2 3 2 3" xfId="20827"/>
    <cellStyle name="40% - Accent3 3 2 3 2 3 2" xfId="49688"/>
    <cellStyle name="40% - Accent3 3 2 3 2 4" xfId="32578"/>
    <cellStyle name="40% - Accent3 3 2 3 3" xfId="6872"/>
    <cellStyle name="40% - Accent3 3 2 3 3 2" xfId="23919"/>
    <cellStyle name="40% - Accent3 3 2 3 3 2 2" xfId="52780"/>
    <cellStyle name="40% - Accent3 3 2 3 3 3" xfId="35733"/>
    <cellStyle name="40% - Accent3 3 2 3 4" xfId="12680"/>
    <cellStyle name="40% - Accent3 3 2 3 4 2" xfId="18147"/>
    <cellStyle name="40% - Accent3 3 2 3 4 2 2" xfId="47008"/>
    <cellStyle name="40% - Accent3 3 2 3 4 3" xfId="41541"/>
    <cellStyle name="40% - Accent3 3 2 3 5" xfId="15467"/>
    <cellStyle name="40% - Accent3 3 2 3 5 2" xfId="44328"/>
    <cellStyle name="40% - Accent3 3 2 3 6" xfId="29692"/>
    <cellStyle name="40% - Accent3 3 2 4" xfId="1036"/>
    <cellStyle name="40% - Accent3 3 2 4 2" xfId="3923"/>
    <cellStyle name="40% - Accent3 3 2 4 2 2" xfId="9964"/>
    <cellStyle name="40% - Accent3 3 2 4 2 2 2" xfId="27011"/>
    <cellStyle name="40% - Accent3 3 2 4 2 2 2 2" xfId="55872"/>
    <cellStyle name="40% - Accent3 3 2 4 2 2 3" xfId="38825"/>
    <cellStyle name="40% - Accent3 3 2 4 2 3" xfId="21033"/>
    <cellStyle name="40% - Accent3 3 2 4 2 3 2" xfId="49894"/>
    <cellStyle name="40% - Accent3 3 2 4 2 4" xfId="32784"/>
    <cellStyle name="40% - Accent3 3 2 4 3" xfId="7078"/>
    <cellStyle name="40% - Accent3 3 2 4 3 2" xfId="24125"/>
    <cellStyle name="40% - Accent3 3 2 4 3 2 2" xfId="52986"/>
    <cellStyle name="40% - Accent3 3 2 4 3 3" xfId="35939"/>
    <cellStyle name="40% - Accent3 3 2 4 4" xfId="12041"/>
    <cellStyle name="40% - Accent3 3 2 4 4 2" xfId="18353"/>
    <cellStyle name="40% - Accent3 3 2 4 4 2 2" xfId="47214"/>
    <cellStyle name="40% - Accent3 3 2 4 4 3" xfId="40902"/>
    <cellStyle name="40% - Accent3 3 2 4 5" xfId="15673"/>
    <cellStyle name="40% - Accent3 3 2 4 5 2" xfId="44534"/>
    <cellStyle name="40% - Accent3 3 2 4 6" xfId="29898"/>
    <cellStyle name="40% - Accent3 3 2 5" xfId="1242"/>
    <cellStyle name="40% - Accent3 3 2 5 2" xfId="4129"/>
    <cellStyle name="40% - Accent3 3 2 5 2 2" xfId="10170"/>
    <cellStyle name="40% - Accent3 3 2 5 2 2 2" xfId="27217"/>
    <cellStyle name="40% - Accent3 3 2 5 2 2 2 2" xfId="56078"/>
    <cellStyle name="40% - Accent3 3 2 5 2 2 3" xfId="39031"/>
    <cellStyle name="40% - Accent3 3 2 5 2 3" xfId="21239"/>
    <cellStyle name="40% - Accent3 3 2 5 2 3 2" xfId="50100"/>
    <cellStyle name="40% - Accent3 3 2 5 2 4" xfId="32990"/>
    <cellStyle name="40% - Accent3 3 2 5 3" xfId="7284"/>
    <cellStyle name="40% - Accent3 3 2 5 3 2" xfId="24331"/>
    <cellStyle name="40% - Accent3 3 2 5 3 2 2" xfId="53192"/>
    <cellStyle name="40% - Accent3 3 2 5 3 3" xfId="36145"/>
    <cellStyle name="40% - Accent3 3 2 5 4" xfId="13742"/>
    <cellStyle name="40% - Accent3 3 2 5 4 2" xfId="18559"/>
    <cellStyle name="40% - Accent3 3 2 5 4 2 2" xfId="47420"/>
    <cellStyle name="40% - Accent3 3 2 5 4 3" xfId="42603"/>
    <cellStyle name="40% - Accent3 3 2 5 5" xfId="15879"/>
    <cellStyle name="40% - Accent3 3 2 5 5 2" xfId="44740"/>
    <cellStyle name="40% - Accent3 3 2 5 6" xfId="30104"/>
    <cellStyle name="40% - Accent3 3 2 6" xfId="1448"/>
    <cellStyle name="40% - Accent3 3 2 6 2" xfId="4335"/>
    <cellStyle name="40% - Accent3 3 2 6 2 2" xfId="10376"/>
    <cellStyle name="40% - Accent3 3 2 6 2 2 2" xfId="27423"/>
    <cellStyle name="40% - Accent3 3 2 6 2 2 2 2" xfId="56284"/>
    <cellStyle name="40% - Accent3 3 2 6 2 2 3" xfId="39237"/>
    <cellStyle name="40% - Accent3 3 2 6 2 3" xfId="21445"/>
    <cellStyle name="40% - Accent3 3 2 6 2 3 2" xfId="50306"/>
    <cellStyle name="40% - Accent3 3 2 6 2 4" xfId="33196"/>
    <cellStyle name="40% - Accent3 3 2 6 3" xfId="7490"/>
    <cellStyle name="40% - Accent3 3 2 6 3 2" xfId="24537"/>
    <cellStyle name="40% - Accent3 3 2 6 3 2 2" xfId="53398"/>
    <cellStyle name="40% - Accent3 3 2 6 3 3" xfId="36351"/>
    <cellStyle name="40% - Accent3 3 2 6 4" xfId="14274"/>
    <cellStyle name="40% - Accent3 3 2 6 4 2" xfId="18765"/>
    <cellStyle name="40% - Accent3 3 2 6 4 2 2" xfId="47626"/>
    <cellStyle name="40% - Accent3 3 2 6 4 3" xfId="43135"/>
    <cellStyle name="40% - Accent3 3 2 6 5" xfId="16085"/>
    <cellStyle name="40% - Accent3 3 2 6 5 2" xfId="44946"/>
    <cellStyle name="40% - Accent3 3 2 6 6" xfId="30310"/>
    <cellStyle name="40% - Accent3 3 2 7" xfId="1654"/>
    <cellStyle name="40% - Accent3 3 2 7 2" xfId="4541"/>
    <cellStyle name="40% - Accent3 3 2 7 2 2" xfId="10582"/>
    <cellStyle name="40% - Accent3 3 2 7 2 2 2" xfId="27629"/>
    <cellStyle name="40% - Accent3 3 2 7 2 2 2 2" xfId="56490"/>
    <cellStyle name="40% - Accent3 3 2 7 2 2 3" xfId="39443"/>
    <cellStyle name="40% - Accent3 3 2 7 2 3" xfId="21651"/>
    <cellStyle name="40% - Accent3 3 2 7 2 3 2" xfId="50512"/>
    <cellStyle name="40% - Accent3 3 2 7 2 4" xfId="33402"/>
    <cellStyle name="40% - Accent3 3 2 7 3" xfId="7696"/>
    <cellStyle name="40% - Accent3 3 2 7 3 2" xfId="24743"/>
    <cellStyle name="40% - Accent3 3 2 7 3 2 2" xfId="53604"/>
    <cellStyle name="40% - Accent3 3 2 7 3 3" xfId="36557"/>
    <cellStyle name="40% - Accent3 3 2 7 4" xfId="12911"/>
    <cellStyle name="40% - Accent3 3 2 7 4 2" xfId="18971"/>
    <cellStyle name="40% - Accent3 3 2 7 4 2 2" xfId="47832"/>
    <cellStyle name="40% - Accent3 3 2 7 4 3" xfId="41772"/>
    <cellStyle name="40% - Accent3 3 2 7 5" xfId="16291"/>
    <cellStyle name="40% - Accent3 3 2 7 5 2" xfId="45152"/>
    <cellStyle name="40% - Accent3 3 2 7 6" xfId="30516"/>
    <cellStyle name="40% - Accent3 3 2 8" xfId="1860"/>
    <cellStyle name="40% - Accent3 3 2 8 2" xfId="4747"/>
    <cellStyle name="40% - Accent3 3 2 8 2 2" xfId="10788"/>
    <cellStyle name="40% - Accent3 3 2 8 2 2 2" xfId="27835"/>
    <cellStyle name="40% - Accent3 3 2 8 2 2 2 2" xfId="56696"/>
    <cellStyle name="40% - Accent3 3 2 8 2 2 3" xfId="39649"/>
    <cellStyle name="40% - Accent3 3 2 8 2 3" xfId="21857"/>
    <cellStyle name="40% - Accent3 3 2 8 2 3 2" xfId="50718"/>
    <cellStyle name="40% - Accent3 3 2 8 2 4" xfId="33608"/>
    <cellStyle name="40% - Accent3 3 2 8 3" xfId="7902"/>
    <cellStyle name="40% - Accent3 3 2 8 3 2" xfId="24949"/>
    <cellStyle name="40% - Accent3 3 2 8 3 2 2" xfId="53810"/>
    <cellStyle name="40% - Accent3 3 2 8 3 3" xfId="36763"/>
    <cellStyle name="40% - Accent3 3 2 8 4" xfId="12071"/>
    <cellStyle name="40% - Accent3 3 2 8 4 2" xfId="19177"/>
    <cellStyle name="40% - Accent3 3 2 8 4 2 2" xfId="48038"/>
    <cellStyle name="40% - Accent3 3 2 8 4 3" xfId="40932"/>
    <cellStyle name="40% - Accent3 3 2 8 5" xfId="16497"/>
    <cellStyle name="40% - Accent3 3 2 8 5 2" xfId="45358"/>
    <cellStyle name="40% - Accent3 3 2 8 6" xfId="30722"/>
    <cellStyle name="40% - Accent3 3 2 9" xfId="2066"/>
    <cellStyle name="40% - Accent3 3 2 9 2" xfId="4953"/>
    <cellStyle name="40% - Accent3 3 2 9 2 2" xfId="10994"/>
    <cellStyle name="40% - Accent3 3 2 9 2 2 2" xfId="28041"/>
    <cellStyle name="40% - Accent3 3 2 9 2 2 2 2" xfId="56902"/>
    <cellStyle name="40% - Accent3 3 2 9 2 2 3" xfId="39855"/>
    <cellStyle name="40% - Accent3 3 2 9 2 3" xfId="22063"/>
    <cellStyle name="40% - Accent3 3 2 9 2 3 2" xfId="50924"/>
    <cellStyle name="40% - Accent3 3 2 9 2 4" xfId="33814"/>
    <cellStyle name="40% - Accent3 3 2 9 3" xfId="8108"/>
    <cellStyle name="40% - Accent3 3 2 9 3 2" xfId="25155"/>
    <cellStyle name="40% - Accent3 3 2 9 3 2 2" xfId="54016"/>
    <cellStyle name="40% - Accent3 3 2 9 3 3" xfId="36969"/>
    <cellStyle name="40% - Accent3 3 2 9 4" xfId="13102"/>
    <cellStyle name="40% - Accent3 3 2 9 4 2" xfId="19383"/>
    <cellStyle name="40% - Accent3 3 2 9 4 2 2" xfId="48244"/>
    <cellStyle name="40% - Accent3 3 2 9 4 3" xfId="41963"/>
    <cellStyle name="40% - Accent3 3 2 9 5" xfId="16703"/>
    <cellStyle name="40% - Accent3 3 2 9 5 2" xfId="45564"/>
    <cellStyle name="40% - Accent3 3 2 9 6" xfId="30928"/>
    <cellStyle name="40% - Accent3 3 20" xfId="28971"/>
    <cellStyle name="40% - Accent3 3 3" xfId="212"/>
    <cellStyle name="40% - Accent3 3 3 2" xfId="624"/>
    <cellStyle name="40% - Accent3 3 3 2 2" xfId="3511"/>
    <cellStyle name="40% - Accent3 3 3 2 2 2" xfId="9552"/>
    <cellStyle name="40% - Accent3 3 3 2 2 2 2" xfId="26599"/>
    <cellStyle name="40% - Accent3 3 3 2 2 2 2 2" xfId="55460"/>
    <cellStyle name="40% - Accent3 3 3 2 2 2 3" xfId="38413"/>
    <cellStyle name="40% - Accent3 3 3 2 2 3" xfId="20621"/>
    <cellStyle name="40% - Accent3 3 3 2 2 3 2" xfId="49482"/>
    <cellStyle name="40% - Accent3 3 3 2 2 4" xfId="32372"/>
    <cellStyle name="40% - Accent3 3 3 2 3" xfId="6666"/>
    <cellStyle name="40% - Accent3 3 3 2 3 2" xfId="23713"/>
    <cellStyle name="40% - Accent3 3 3 2 3 2 2" xfId="52574"/>
    <cellStyle name="40% - Accent3 3 3 2 3 3" xfId="35527"/>
    <cellStyle name="40% - Accent3 3 3 2 4" xfId="11975"/>
    <cellStyle name="40% - Accent3 3 3 2 4 2" xfId="17941"/>
    <cellStyle name="40% - Accent3 3 3 2 4 2 2" xfId="46802"/>
    <cellStyle name="40% - Accent3 3 3 2 4 3" xfId="40836"/>
    <cellStyle name="40% - Accent3 3 3 2 5" xfId="15261"/>
    <cellStyle name="40% - Accent3 3 3 2 5 2" xfId="44122"/>
    <cellStyle name="40% - Accent3 3 3 2 6" xfId="29486"/>
    <cellStyle name="40% - Accent3 3 3 3" xfId="2169"/>
    <cellStyle name="40% - Accent3 3 3 3 2" xfId="5056"/>
    <cellStyle name="40% - Accent3 3 3 3 2 2" xfId="11097"/>
    <cellStyle name="40% - Accent3 3 3 3 2 2 2" xfId="28144"/>
    <cellStyle name="40% - Accent3 3 3 3 2 2 2 2" xfId="57005"/>
    <cellStyle name="40% - Accent3 3 3 3 2 2 3" xfId="39958"/>
    <cellStyle name="40% - Accent3 3 3 3 2 3" xfId="22166"/>
    <cellStyle name="40% - Accent3 3 3 3 2 3 2" xfId="51027"/>
    <cellStyle name="40% - Accent3 3 3 3 2 4" xfId="33917"/>
    <cellStyle name="40% - Accent3 3 3 3 3" xfId="8211"/>
    <cellStyle name="40% - Accent3 3 3 3 3 2" xfId="25258"/>
    <cellStyle name="40% - Accent3 3 3 3 3 2 2" xfId="54119"/>
    <cellStyle name="40% - Accent3 3 3 3 3 3" xfId="37072"/>
    <cellStyle name="40% - Accent3 3 3 3 4" xfId="13675"/>
    <cellStyle name="40% - Accent3 3 3 3 4 2" xfId="19486"/>
    <cellStyle name="40% - Accent3 3 3 3 4 2 2" xfId="48347"/>
    <cellStyle name="40% - Accent3 3 3 3 4 3" xfId="42536"/>
    <cellStyle name="40% - Accent3 3 3 3 5" xfId="16806"/>
    <cellStyle name="40% - Accent3 3 3 3 5 2" xfId="45667"/>
    <cellStyle name="40% - Accent3 3 3 3 6" xfId="31031"/>
    <cellStyle name="40% - Accent3 3 3 4" xfId="3099"/>
    <cellStyle name="40% - Accent3 3 3 4 2" xfId="9140"/>
    <cellStyle name="40% - Accent3 3 3 4 2 2" xfId="26187"/>
    <cellStyle name="40% - Accent3 3 3 4 2 2 2" xfId="55048"/>
    <cellStyle name="40% - Accent3 3 3 4 2 3" xfId="38001"/>
    <cellStyle name="40% - Accent3 3 3 4 3" xfId="20209"/>
    <cellStyle name="40% - Accent3 3 3 4 3 2" xfId="49070"/>
    <cellStyle name="40% - Accent3 3 3 4 4" xfId="31960"/>
    <cellStyle name="40% - Accent3 3 3 5" xfId="6254"/>
    <cellStyle name="40% - Accent3 3 3 5 2" xfId="23301"/>
    <cellStyle name="40% - Accent3 3 3 5 2 2" xfId="52162"/>
    <cellStyle name="40% - Accent3 3 3 5 3" xfId="35115"/>
    <cellStyle name="40% - Accent3 3 3 6" xfId="12199"/>
    <cellStyle name="40% - Accent3 3 3 6 2" xfId="17632"/>
    <cellStyle name="40% - Accent3 3 3 6 2 2" xfId="46493"/>
    <cellStyle name="40% - Accent3 3 3 6 3" xfId="41060"/>
    <cellStyle name="40% - Accent3 3 3 7" xfId="14849"/>
    <cellStyle name="40% - Accent3 3 3 7 2" xfId="43710"/>
    <cellStyle name="40% - Accent3 3 3 8" xfId="29074"/>
    <cellStyle name="40% - Accent3 3 4" xfId="418"/>
    <cellStyle name="40% - Accent3 3 4 2" xfId="3305"/>
    <cellStyle name="40% - Accent3 3 4 2 2" xfId="9346"/>
    <cellStyle name="40% - Accent3 3 4 2 2 2" xfId="26393"/>
    <cellStyle name="40% - Accent3 3 4 2 2 2 2" xfId="55254"/>
    <cellStyle name="40% - Accent3 3 4 2 2 3" xfId="38207"/>
    <cellStyle name="40% - Accent3 3 4 2 3" xfId="20415"/>
    <cellStyle name="40% - Accent3 3 4 2 3 2" xfId="49276"/>
    <cellStyle name="40% - Accent3 3 4 2 4" xfId="32166"/>
    <cellStyle name="40% - Accent3 3 4 3" xfId="6460"/>
    <cellStyle name="40% - Accent3 3 4 3 2" xfId="23507"/>
    <cellStyle name="40% - Accent3 3 4 3 2 2" xfId="52368"/>
    <cellStyle name="40% - Accent3 3 4 3 3" xfId="35321"/>
    <cellStyle name="40% - Accent3 3 4 4" xfId="12925"/>
    <cellStyle name="40% - Accent3 3 4 4 2" xfId="17735"/>
    <cellStyle name="40% - Accent3 3 4 4 2 2" xfId="46596"/>
    <cellStyle name="40% - Accent3 3 4 4 3" xfId="41786"/>
    <cellStyle name="40% - Accent3 3 4 5" xfId="15055"/>
    <cellStyle name="40% - Accent3 3 4 5 2" xfId="43916"/>
    <cellStyle name="40% - Accent3 3 4 6" xfId="29280"/>
    <cellStyle name="40% - Accent3 3 5" xfId="727"/>
    <cellStyle name="40% - Accent3 3 5 2" xfId="3614"/>
    <cellStyle name="40% - Accent3 3 5 2 2" xfId="9655"/>
    <cellStyle name="40% - Accent3 3 5 2 2 2" xfId="26702"/>
    <cellStyle name="40% - Accent3 3 5 2 2 2 2" xfId="55563"/>
    <cellStyle name="40% - Accent3 3 5 2 2 3" xfId="38516"/>
    <cellStyle name="40% - Accent3 3 5 2 3" xfId="20724"/>
    <cellStyle name="40% - Accent3 3 5 2 3 2" xfId="49585"/>
    <cellStyle name="40% - Accent3 3 5 2 4" xfId="32475"/>
    <cellStyle name="40% - Accent3 3 5 3" xfId="6769"/>
    <cellStyle name="40% - Accent3 3 5 3 2" xfId="23816"/>
    <cellStyle name="40% - Accent3 3 5 3 2 2" xfId="52677"/>
    <cellStyle name="40% - Accent3 3 5 3 3" xfId="35630"/>
    <cellStyle name="40% - Accent3 3 5 4" xfId="13237"/>
    <cellStyle name="40% - Accent3 3 5 4 2" xfId="18044"/>
    <cellStyle name="40% - Accent3 3 5 4 2 2" xfId="46905"/>
    <cellStyle name="40% - Accent3 3 5 4 3" xfId="42098"/>
    <cellStyle name="40% - Accent3 3 5 5" xfId="15364"/>
    <cellStyle name="40% - Accent3 3 5 5 2" xfId="44225"/>
    <cellStyle name="40% - Accent3 3 5 6" xfId="29589"/>
    <cellStyle name="40% - Accent3 3 6" xfId="933"/>
    <cellStyle name="40% - Accent3 3 6 2" xfId="3820"/>
    <cellStyle name="40% - Accent3 3 6 2 2" xfId="9861"/>
    <cellStyle name="40% - Accent3 3 6 2 2 2" xfId="26908"/>
    <cellStyle name="40% - Accent3 3 6 2 2 2 2" xfId="55769"/>
    <cellStyle name="40% - Accent3 3 6 2 2 3" xfId="38722"/>
    <cellStyle name="40% - Accent3 3 6 2 3" xfId="20930"/>
    <cellStyle name="40% - Accent3 3 6 2 3 2" xfId="49791"/>
    <cellStyle name="40% - Accent3 3 6 2 4" xfId="32681"/>
    <cellStyle name="40% - Accent3 3 6 3" xfId="6975"/>
    <cellStyle name="40% - Accent3 3 6 3 2" xfId="24022"/>
    <cellStyle name="40% - Accent3 3 6 3 2 2" xfId="52883"/>
    <cellStyle name="40% - Accent3 3 6 3 3" xfId="35836"/>
    <cellStyle name="40% - Accent3 3 6 4" xfId="13736"/>
    <cellStyle name="40% - Accent3 3 6 4 2" xfId="18250"/>
    <cellStyle name="40% - Accent3 3 6 4 2 2" xfId="47111"/>
    <cellStyle name="40% - Accent3 3 6 4 3" xfId="42597"/>
    <cellStyle name="40% - Accent3 3 6 5" xfId="15570"/>
    <cellStyle name="40% - Accent3 3 6 5 2" xfId="44431"/>
    <cellStyle name="40% - Accent3 3 6 6" xfId="29795"/>
    <cellStyle name="40% - Accent3 3 7" xfId="1139"/>
    <cellStyle name="40% - Accent3 3 7 2" xfId="4026"/>
    <cellStyle name="40% - Accent3 3 7 2 2" xfId="10067"/>
    <cellStyle name="40% - Accent3 3 7 2 2 2" xfId="27114"/>
    <cellStyle name="40% - Accent3 3 7 2 2 2 2" xfId="55975"/>
    <cellStyle name="40% - Accent3 3 7 2 2 3" xfId="38928"/>
    <cellStyle name="40% - Accent3 3 7 2 3" xfId="21136"/>
    <cellStyle name="40% - Accent3 3 7 2 3 2" xfId="49997"/>
    <cellStyle name="40% - Accent3 3 7 2 4" xfId="32887"/>
    <cellStyle name="40% - Accent3 3 7 3" xfId="7181"/>
    <cellStyle name="40% - Accent3 3 7 3 2" xfId="24228"/>
    <cellStyle name="40% - Accent3 3 7 3 2 2" xfId="53089"/>
    <cellStyle name="40% - Accent3 3 7 3 3" xfId="36042"/>
    <cellStyle name="40% - Accent3 3 7 4" xfId="12742"/>
    <cellStyle name="40% - Accent3 3 7 4 2" xfId="18456"/>
    <cellStyle name="40% - Accent3 3 7 4 2 2" xfId="47317"/>
    <cellStyle name="40% - Accent3 3 7 4 3" xfId="41603"/>
    <cellStyle name="40% - Accent3 3 7 5" xfId="15776"/>
    <cellStyle name="40% - Accent3 3 7 5 2" xfId="44637"/>
    <cellStyle name="40% - Accent3 3 7 6" xfId="30001"/>
    <cellStyle name="40% - Accent3 3 8" xfId="1345"/>
    <cellStyle name="40% - Accent3 3 8 2" xfId="4232"/>
    <cellStyle name="40% - Accent3 3 8 2 2" xfId="10273"/>
    <cellStyle name="40% - Accent3 3 8 2 2 2" xfId="27320"/>
    <cellStyle name="40% - Accent3 3 8 2 2 2 2" xfId="56181"/>
    <cellStyle name="40% - Accent3 3 8 2 2 3" xfId="39134"/>
    <cellStyle name="40% - Accent3 3 8 2 3" xfId="21342"/>
    <cellStyle name="40% - Accent3 3 8 2 3 2" xfId="50203"/>
    <cellStyle name="40% - Accent3 3 8 2 4" xfId="33093"/>
    <cellStyle name="40% - Accent3 3 8 3" xfId="7387"/>
    <cellStyle name="40% - Accent3 3 8 3 2" xfId="24434"/>
    <cellStyle name="40% - Accent3 3 8 3 2 2" xfId="53295"/>
    <cellStyle name="40% - Accent3 3 8 3 3" xfId="36248"/>
    <cellStyle name="40% - Accent3 3 8 4" xfId="12004"/>
    <cellStyle name="40% - Accent3 3 8 4 2" xfId="18662"/>
    <cellStyle name="40% - Accent3 3 8 4 2 2" xfId="47523"/>
    <cellStyle name="40% - Accent3 3 8 4 3" xfId="40865"/>
    <cellStyle name="40% - Accent3 3 8 5" xfId="15982"/>
    <cellStyle name="40% - Accent3 3 8 5 2" xfId="44843"/>
    <cellStyle name="40% - Accent3 3 8 6" xfId="30207"/>
    <cellStyle name="40% - Accent3 3 9" xfId="1551"/>
    <cellStyle name="40% - Accent3 3 9 2" xfId="4438"/>
    <cellStyle name="40% - Accent3 3 9 2 2" xfId="10479"/>
    <cellStyle name="40% - Accent3 3 9 2 2 2" xfId="27526"/>
    <cellStyle name="40% - Accent3 3 9 2 2 2 2" xfId="56387"/>
    <cellStyle name="40% - Accent3 3 9 2 2 3" xfId="39340"/>
    <cellStyle name="40% - Accent3 3 9 2 3" xfId="21548"/>
    <cellStyle name="40% - Accent3 3 9 2 3 2" xfId="50409"/>
    <cellStyle name="40% - Accent3 3 9 2 4" xfId="33299"/>
    <cellStyle name="40% - Accent3 3 9 3" xfId="7593"/>
    <cellStyle name="40% - Accent3 3 9 3 2" xfId="24640"/>
    <cellStyle name="40% - Accent3 3 9 3 2 2" xfId="53501"/>
    <cellStyle name="40% - Accent3 3 9 3 3" xfId="36454"/>
    <cellStyle name="40% - Accent3 3 9 4" xfId="13963"/>
    <cellStyle name="40% - Accent3 3 9 4 2" xfId="18868"/>
    <cellStyle name="40% - Accent3 3 9 4 2 2" xfId="47729"/>
    <cellStyle name="40% - Accent3 3 9 4 3" xfId="42824"/>
    <cellStyle name="40% - Accent3 3 9 5" xfId="16188"/>
    <cellStyle name="40% - Accent3 3 9 5 2" xfId="45049"/>
    <cellStyle name="40% - Accent3 3 9 6" xfId="30413"/>
    <cellStyle name="40% - Accent3 4" xfId="135"/>
    <cellStyle name="40% - Accent3 4 10" xfId="1783"/>
    <cellStyle name="40% - Accent3 4 10 2" xfId="4670"/>
    <cellStyle name="40% - Accent3 4 10 2 2" xfId="10711"/>
    <cellStyle name="40% - Accent3 4 10 2 2 2" xfId="27758"/>
    <cellStyle name="40% - Accent3 4 10 2 2 2 2" xfId="56619"/>
    <cellStyle name="40% - Accent3 4 10 2 2 3" xfId="39572"/>
    <cellStyle name="40% - Accent3 4 10 2 3" xfId="21780"/>
    <cellStyle name="40% - Accent3 4 10 2 3 2" xfId="50641"/>
    <cellStyle name="40% - Accent3 4 10 2 4" xfId="33531"/>
    <cellStyle name="40% - Accent3 4 10 3" xfId="7825"/>
    <cellStyle name="40% - Accent3 4 10 3 2" xfId="24872"/>
    <cellStyle name="40% - Accent3 4 10 3 2 2" xfId="53733"/>
    <cellStyle name="40% - Accent3 4 10 3 3" xfId="36686"/>
    <cellStyle name="40% - Accent3 4 10 4" xfId="11961"/>
    <cellStyle name="40% - Accent3 4 10 4 2" xfId="19100"/>
    <cellStyle name="40% - Accent3 4 10 4 2 2" xfId="47961"/>
    <cellStyle name="40% - Accent3 4 10 4 3" xfId="40822"/>
    <cellStyle name="40% - Accent3 4 10 5" xfId="16420"/>
    <cellStyle name="40% - Accent3 4 10 5 2" xfId="45281"/>
    <cellStyle name="40% - Accent3 4 10 6" xfId="30645"/>
    <cellStyle name="40% - Accent3 4 11" xfId="1989"/>
    <cellStyle name="40% - Accent3 4 11 2" xfId="4876"/>
    <cellStyle name="40% - Accent3 4 11 2 2" xfId="10917"/>
    <cellStyle name="40% - Accent3 4 11 2 2 2" xfId="27964"/>
    <cellStyle name="40% - Accent3 4 11 2 2 2 2" xfId="56825"/>
    <cellStyle name="40% - Accent3 4 11 2 2 3" xfId="39778"/>
    <cellStyle name="40% - Accent3 4 11 2 3" xfId="21986"/>
    <cellStyle name="40% - Accent3 4 11 2 3 2" xfId="50847"/>
    <cellStyle name="40% - Accent3 4 11 2 4" xfId="33737"/>
    <cellStyle name="40% - Accent3 4 11 3" xfId="8031"/>
    <cellStyle name="40% - Accent3 4 11 3 2" xfId="25078"/>
    <cellStyle name="40% - Accent3 4 11 3 2 2" xfId="53939"/>
    <cellStyle name="40% - Accent3 4 11 3 3" xfId="36892"/>
    <cellStyle name="40% - Accent3 4 11 4" xfId="14442"/>
    <cellStyle name="40% - Accent3 4 11 4 2" xfId="19306"/>
    <cellStyle name="40% - Accent3 4 11 4 2 2" xfId="48167"/>
    <cellStyle name="40% - Accent3 4 11 4 3" xfId="43303"/>
    <cellStyle name="40% - Accent3 4 11 5" xfId="16626"/>
    <cellStyle name="40% - Accent3 4 11 5 2" xfId="45487"/>
    <cellStyle name="40% - Accent3 4 11 6" xfId="30851"/>
    <cellStyle name="40% - Accent3 4 12" xfId="2401"/>
    <cellStyle name="40% - Accent3 4 12 2" xfId="5288"/>
    <cellStyle name="40% - Accent3 4 12 2 2" xfId="11329"/>
    <cellStyle name="40% - Accent3 4 12 2 2 2" xfId="28376"/>
    <cellStyle name="40% - Accent3 4 12 2 2 2 2" xfId="57237"/>
    <cellStyle name="40% - Accent3 4 12 2 2 3" xfId="40190"/>
    <cellStyle name="40% - Accent3 4 12 2 3" xfId="22398"/>
    <cellStyle name="40% - Accent3 4 12 2 3 2" xfId="51259"/>
    <cellStyle name="40% - Accent3 4 12 2 4" xfId="34149"/>
    <cellStyle name="40% - Accent3 4 12 3" xfId="8443"/>
    <cellStyle name="40% - Accent3 4 12 3 2" xfId="25490"/>
    <cellStyle name="40% - Accent3 4 12 3 2 2" xfId="54351"/>
    <cellStyle name="40% - Accent3 4 12 3 3" xfId="37304"/>
    <cellStyle name="40% - Accent3 4 12 4" xfId="12320"/>
    <cellStyle name="40% - Accent3 4 12 4 2" xfId="19718"/>
    <cellStyle name="40% - Accent3 4 12 4 2 2" xfId="48579"/>
    <cellStyle name="40% - Accent3 4 12 4 3" xfId="41181"/>
    <cellStyle name="40% - Accent3 4 12 5" xfId="17038"/>
    <cellStyle name="40% - Accent3 4 12 5 2" xfId="45899"/>
    <cellStyle name="40% - Accent3 4 12 6" xfId="31263"/>
    <cellStyle name="40% - Accent3 4 13" xfId="2610"/>
    <cellStyle name="40% - Accent3 4 13 2" xfId="5496"/>
    <cellStyle name="40% - Accent3 4 13 2 2" xfId="11537"/>
    <cellStyle name="40% - Accent3 4 13 2 2 2" xfId="28584"/>
    <cellStyle name="40% - Accent3 4 13 2 2 2 2" xfId="57445"/>
    <cellStyle name="40% - Accent3 4 13 2 2 3" xfId="40398"/>
    <cellStyle name="40% - Accent3 4 13 2 3" xfId="22606"/>
    <cellStyle name="40% - Accent3 4 13 2 3 2" xfId="51467"/>
    <cellStyle name="40% - Accent3 4 13 2 4" xfId="34357"/>
    <cellStyle name="40% - Accent3 4 13 3" xfId="8651"/>
    <cellStyle name="40% - Accent3 4 13 3 2" xfId="25698"/>
    <cellStyle name="40% - Accent3 4 13 3 2 2" xfId="54559"/>
    <cellStyle name="40% - Accent3 4 13 3 3" xfId="37512"/>
    <cellStyle name="40% - Accent3 4 13 4" xfId="13149"/>
    <cellStyle name="40% - Accent3 4 13 4 2" xfId="19926"/>
    <cellStyle name="40% - Accent3 4 13 4 2 2" xfId="48787"/>
    <cellStyle name="40% - Accent3 4 13 4 3" xfId="42010"/>
    <cellStyle name="40% - Accent3 4 13 5" xfId="17246"/>
    <cellStyle name="40% - Accent3 4 13 5 2" xfId="46107"/>
    <cellStyle name="40% - Accent3 4 13 6" xfId="31471"/>
    <cellStyle name="40% - Accent3 4 14" xfId="3022"/>
    <cellStyle name="40% - Accent3 4 14 2" xfId="9063"/>
    <cellStyle name="40% - Accent3 4 14 2 2" xfId="26110"/>
    <cellStyle name="40% - Accent3 4 14 2 2 2" xfId="54971"/>
    <cellStyle name="40% - Accent3 4 14 2 3" xfId="37924"/>
    <cellStyle name="40% - Accent3 4 14 3" xfId="13449"/>
    <cellStyle name="40% - Accent3 4 14 3 2" xfId="20132"/>
    <cellStyle name="40% - Accent3 4 14 3 2 2" xfId="48993"/>
    <cellStyle name="40% - Accent3 4 14 3 3" xfId="42310"/>
    <cellStyle name="40% - Accent3 4 14 4" xfId="14772"/>
    <cellStyle name="40% - Accent3 4 14 4 2" xfId="43633"/>
    <cellStyle name="40% - Accent3 4 14 5" xfId="31883"/>
    <cellStyle name="40% - Accent3 4 15" xfId="2816"/>
    <cellStyle name="40% - Accent3 4 15 2" xfId="8857"/>
    <cellStyle name="40% - Accent3 4 15 2 2" xfId="25904"/>
    <cellStyle name="40% - Accent3 4 15 2 2 2" xfId="54765"/>
    <cellStyle name="40% - Accent3 4 15 2 3" xfId="37718"/>
    <cellStyle name="40% - Accent3 4 15 3" xfId="17452"/>
    <cellStyle name="40% - Accent3 4 15 3 2" xfId="46313"/>
    <cellStyle name="40% - Accent3 4 15 4" xfId="31677"/>
    <cellStyle name="40% - Accent3 4 16" xfId="5702"/>
    <cellStyle name="40% - Accent3 4 16 2" xfId="11743"/>
    <cellStyle name="40% - Accent3 4 16 2 2" xfId="28790"/>
    <cellStyle name="40% - Accent3 4 16 2 2 2" xfId="57651"/>
    <cellStyle name="40% - Accent3 4 16 2 3" xfId="40604"/>
    <cellStyle name="40% - Accent3 4 16 3" xfId="22812"/>
    <cellStyle name="40% - Accent3 4 16 3 2" xfId="51673"/>
    <cellStyle name="40% - Accent3 4 16 4" xfId="34563"/>
    <cellStyle name="40% - Accent3 4 17" xfId="5919"/>
    <cellStyle name="40% - Accent3 4 17 2" xfId="23018"/>
    <cellStyle name="40% - Accent3 4 17 2 2" xfId="51879"/>
    <cellStyle name="40% - Accent3 4 17 3" xfId="34780"/>
    <cellStyle name="40% - Accent3 4 18" xfId="6177"/>
    <cellStyle name="40% - Accent3 4 18 2" xfId="23224"/>
    <cellStyle name="40% - Accent3 4 18 2 2" xfId="52085"/>
    <cellStyle name="40% - Accent3 4 18 3" xfId="35038"/>
    <cellStyle name="40% - Accent3 4 19" xfId="14566"/>
    <cellStyle name="40% - Accent3 4 19 2" xfId="43427"/>
    <cellStyle name="40% - Accent3 4 2" xfId="341"/>
    <cellStyle name="40% - Accent3 4 2 10" xfId="2504"/>
    <cellStyle name="40% - Accent3 4 2 10 2" xfId="5391"/>
    <cellStyle name="40% - Accent3 4 2 10 2 2" xfId="11432"/>
    <cellStyle name="40% - Accent3 4 2 10 2 2 2" xfId="28479"/>
    <cellStyle name="40% - Accent3 4 2 10 2 2 2 2" xfId="57340"/>
    <cellStyle name="40% - Accent3 4 2 10 2 2 3" xfId="40293"/>
    <cellStyle name="40% - Accent3 4 2 10 2 3" xfId="22501"/>
    <cellStyle name="40% - Accent3 4 2 10 2 3 2" xfId="51362"/>
    <cellStyle name="40% - Accent3 4 2 10 2 4" xfId="34252"/>
    <cellStyle name="40% - Accent3 4 2 10 3" xfId="8546"/>
    <cellStyle name="40% - Accent3 4 2 10 3 2" xfId="25593"/>
    <cellStyle name="40% - Accent3 4 2 10 3 2 2" xfId="54454"/>
    <cellStyle name="40% - Accent3 4 2 10 3 3" xfId="37407"/>
    <cellStyle name="40% - Accent3 4 2 10 4" xfId="12858"/>
    <cellStyle name="40% - Accent3 4 2 10 4 2" xfId="19821"/>
    <cellStyle name="40% - Accent3 4 2 10 4 2 2" xfId="48682"/>
    <cellStyle name="40% - Accent3 4 2 10 4 3" xfId="41719"/>
    <cellStyle name="40% - Accent3 4 2 10 5" xfId="17141"/>
    <cellStyle name="40% - Accent3 4 2 10 5 2" xfId="46002"/>
    <cellStyle name="40% - Accent3 4 2 10 6" xfId="31366"/>
    <cellStyle name="40% - Accent3 4 2 11" xfId="2713"/>
    <cellStyle name="40% - Accent3 4 2 11 2" xfId="5599"/>
    <cellStyle name="40% - Accent3 4 2 11 2 2" xfId="11640"/>
    <cellStyle name="40% - Accent3 4 2 11 2 2 2" xfId="28687"/>
    <cellStyle name="40% - Accent3 4 2 11 2 2 2 2" xfId="57548"/>
    <cellStyle name="40% - Accent3 4 2 11 2 2 3" xfId="40501"/>
    <cellStyle name="40% - Accent3 4 2 11 2 3" xfId="22709"/>
    <cellStyle name="40% - Accent3 4 2 11 2 3 2" xfId="51570"/>
    <cellStyle name="40% - Accent3 4 2 11 2 4" xfId="34460"/>
    <cellStyle name="40% - Accent3 4 2 11 3" xfId="8754"/>
    <cellStyle name="40% - Accent3 4 2 11 3 2" xfId="25801"/>
    <cellStyle name="40% - Accent3 4 2 11 3 2 2" xfId="54662"/>
    <cellStyle name="40% - Accent3 4 2 11 3 3" xfId="37615"/>
    <cellStyle name="40% - Accent3 4 2 11 4" xfId="13084"/>
    <cellStyle name="40% - Accent3 4 2 11 4 2" xfId="20029"/>
    <cellStyle name="40% - Accent3 4 2 11 4 2 2" xfId="48890"/>
    <cellStyle name="40% - Accent3 4 2 11 4 3" xfId="41945"/>
    <cellStyle name="40% - Accent3 4 2 11 5" xfId="17349"/>
    <cellStyle name="40% - Accent3 4 2 11 5 2" xfId="46210"/>
    <cellStyle name="40% - Accent3 4 2 11 6" xfId="31574"/>
    <cellStyle name="40% - Accent3 4 2 12" xfId="3228"/>
    <cellStyle name="40% - Accent3 4 2 12 2" xfId="9269"/>
    <cellStyle name="40% - Accent3 4 2 12 2 2" xfId="26316"/>
    <cellStyle name="40% - Accent3 4 2 12 2 2 2" xfId="55177"/>
    <cellStyle name="40% - Accent3 4 2 12 2 3" xfId="38130"/>
    <cellStyle name="40% - Accent3 4 2 12 3" xfId="13420"/>
    <cellStyle name="40% - Accent3 4 2 12 3 2" xfId="20338"/>
    <cellStyle name="40% - Accent3 4 2 12 3 2 2" xfId="49199"/>
    <cellStyle name="40% - Accent3 4 2 12 3 3" xfId="42281"/>
    <cellStyle name="40% - Accent3 4 2 12 4" xfId="14978"/>
    <cellStyle name="40% - Accent3 4 2 12 4 2" xfId="43839"/>
    <cellStyle name="40% - Accent3 4 2 12 5" xfId="32089"/>
    <cellStyle name="40% - Accent3 4 2 13" xfId="2919"/>
    <cellStyle name="40% - Accent3 4 2 13 2" xfId="8960"/>
    <cellStyle name="40% - Accent3 4 2 13 2 2" xfId="26007"/>
    <cellStyle name="40% - Accent3 4 2 13 2 2 2" xfId="54868"/>
    <cellStyle name="40% - Accent3 4 2 13 2 3" xfId="37821"/>
    <cellStyle name="40% - Accent3 4 2 13 3" xfId="17555"/>
    <cellStyle name="40% - Accent3 4 2 13 3 2" xfId="46416"/>
    <cellStyle name="40% - Accent3 4 2 13 4" xfId="31780"/>
    <cellStyle name="40% - Accent3 4 2 14" xfId="5805"/>
    <cellStyle name="40% - Accent3 4 2 14 2" xfId="11846"/>
    <cellStyle name="40% - Accent3 4 2 14 2 2" xfId="28893"/>
    <cellStyle name="40% - Accent3 4 2 14 2 2 2" xfId="57754"/>
    <cellStyle name="40% - Accent3 4 2 14 2 3" xfId="40707"/>
    <cellStyle name="40% - Accent3 4 2 14 3" xfId="22915"/>
    <cellStyle name="40% - Accent3 4 2 14 3 2" xfId="51776"/>
    <cellStyle name="40% - Accent3 4 2 14 4" xfId="34666"/>
    <cellStyle name="40% - Accent3 4 2 15" xfId="6022"/>
    <cellStyle name="40% - Accent3 4 2 15 2" xfId="23121"/>
    <cellStyle name="40% - Accent3 4 2 15 2 2" xfId="51982"/>
    <cellStyle name="40% - Accent3 4 2 15 3" xfId="34883"/>
    <cellStyle name="40% - Accent3 4 2 16" xfId="6383"/>
    <cellStyle name="40% - Accent3 4 2 16 2" xfId="23430"/>
    <cellStyle name="40% - Accent3 4 2 16 2 2" xfId="52291"/>
    <cellStyle name="40% - Accent3 4 2 16 3" xfId="35244"/>
    <cellStyle name="40% - Accent3 4 2 17" xfId="14669"/>
    <cellStyle name="40% - Accent3 4 2 17 2" xfId="43530"/>
    <cellStyle name="40% - Accent3 4 2 18" xfId="29203"/>
    <cellStyle name="40% - Accent3 4 2 2" xfId="547"/>
    <cellStyle name="40% - Accent3 4 2 2 2" xfId="2298"/>
    <cellStyle name="40% - Accent3 4 2 2 2 2" xfId="5185"/>
    <cellStyle name="40% - Accent3 4 2 2 2 2 2" xfId="11226"/>
    <cellStyle name="40% - Accent3 4 2 2 2 2 2 2" xfId="28273"/>
    <cellStyle name="40% - Accent3 4 2 2 2 2 2 2 2" xfId="57134"/>
    <cellStyle name="40% - Accent3 4 2 2 2 2 2 3" xfId="40087"/>
    <cellStyle name="40% - Accent3 4 2 2 2 2 3" xfId="22295"/>
    <cellStyle name="40% - Accent3 4 2 2 2 2 3 2" xfId="51156"/>
    <cellStyle name="40% - Accent3 4 2 2 2 2 4" xfId="34046"/>
    <cellStyle name="40% - Accent3 4 2 2 2 3" xfId="8340"/>
    <cellStyle name="40% - Accent3 4 2 2 2 3 2" xfId="25387"/>
    <cellStyle name="40% - Accent3 4 2 2 2 3 2 2" xfId="54248"/>
    <cellStyle name="40% - Accent3 4 2 2 2 3 3" xfId="37201"/>
    <cellStyle name="40% - Accent3 4 2 2 2 4" xfId="12316"/>
    <cellStyle name="40% - Accent3 4 2 2 2 4 2" xfId="19615"/>
    <cellStyle name="40% - Accent3 4 2 2 2 4 2 2" xfId="48476"/>
    <cellStyle name="40% - Accent3 4 2 2 2 4 3" xfId="41177"/>
    <cellStyle name="40% - Accent3 4 2 2 2 5" xfId="16935"/>
    <cellStyle name="40% - Accent3 4 2 2 2 5 2" xfId="45796"/>
    <cellStyle name="40% - Accent3 4 2 2 2 6" xfId="31160"/>
    <cellStyle name="40% - Accent3 4 2 2 3" xfId="3434"/>
    <cellStyle name="40% - Accent3 4 2 2 3 2" xfId="9475"/>
    <cellStyle name="40% - Accent3 4 2 2 3 2 2" xfId="26522"/>
    <cellStyle name="40% - Accent3 4 2 2 3 2 2 2" xfId="55383"/>
    <cellStyle name="40% - Accent3 4 2 2 3 2 3" xfId="38336"/>
    <cellStyle name="40% - Accent3 4 2 2 3 3" xfId="20544"/>
    <cellStyle name="40% - Accent3 4 2 2 3 3 2" xfId="49405"/>
    <cellStyle name="40% - Accent3 4 2 2 3 4" xfId="32295"/>
    <cellStyle name="40% - Accent3 4 2 2 4" xfId="6589"/>
    <cellStyle name="40% - Accent3 4 2 2 4 2" xfId="23636"/>
    <cellStyle name="40% - Accent3 4 2 2 4 2 2" xfId="52497"/>
    <cellStyle name="40% - Accent3 4 2 2 4 3" xfId="35450"/>
    <cellStyle name="40% - Accent3 4 2 2 5" xfId="12001"/>
    <cellStyle name="40% - Accent3 4 2 2 5 2" xfId="17864"/>
    <cellStyle name="40% - Accent3 4 2 2 5 2 2" xfId="46725"/>
    <cellStyle name="40% - Accent3 4 2 2 5 3" xfId="40862"/>
    <cellStyle name="40% - Accent3 4 2 2 6" xfId="15184"/>
    <cellStyle name="40% - Accent3 4 2 2 6 2" xfId="44045"/>
    <cellStyle name="40% - Accent3 4 2 2 7" xfId="29409"/>
    <cellStyle name="40% - Accent3 4 2 3" xfId="856"/>
    <cellStyle name="40% - Accent3 4 2 3 2" xfId="3743"/>
    <cellStyle name="40% - Accent3 4 2 3 2 2" xfId="9784"/>
    <cellStyle name="40% - Accent3 4 2 3 2 2 2" xfId="26831"/>
    <cellStyle name="40% - Accent3 4 2 3 2 2 2 2" xfId="55692"/>
    <cellStyle name="40% - Accent3 4 2 3 2 2 3" xfId="38645"/>
    <cellStyle name="40% - Accent3 4 2 3 2 3" xfId="20853"/>
    <cellStyle name="40% - Accent3 4 2 3 2 3 2" xfId="49714"/>
    <cellStyle name="40% - Accent3 4 2 3 2 4" xfId="32604"/>
    <cellStyle name="40% - Accent3 4 2 3 3" xfId="6898"/>
    <cellStyle name="40% - Accent3 4 2 3 3 2" xfId="23945"/>
    <cellStyle name="40% - Accent3 4 2 3 3 2 2" xfId="52806"/>
    <cellStyle name="40% - Accent3 4 2 3 3 3" xfId="35759"/>
    <cellStyle name="40% - Accent3 4 2 3 4" xfId="12413"/>
    <cellStyle name="40% - Accent3 4 2 3 4 2" xfId="18173"/>
    <cellStyle name="40% - Accent3 4 2 3 4 2 2" xfId="47034"/>
    <cellStyle name="40% - Accent3 4 2 3 4 3" xfId="41274"/>
    <cellStyle name="40% - Accent3 4 2 3 5" xfId="15493"/>
    <cellStyle name="40% - Accent3 4 2 3 5 2" xfId="44354"/>
    <cellStyle name="40% - Accent3 4 2 3 6" xfId="29718"/>
    <cellStyle name="40% - Accent3 4 2 4" xfId="1062"/>
    <cellStyle name="40% - Accent3 4 2 4 2" xfId="3949"/>
    <cellStyle name="40% - Accent3 4 2 4 2 2" xfId="9990"/>
    <cellStyle name="40% - Accent3 4 2 4 2 2 2" xfId="27037"/>
    <cellStyle name="40% - Accent3 4 2 4 2 2 2 2" xfId="55898"/>
    <cellStyle name="40% - Accent3 4 2 4 2 2 3" xfId="38851"/>
    <cellStyle name="40% - Accent3 4 2 4 2 3" xfId="21059"/>
    <cellStyle name="40% - Accent3 4 2 4 2 3 2" xfId="49920"/>
    <cellStyle name="40% - Accent3 4 2 4 2 4" xfId="32810"/>
    <cellStyle name="40% - Accent3 4 2 4 3" xfId="7104"/>
    <cellStyle name="40% - Accent3 4 2 4 3 2" xfId="24151"/>
    <cellStyle name="40% - Accent3 4 2 4 3 2 2" xfId="53012"/>
    <cellStyle name="40% - Accent3 4 2 4 3 3" xfId="35965"/>
    <cellStyle name="40% - Accent3 4 2 4 4" xfId="13639"/>
    <cellStyle name="40% - Accent3 4 2 4 4 2" xfId="18379"/>
    <cellStyle name="40% - Accent3 4 2 4 4 2 2" xfId="47240"/>
    <cellStyle name="40% - Accent3 4 2 4 4 3" xfId="42500"/>
    <cellStyle name="40% - Accent3 4 2 4 5" xfId="15699"/>
    <cellStyle name="40% - Accent3 4 2 4 5 2" xfId="44560"/>
    <cellStyle name="40% - Accent3 4 2 4 6" xfId="29924"/>
    <cellStyle name="40% - Accent3 4 2 5" xfId="1268"/>
    <cellStyle name="40% - Accent3 4 2 5 2" xfId="4155"/>
    <cellStyle name="40% - Accent3 4 2 5 2 2" xfId="10196"/>
    <cellStyle name="40% - Accent3 4 2 5 2 2 2" xfId="27243"/>
    <cellStyle name="40% - Accent3 4 2 5 2 2 2 2" xfId="56104"/>
    <cellStyle name="40% - Accent3 4 2 5 2 2 3" xfId="39057"/>
    <cellStyle name="40% - Accent3 4 2 5 2 3" xfId="21265"/>
    <cellStyle name="40% - Accent3 4 2 5 2 3 2" xfId="50126"/>
    <cellStyle name="40% - Accent3 4 2 5 2 4" xfId="33016"/>
    <cellStyle name="40% - Accent3 4 2 5 3" xfId="7310"/>
    <cellStyle name="40% - Accent3 4 2 5 3 2" xfId="24357"/>
    <cellStyle name="40% - Accent3 4 2 5 3 2 2" xfId="53218"/>
    <cellStyle name="40% - Accent3 4 2 5 3 3" xfId="36171"/>
    <cellStyle name="40% - Accent3 4 2 5 4" xfId="12697"/>
    <cellStyle name="40% - Accent3 4 2 5 4 2" xfId="18585"/>
    <cellStyle name="40% - Accent3 4 2 5 4 2 2" xfId="47446"/>
    <cellStyle name="40% - Accent3 4 2 5 4 3" xfId="41558"/>
    <cellStyle name="40% - Accent3 4 2 5 5" xfId="15905"/>
    <cellStyle name="40% - Accent3 4 2 5 5 2" xfId="44766"/>
    <cellStyle name="40% - Accent3 4 2 5 6" xfId="30130"/>
    <cellStyle name="40% - Accent3 4 2 6" xfId="1474"/>
    <cellStyle name="40% - Accent3 4 2 6 2" xfId="4361"/>
    <cellStyle name="40% - Accent3 4 2 6 2 2" xfId="10402"/>
    <cellStyle name="40% - Accent3 4 2 6 2 2 2" xfId="27449"/>
    <cellStyle name="40% - Accent3 4 2 6 2 2 2 2" xfId="56310"/>
    <cellStyle name="40% - Accent3 4 2 6 2 2 3" xfId="39263"/>
    <cellStyle name="40% - Accent3 4 2 6 2 3" xfId="21471"/>
    <cellStyle name="40% - Accent3 4 2 6 2 3 2" xfId="50332"/>
    <cellStyle name="40% - Accent3 4 2 6 2 4" xfId="33222"/>
    <cellStyle name="40% - Accent3 4 2 6 3" xfId="7516"/>
    <cellStyle name="40% - Accent3 4 2 6 3 2" xfId="24563"/>
    <cellStyle name="40% - Accent3 4 2 6 3 2 2" xfId="53424"/>
    <cellStyle name="40% - Accent3 4 2 6 3 3" xfId="36377"/>
    <cellStyle name="40% - Accent3 4 2 6 4" xfId="13026"/>
    <cellStyle name="40% - Accent3 4 2 6 4 2" xfId="18791"/>
    <cellStyle name="40% - Accent3 4 2 6 4 2 2" xfId="47652"/>
    <cellStyle name="40% - Accent3 4 2 6 4 3" xfId="41887"/>
    <cellStyle name="40% - Accent3 4 2 6 5" xfId="16111"/>
    <cellStyle name="40% - Accent3 4 2 6 5 2" xfId="44972"/>
    <cellStyle name="40% - Accent3 4 2 6 6" xfId="30336"/>
    <cellStyle name="40% - Accent3 4 2 7" xfId="1680"/>
    <cellStyle name="40% - Accent3 4 2 7 2" xfId="4567"/>
    <cellStyle name="40% - Accent3 4 2 7 2 2" xfId="10608"/>
    <cellStyle name="40% - Accent3 4 2 7 2 2 2" xfId="27655"/>
    <cellStyle name="40% - Accent3 4 2 7 2 2 2 2" xfId="56516"/>
    <cellStyle name="40% - Accent3 4 2 7 2 2 3" xfId="39469"/>
    <cellStyle name="40% - Accent3 4 2 7 2 3" xfId="21677"/>
    <cellStyle name="40% - Accent3 4 2 7 2 3 2" xfId="50538"/>
    <cellStyle name="40% - Accent3 4 2 7 2 4" xfId="33428"/>
    <cellStyle name="40% - Accent3 4 2 7 3" xfId="7722"/>
    <cellStyle name="40% - Accent3 4 2 7 3 2" xfId="24769"/>
    <cellStyle name="40% - Accent3 4 2 7 3 2 2" xfId="53630"/>
    <cellStyle name="40% - Accent3 4 2 7 3 3" xfId="36583"/>
    <cellStyle name="40% - Accent3 4 2 7 4" xfId="12230"/>
    <cellStyle name="40% - Accent3 4 2 7 4 2" xfId="18997"/>
    <cellStyle name="40% - Accent3 4 2 7 4 2 2" xfId="47858"/>
    <cellStyle name="40% - Accent3 4 2 7 4 3" xfId="41091"/>
    <cellStyle name="40% - Accent3 4 2 7 5" xfId="16317"/>
    <cellStyle name="40% - Accent3 4 2 7 5 2" xfId="45178"/>
    <cellStyle name="40% - Accent3 4 2 7 6" xfId="30542"/>
    <cellStyle name="40% - Accent3 4 2 8" xfId="1886"/>
    <cellStyle name="40% - Accent3 4 2 8 2" xfId="4773"/>
    <cellStyle name="40% - Accent3 4 2 8 2 2" xfId="10814"/>
    <cellStyle name="40% - Accent3 4 2 8 2 2 2" xfId="27861"/>
    <cellStyle name="40% - Accent3 4 2 8 2 2 2 2" xfId="56722"/>
    <cellStyle name="40% - Accent3 4 2 8 2 2 3" xfId="39675"/>
    <cellStyle name="40% - Accent3 4 2 8 2 3" xfId="21883"/>
    <cellStyle name="40% - Accent3 4 2 8 2 3 2" xfId="50744"/>
    <cellStyle name="40% - Accent3 4 2 8 2 4" xfId="33634"/>
    <cellStyle name="40% - Accent3 4 2 8 3" xfId="7928"/>
    <cellStyle name="40% - Accent3 4 2 8 3 2" xfId="24975"/>
    <cellStyle name="40% - Accent3 4 2 8 3 2 2" xfId="53836"/>
    <cellStyle name="40% - Accent3 4 2 8 3 3" xfId="36789"/>
    <cellStyle name="40% - Accent3 4 2 8 4" xfId="14276"/>
    <cellStyle name="40% - Accent3 4 2 8 4 2" xfId="19203"/>
    <cellStyle name="40% - Accent3 4 2 8 4 2 2" xfId="48064"/>
    <cellStyle name="40% - Accent3 4 2 8 4 3" xfId="43137"/>
    <cellStyle name="40% - Accent3 4 2 8 5" xfId="16523"/>
    <cellStyle name="40% - Accent3 4 2 8 5 2" xfId="45384"/>
    <cellStyle name="40% - Accent3 4 2 8 6" xfId="30748"/>
    <cellStyle name="40% - Accent3 4 2 9" xfId="2092"/>
    <cellStyle name="40% - Accent3 4 2 9 2" xfId="4979"/>
    <cellStyle name="40% - Accent3 4 2 9 2 2" xfId="11020"/>
    <cellStyle name="40% - Accent3 4 2 9 2 2 2" xfId="28067"/>
    <cellStyle name="40% - Accent3 4 2 9 2 2 2 2" xfId="56928"/>
    <cellStyle name="40% - Accent3 4 2 9 2 2 3" xfId="39881"/>
    <cellStyle name="40% - Accent3 4 2 9 2 3" xfId="22089"/>
    <cellStyle name="40% - Accent3 4 2 9 2 3 2" xfId="50950"/>
    <cellStyle name="40% - Accent3 4 2 9 2 4" xfId="33840"/>
    <cellStyle name="40% - Accent3 4 2 9 3" xfId="8134"/>
    <cellStyle name="40% - Accent3 4 2 9 3 2" xfId="25181"/>
    <cellStyle name="40% - Accent3 4 2 9 3 2 2" xfId="54042"/>
    <cellStyle name="40% - Accent3 4 2 9 3 3" xfId="36995"/>
    <cellStyle name="40% - Accent3 4 2 9 4" xfId="14420"/>
    <cellStyle name="40% - Accent3 4 2 9 4 2" xfId="19409"/>
    <cellStyle name="40% - Accent3 4 2 9 4 2 2" xfId="48270"/>
    <cellStyle name="40% - Accent3 4 2 9 4 3" xfId="43281"/>
    <cellStyle name="40% - Accent3 4 2 9 5" xfId="16729"/>
    <cellStyle name="40% - Accent3 4 2 9 5 2" xfId="45590"/>
    <cellStyle name="40% - Accent3 4 2 9 6" xfId="30954"/>
    <cellStyle name="40% - Accent3 4 20" xfId="28997"/>
    <cellStyle name="40% - Accent3 4 3" xfId="238"/>
    <cellStyle name="40% - Accent3 4 3 2" xfId="650"/>
    <cellStyle name="40% - Accent3 4 3 2 2" xfId="3537"/>
    <cellStyle name="40% - Accent3 4 3 2 2 2" xfId="9578"/>
    <cellStyle name="40% - Accent3 4 3 2 2 2 2" xfId="26625"/>
    <cellStyle name="40% - Accent3 4 3 2 2 2 2 2" xfId="55486"/>
    <cellStyle name="40% - Accent3 4 3 2 2 2 3" xfId="38439"/>
    <cellStyle name="40% - Accent3 4 3 2 2 3" xfId="20647"/>
    <cellStyle name="40% - Accent3 4 3 2 2 3 2" xfId="49508"/>
    <cellStyle name="40% - Accent3 4 3 2 2 4" xfId="32398"/>
    <cellStyle name="40% - Accent3 4 3 2 3" xfId="6692"/>
    <cellStyle name="40% - Accent3 4 3 2 3 2" xfId="23739"/>
    <cellStyle name="40% - Accent3 4 3 2 3 2 2" xfId="52600"/>
    <cellStyle name="40% - Accent3 4 3 2 3 3" xfId="35553"/>
    <cellStyle name="40% - Accent3 4 3 2 4" xfId="13232"/>
    <cellStyle name="40% - Accent3 4 3 2 4 2" xfId="17967"/>
    <cellStyle name="40% - Accent3 4 3 2 4 2 2" xfId="46828"/>
    <cellStyle name="40% - Accent3 4 3 2 4 3" xfId="42093"/>
    <cellStyle name="40% - Accent3 4 3 2 5" xfId="15287"/>
    <cellStyle name="40% - Accent3 4 3 2 5 2" xfId="44148"/>
    <cellStyle name="40% - Accent3 4 3 2 6" xfId="29512"/>
    <cellStyle name="40% - Accent3 4 3 3" xfId="2195"/>
    <cellStyle name="40% - Accent3 4 3 3 2" xfId="5082"/>
    <cellStyle name="40% - Accent3 4 3 3 2 2" xfId="11123"/>
    <cellStyle name="40% - Accent3 4 3 3 2 2 2" xfId="28170"/>
    <cellStyle name="40% - Accent3 4 3 3 2 2 2 2" xfId="57031"/>
    <cellStyle name="40% - Accent3 4 3 3 2 2 3" xfId="39984"/>
    <cellStyle name="40% - Accent3 4 3 3 2 3" xfId="22192"/>
    <cellStyle name="40% - Accent3 4 3 3 2 3 2" xfId="51053"/>
    <cellStyle name="40% - Accent3 4 3 3 2 4" xfId="33943"/>
    <cellStyle name="40% - Accent3 4 3 3 3" xfId="8237"/>
    <cellStyle name="40% - Accent3 4 3 3 3 2" xfId="25284"/>
    <cellStyle name="40% - Accent3 4 3 3 3 2 2" xfId="54145"/>
    <cellStyle name="40% - Accent3 4 3 3 3 3" xfId="37098"/>
    <cellStyle name="40% - Accent3 4 3 3 4" xfId="11964"/>
    <cellStyle name="40% - Accent3 4 3 3 4 2" xfId="19512"/>
    <cellStyle name="40% - Accent3 4 3 3 4 2 2" xfId="48373"/>
    <cellStyle name="40% - Accent3 4 3 3 4 3" xfId="40825"/>
    <cellStyle name="40% - Accent3 4 3 3 5" xfId="16832"/>
    <cellStyle name="40% - Accent3 4 3 3 5 2" xfId="45693"/>
    <cellStyle name="40% - Accent3 4 3 3 6" xfId="31057"/>
    <cellStyle name="40% - Accent3 4 3 4" xfId="3125"/>
    <cellStyle name="40% - Accent3 4 3 4 2" xfId="9166"/>
    <cellStyle name="40% - Accent3 4 3 4 2 2" xfId="26213"/>
    <cellStyle name="40% - Accent3 4 3 4 2 2 2" xfId="55074"/>
    <cellStyle name="40% - Accent3 4 3 4 2 3" xfId="38027"/>
    <cellStyle name="40% - Accent3 4 3 4 3" xfId="20235"/>
    <cellStyle name="40% - Accent3 4 3 4 3 2" xfId="49096"/>
    <cellStyle name="40% - Accent3 4 3 4 4" xfId="31986"/>
    <cellStyle name="40% - Accent3 4 3 5" xfId="6280"/>
    <cellStyle name="40% - Accent3 4 3 5 2" xfId="23327"/>
    <cellStyle name="40% - Accent3 4 3 5 2 2" xfId="52188"/>
    <cellStyle name="40% - Accent3 4 3 5 3" xfId="35141"/>
    <cellStyle name="40% - Accent3 4 3 6" xfId="13771"/>
    <cellStyle name="40% - Accent3 4 3 6 2" xfId="17658"/>
    <cellStyle name="40% - Accent3 4 3 6 2 2" xfId="46519"/>
    <cellStyle name="40% - Accent3 4 3 6 3" xfId="42632"/>
    <cellStyle name="40% - Accent3 4 3 7" xfId="14875"/>
    <cellStyle name="40% - Accent3 4 3 7 2" xfId="43736"/>
    <cellStyle name="40% - Accent3 4 3 8" xfId="29100"/>
    <cellStyle name="40% - Accent3 4 4" xfId="444"/>
    <cellStyle name="40% - Accent3 4 4 2" xfId="3331"/>
    <cellStyle name="40% - Accent3 4 4 2 2" xfId="9372"/>
    <cellStyle name="40% - Accent3 4 4 2 2 2" xfId="26419"/>
    <cellStyle name="40% - Accent3 4 4 2 2 2 2" xfId="55280"/>
    <cellStyle name="40% - Accent3 4 4 2 2 3" xfId="38233"/>
    <cellStyle name="40% - Accent3 4 4 2 3" xfId="20441"/>
    <cellStyle name="40% - Accent3 4 4 2 3 2" xfId="49302"/>
    <cellStyle name="40% - Accent3 4 4 2 4" xfId="32192"/>
    <cellStyle name="40% - Accent3 4 4 3" xfId="6486"/>
    <cellStyle name="40% - Accent3 4 4 3 2" xfId="23533"/>
    <cellStyle name="40% - Accent3 4 4 3 2 2" xfId="52394"/>
    <cellStyle name="40% - Accent3 4 4 3 3" xfId="35347"/>
    <cellStyle name="40% - Accent3 4 4 4" xfId="11960"/>
    <cellStyle name="40% - Accent3 4 4 4 2" xfId="17761"/>
    <cellStyle name="40% - Accent3 4 4 4 2 2" xfId="46622"/>
    <cellStyle name="40% - Accent3 4 4 4 3" xfId="40821"/>
    <cellStyle name="40% - Accent3 4 4 5" xfId="15081"/>
    <cellStyle name="40% - Accent3 4 4 5 2" xfId="43942"/>
    <cellStyle name="40% - Accent3 4 4 6" xfId="29306"/>
    <cellStyle name="40% - Accent3 4 5" xfId="753"/>
    <cellStyle name="40% - Accent3 4 5 2" xfId="3640"/>
    <cellStyle name="40% - Accent3 4 5 2 2" xfId="9681"/>
    <cellStyle name="40% - Accent3 4 5 2 2 2" xfId="26728"/>
    <cellStyle name="40% - Accent3 4 5 2 2 2 2" xfId="55589"/>
    <cellStyle name="40% - Accent3 4 5 2 2 3" xfId="38542"/>
    <cellStyle name="40% - Accent3 4 5 2 3" xfId="20750"/>
    <cellStyle name="40% - Accent3 4 5 2 3 2" xfId="49611"/>
    <cellStyle name="40% - Accent3 4 5 2 4" xfId="32501"/>
    <cellStyle name="40% - Accent3 4 5 3" xfId="6795"/>
    <cellStyle name="40% - Accent3 4 5 3 2" xfId="23842"/>
    <cellStyle name="40% - Accent3 4 5 3 2 2" xfId="52703"/>
    <cellStyle name="40% - Accent3 4 5 3 3" xfId="35656"/>
    <cellStyle name="40% - Accent3 4 5 4" xfId="11988"/>
    <cellStyle name="40% - Accent3 4 5 4 2" xfId="18070"/>
    <cellStyle name="40% - Accent3 4 5 4 2 2" xfId="46931"/>
    <cellStyle name="40% - Accent3 4 5 4 3" xfId="40849"/>
    <cellStyle name="40% - Accent3 4 5 5" xfId="15390"/>
    <cellStyle name="40% - Accent3 4 5 5 2" xfId="44251"/>
    <cellStyle name="40% - Accent3 4 5 6" xfId="29615"/>
    <cellStyle name="40% - Accent3 4 6" xfId="959"/>
    <cellStyle name="40% - Accent3 4 6 2" xfId="3846"/>
    <cellStyle name="40% - Accent3 4 6 2 2" xfId="9887"/>
    <cellStyle name="40% - Accent3 4 6 2 2 2" xfId="26934"/>
    <cellStyle name="40% - Accent3 4 6 2 2 2 2" xfId="55795"/>
    <cellStyle name="40% - Accent3 4 6 2 2 3" xfId="38748"/>
    <cellStyle name="40% - Accent3 4 6 2 3" xfId="20956"/>
    <cellStyle name="40% - Accent3 4 6 2 3 2" xfId="49817"/>
    <cellStyle name="40% - Accent3 4 6 2 4" xfId="32707"/>
    <cellStyle name="40% - Accent3 4 6 3" xfId="7001"/>
    <cellStyle name="40% - Accent3 4 6 3 2" xfId="24048"/>
    <cellStyle name="40% - Accent3 4 6 3 2 2" xfId="52909"/>
    <cellStyle name="40% - Accent3 4 6 3 3" xfId="35862"/>
    <cellStyle name="40% - Accent3 4 6 4" xfId="14195"/>
    <cellStyle name="40% - Accent3 4 6 4 2" xfId="18276"/>
    <cellStyle name="40% - Accent3 4 6 4 2 2" xfId="47137"/>
    <cellStyle name="40% - Accent3 4 6 4 3" xfId="43056"/>
    <cellStyle name="40% - Accent3 4 6 5" xfId="15596"/>
    <cellStyle name="40% - Accent3 4 6 5 2" xfId="44457"/>
    <cellStyle name="40% - Accent3 4 6 6" xfId="29821"/>
    <cellStyle name="40% - Accent3 4 7" xfId="1165"/>
    <cellStyle name="40% - Accent3 4 7 2" xfId="4052"/>
    <cellStyle name="40% - Accent3 4 7 2 2" xfId="10093"/>
    <cellStyle name="40% - Accent3 4 7 2 2 2" xfId="27140"/>
    <cellStyle name="40% - Accent3 4 7 2 2 2 2" xfId="56001"/>
    <cellStyle name="40% - Accent3 4 7 2 2 3" xfId="38954"/>
    <cellStyle name="40% - Accent3 4 7 2 3" xfId="21162"/>
    <cellStyle name="40% - Accent3 4 7 2 3 2" xfId="50023"/>
    <cellStyle name="40% - Accent3 4 7 2 4" xfId="32913"/>
    <cellStyle name="40% - Accent3 4 7 3" xfId="7207"/>
    <cellStyle name="40% - Accent3 4 7 3 2" xfId="24254"/>
    <cellStyle name="40% - Accent3 4 7 3 2 2" xfId="53115"/>
    <cellStyle name="40% - Accent3 4 7 3 3" xfId="36068"/>
    <cellStyle name="40% - Accent3 4 7 4" xfId="12061"/>
    <cellStyle name="40% - Accent3 4 7 4 2" xfId="18482"/>
    <cellStyle name="40% - Accent3 4 7 4 2 2" xfId="47343"/>
    <cellStyle name="40% - Accent3 4 7 4 3" xfId="40922"/>
    <cellStyle name="40% - Accent3 4 7 5" xfId="15802"/>
    <cellStyle name="40% - Accent3 4 7 5 2" xfId="44663"/>
    <cellStyle name="40% - Accent3 4 7 6" xfId="30027"/>
    <cellStyle name="40% - Accent3 4 8" xfId="1371"/>
    <cellStyle name="40% - Accent3 4 8 2" xfId="4258"/>
    <cellStyle name="40% - Accent3 4 8 2 2" xfId="10299"/>
    <cellStyle name="40% - Accent3 4 8 2 2 2" xfId="27346"/>
    <cellStyle name="40% - Accent3 4 8 2 2 2 2" xfId="56207"/>
    <cellStyle name="40% - Accent3 4 8 2 2 3" xfId="39160"/>
    <cellStyle name="40% - Accent3 4 8 2 3" xfId="21368"/>
    <cellStyle name="40% - Accent3 4 8 2 3 2" xfId="50229"/>
    <cellStyle name="40% - Accent3 4 8 2 4" xfId="33119"/>
    <cellStyle name="40% - Accent3 4 8 3" xfId="7413"/>
    <cellStyle name="40% - Accent3 4 8 3 2" xfId="24460"/>
    <cellStyle name="40% - Accent3 4 8 3 2 2" xfId="53321"/>
    <cellStyle name="40% - Accent3 4 8 3 3" xfId="36274"/>
    <cellStyle name="40% - Accent3 4 8 4" xfId="13040"/>
    <cellStyle name="40% - Accent3 4 8 4 2" xfId="18688"/>
    <cellStyle name="40% - Accent3 4 8 4 2 2" xfId="47549"/>
    <cellStyle name="40% - Accent3 4 8 4 3" xfId="41901"/>
    <cellStyle name="40% - Accent3 4 8 5" xfId="16008"/>
    <cellStyle name="40% - Accent3 4 8 5 2" xfId="44869"/>
    <cellStyle name="40% - Accent3 4 8 6" xfId="30233"/>
    <cellStyle name="40% - Accent3 4 9" xfId="1577"/>
    <cellStyle name="40% - Accent3 4 9 2" xfId="4464"/>
    <cellStyle name="40% - Accent3 4 9 2 2" xfId="10505"/>
    <cellStyle name="40% - Accent3 4 9 2 2 2" xfId="27552"/>
    <cellStyle name="40% - Accent3 4 9 2 2 2 2" xfId="56413"/>
    <cellStyle name="40% - Accent3 4 9 2 2 3" xfId="39366"/>
    <cellStyle name="40% - Accent3 4 9 2 3" xfId="21574"/>
    <cellStyle name="40% - Accent3 4 9 2 3 2" xfId="50435"/>
    <cellStyle name="40% - Accent3 4 9 2 4" xfId="33325"/>
    <cellStyle name="40% - Accent3 4 9 3" xfId="7619"/>
    <cellStyle name="40% - Accent3 4 9 3 2" xfId="24666"/>
    <cellStyle name="40% - Accent3 4 9 3 2 2" xfId="53527"/>
    <cellStyle name="40% - Accent3 4 9 3 3" xfId="36480"/>
    <cellStyle name="40% - Accent3 4 9 4" xfId="13533"/>
    <cellStyle name="40% - Accent3 4 9 4 2" xfId="18894"/>
    <cellStyle name="40% - Accent3 4 9 4 2 2" xfId="47755"/>
    <cellStyle name="40% - Accent3 4 9 4 3" xfId="42394"/>
    <cellStyle name="40% - Accent3 4 9 5" xfId="16214"/>
    <cellStyle name="40% - Accent3 4 9 5 2" xfId="45075"/>
    <cellStyle name="40% - Accent3 4 9 6" xfId="30439"/>
    <cellStyle name="40% - Accent3 5" xfId="288"/>
    <cellStyle name="40% - Accent3 5 10" xfId="2451"/>
    <cellStyle name="40% - Accent3 5 10 2" xfId="5338"/>
    <cellStyle name="40% - Accent3 5 10 2 2" xfId="11379"/>
    <cellStyle name="40% - Accent3 5 10 2 2 2" xfId="28426"/>
    <cellStyle name="40% - Accent3 5 10 2 2 2 2" xfId="57287"/>
    <cellStyle name="40% - Accent3 5 10 2 2 3" xfId="40240"/>
    <cellStyle name="40% - Accent3 5 10 2 3" xfId="22448"/>
    <cellStyle name="40% - Accent3 5 10 2 3 2" xfId="51309"/>
    <cellStyle name="40% - Accent3 5 10 2 4" xfId="34199"/>
    <cellStyle name="40% - Accent3 5 10 3" xfId="8493"/>
    <cellStyle name="40% - Accent3 5 10 3 2" xfId="25540"/>
    <cellStyle name="40% - Accent3 5 10 3 2 2" xfId="54401"/>
    <cellStyle name="40% - Accent3 5 10 3 3" xfId="37354"/>
    <cellStyle name="40% - Accent3 5 10 4" xfId="12212"/>
    <cellStyle name="40% - Accent3 5 10 4 2" xfId="19768"/>
    <cellStyle name="40% - Accent3 5 10 4 2 2" xfId="48629"/>
    <cellStyle name="40% - Accent3 5 10 4 3" xfId="41073"/>
    <cellStyle name="40% - Accent3 5 10 5" xfId="17088"/>
    <cellStyle name="40% - Accent3 5 10 5 2" xfId="45949"/>
    <cellStyle name="40% - Accent3 5 10 6" xfId="31313"/>
    <cellStyle name="40% - Accent3 5 11" xfId="2660"/>
    <cellStyle name="40% - Accent3 5 11 2" xfId="5546"/>
    <cellStyle name="40% - Accent3 5 11 2 2" xfId="11587"/>
    <cellStyle name="40% - Accent3 5 11 2 2 2" xfId="28634"/>
    <cellStyle name="40% - Accent3 5 11 2 2 2 2" xfId="57495"/>
    <cellStyle name="40% - Accent3 5 11 2 2 3" xfId="40448"/>
    <cellStyle name="40% - Accent3 5 11 2 3" xfId="22656"/>
    <cellStyle name="40% - Accent3 5 11 2 3 2" xfId="51517"/>
    <cellStyle name="40% - Accent3 5 11 2 4" xfId="34407"/>
    <cellStyle name="40% - Accent3 5 11 3" xfId="8701"/>
    <cellStyle name="40% - Accent3 5 11 3 2" xfId="25748"/>
    <cellStyle name="40% - Accent3 5 11 3 2 2" xfId="54609"/>
    <cellStyle name="40% - Accent3 5 11 3 3" xfId="37562"/>
    <cellStyle name="40% - Accent3 5 11 4" xfId="14082"/>
    <cellStyle name="40% - Accent3 5 11 4 2" xfId="19976"/>
    <cellStyle name="40% - Accent3 5 11 4 2 2" xfId="48837"/>
    <cellStyle name="40% - Accent3 5 11 4 3" xfId="42943"/>
    <cellStyle name="40% - Accent3 5 11 5" xfId="17296"/>
    <cellStyle name="40% - Accent3 5 11 5 2" xfId="46157"/>
    <cellStyle name="40% - Accent3 5 11 6" xfId="31521"/>
    <cellStyle name="40% - Accent3 5 12" xfId="3175"/>
    <cellStyle name="40% - Accent3 5 12 2" xfId="9216"/>
    <cellStyle name="40% - Accent3 5 12 2 2" xfId="26263"/>
    <cellStyle name="40% - Accent3 5 12 2 2 2" xfId="55124"/>
    <cellStyle name="40% - Accent3 5 12 2 3" xfId="38077"/>
    <cellStyle name="40% - Accent3 5 12 3" xfId="13599"/>
    <cellStyle name="40% - Accent3 5 12 3 2" xfId="20285"/>
    <cellStyle name="40% - Accent3 5 12 3 2 2" xfId="49146"/>
    <cellStyle name="40% - Accent3 5 12 3 3" xfId="42460"/>
    <cellStyle name="40% - Accent3 5 12 4" xfId="14925"/>
    <cellStyle name="40% - Accent3 5 12 4 2" xfId="43786"/>
    <cellStyle name="40% - Accent3 5 12 5" xfId="32036"/>
    <cellStyle name="40% - Accent3 5 13" xfId="2866"/>
    <cellStyle name="40% - Accent3 5 13 2" xfId="8907"/>
    <cellStyle name="40% - Accent3 5 13 2 2" xfId="25954"/>
    <cellStyle name="40% - Accent3 5 13 2 2 2" xfId="54815"/>
    <cellStyle name="40% - Accent3 5 13 2 3" xfId="37768"/>
    <cellStyle name="40% - Accent3 5 13 3" xfId="17502"/>
    <cellStyle name="40% - Accent3 5 13 3 2" xfId="46363"/>
    <cellStyle name="40% - Accent3 5 13 4" xfId="31727"/>
    <cellStyle name="40% - Accent3 5 14" xfId="5752"/>
    <cellStyle name="40% - Accent3 5 14 2" xfId="11793"/>
    <cellStyle name="40% - Accent3 5 14 2 2" xfId="28840"/>
    <cellStyle name="40% - Accent3 5 14 2 2 2" xfId="57701"/>
    <cellStyle name="40% - Accent3 5 14 2 3" xfId="40654"/>
    <cellStyle name="40% - Accent3 5 14 3" xfId="22862"/>
    <cellStyle name="40% - Accent3 5 14 3 2" xfId="51723"/>
    <cellStyle name="40% - Accent3 5 14 4" xfId="34613"/>
    <cellStyle name="40% - Accent3 5 15" xfId="5969"/>
    <cellStyle name="40% - Accent3 5 15 2" xfId="23068"/>
    <cellStyle name="40% - Accent3 5 15 2 2" xfId="51929"/>
    <cellStyle name="40% - Accent3 5 15 3" xfId="34830"/>
    <cellStyle name="40% - Accent3 5 16" xfId="6330"/>
    <cellStyle name="40% - Accent3 5 16 2" xfId="23377"/>
    <cellStyle name="40% - Accent3 5 16 2 2" xfId="52238"/>
    <cellStyle name="40% - Accent3 5 16 3" xfId="35191"/>
    <cellStyle name="40% - Accent3 5 17" xfId="14616"/>
    <cellStyle name="40% - Accent3 5 17 2" xfId="43477"/>
    <cellStyle name="40% - Accent3 5 18" xfId="29150"/>
    <cellStyle name="40% - Accent3 5 2" xfId="494"/>
    <cellStyle name="40% - Accent3 5 2 2" xfId="2245"/>
    <cellStyle name="40% - Accent3 5 2 2 2" xfId="5132"/>
    <cellStyle name="40% - Accent3 5 2 2 2 2" xfId="11173"/>
    <cellStyle name="40% - Accent3 5 2 2 2 2 2" xfId="28220"/>
    <cellStyle name="40% - Accent3 5 2 2 2 2 2 2" xfId="57081"/>
    <cellStyle name="40% - Accent3 5 2 2 2 2 3" xfId="40034"/>
    <cellStyle name="40% - Accent3 5 2 2 2 3" xfId="22242"/>
    <cellStyle name="40% - Accent3 5 2 2 2 3 2" xfId="51103"/>
    <cellStyle name="40% - Accent3 5 2 2 2 4" xfId="33993"/>
    <cellStyle name="40% - Accent3 5 2 2 3" xfId="8287"/>
    <cellStyle name="40% - Accent3 5 2 2 3 2" xfId="25334"/>
    <cellStyle name="40% - Accent3 5 2 2 3 2 2" xfId="54195"/>
    <cellStyle name="40% - Accent3 5 2 2 3 3" xfId="37148"/>
    <cellStyle name="40% - Accent3 5 2 2 4" xfId="14193"/>
    <cellStyle name="40% - Accent3 5 2 2 4 2" xfId="19562"/>
    <cellStyle name="40% - Accent3 5 2 2 4 2 2" xfId="48423"/>
    <cellStyle name="40% - Accent3 5 2 2 4 3" xfId="43054"/>
    <cellStyle name="40% - Accent3 5 2 2 5" xfId="16882"/>
    <cellStyle name="40% - Accent3 5 2 2 5 2" xfId="45743"/>
    <cellStyle name="40% - Accent3 5 2 2 6" xfId="31107"/>
    <cellStyle name="40% - Accent3 5 2 3" xfId="3381"/>
    <cellStyle name="40% - Accent3 5 2 3 2" xfId="9422"/>
    <cellStyle name="40% - Accent3 5 2 3 2 2" xfId="26469"/>
    <cellStyle name="40% - Accent3 5 2 3 2 2 2" xfId="55330"/>
    <cellStyle name="40% - Accent3 5 2 3 2 3" xfId="38283"/>
    <cellStyle name="40% - Accent3 5 2 3 3" xfId="20491"/>
    <cellStyle name="40% - Accent3 5 2 3 3 2" xfId="49352"/>
    <cellStyle name="40% - Accent3 5 2 3 4" xfId="32242"/>
    <cellStyle name="40% - Accent3 5 2 4" xfId="6536"/>
    <cellStyle name="40% - Accent3 5 2 4 2" xfId="23583"/>
    <cellStyle name="40% - Accent3 5 2 4 2 2" xfId="52444"/>
    <cellStyle name="40% - Accent3 5 2 4 3" xfId="35397"/>
    <cellStyle name="40% - Accent3 5 2 5" xfId="12025"/>
    <cellStyle name="40% - Accent3 5 2 5 2" xfId="17811"/>
    <cellStyle name="40% - Accent3 5 2 5 2 2" xfId="46672"/>
    <cellStyle name="40% - Accent3 5 2 5 3" xfId="40886"/>
    <cellStyle name="40% - Accent3 5 2 6" xfId="15131"/>
    <cellStyle name="40% - Accent3 5 2 6 2" xfId="43992"/>
    <cellStyle name="40% - Accent3 5 2 7" xfId="29356"/>
    <cellStyle name="40% - Accent3 5 3" xfId="803"/>
    <cellStyle name="40% - Accent3 5 3 2" xfId="3690"/>
    <cellStyle name="40% - Accent3 5 3 2 2" xfId="9731"/>
    <cellStyle name="40% - Accent3 5 3 2 2 2" xfId="26778"/>
    <cellStyle name="40% - Accent3 5 3 2 2 2 2" xfId="55639"/>
    <cellStyle name="40% - Accent3 5 3 2 2 3" xfId="38592"/>
    <cellStyle name="40% - Accent3 5 3 2 3" xfId="20800"/>
    <cellStyle name="40% - Accent3 5 3 2 3 2" xfId="49661"/>
    <cellStyle name="40% - Accent3 5 3 2 4" xfId="32551"/>
    <cellStyle name="40% - Accent3 5 3 3" xfId="6845"/>
    <cellStyle name="40% - Accent3 5 3 3 2" xfId="23892"/>
    <cellStyle name="40% - Accent3 5 3 3 2 2" xfId="52753"/>
    <cellStyle name="40% - Accent3 5 3 3 3" xfId="35706"/>
    <cellStyle name="40% - Accent3 5 3 4" xfId="13391"/>
    <cellStyle name="40% - Accent3 5 3 4 2" xfId="18120"/>
    <cellStyle name="40% - Accent3 5 3 4 2 2" xfId="46981"/>
    <cellStyle name="40% - Accent3 5 3 4 3" xfId="42252"/>
    <cellStyle name="40% - Accent3 5 3 5" xfId="15440"/>
    <cellStyle name="40% - Accent3 5 3 5 2" xfId="44301"/>
    <cellStyle name="40% - Accent3 5 3 6" xfId="29665"/>
    <cellStyle name="40% - Accent3 5 4" xfId="1009"/>
    <cellStyle name="40% - Accent3 5 4 2" xfId="3896"/>
    <cellStyle name="40% - Accent3 5 4 2 2" xfId="9937"/>
    <cellStyle name="40% - Accent3 5 4 2 2 2" xfId="26984"/>
    <cellStyle name="40% - Accent3 5 4 2 2 2 2" xfId="55845"/>
    <cellStyle name="40% - Accent3 5 4 2 2 3" xfId="38798"/>
    <cellStyle name="40% - Accent3 5 4 2 3" xfId="21006"/>
    <cellStyle name="40% - Accent3 5 4 2 3 2" xfId="49867"/>
    <cellStyle name="40% - Accent3 5 4 2 4" xfId="32757"/>
    <cellStyle name="40% - Accent3 5 4 3" xfId="7051"/>
    <cellStyle name="40% - Accent3 5 4 3 2" xfId="24098"/>
    <cellStyle name="40% - Accent3 5 4 3 2 2" xfId="52959"/>
    <cellStyle name="40% - Accent3 5 4 3 3" xfId="35912"/>
    <cellStyle name="40% - Accent3 5 4 4" xfId="13288"/>
    <cellStyle name="40% - Accent3 5 4 4 2" xfId="18326"/>
    <cellStyle name="40% - Accent3 5 4 4 2 2" xfId="47187"/>
    <cellStyle name="40% - Accent3 5 4 4 3" xfId="42149"/>
    <cellStyle name="40% - Accent3 5 4 5" xfId="15646"/>
    <cellStyle name="40% - Accent3 5 4 5 2" xfId="44507"/>
    <cellStyle name="40% - Accent3 5 4 6" xfId="29871"/>
    <cellStyle name="40% - Accent3 5 5" xfId="1215"/>
    <cellStyle name="40% - Accent3 5 5 2" xfId="4102"/>
    <cellStyle name="40% - Accent3 5 5 2 2" xfId="10143"/>
    <cellStyle name="40% - Accent3 5 5 2 2 2" xfId="27190"/>
    <cellStyle name="40% - Accent3 5 5 2 2 2 2" xfId="56051"/>
    <cellStyle name="40% - Accent3 5 5 2 2 3" xfId="39004"/>
    <cellStyle name="40% - Accent3 5 5 2 3" xfId="21212"/>
    <cellStyle name="40% - Accent3 5 5 2 3 2" xfId="50073"/>
    <cellStyle name="40% - Accent3 5 5 2 4" xfId="32963"/>
    <cellStyle name="40% - Accent3 5 5 3" xfId="7257"/>
    <cellStyle name="40% - Accent3 5 5 3 2" xfId="24304"/>
    <cellStyle name="40% - Accent3 5 5 3 2 2" xfId="53165"/>
    <cellStyle name="40% - Accent3 5 5 3 3" xfId="36118"/>
    <cellStyle name="40% - Accent3 5 5 4" xfId="14187"/>
    <cellStyle name="40% - Accent3 5 5 4 2" xfId="18532"/>
    <cellStyle name="40% - Accent3 5 5 4 2 2" xfId="47393"/>
    <cellStyle name="40% - Accent3 5 5 4 3" xfId="43048"/>
    <cellStyle name="40% - Accent3 5 5 5" xfId="15852"/>
    <cellStyle name="40% - Accent3 5 5 5 2" xfId="44713"/>
    <cellStyle name="40% - Accent3 5 5 6" xfId="30077"/>
    <cellStyle name="40% - Accent3 5 6" xfId="1421"/>
    <cellStyle name="40% - Accent3 5 6 2" xfId="4308"/>
    <cellStyle name="40% - Accent3 5 6 2 2" xfId="10349"/>
    <cellStyle name="40% - Accent3 5 6 2 2 2" xfId="27396"/>
    <cellStyle name="40% - Accent3 5 6 2 2 2 2" xfId="56257"/>
    <cellStyle name="40% - Accent3 5 6 2 2 3" xfId="39210"/>
    <cellStyle name="40% - Accent3 5 6 2 3" xfId="21418"/>
    <cellStyle name="40% - Accent3 5 6 2 3 2" xfId="50279"/>
    <cellStyle name="40% - Accent3 5 6 2 4" xfId="33169"/>
    <cellStyle name="40% - Accent3 5 6 3" xfId="7463"/>
    <cellStyle name="40% - Accent3 5 6 3 2" xfId="24510"/>
    <cellStyle name="40% - Accent3 5 6 3 2 2" xfId="53371"/>
    <cellStyle name="40% - Accent3 5 6 3 3" xfId="36324"/>
    <cellStyle name="40% - Accent3 5 6 4" xfId="13343"/>
    <cellStyle name="40% - Accent3 5 6 4 2" xfId="18738"/>
    <cellStyle name="40% - Accent3 5 6 4 2 2" xfId="47599"/>
    <cellStyle name="40% - Accent3 5 6 4 3" xfId="42204"/>
    <cellStyle name="40% - Accent3 5 6 5" xfId="16058"/>
    <cellStyle name="40% - Accent3 5 6 5 2" xfId="44919"/>
    <cellStyle name="40% - Accent3 5 6 6" xfId="30283"/>
    <cellStyle name="40% - Accent3 5 7" xfId="1627"/>
    <cellStyle name="40% - Accent3 5 7 2" xfId="4514"/>
    <cellStyle name="40% - Accent3 5 7 2 2" xfId="10555"/>
    <cellStyle name="40% - Accent3 5 7 2 2 2" xfId="27602"/>
    <cellStyle name="40% - Accent3 5 7 2 2 2 2" xfId="56463"/>
    <cellStyle name="40% - Accent3 5 7 2 2 3" xfId="39416"/>
    <cellStyle name="40% - Accent3 5 7 2 3" xfId="21624"/>
    <cellStyle name="40% - Accent3 5 7 2 3 2" xfId="50485"/>
    <cellStyle name="40% - Accent3 5 7 2 4" xfId="33375"/>
    <cellStyle name="40% - Accent3 5 7 3" xfId="7669"/>
    <cellStyle name="40% - Accent3 5 7 3 2" xfId="24716"/>
    <cellStyle name="40% - Accent3 5 7 3 2 2" xfId="53577"/>
    <cellStyle name="40% - Accent3 5 7 3 3" xfId="36530"/>
    <cellStyle name="40% - Accent3 5 7 4" xfId="14066"/>
    <cellStyle name="40% - Accent3 5 7 4 2" xfId="18944"/>
    <cellStyle name="40% - Accent3 5 7 4 2 2" xfId="47805"/>
    <cellStyle name="40% - Accent3 5 7 4 3" xfId="42927"/>
    <cellStyle name="40% - Accent3 5 7 5" xfId="16264"/>
    <cellStyle name="40% - Accent3 5 7 5 2" xfId="45125"/>
    <cellStyle name="40% - Accent3 5 7 6" xfId="30489"/>
    <cellStyle name="40% - Accent3 5 8" xfId="1833"/>
    <cellStyle name="40% - Accent3 5 8 2" xfId="4720"/>
    <cellStyle name="40% - Accent3 5 8 2 2" xfId="10761"/>
    <cellStyle name="40% - Accent3 5 8 2 2 2" xfId="27808"/>
    <cellStyle name="40% - Accent3 5 8 2 2 2 2" xfId="56669"/>
    <cellStyle name="40% - Accent3 5 8 2 2 3" xfId="39622"/>
    <cellStyle name="40% - Accent3 5 8 2 3" xfId="21830"/>
    <cellStyle name="40% - Accent3 5 8 2 3 2" xfId="50691"/>
    <cellStyle name="40% - Accent3 5 8 2 4" xfId="33581"/>
    <cellStyle name="40% - Accent3 5 8 3" xfId="7875"/>
    <cellStyle name="40% - Accent3 5 8 3 2" xfId="24922"/>
    <cellStyle name="40% - Accent3 5 8 3 2 2" xfId="53783"/>
    <cellStyle name="40% - Accent3 5 8 3 3" xfId="36736"/>
    <cellStyle name="40% - Accent3 5 8 4" xfId="12840"/>
    <cellStyle name="40% - Accent3 5 8 4 2" xfId="19150"/>
    <cellStyle name="40% - Accent3 5 8 4 2 2" xfId="48011"/>
    <cellStyle name="40% - Accent3 5 8 4 3" xfId="41701"/>
    <cellStyle name="40% - Accent3 5 8 5" xfId="16470"/>
    <cellStyle name="40% - Accent3 5 8 5 2" xfId="45331"/>
    <cellStyle name="40% - Accent3 5 8 6" xfId="30695"/>
    <cellStyle name="40% - Accent3 5 9" xfId="2039"/>
    <cellStyle name="40% - Accent3 5 9 2" xfId="4926"/>
    <cellStyle name="40% - Accent3 5 9 2 2" xfId="10967"/>
    <cellStyle name="40% - Accent3 5 9 2 2 2" xfId="28014"/>
    <cellStyle name="40% - Accent3 5 9 2 2 2 2" xfId="56875"/>
    <cellStyle name="40% - Accent3 5 9 2 2 3" xfId="39828"/>
    <cellStyle name="40% - Accent3 5 9 2 3" xfId="22036"/>
    <cellStyle name="40% - Accent3 5 9 2 3 2" xfId="50897"/>
    <cellStyle name="40% - Accent3 5 9 2 4" xfId="33787"/>
    <cellStyle name="40% - Accent3 5 9 3" xfId="8081"/>
    <cellStyle name="40% - Accent3 5 9 3 2" xfId="25128"/>
    <cellStyle name="40% - Accent3 5 9 3 2 2" xfId="53989"/>
    <cellStyle name="40% - Accent3 5 9 3 3" xfId="36942"/>
    <cellStyle name="40% - Accent3 5 9 4" xfId="12780"/>
    <cellStyle name="40% - Accent3 5 9 4 2" xfId="19356"/>
    <cellStyle name="40% - Accent3 5 9 4 2 2" xfId="48217"/>
    <cellStyle name="40% - Accent3 5 9 4 3" xfId="41641"/>
    <cellStyle name="40% - Accent3 5 9 5" xfId="16676"/>
    <cellStyle name="40% - Accent3 5 9 5 2" xfId="45537"/>
    <cellStyle name="40% - Accent3 5 9 6" xfId="30901"/>
    <cellStyle name="40% - Accent3 6" xfId="185"/>
    <cellStyle name="40% - Accent3 6 2" xfId="597"/>
    <cellStyle name="40% - Accent3 6 2 2" xfId="3484"/>
    <cellStyle name="40% - Accent3 6 2 2 2" xfId="9525"/>
    <cellStyle name="40% - Accent3 6 2 2 2 2" xfId="26572"/>
    <cellStyle name="40% - Accent3 6 2 2 2 2 2" xfId="55433"/>
    <cellStyle name="40% - Accent3 6 2 2 2 3" xfId="38386"/>
    <cellStyle name="40% - Accent3 6 2 2 3" xfId="20594"/>
    <cellStyle name="40% - Accent3 6 2 2 3 2" xfId="49455"/>
    <cellStyle name="40% - Accent3 6 2 2 4" xfId="32345"/>
    <cellStyle name="40% - Accent3 6 2 3" xfId="6639"/>
    <cellStyle name="40% - Accent3 6 2 3 2" xfId="23686"/>
    <cellStyle name="40% - Accent3 6 2 3 2 2" xfId="52547"/>
    <cellStyle name="40% - Accent3 6 2 3 3" xfId="35500"/>
    <cellStyle name="40% - Accent3 6 2 4" xfId="13989"/>
    <cellStyle name="40% - Accent3 6 2 4 2" xfId="17914"/>
    <cellStyle name="40% - Accent3 6 2 4 2 2" xfId="46775"/>
    <cellStyle name="40% - Accent3 6 2 4 3" xfId="42850"/>
    <cellStyle name="40% - Accent3 6 2 5" xfId="15234"/>
    <cellStyle name="40% - Accent3 6 2 5 2" xfId="44095"/>
    <cellStyle name="40% - Accent3 6 2 6" xfId="29459"/>
    <cellStyle name="40% - Accent3 6 3" xfId="2142"/>
    <cellStyle name="40% - Accent3 6 3 2" xfId="5029"/>
    <cellStyle name="40% - Accent3 6 3 2 2" xfId="11070"/>
    <cellStyle name="40% - Accent3 6 3 2 2 2" xfId="28117"/>
    <cellStyle name="40% - Accent3 6 3 2 2 2 2" xfId="56978"/>
    <cellStyle name="40% - Accent3 6 3 2 2 3" xfId="39931"/>
    <cellStyle name="40% - Accent3 6 3 2 3" xfId="22139"/>
    <cellStyle name="40% - Accent3 6 3 2 3 2" xfId="51000"/>
    <cellStyle name="40% - Accent3 6 3 2 4" xfId="33890"/>
    <cellStyle name="40% - Accent3 6 3 3" xfId="8184"/>
    <cellStyle name="40% - Accent3 6 3 3 2" xfId="25231"/>
    <cellStyle name="40% - Accent3 6 3 3 2 2" xfId="54092"/>
    <cellStyle name="40% - Accent3 6 3 3 3" xfId="37045"/>
    <cellStyle name="40% - Accent3 6 3 4" xfId="12454"/>
    <cellStyle name="40% - Accent3 6 3 4 2" xfId="19459"/>
    <cellStyle name="40% - Accent3 6 3 4 2 2" xfId="48320"/>
    <cellStyle name="40% - Accent3 6 3 4 3" xfId="41315"/>
    <cellStyle name="40% - Accent3 6 3 5" xfId="16779"/>
    <cellStyle name="40% - Accent3 6 3 5 2" xfId="45640"/>
    <cellStyle name="40% - Accent3 6 3 6" xfId="31004"/>
    <cellStyle name="40% - Accent3 6 4" xfId="3072"/>
    <cellStyle name="40% - Accent3 6 4 2" xfId="9113"/>
    <cellStyle name="40% - Accent3 6 4 2 2" xfId="26160"/>
    <cellStyle name="40% - Accent3 6 4 2 2 2" xfId="55021"/>
    <cellStyle name="40% - Accent3 6 4 2 3" xfId="37974"/>
    <cellStyle name="40% - Accent3 6 4 3" xfId="20182"/>
    <cellStyle name="40% - Accent3 6 4 3 2" xfId="49043"/>
    <cellStyle name="40% - Accent3 6 4 4" xfId="31933"/>
    <cellStyle name="40% - Accent3 6 5" xfId="6227"/>
    <cellStyle name="40% - Accent3 6 5 2" xfId="23274"/>
    <cellStyle name="40% - Accent3 6 5 2 2" xfId="52135"/>
    <cellStyle name="40% - Accent3 6 5 3" xfId="35088"/>
    <cellStyle name="40% - Accent3 6 6" xfId="12536"/>
    <cellStyle name="40% - Accent3 6 6 2" xfId="17605"/>
    <cellStyle name="40% - Accent3 6 6 2 2" xfId="46466"/>
    <cellStyle name="40% - Accent3 6 6 3" xfId="41397"/>
    <cellStyle name="40% - Accent3 6 7" xfId="14822"/>
    <cellStyle name="40% - Accent3 6 7 2" xfId="43683"/>
    <cellStyle name="40% - Accent3 6 8" xfId="29047"/>
    <cellStyle name="40% - Accent3 7" xfId="391"/>
    <cellStyle name="40% - Accent3 7 2" xfId="3278"/>
    <cellStyle name="40% - Accent3 7 2 2" xfId="9319"/>
    <cellStyle name="40% - Accent3 7 2 2 2" xfId="26366"/>
    <cellStyle name="40% - Accent3 7 2 2 2 2" xfId="55227"/>
    <cellStyle name="40% - Accent3 7 2 2 3" xfId="38180"/>
    <cellStyle name="40% - Accent3 7 2 3" xfId="20388"/>
    <cellStyle name="40% - Accent3 7 2 3 2" xfId="49249"/>
    <cellStyle name="40% - Accent3 7 2 4" xfId="32139"/>
    <cellStyle name="40% - Accent3 7 3" xfId="6433"/>
    <cellStyle name="40% - Accent3 7 3 2" xfId="23480"/>
    <cellStyle name="40% - Accent3 7 3 2 2" xfId="52341"/>
    <cellStyle name="40% - Accent3 7 3 3" xfId="35294"/>
    <cellStyle name="40% - Accent3 7 4" xfId="12289"/>
    <cellStyle name="40% - Accent3 7 4 2" xfId="17708"/>
    <cellStyle name="40% - Accent3 7 4 2 2" xfId="46569"/>
    <cellStyle name="40% - Accent3 7 4 3" xfId="41150"/>
    <cellStyle name="40% - Accent3 7 5" xfId="15028"/>
    <cellStyle name="40% - Accent3 7 5 2" xfId="43889"/>
    <cellStyle name="40% - Accent3 7 6" xfId="29253"/>
    <cellStyle name="40% - Accent3 8" xfId="700"/>
    <cellStyle name="40% - Accent3 8 2" xfId="3587"/>
    <cellStyle name="40% - Accent3 8 2 2" xfId="9628"/>
    <cellStyle name="40% - Accent3 8 2 2 2" xfId="26675"/>
    <cellStyle name="40% - Accent3 8 2 2 2 2" xfId="55536"/>
    <cellStyle name="40% - Accent3 8 2 2 3" xfId="38489"/>
    <cellStyle name="40% - Accent3 8 2 3" xfId="20697"/>
    <cellStyle name="40% - Accent3 8 2 3 2" xfId="49558"/>
    <cellStyle name="40% - Accent3 8 2 4" xfId="32448"/>
    <cellStyle name="40% - Accent3 8 3" xfId="6742"/>
    <cellStyle name="40% - Accent3 8 3 2" xfId="23789"/>
    <cellStyle name="40% - Accent3 8 3 2 2" xfId="52650"/>
    <cellStyle name="40% - Accent3 8 3 3" xfId="35603"/>
    <cellStyle name="40% - Accent3 8 4" xfId="11942"/>
    <cellStyle name="40% - Accent3 8 4 2" xfId="18017"/>
    <cellStyle name="40% - Accent3 8 4 2 2" xfId="46878"/>
    <cellStyle name="40% - Accent3 8 4 3" xfId="40803"/>
    <cellStyle name="40% - Accent3 8 5" xfId="15337"/>
    <cellStyle name="40% - Accent3 8 5 2" xfId="44198"/>
    <cellStyle name="40% - Accent3 8 6" xfId="29562"/>
    <cellStyle name="40% - Accent3 9" xfId="906"/>
    <cellStyle name="40% - Accent3 9 2" xfId="3793"/>
    <cellStyle name="40% - Accent3 9 2 2" xfId="9834"/>
    <cellStyle name="40% - Accent3 9 2 2 2" xfId="26881"/>
    <cellStyle name="40% - Accent3 9 2 2 2 2" xfId="55742"/>
    <cellStyle name="40% - Accent3 9 2 2 3" xfId="38695"/>
    <cellStyle name="40% - Accent3 9 2 3" xfId="20903"/>
    <cellStyle name="40% - Accent3 9 2 3 2" xfId="49764"/>
    <cellStyle name="40% - Accent3 9 2 4" xfId="32654"/>
    <cellStyle name="40% - Accent3 9 3" xfId="6948"/>
    <cellStyle name="40% - Accent3 9 3 2" xfId="23995"/>
    <cellStyle name="40% - Accent3 9 3 2 2" xfId="52856"/>
    <cellStyle name="40% - Accent3 9 3 3" xfId="35809"/>
    <cellStyle name="40% - Accent3 9 4" xfId="12865"/>
    <cellStyle name="40% - Accent3 9 4 2" xfId="18223"/>
    <cellStyle name="40% - Accent3 9 4 2 2" xfId="47084"/>
    <cellStyle name="40% - Accent3 9 4 3" xfId="41726"/>
    <cellStyle name="40% - Accent3 9 5" xfId="15543"/>
    <cellStyle name="40% - Accent3 9 5 2" xfId="44404"/>
    <cellStyle name="40% - Accent3 9 6" xfId="29768"/>
    <cellStyle name="40% - Accent4" xfId="79" builtinId="43" customBuiltin="1"/>
    <cellStyle name="40% - Accent4 10" xfId="1114"/>
    <cellStyle name="40% - Accent4 10 2" xfId="4001"/>
    <cellStyle name="40% - Accent4 10 2 2" xfId="10042"/>
    <cellStyle name="40% - Accent4 10 2 2 2" xfId="27089"/>
    <cellStyle name="40% - Accent4 10 2 2 2 2" xfId="55950"/>
    <cellStyle name="40% - Accent4 10 2 2 3" xfId="38903"/>
    <cellStyle name="40% - Accent4 10 2 3" xfId="21111"/>
    <cellStyle name="40% - Accent4 10 2 3 2" xfId="49972"/>
    <cellStyle name="40% - Accent4 10 2 4" xfId="32862"/>
    <cellStyle name="40% - Accent4 10 3" xfId="7156"/>
    <cellStyle name="40% - Accent4 10 3 2" xfId="24203"/>
    <cellStyle name="40% - Accent4 10 3 2 2" xfId="53064"/>
    <cellStyle name="40% - Accent4 10 3 3" xfId="36017"/>
    <cellStyle name="40% - Accent4 10 4" xfId="14416"/>
    <cellStyle name="40% - Accent4 10 4 2" xfId="18431"/>
    <cellStyle name="40% - Accent4 10 4 2 2" xfId="47292"/>
    <cellStyle name="40% - Accent4 10 4 3" xfId="43277"/>
    <cellStyle name="40% - Accent4 10 5" xfId="15751"/>
    <cellStyle name="40% - Accent4 10 5 2" xfId="44612"/>
    <cellStyle name="40% - Accent4 10 6" xfId="29976"/>
    <cellStyle name="40% - Accent4 11" xfId="1320"/>
    <cellStyle name="40% - Accent4 11 2" xfId="4207"/>
    <cellStyle name="40% - Accent4 11 2 2" xfId="10248"/>
    <cellStyle name="40% - Accent4 11 2 2 2" xfId="27295"/>
    <cellStyle name="40% - Accent4 11 2 2 2 2" xfId="56156"/>
    <cellStyle name="40% - Accent4 11 2 2 3" xfId="39109"/>
    <cellStyle name="40% - Accent4 11 2 3" xfId="21317"/>
    <cellStyle name="40% - Accent4 11 2 3 2" xfId="50178"/>
    <cellStyle name="40% - Accent4 11 2 4" xfId="33068"/>
    <cellStyle name="40% - Accent4 11 3" xfId="7362"/>
    <cellStyle name="40% - Accent4 11 3 2" xfId="24409"/>
    <cellStyle name="40% - Accent4 11 3 2 2" xfId="53270"/>
    <cellStyle name="40% - Accent4 11 3 3" xfId="36223"/>
    <cellStyle name="40% - Accent4 11 4" xfId="12517"/>
    <cellStyle name="40% - Accent4 11 4 2" xfId="18637"/>
    <cellStyle name="40% - Accent4 11 4 2 2" xfId="47498"/>
    <cellStyle name="40% - Accent4 11 4 3" xfId="41378"/>
    <cellStyle name="40% - Accent4 11 5" xfId="15957"/>
    <cellStyle name="40% - Accent4 11 5 2" xfId="44818"/>
    <cellStyle name="40% - Accent4 11 6" xfId="30182"/>
    <cellStyle name="40% - Accent4 12" xfId="1526"/>
    <cellStyle name="40% - Accent4 12 2" xfId="4413"/>
    <cellStyle name="40% - Accent4 12 2 2" xfId="10454"/>
    <cellStyle name="40% - Accent4 12 2 2 2" xfId="27501"/>
    <cellStyle name="40% - Accent4 12 2 2 2 2" xfId="56362"/>
    <cellStyle name="40% - Accent4 12 2 2 3" xfId="39315"/>
    <cellStyle name="40% - Accent4 12 2 3" xfId="21523"/>
    <cellStyle name="40% - Accent4 12 2 3 2" xfId="50384"/>
    <cellStyle name="40% - Accent4 12 2 4" xfId="33274"/>
    <cellStyle name="40% - Accent4 12 3" xfId="7568"/>
    <cellStyle name="40% - Accent4 12 3 2" xfId="24615"/>
    <cellStyle name="40% - Accent4 12 3 2 2" xfId="53476"/>
    <cellStyle name="40% - Accent4 12 3 3" xfId="36429"/>
    <cellStyle name="40% - Accent4 12 4" xfId="13377"/>
    <cellStyle name="40% - Accent4 12 4 2" xfId="18843"/>
    <cellStyle name="40% - Accent4 12 4 2 2" xfId="47704"/>
    <cellStyle name="40% - Accent4 12 4 3" xfId="42238"/>
    <cellStyle name="40% - Accent4 12 5" xfId="16163"/>
    <cellStyle name="40% - Accent4 12 5 2" xfId="45024"/>
    <cellStyle name="40% - Accent4 12 6" xfId="30388"/>
    <cellStyle name="40% - Accent4 13" xfId="1732"/>
    <cellStyle name="40% - Accent4 13 2" xfId="4619"/>
    <cellStyle name="40% - Accent4 13 2 2" xfId="10660"/>
    <cellStyle name="40% - Accent4 13 2 2 2" xfId="27707"/>
    <cellStyle name="40% - Accent4 13 2 2 2 2" xfId="56568"/>
    <cellStyle name="40% - Accent4 13 2 2 3" xfId="39521"/>
    <cellStyle name="40% - Accent4 13 2 3" xfId="21729"/>
    <cellStyle name="40% - Accent4 13 2 3 2" xfId="50590"/>
    <cellStyle name="40% - Accent4 13 2 4" xfId="33480"/>
    <cellStyle name="40% - Accent4 13 3" xfId="7774"/>
    <cellStyle name="40% - Accent4 13 3 2" xfId="24821"/>
    <cellStyle name="40% - Accent4 13 3 2 2" xfId="53682"/>
    <cellStyle name="40% - Accent4 13 3 3" xfId="36635"/>
    <cellStyle name="40% - Accent4 13 4" xfId="13050"/>
    <cellStyle name="40% - Accent4 13 4 2" xfId="19049"/>
    <cellStyle name="40% - Accent4 13 4 2 2" xfId="47910"/>
    <cellStyle name="40% - Accent4 13 4 3" xfId="41911"/>
    <cellStyle name="40% - Accent4 13 5" xfId="16369"/>
    <cellStyle name="40% - Accent4 13 5 2" xfId="45230"/>
    <cellStyle name="40% - Accent4 13 6" xfId="30594"/>
    <cellStyle name="40% - Accent4 14" xfId="1938"/>
    <cellStyle name="40% - Accent4 14 2" xfId="4825"/>
    <cellStyle name="40% - Accent4 14 2 2" xfId="10866"/>
    <cellStyle name="40% - Accent4 14 2 2 2" xfId="27913"/>
    <cellStyle name="40% - Accent4 14 2 2 2 2" xfId="56774"/>
    <cellStyle name="40% - Accent4 14 2 2 3" xfId="39727"/>
    <cellStyle name="40% - Accent4 14 2 3" xfId="21935"/>
    <cellStyle name="40% - Accent4 14 2 3 2" xfId="50796"/>
    <cellStyle name="40% - Accent4 14 2 4" xfId="33686"/>
    <cellStyle name="40% - Accent4 14 3" xfId="7980"/>
    <cellStyle name="40% - Accent4 14 3 2" xfId="25027"/>
    <cellStyle name="40% - Accent4 14 3 2 2" xfId="53888"/>
    <cellStyle name="40% - Accent4 14 3 3" xfId="36841"/>
    <cellStyle name="40% - Accent4 14 4" xfId="12912"/>
    <cellStyle name="40% - Accent4 14 4 2" xfId="19255"/>
    <cellStyle name="40% - Accent4 14 4 2 2" xfId="48116"/>
    <cellStyle name="40% - Accent4 14 4 3" xfId="41773"/>
    <cellStyle name="40% - Accent4 14 5" xfId="16575"/>
    <cellStyle name="40% - Accent4 14 5 2" xfId="45436"/>
    <cellStyle name="40% - Accent4 14 6" xfId="30800"/>
    <cellStyle name="40% - Accent4 15" xfId="2350"/>
    <cellStyle name="40% - Accent4 15 2" xfId="5237"/>
    <cellStyle name="40% - Accent4 15 2 2" xfId="11278"/>
    <cellStyle name="40% - Accent4 15 2 2 2" xfId="28325"/>
    <cellStyle name="40% - Accent4 15 2 2 2 2" xfId="57186"/>
    <cellStyle name="40% - Accent4 15 2 2 3" xfId="40139"/>
    <cellStyle name="40% - Accent4 15 2 3" xfId="22347"/>
    <cellStyle name="40% - Accent4 15 2 3 2" xfId="51208"/>
    <cellStyle name="40% - Accent4 15 2 4" xfId="34098"/>
    <cellStyle name="40% - Accent4 15 3" xfId="8392"/>
    <cellStyle name="40% - Accent4 15 3 2" xfId="25439"/>
    <cellStyle name="40% - Accent4 15 3 2 2" xfId="54300"/>
    <cellStyle name="40% - Accent4 15 3 3" xfId="37253"/>
    <cellStyle name="40% - Accent4 15 4" xfId="13203"/>
    <cellStyle name="40% - Accent4 15 4 2" xfId="19667"/>
    <cellStyle name="40% - Accent4 15 4 2 2" xfId="48528"/>
    <cellStyle name="40% - Accent4 15 4 3" xfId="42064"/>
    <cellStyle name="40% - Accent4 15 5" xfId="16987"/>
    <cellStyle name="40% - Accent4 15 5 2" xfId="45848"/>
    <cellStyle name="40% - Accent4 15 6" xfId="31212"/>
    <cellStyle name="40% - Accent4 16" xfId="2559"/>
    <cellStyle name="40% - Accent4 16 2" xfId="5445"/>
    <cellStyle name="40% - Accent4 16 2 2" xfId="11486"/>
    <cellStyle name="40% - Accent4 16 2 2 2" xfId="28533"/>
    <cellStyle name="40% - Accent4 16 2 2 2 2" xfId="57394"/>
    <cellStyle name="40% - Accent4 16 2 2 3" xfId="40347"/>
    <cellStyle name="40% - Accent4 16 2 3" xfId="22555"/>
    <cellStyle name="40% - Accent4 16 2 3 2" xfId="51416"/>
    <cellStyle name="40% - Accent4 16 2 4" xfId="34306"/>
    <cellStyle name="40% - Accent4 16 3" xfId="8600"/>
    <cellStyle name="40% - Accent4 16 3 2" xfId="25647"/>
    <cellStyle name="40% - Accent4 16 3 2 2" xfId="54508"/>
    <cellStyle name="40% - Accent4 16 3 3" xfId="37461"/>
    <cellStyle name="40% - Accent4 16 4" xfId="11905"/>
    <cellStyle name="40% - Accent4 16 4 2" xfId="19875"/>
    <cellStyle name="40% - Accent4 16 4 2 2" xfId="48736"/>
    <cellStyle name="40% - Accent4 16 4 3" xfId="40766"/>
    <cellStyle name="40% - Accent4 16 5" xfId="17195"/>
    <cellStyle name="40% - Accent4 16 5 2" xfId="46056"/>
    <cellStyle name="40% - Accent4 16 6" xfId="31420"/>
    <cellStyle name="40% - Accent4 17" xfId="2971"/>
    <cellStyle name="40% - Accent4 17 2" xfId="9012"/>
    <cellStyle name="40% - Accent4 17 2 2" xfId="26059"/>
    <cellStyle name="40% - Accent4 17 2 2 2" xfId="54920"/>
    <cellStyle name="40% - Accent4 17 2 3" xfId="37873"/>
    <cellStyle name="40% - Accent4 17 3" xfId="13175"/>
    <cellStyle name="40% - Accent4 17 3 2" xfId="20081"/>
    <cellStyle name="40% - Accent4 17 3 2 2" xfId="48942"/>
    <cellStyle name="40% - Accent4 17 3 3" xfId="42036"/>
    <cellStyle name="40% - Accent4 17 4" xfId="14721"/>
    <cellStyle name="40% - Accent4 17 4 2" xfId="43582"/>
    <cellStyle name="40% - Accent4 17 5" xfId="31832"/>
    <cellStyle name="40% - Accent4 18" xfId="2765"/>
    <cellStyle name="40% - Accent4 18 2" xfId="8806"/>
    <cellStyle name="40% - Accent4 18 2 2" xfId="25853"/>
    <cellStyle name="40% - Accent4 18 2 2 2" xfId="54714"/>
    <cellStyle name="40% - Accent4 18 2 3" xfId="37667"/>
    <cellStyle name="40% - Accent4 18 3" xfId="17401"/>
    <cellStyle name="40% - Accent4 18 3 2" xfId="46262"/>
    <cellStyle name="40% - Accent4 18 4" xfId="31626"/>
    <cellStyle name="40% - Accent4 19" xfId="5651"/>
    <cellStyle name="40% - Accent4 19 2" xfId="11692"/>
    <cellStyle name="40% - Accent4 19 2 2" xfId="28739"/>
    <cellStyle name="40% - Accent4 19 2 2 2" xfId="57600"/>
    <cellStyle name="40% - Accent4 19 2 3" xfId="40553"/>
    <cellStyle name="40% - Accent4 19 3" xfId="22761"/>
    <cellStyle name="40% - Accent4 19 3 2" xfId="51622"/>
    <cellStyle name="40% - Accent4 19 4" xfId="34512"/>
    <cellStyle name="40% - Accent4 2" xfId="98"/>
    <cellStyle name="40% - Accent4 2 10" xfId="1334"/>
    <cellStyle name="40% - Accent4 2 10 2" xfId="4221"/>
    <cellStyle name="40% - Accent4 2 10 2 2" xfId="10262"/>
    <cellStyle name="40% - Accent4 2 10 2 2 2" xfId="27309"/>
    <cellStyle name="40% - Accent4 2 10 2 2 2 2" xfId="56170"/>
    <cellStyle name="40% - Accent4 2 10 2 2 3" xfId="39123"/>
    <cellStyle name="40% - Accent4 2 10 2 3" xfId="21331"/>
    <cellStyle name="40% - Accent4 2 10 2 3 2" xfId="50192"/>
    <cellStyle name="40% - Accent4 2 10 2 4" xfId="33082"/>
    <cellStyle name="40% - Accent4 2 10 3" xfId="7376"/>
    <cellStyle name="40% - Accent4 2 10 3 2" xfId="24423"/>
    <cellStyle name="40% - Accent4 2 10 3 2 2" xfId="53284"/>
    <cellStyle name="40% - Accent4 2 10 3 3" xfId="36237"/>
    <cellStyle name="40% - Accent4 2 10 4" xfId="14162"/>
    <cellStyle name="40% - Accent4 2 10 4 2" xfId="18651"/>
    <cellStyle name="40% - Accent4 2 10 4 2 2" xfId="47512"/>
    <cellStyle name="40% - Accent4 2 10 4 3" xfId="43023"/>
    <cellStyle name="40% - Accent4 2 10 5" xfId="15971"/>
    <cellStyle name="40% - Accent4 2 10 5 2" xfId="44832"/>
    <cellStyle name="40% - Accent4 2 10 6" xfId="30196"/>
    <cellStyle name="40% - Accent4 2 11" xfId="1540"/>
    <cellStyle name="40% - Accent4 2 11 2" xfId="4427"/>
    <cellStyle name="40% - Accent4 2 11 2 2" xfId="10468"/>
    <cellStyle name="40% - Accent4 2 11 2 2 2" xfId="27515"/>
    <cellStyle name="40% - Accent4 2 11 2 2 2 2" xfId="56376"/>
    <cellStyle name="40% - Accent4 2 11 2 2 3" xfId="39329"/>
    <cellStyle name="40% - Accent4 2 11 2 3" xfId="21537"/>
    <cellStyle name="40% - Accent4 2 11 2 3 2" xfId="50398"/>
    <cellStyle name="40% - Accent4 2 11 2 4" xfId="33288"/>
    <cellStyle name="40% - Accent4 2 11 3" xfId="7582"/>
    <cellStyle name="40% - Accent4 2 11 3 2" xfId="24629"/>
    <cellStyle name="40% - Accent4 2 11 3 2 2" xfId="53490"/>
    <cellStyle name="40% - Accent4 2 11 3 3" xfId="36443"/>
    <cellStyle name="40% - Accent4 2 11 4" xfId="6067"/>
    <cellStyle name="40% - Accent4 2 11 4 2" xfId="18857"/>
    <cellStyle name="40% - Accent4 2 11 4 2 2" xfId="47718"/>
    <cellStyle name="40% - Accent4 2 11 4 3" xfId="34928"/>
    <cellStyle name="40% - Accent4 2 11 5" xfId="16177"/>
    <cellStyle name="40% - Accent4 2 11 5 2" xfId="45038"/>
    <cellStyle name="40% - Accent4 2 11 6" xfId="30402"/>
    <cellStyle name="40% - Accent4 2 12" xfId="1746"/>
    <cellStyle name="40% - Accent4 2 12 2" xfId="4633"/>
    <cellStyle name="40% - Accent4 2 12 2 2" xfId="10674"/>
    <cellStyle name="40% - Accent4 2 12 2 2 2" xfId="27721"/>
    <cellStyle name="40% - Accent4 2 12 2 2 2 2" xfId="56582"/>
    <cellStyle name="40% - Accent4 2 12 2 2 3" xfId="39535"/>
    <cellStyle name="40% - Accent4 2 12 2 3" xfId="21743"/>
    <cellStyle name="40% - Accent4 2 12 2 3 2" xfId="50604"/>
    <cellStyle name="40% - Accent4 2 12 2 4" xfId="33494"/>
    <cellStyle name="40% - Accent4 2 12 3" xfId="7788"/>
    <cellStyle name="40% - Accent4 2 12 3 2" xfId="24835"/>
    <cellStyle name="40% - Accent4 2 12 3 2 2" xfId="53696"/>
    <cellStyle name="40% - Accent4 2 12 3 3" xfId="36649"/>
    <cellStyle name="40% - Accent4 2 12 4" xfId="13914"/>
    <cellStyle name="40% - Accent4 2 12 4 2" xfId="19063"/>
    <cellStyle name="40% - Accent4 2 12 4 2 2" xfId="47924"/>
    <cellStyle name="40% - Accent4 2 12 4 3" xfId="42775"/>
    <cellStyle name="40% - Accent4 2 12 5" xfId="16383"/>
    <cellStyle name="40% - Accent4 2 12 5 2" xfId="45244"/>
    <cellStyle name="40% - Accent4 2 12 6" xfId="30608"/>
    <cellStyle name="40% - Accent4 2 13" xfId="1952"/>
    <cellStyle name="40% - Accent4 2 13 2" xfId="4839"/>
    <cellStyle name="40% - Accent4 2 13 2 2" xfId="10880"/>
    <cellStyle name="40% - Accent4 2 13 2 2 2" xfId="27927"/>
    <cellStyle name="40% - Accent4 2 13 2 2 2 2" xfId="56788"/>
    <cellStyle name="40% - Accent4 2 13 2 2 3" xfId="39741"/>
    <cellStyle name="40% - Accent4 2 13 2 3" xfId="21949"/>
    <cellStyle name="40% - Accent4 2 13 2 3 2" xfId="50810"/>
    <cellStyle name="40% - Accent4 2 13 2 4" xfId="33700"/>
    <cellStyle name="40% - Accent4 2 13 3" xfId="7994"/>
    <cellStyle name="40% - Accent4 2 13 3 2" xfId="25041"/>
    <cellStyle name="40% - Accent4 2 13 3 2 2" xfId="53902"/>
    <cellStyle name="40% - Accent4 2 13 3 3" xfId="36855"/>
    <cellStyle name="40% - Accent4 2 13 4" xfId="12213"/>
    <cellStyle name="40% - Accent4 2 13 4 2" xfId="19269"/>
    <cellStyle name="40% - Accent4 2 13 4 2 2" xfId="48130"/>
    <cellStyle name="40% - Accent4 2 13 4 3" xfId="41074"/>
    <cellStyle name="40% - Accent4 2 13 5" xfId="16589"/>
    <cellStyle name="40% - Accent4 2 13 5 2" xfId="45450"/>
    <cellStyle name="40% - Accent4 2 13 6" xfId="30814"/>
    <cellStyle name="40% - Accent4 2 14" xfId="2364"/>
    <cellStyle name="40% - Accent4 2 14 2" xfId="5251"/>
    <cellStyle name="40% - Accent4 2 14 2 2" xfId="11292"/>
    <cellStyle name="40% - Accent4 2 14 2 2 2" xfId="28339"/>
    <cellStyle name="40% - Accent4 2 14 2 2 2 2" xfId="57200"/>
    <cellStyle name="40% - Accent4 2 14 2 2 3" xfId="40153"/>
    <cellStyle name="40% - Accent4 2 14 2 3" xfId="22361"/>
    <cellStyle name="40% - Accent4 2 14 2 3 2" xfId="51222"/>
    <cellStyle name="40% - Accent4 2 14 2 4" xfId="34112"/>
    <cellStyle name="40% - Accent4 2 14 3" xfId="8406"/>
    <cellStyle name="40% - Accent4 2 14 3 2" xfId="25453"/>
    <cellStyle name="40% - Accent4 2 14 3 2 2" xfId="54314"/>
    <cellStyle name="40% - Accent4 2 14 3 3" xfId="37267"/>
    <cellStyle name="40% - Accent4 2 14 4" xfId="14490"/>
    <cellStyle name="40% - Accent4 2 14 4 2" xfId="19681"/>
    <cellStyle name="40% - Accent4 2 14 4 2 2" xfId="48542"/>
    <cellStyle name="40% - Accent4 2 14 4 3" xfId="43351"/>
    <cellStyle name="40% - Accent4 2 14 5" xfId="17001"/>
    <cellStyle name="40% - Accent4 2 14 5 2" xfId="45862"/>
    <cellStyle name="40% - Accent4 2 14 6" xfId="31226"/>
    <cellStyle name="40% - Accent4 2 15" xfId="2573"/>
    <cellStyle name="40% - Accent4 2 15 2" xfId="5459"/>
    <cellStyle name="40% - Accent4 2 15 2 2" xfId="11500"/>
    <cellStyle name="40% - Accent4 2 15 2 2 2" xfId="28547"/>
    <cellStyle name="40% - Accent4 2 15 2 2 2 2" xfId="57408"/>
    <cellStyle name="40% - Accent4 2 15 2 2 3" xfId="40361"/>
    <cellStyle name="40% - Accent4 2 15 2 3" xfId="22569"/>
    <cellStyle name="40% - Accent4 2 15 2 3 2" xfId="51430"/>
    <cellStyle name="40% - Accent4 2 15 2 4" xfId="34320"/>
    <cellStyle name="40% - Accent4 2 15 3" xfId="8614"/>
    <cellStyle name="40% - Accent4 2 15 3 2" xfId="25661"/>
    <cellStyle name="40% - Accent4 2 15 3 2 2" xfId="54522"/>
    <cellStyle name="40% - Accent4 2 15 3 3" xfId="37475"/>
    <cellStyle name="40% - Accent4 2 15 4" xfId="14330"/>
    <cellStyle name="40% - Accent4 2 15 4 2" xfId="19889"/>
    <cellStyle name="40% - Accent4 2 15 4 2 2" xfId="48750"/>
    <cellStyle name="40% - Accent4 2 15 4 3" xfId="43191"/>
    <cellStyle name="40% - Accent4 2 15 5" xfId="17209"/>
    <cellStyle name="40% - Accent4 2 15 5 2" xfId="46070"/>
    <cellStyle name="40% - Accent4 2 15 6" xfId="31434"/>
    <cellStyle name="40% - Accent4 2 16" xfId="2985"/>
    <cellStyle name="40% - Accent4 2 16 2" xfId="9026"/>
    <cellStyle name="40% - Accent4 2 16 2 2" xfId="26073"/>
    <cellStyle name="40% - Accent4 2 16 2 2 2" xfId="54934"/>
    <cellStyle name="40% - Accent4 2 16 2 3" xfId="37887"/>
    <cellStyle name="40% - Accent4 2 16 3" xfId="12038"/>
    <cellStyle name="40% - Accent4 2 16 3 2" xfId="20095"/>
    <cellStyle name="40% - Accent4 2 16 3 2 2" xfId="48956"/>
    <cellStyle name="40% - Accent4 2 16 3 3" xfId="40899"/>
    <cellStyle name="40% - Accent4 2 16 4" xfId="14735"/>
    <cellStyle name="40% - Accent4 2 16 4 2" xfId="43596"/>
    <cellStyle name="40% - Accent4 2 16 5" xfId="31846"/>
    <cellStyle name="40% - Accent4 2 17" xfId="2779"/>
    <cellStyle name="40% - Accent4 2 17 2" xfId="8820"/>
    <cellStyle name="40% - Accent4 2 17 2 2" xfId="25867"/>
    <cellStyle name="40% - Accent4 2 17 2 2 2" xfId="54728"/>
    <cellStyle name="40% - Accent4 2 17 2 3" xfId="37681"/>
    <cellStyle name="40% - Accent4 2 17 3" xfId="17415"/>
    <cellStyle name="40% - Accent4 2 17 3 2" xfId="46276"/>
    <cellStyle name="40% - Accent4 2 17 4" xfId="31640"/>
    <cellStyle name="40% - Accent4 2 18" xfId="5665"/>
    <cellStyle name="40% - Accent4 2 18 2" xfId="11706"/>
    <cellStyle name="40% - Accent4 2 18 2 2" xfId="28753"/>
    <cellStyle name="40% - Accent4 2 18 2 2 2" xfId="57614"/>
    <cellStyle name="40% - Accent4 2 18 2 3" xfId="40567"/>
    <cellStyle name="40% - Accent4 2 18 3" xfId="22775"/>
    <cellStyle name="40% - Accent4 2 18 3 2" xfId="51636"/>
    <cellStyle name="40% - Accent4 2 18 4" xfId="34526"/>
    <cellStyle name="40% - Accent4 2 19" xfId="5882"/>
    <cellStyle name="40% - Accent4 2 19 2" xfId="22981"/>
    <cellStyle name="40% - Accent4 2 19 2 2" xfId="51842"/>
    <cellStyle name="40% - Accent4 2 19 3" xfId="34743"/>
    <cellStyle name="40% - Accent4 2 2" xfId="124"/>
    <cellStyle name="40% - Accent4 2 2 10" xfId="1772"/>
    <cellStyle name="40% - Accent4 2 2 10 2" xfId="4659"/>
    <cellStyle name="40% - Accent4 2 2 10 2 2" xfId="10700"/>
    <cellStyle name="40% - Accent4 2 2 10 2 2 2" xfId="27747"/>
    <cellStyle name="40% - Accent4 2 2 10 2 2 2 2" xfId="56608"/>
    <cellStyle name="40% - Accent4 2 2 10 2 2 3" xfId="39561"/>
    <cellStyle name="40% - Accent4 2 2 10 2 3" xfId="21769"/>
    <cellStyle name="40% - Accent4 2 2 10 2 3 2" xfId="50630"/>
    <cellStyle name="40% - Accent4 2 2 10 2 4" xfId="33520"/>
    <cellStyle name="40% - Accent4 2 2 10 3" xfId="7814"/>
    <cellStyle name="40% - Accent4 2 2 10 3 2" xfId="24861"/>
    <cellStyle name="40% - Accent4 2 2 10 3 2 2" xfId="53722"/>
    <cellStyle name="40% - Accent4 2 2 10 3 3" xfId="36675"/>
    <cellStyle name="40% - Accent4 2 2 10 4" xfId="14119"/>
    <cellStyle name="40% - Accent4 2 2 10 4 2" xfId="19089"/>
    <cellStyle name="40% - Accent4 2 2 10 4 2 2" xfId="47950"/>
    <cellStyle name="40% - Accent4 2 2 10 4 3" xfId="42980"/>
    <cellStyle name="40% - Accent4 2 2 10 5" xfId="16409"/>
    <cellStyle name="40% - Accent4 2 2 10 5 2" xfId="45270"/>
    <cellStyle name="40% - Accent4 2 2 10 6" xfId="30634"/>
    <cellStyle name="40% - Accent4 2 2 11" xfId="1978"/>
    <cellStyle name="40% - Accent4 2 2 11 2" xfId="4865"/>
    <cellStyle name="40% - Accent4 2 2 11 2 2" xfId="10906"/>
    <cellStyle name="40% - Accent4 2 2 11 2 2 2" xfId="27953"/>
    <cellStyle name="40% - Accent4 2 2 11 2 2 2 2" xfId="56814"/>
    <cellStyle name="40% - Accent4 2 2 11 2 2 3" xfId="39767"/>
    <cellStyle name="40% - Accent4 2 2 11 2 3" xfId="21975"/>
    <cellStyle name="40% - Accent4 2 2 11 2 3 2" xfId="50836"/>
    <cellStyle name="40% - Accent4 2 2 11 2 4" xfId="33726"/>
    <cellStyle name="40% - Accent4 2 2 11 3" xfId="8020"/>
    <cellStyle name="40% - Accent4 2 2 11 3 2" xfId="25067"/>
    <cellStyle name="40% - Accent4 2 2 11 3 2 2" xfId="53928"/>
    <cellStyle name="40% - Accent4 2 2 11 3 3" xfId="36881"/>
    <cellStyle name="40% - Accent4 2 2 11 4" xfId="14225"/>
    <cellStyle name="40% - Accent4 2 2 11 4 2" xfId="19295"/>
    <cellStyle name="40% - Accent4 2 2 11 4 2 2" xfId="48156"/>
    <cellStyle name="40% - Accent4 2 2 11 4 3" xfId="43086"/>
    <cellStyle name="40% - Accent4 2 2 11 5" xfId="16615"/>
    <cellStyle name="40% - Accent4 2 2 11 5 2" xfId="45476"/>
    <cellStyle name="40% - Accent4 2 2 11 6" xfId="30840"/>
    <cellStyle name="40% - Accent4 2 2 12" xfId="2390"/>
    <cellStyle name="40% - Accent4 2 2 12 2" xfId="5277"/>
    <cellStyle name="40% - Accent4 2 2 12 2 2" xfId="11318"/>
    <cellStyle name="40% - Accent4 2 2 12 2 2 2" xfId="28365"/>
    <cellStyle name="40% - Accent4 2 2 12 2 2 2 2" xfId="57226"/>
    <cellStyle name="40% - Accent4 2 2 12 2 2 3" xfId="40179"/>
    <cellStyle name="40% - Accent4 2 2 12 2 3" xfId="22387"/>
    <cellStyle name="40% - Accent4 2 2 12 2 3 2" xfId="51248"/>
    <cellStyle name="40% - Accent4 2 2 12 2 4" xfId="34138"/>
    <cellStyle name="40% - Accent4 2 2 12 3" xfId="8432"/>
    <cellStyle name="40% - Accent4 2 2 12 3 2" xfId="25479"/>
    <cellStyle name="40% - Accent4 2 2 12 3 2 2" xfId="54340"/>
    <cellStyle name="40% - Accent4 2 2 12 3 3" xfId="37293"/>
    <cellStyle name="40% - Accent4 2 2 12 4" xfId="12148"/>
    <cellStyle name="40% - Accent4 2 2 12 4 2" xfId="19707"/>
    <cellStyle name="40% - Accent4 2 2 12 4 2 2" xfId="48568"/>
    <cellStyle name="40% - Accent4 2 2 12 4 3" xfId="41009"/>
    <cellStyle name="40% - Accent4 2 2 12 5" xfId="17027"/>
    <cellStyle name="40% - Accent4 2 2 12 5 2" xfId="45888"/>
    <cellStyle name="40% - Accent4 2 2 12 6" xfId="31252"/>
    <cellStyle name="40% - Accent4 2 2 13" xfId="2599"/>
    <cellStyle name="40% - Accent4 2 2 13 2" xfId="5485"/>
    <cellStyle name="40% - Accent4 2 2 13 2 2" xfId="11526"/>
    <cellStyle name="40% - Accent4 2 2 13 2 2 2" xfId="28573"/>
    <cellStyle name="40% - Accent4 2 2 13 2 2 2 2" xfId="57434"/>
    <cellStyle name="40% - Accent4 2 2 13 2 2 3" xfId="40387"/>
    <cellStyle name="40% - Accent4 2 2 13 2 3" xfId="22595"/>
    <cellStyle name="40% - Accent4 2 2 13 2 3 2" xfId="51456"/>
    <cellStyle name="40% - Accent4 2 2 13 2 4" xfId="34346"/>
    <cellStyle name="40% - Accent4 2 2 13 3" xfId="8640"/>
    <cellStyle name="40% - Accent4 2 2 13 3 2" xfId="25687"/>
    <cellStyle name="40% - Accent4 2 2 13 3 2 2" xfId="54548"/>
    <cellStyle name="40% - Accent4 2 2 13 3 3" xfId="37501"/>
    <cellStyle name="40% - Accent4 2 2 13 4" xfId="13839"/>
    <cellStyle name="40% - Accent4 2 2 13 4 2" xfId="19915"/>
    <cellStyle name="40% - Accent4 2 2 13 4 2 2" xfId="48776"/>
    <cellStyle name="40% - Accent4 2 2 13 4 3" xfId="42700"/>
    <cellStyle name="40% - Accent4 2 2 13 5" xfId="17235"/>
    <cellStyle name="40% - Accent4 2 2 13 5 2" xfId="46096"/>
    <cellStyle name="40% - Accent4 2 2 13 6" xfId="31460"/>
    <cellStyle name="40% - Accent4 2 2 14" xfId="3011"/>
    <cellStyle name="40% - Accent4 2 2 14 2" xfId="9052"/>
    <cellStyle name="40% - Accent4 2 2 14 2 2" xfId="26099"/>
    <cellStyle name="40% - Accent4 2 2 14 2 2 2" xfId="54960"/>
    <cellStyle name="40% - Accent4 2 2 14 2 3" xfId="37913"/>
    <cellStyle name="40% - Accent4 2 2 14 3" xfId="14136"/>
    <cellStyle name="40% - Accent4 2 2 14 3 2" xfId="20121"/>
    <cellStyle name="40% - Accent4 2 2 14 3 2 2" xfId="48982"/>
    <cellStyle name="40% - Accent4 2 2 14 3 3" xfId="42997"/>
    <cellStyle name="40% - Accent4 2 2 14 4" xfId="14761"/>
    <cellStyle name="40% - Accent4 2 2 14 4 2" xfId="43622"/>
    <cellStyle name="40% - Accent4 2 2 14 5" xfId="31872"/>
    <cellStyle name="40% - Accent4 2 2 15" xfId="2805"/>
    <cellStyle name="40% - Accent4 2 2 15 2" xfId="8846"/>
    <cellStyle name="40% - Accent4 2 2 15 2 2" xfId="25893"/>
    <cellStyle name="40% - Accent4 2 2 15 2 2 2" xfId="54754"/>
    <cellStyle name="40% - Accent4 2 2 15 2 3" xfId="37707"/>
    <cellStyle name="40% - Accent4 2 2 15 3" xfId="17441"/>
    <cellStyle name="40% - Accent4 2 2 15 3 2" xfId="46302"/>
    <cellStyle name="40% - Accent4 2 2 15 4" xfId="31666"/>
    <cellStyle name="40% - Accent4 2 2 16" xfId="5691"/>
    <cellStyle name="40% - Accent4 2 2 16 2" xfId="11732"/>
    <cellStyle name="40% - Accent4 2 2 16 2 2" xfId="28779"/>
    <cellStyle name="40% - Accent4 2 2 16 2 2 2" xfId="57640"/>
    <cellStyle name="40% - Accent4 2 2 16 2 3" xfId="40593"/>
    <cellStyle name="40% - Accent4 2 2 16 3" xfId="22801"/>
    <cellStyle name="40% - Accent4 2 2 16 3 2" xfId="51662"/>
    <cellStyle name="40% - Accent4 2 2 16 4" xfId="34552"/>
    <cellStyle name="40% - Accent4 2 2 17" xfId="5908"/>
    <cellStyle name="40% - Accent4 2 2 17 2" xfId="23007"/>
    <cellStyle name="40% - Accent4 2 2 17 2 2" xfId="51868"/>
    <cellStyle name="40% - Accent4 2 2 17 3" xfId="34769"/>
    <cellStyle name="40% - Accent4 2 2 18" xfId="6166"/>
    <cellStyle name="40% - Accent4 2 2 18 2" xfId="23213"/>
    <cellStyle name="40% - Accent4 2 2 18 2 2" xfId="52074"/>
    <cellStyle name="40% - Accent4 2 2 18 3" xfId="35027"/>
    <cellStyle name="40% - Accent4 2 2 19" xfId="14555"/>
    <cellStyle name="40% - Accent4 2 2 19 2" xfId="43416"/>
    <cellStyle name="40% - Accent4 2 2 2" xfId="330"/>
    <cellStyle name="40% - Accent4 2 2 2 10" xfId="2493"/>
    <cellStyle name="40% - Accent4 2 2 2 10 2" xfId="5380"/>
    <cellStyle name="40% - Accent4 2 2 2 10 2 2" xfId="11421"/>
    <cellStyle name="40% - Accent4 2 2 2 10 2 2 2" xfId="28468"/>
    <cellStyle name="40% - Accent4 2 2 2 10 2 2 2 2" xfId="57329"/>
    <cellStyle name="40% - Accent4 2 2 2 10 2 2 3" xfId="40282"/>
    <cellStyle name="40% - Accent4 2 2 2 10 2 3" xfId="22490"/>
    <cellStyle name="40% - Accent4 2 2 2 10 2 3 2" xfId="51351"/>
    <cellStyle name="40% - Accent4 2 2 2 10 2 4" xfId="34241"/>
    <cellStyle name="40% - Accent4 2 2 2 10 3" xfId="8535"/>
    <cellStyle name="40% - Accent4 2 2 2 10 3 2" xfId="25582"/>
    <cellStyle name="40% - Accent4 2 2 2 10 3 2 2" xfId="54443"/>
    <cellStyle name="40% - Accent4 2 2 2 10 3 3" xfId="37396"/>
    <cellStyle name="40% - Accent4 2 2 2 10 4" xfId="13872"/>
    <cellStyle name="40% - Accent4 2 2 2 10 4 2" xfId="19810"/>
    <cellStyle name="40% - Accent4 2 2 2 10 4 2 2" xfId="48671"/>
    <cellStyle name="40% - Accent4 2 2 2 10 4 3" xfId="42733"/>
    <cellStyle name="40% - Accent4 2 2 2 10 5" xfId="17130"/>
    <cellStyle name="40% - Accent4 2 2 2 10 5 2" xfId="45991"/>
    <cellStyle name="40% - Accent4 2 2 2 10 6" xfId="31355"/>
    <cellStyle name="40% - Accent4 2 2 2 11" xfId="2702"/>
    <cellStyle name="40% - Accent4 2 2 2 11 2" xfId="5588"/>
    <cellStyle name="40% - Accent4 2 2 2 11 2 2" xfId="11629"/>
    <cellStyle name="40% - Accent4 2 2 2 11 2 2 2" xfId="28676"/>
    <cellStyle name="40% - Accent4 2 2 2 11 2 2 2 2" xfId="57537"/>
    <cellStyle name="40% - Accent4 2 2 2 11 2 2 3" xfId="40490"/>
    <cellStyle name="40% - Accent4 2 2 2 11 2 3" xfId="22698"/>
    <cellStyle name="40% - Accent4 2 2 2 11 2 3 2" xfId="51559"/>
    <cellStyle name="40% - Accent4 2 2 2 11 2 4" xfId="34449"/>
    <cellStyle name="40% - Accent4 2 2 2 11 3" xfId="8743"/>
    <cellStyle name="40% - Accent4 2 2 2 11 3 2" xfId="25790"/>
    <cellStyle name="40% - Accent4 2 2 2 11 3 2 2" xfId="54651"/>
    <cellStyle name="40% - Accent4 2 2 2 11 3 3" xfId="37604"/>
    <cellStyle name="40% - Accent4 2 2 2 11 4" xfId="13918"/>
    <cellStyle name="40% - Accent4 2 2 2 11 4 2" xfId="20018"/>
    <cellStyle name="40% - Accent4 2 2 2 11 4 2 2" xfId="48879"/>
    <cellStyle name="40% - Accent4 2 2 2 11 4 3" xfId="42779"/>
    <cellStyle name="40% - Accent4 2 2 2 11 5" xfId="17338"/>
    <cellStyle name="40% - Accent4 2 2 2 11 5 2" xfId="46199"/>
    <cellStyle name="40% - Accent4 2 2 2 11 6" xfId="31563"/>
    <cellStyle name="40% - Accent4 2 2 2 12" xfId="3217"/>
    <cellStyle name="40% - Accent4 2 2 2 12 2" xfId="9258"/>
    <cellStyle name="40% - Accent4 2 2 2 12 2 2" xfId="26305"/>
    <cellStyle name="40% - Accent4 2 2 2 12 2 2 2" xfId="55166"/>
    <cellStyle name="40% - Accent4 2 2 2 12 2 3" xfId="38119"/>
    <cellStyle name="40% - Accent4 2 2 2 12 3" xfId="13367"/>
    <cellStyle name="40% - Accent4 2 2 2 12 3 2" xfId="20327"/>
    <cellStyle name="40% - Accent4 2 2 2 12 3 2 2" xfId="49188"/>
    <cellStyle name="40% - Accent4 2 2 2 12 3 3" xfId="42228"/>
    <cellStyle name="40% - Accent4 2 2 2 12 4" xfId="14967"/>
    <cellStyle name="40% - Accent4 2 2 2 12 4 2" xfId="43828"/>
    <cellStyle name="40% - Accent4 2 2 2 12 5" xfId="32078"/>
    <cellStyle name="40% - Accent4 2 2 2 13" xfId="2908"/>
    <cellStyle name="40% - Accent4 2 2 2 13 2" xfId="8949"/>
    <cellStyle name="40% - Accent4 2 2 2 13 2 2" xfId="25996"/>
    <cellStyle name="40% - Accent4 2 2 2 13 2 2 2" xfId="54857"/>
    <cellStyle name="40% - Accent4 2 2 2 13 2 3" xfId="37810"/>
    <cellStyle name="40% - Accent4 2 2 2 13 3" xfId="17544"/>
    <cellStyle name="40% - Accent4 2 2 2 13 3 2" xfId="46405"/>
    <cellStyle name="40% - Accent4 2 2 2 13 4" xfId="31769"/>
    <cellStyle name="40% - Accent4 2 2 2 14" xfId="5794"/>
    <cellStyle name="40% - Accent4 2 2 2 14 2" xfId="11835"/>
    <cellStyle name="40% - Accent4 2 2 2 14 2 2" xfId="28882"/>
    <cellStyle name="40% - Accent4 2 2 2 14 2 2 2" xfId="57743"/>
    <cellStyle name="40% - Accent4 2 2 2 14 2 3" xfId="40696"/>
    <cellStyle name="40% - Accent4 2 2 2 14 3" xfId="22904"/>
    <cellStyle name="40% - Accent4 2 2 2 14 3 2" xfId="51765"/>
    <cellStyle name="40% - Accent4 2 2 2 14 4" xfId="34655"/>
    <cellStyle name="40% - Accent4 2 2 2 15" xfId="6011"/>
    <cellStyle name="40% - Accent4 2 2 2 15 2" xfId="23110"/>
    <cellStyle name="40% - Accent4 2 2 2 15 2 2" xfId="51971"/>
    <cellStyle name="40% - Accent4 2 2 2 15 3" xfId="34872"/>
    <cellStyle name="40% - Accent4 2 2 2 16" xfId="6372"/>
    <cellStyle name="40% - Accent4 2 2 2 16 2" xfId="23419"/>
    <cellStyle name="40% - Accent4 2 2 2 16 2 2" xfId="52280"/>
    <cellStyle name="40% - Accent4 2 2 2 16 3" xfId="35233"/>
    <cellStyle name="40% - Accent4 2 2 2 17" xfId="14658"/>
    <cellStyle name="40% - Accent4 2 2 2 17 2" xfId="43519"/>
    <cellStyle name="40% - Accent4 2 2 2 18" xfId="29192"/>
    <cellStyle name="40% - Accent4 2 2 2 2" xfId="536"/>
    <cellStyle name="40% - Accent4 2 2 2 2 2" xfId="2287"/>
    <cellStyle name="40% - Accent4 2 2 2 2 2 2" xfId="5174"/>
    <cellStyle name="40% - Accent4 2 2 2 2 2 2 2" xfId="11215"/>
    <cellStyle name="40% - Accent4 2 2 2 2 2 2 2 2" xfId="28262"/>
    <cellStyle name="40% - Accent4 2 2 2 2 2 2 2 2 2" xfId="57123"/>
    <cellStyle name="40% - Accent4 2 2 2 2 2 2 2 3" xfId="40076"/>
    <cellStyle name="40% - Accent4 2 2 2 2 2 2 3" xfId="22284"/>
    <cellStyle name="40% - Accent4 2 2 2 2 2 2 3 2" xfId="51145"/>
    <cellStyle name="40% - Accent4 2 2 2 2 2 2 4" xfId="34035"/>
    <cellStyle name="40% - Accent4 2 2 2 2 2 3" xfId="8329"/>
    <cellStyle name="40% - Accent4 2 2 2 2 2 3 2" xfId="25376"/>
    <cellStyle name="40% - Accent4 2 2 2 2 2 3 2 2" xfId="54237"/>
    <cellStyle name="40% - Accent4 2 2 2 2 2 3 3" xfId="37190"/>
    <cellStyle name="40% - Accent4 2 2 2 2 2 4" xfId="12171"/>
    <cellStyle name="40% - Accent4 2 2 2 2 2 4 2" xfId="19604"/>
    <cellStyle name="40% - Accent4 2 2 2 2 2 4 2 2" xfId="48465"/>
    <cellStyle name="40% - Accent4 2 2 2 2 2 4 3" xfId="41032"/>
    <cellStyle name="40% - Accent4 2 2 2 2 2 5" xfId="16924"/>
    <cellStyle name="40% - Accent4 2 2 2 2 2 5 2" xfId="45785"/>
    <cellStyle name="40% - Accent4 2 2 2 2 2 6" xfId="31149"/>
    <cellStyle name="40% - Accent4 2 2 2 2 3" xfId="3423"/>
    <cellStyle name="40% - Accent4 2 2 2 2 3 2" xfId="9464"/>
    <cellStyle name="40% - Accent4 2 2 2 2 3 2 2" xfId="26511"/>
    <cellStyle name="40% - Accent4 2 2 2 2 3 2 2 2" xfId="55372"/>
    <cellStyle name="40% - Accent4 2 2 2 2 3 2 3" xfId="38325"/>
    <cellStyle name="40% - Accent4 2 2 2 2 3 3" xfId="20533"/>
    <cellStyle name="40% - Accent4 2 2 2 2 3 3 2" xfId="49394"/>
    <cellStyle name="40% - Accent4 2 2 2 2 3 4" xfId="32284"/>
    <cellStyle name="40% - Accent4 2 2 2 2 4" xfId="6578"/>
    <cellStyle name="40% - Accent4 2 2 2 2 4 2" xfId="23625"/>
    <cellStyle name="40% - Accent4 2 2 2 2 4 2 2" xfId="52486"/>
    <cellStyle name="40% - Accent4 2 2 2 2 4 3" xfId="35439"/>
    <cellStyle name="40% - Accent4 2 2 2 2 5" xfId="13684"/>
    <cellStyle name="40% - Accent4 2 2 2 2 5 2" xfId="17853"/>
    <cellStyle name="40% - Accent4 2 2 2 2 5 2 2" xfId="46714"/>
    <cellStyle name="40% - Accent4 2 2 2 2 5 3" xfId="42545"/>
    <cellStyle name="40% - Accent4 2 2 2 2 6" xfId="15173"/>
    <cellStyle name="40% - Accent4 2 2 2 2 6 2" xfId="44034"/>
    <cellStyle name="40% - Accent4 2 2 2 2 7" xfId="29398"/>
    <cellStyle name="40% - Accent4 2 2 2 3" xfId="845"/>
    <cellStyle name="40% - Accent4 2 2 2 3 2" xfId="3732"/>
    <cellStyle name="40% - Accent4 2 2 2 3 2 2" xfId="9773"/>
    <cellStyle name="40% - Accent4 2 2 2 3 2 2 2" xfId="26820"/>
    <cellStyle name="40% - Accent4 2 2 2 3 2 2 2 2" xfId="55681"/>
    <cellStyle name="40% - Accent4 2 2 2 3 2 2 3" xfId="38634"/>
    <cellStyle name="40% - Accent4 2 2 2 3 2 3" xfId="20842"/>
    <cellStyle name="40% - Accent4 2 2 2 3 2 3 2" xfId="49703"/>
    <cellStyle name="40% - Accent4 2 2 2 3 2 4" xfId="32593"/>
    <cellStyle name="40% - Accent4 2 2 2 3 3" xfId="6887"/>
    <cellStyle name="40% - Accent4 2 2 2 3 3 2" xfId="23934"/>
    <cellStyle name="40% - Accent4 2 2 2 3 3 2 2" xfId="52795"/>
    <cellStyle name="40% - Accent4 2 2 2 3 3 3" xfId="35748"/>
    <cellStyle name="40% - Accent4 2 2 2 3 4" xfId="13717"/>
    <cellStyle name="40% - Accent4 2 2 2 3 4 2" xfId="18162"/>
    <cellStyle name="40% - Accent4 2 2 2 3 4 2 2" xfId="47023"/>
    <cellStyle name="40% - Accent4 2 2 2 3 4 3" xfId="42578"/>
    <cellStyle name="40% - Accent4 2 2 2 3 5" xfId="15482"/>
    <cellStyle name="40% - Accent4 2 2 2 3 5 2" xfId="44343"/>
    <cellStyle name="40% - Accent4 2 2 2 3 6" xfId="29707"/>
    <cellStyle name="40% - Accent4 2 2 2 4" xfId="1051"/>
    <cellStyle name="40% - Accent4 2 2 2 4 2" xfId="3938"/>
    <cellStyle name="40% - Accent4 2 2 2 4 2 2" xfId="9979"/>
    <cellStyle name="40% - Accent4 2 2 2 4 2 2 2" xfId="27026"/>
    <cellStyle name="40% - Accent4 2 2 2 4 2 2 2 2" xfId="55887"/>
    <cellStyle name="40% - Accent4 2 2 2 4 2 2 3" xfId="38840"/>
    <cellStyle name="40% - Accent4 2 2 2 4 2 3" xfId="21048"/>
    <cellStyle name="40% - Accent4 2 2 2 4 2 3 2" xfId="49909"/>
    <cellStyle name="40% - Accent4 2 2 2 4 2 4" xfId="32799"/>
    <cellStyle name="40% - Accent4 2 2 2 4 3" xfId="7093"/>
    <cellStyle name="40% - Accent4 2 2 2 4 3 2" xfId="24140"/>
    <cellStyle name="40% - Accent4 2 2 2 4 3 2 2" xfId="53001"/>
    <cellStyle name="40% - Accent4 2 2 2 4 3 3" xfId="35954"/>
    <cellStyle name="40% - Accent4 2 2 2 4 4" xfId="14264"/>
    <cellStyle name="40% - Accent4 2 2 2 4 4 2" xfId="18368"/>
    <cellStyle name="40% - Accent4 2 2 2 4 4 2 2" xfId="47229"/>
    <cellStyle name="40% - Accent4 2 2 2 4 4 3" xfId="43125"/>
    <cellStyle name="40% - Accent4 2 2 2 4 5" xfId="15688"/>
    <cellStyle name="40% - Accent4 2 2 2 4 5 2" xfId="44549"/>
    <cellStyle name="40% - Accent4 2 2 2 4 6" xfId="29913"/>
    <cellStyle name="40% - Accent4 2 2 2 5" xfId="1257"/>
    <cellStyle name="40% - Accent4 2 2 2 5 2" xfId="4144"/>
    <cellStyle name="40% - Accent4 2 2 2 5 2 2" xfId="10185"/>
    <cellStyle name="40% - Accent4 2 2 2 5 2 2 2" xfId="27232"/>
    <cellStyle name="40% - Accent4 2 2 2 5 2 2 2 2" xfId="56093"/>
    <cellStyle name="40% - Accent4 2 2 2 5 2 2 3" xfId="39046"/>
    <cellStyle name="40% - Accent4 2 2 2 5 2 3" xfId="21254"/>
    <cellStyle name="40% - Accent4 2 2 2 5 2 3 2" xfId="50115"/>
    <cellStyle name="40% - Accent4 2 2 2 5 2 4" xfId="33005"/>
    <cellStyle name="40% - Accent4 2 2 2 5 3" xfId="7299"/>
    <cellStyle name="40% - Accent4 2 2 2 5 3 2" xfId="24346"/>
    <cellStyle name="40% - Accent4 2 2 2 5 3 2 2" xfId="53207"/>
    <cellStyle name="40% - Accent4 2 2 2 5 3 3" xfId="36160"/>
    <cellStyle name="40% - Accent4 2 2 2 5 4" xfId="13691"/>
    <cellStyle name="40% - Accent4 2 2 2 5 4 2" xfId="18574"/>
    <cellStyle name="40% - Accent4 2 2 2 5 4 2 2" xfId="47435"/>
    <cellStyle name="40% - Accent4 2 2 2 5 4 3" xfId="42552"/>
    <cellStyle name="40% - Accent4 2 2 2 5 5" xfId="15894"/>
    <cellStyle name="40% - Accent4 2 2 2 5 5 2" xfId="44755"/>
    <cellStyle name="40% - Accent4 2 2 2 5 6" xfId="30119"/>
    <cellStyle name="40% - Accent4 2 2 2 6" xfId="1463"/>
    <cellStyle name="40% - Accent4 2 2 2 6 2" xfId="4350"/>
    <cellStyle name="40% - Accent4 2 2 2 6 2 2" xfId="10391"/>
    <cellStyle name="40% - Accent4 2 2 2 6 2 2 2" xfId="27438"/>
    <cellStyle name="40% - Accent4 2 2 2 6 2 2 2 2" xfId="56299"/>
    <cellStyle name="40% - Accent4 2 2 2 6 2 2 3" xfId="39252"/>
    <cellStyle name="40% - Accent4 2 2 2 6 2 3" xfId="21460"/>
    <cellStyle name="40% - Accent4 2 2 2 6 2 3 2" xfId="50321"/>
    <cellStyle name="40% - Accent4 2 2 2 6 2 4" xfId="33211"/>
    <cellStyle name="40% - Accent4 2 2 2 6 3" xfId="7505"/>
    <cellStyle name="40% - Accent4 2 2 2 6 3 2" xfId="24552"/>
    <cellStyle name="40% - Accent4 2 2 2 6 3 2 2" xfId="53413"/>
    <cellStyle name="40% - Accent4 2 2 2 6 3 3" xfId="36366"/>
    <cellStyle name="40% - Accent4 2 2 2 6 4" xfId="12620"/>
    <cellStyle name="40% - Accent4 2 2 2 6 4 2" xfId="18780"/>
    <cellStyle name="40% - Accent4 2 2 2 6 4 2 2" xfId="47641"/>
    <cellStyle name="40% - Accent4 2 2 2 6 4 3" xfId="41481"/>
    <cellStyle name="40% - Accent4 2 2 2 6 5" xfId="16100"/>
    <cellStyle name="40% - Accent4 2 2 2 6 5 2" xfId="44961"/>
    <cellStyle name="40% - Accent4 2 2 2 6 6" xfId="30325"/>
    <cellStyle name="40% - Accent4 2 2 2 7" xfId="1669"/>
    <cellStyle name="40% - Accent4 2 2 2 7 2" xfId="4556"/>
    <cellStyle name="40% - Accent4 2 2 2 7 2 2" xfId="10597"/>
    <cellStyle name="40% - Accent4 2 2 2 7 2 2 2" xfId="27644"/>
    <cellStyle name="40% - Accent4 2 2 2 7 2 2 2 2" xfId="56505"/>
    <cellStyle name="40% - Accent4 2 2 2 7 2 2 3" xfId="39458"/>
    <cellStyle name="40% - Accent4 2 2 2 7 2 3" xfId="21666"/>
    <cellStyle name="40% - Accent4 2 2 2 7 2 3 2" xfId="50527"/>
    <cellStyle name="40% - Accent4 2 2 2 7 2 4" xfId="33417"/>
    <cellStyle name="40% - Accent4 2 2 2 7 3" xfId="7711"/>
    <cellStyle name="40% - Accent4 2 2 2 7 3 2" xfId="24758"/>
    <cellStyle name="40% - Accent4 2 2 2 7 3 2 2" xfId="53619"/>
    <cellStyle name="40% - Accent4 2 2 2 7 3 3" xfId="36572"/>
    <cellStyle name="40% - Accent4 2 2 2 7 4" xfId="13870"/>
    <cellStyle name="40% - Accent4 2 2 2 7 4 2" xfId="18986"/>
    <cellStyle name="40% - Accent4 2 2 2 7 4 2 2" xfId="47847"/>
    <cellStyle name="40% - Accent4 2 2 2 7 4 3" xfId="42731"/>
    <cellStyle name="40% - Accent4 2 2 2 7 5" xfId="16306"/>
    <cellStyle name="40% - Accent4 2 2 2 7 5 2" xfId="45167"/>
    <cellStyle name="40% - Accent4 2 2 2 7 6" xfId="30531"/>
    <cellStyle name="40% - Accent4 2 2 2 8" xfId="1875"/>
    <cellStyle name="40% - Accent4 2 2 2 8 2" xfId="4762"/>
    <cellStyle name="40% - Accent4 2 2 2 8 2 2" xfId="10803"/>
    <cellStyle name="40% - Accent4 2 2 2 8 2 2 2" xfId="27850"/>
    <cellStyle name="40% - Accent4 2 2 2 8 2 2 2 2" xfId="56711"/>
    <cellStyle name="40% - Accent4 2 2 2 8 2 2 3" xfId="39664"/>
    <cellStyle name="40% - Accent4 2 2 2 8 2 3" xfId="21872"/>
    <cellStyle name="40% - Accent4 2 2 2 8 2 3 2" xfId="50733"/>
    <cellStyle name="40% - Accent4 2 2 2 8 2 4" xfId="33623"/>
    <cellStyle name="40% - Accent4 2 2 2 8 3" xfId="7917"/>
    <cellStyle name="40% - Accent4 2 2 2 8 3 2" xfId="24964"/>
    <cellStyle name="40% - Accent4 2 2 2 8 3 2 2" xfId="53825"/>
    <cellStyle name="40% - Accent4 2 2 2 8 3 3" xfId="36778"/>
    <cellStyle name="40% - Accent4 2 2 2 8 4" xfId="12298"/>
    <cellStyle name="40% - Accent4 2 2 2 8 4 2" xfId="19192"/>
    <cellStyle name="40% - Accent4 2 2 2 8 4 2 2" xfId="48053"/>
    <cellStyle name="40% - Accent4 2 2 2 8 4 3" xfId="41159"/>
    <cellStyle name="40% - Accent4 2 2 2 8 5" xfId="16512"/>
    <cellStyle name="40% - Accent4 2 2 2 8 5 2" xfId="45373"/>
    <cellStyle name="40% - Accent4 2 2 2 8 6" xfId="30737"/>
    <cellStyle name="40% - Accent4 2 2 2 9" xfId="2081"/>
    <cellStyle name="40% - Accent4 2 2 2 9 2" xfId="4968"/>
    <cellStyle name="40% - Accent4 2 2 2 9 2 2" xfId="11009"/>
    <cellStyle name="40% - Accent4 2 2 2 9 2 2 2" xfId="28056"/>
    <cellStyle name="40% - Accent4 2 2 2 9 2 2 2 2" xfId="56917"/>
    <cellStyle name="40% - Accent4 2 2 2 9 2 2 3" xfId="39870"/>
    <cellStyle name="40% - Accent4 2 2 2 9 2 3" xfId="22078"/>
    <cellStyle name="40% - Accent4 2 2 2 9 2 3 2" xfId="50939"/>
    <cellStyle name="40% - Accent4 2 2 2 9 2 4" xfId="33829"/>
    <cellStyle name="40% - Accent4 2 2 2 9 3" xfId="8123"/>
    <cellStyle name="40% - Accent4 2 2 2 9 3 2" xfId="25170"/>
    <cellStyle name="40% - Accent4 2 2 2 9 3 2 2" xfId="54031"/>
    <cellStyle name="40% - Accent4 2 2 2 9 3 3" xfId="36984"/>
    <cellStyle name="40% - Accent4 2 2 2 9 4" xfId="14223"/>
    <cellStyle name="40% - Accent4 2 2 2 9 4 2" xfId="19398"/>
    <cellStyle name="40% - Accent4 2 2 2 9 4 2 2" xfId="48259"/>
    <cellStyle name="40% - Accent4 2 2 2 9 4 3" xfId="43084"/>
    <cellStyle name="40% - Accent4 2 2 2 9 5" xfId="16718"/>
    <cellStyle name="40% - Accent4 2 2 2 9 5 2" xfId="45579"/>
    <cellStyle name="40% - Accent4 2 2 2 9 6" xfId="30943"/>
    <cellStyle name="40% - Accent4 2 2 20" xfId="28986"/>
    <cellStyle name="40% - Accent4 2 2 3" xfId="227"/>
    <cellStyle name="40% - Accent4 2 2 3 2" xfId="639"/>
    <cellStyle name="40% - Accent4 2 2 3 2 2" xfId="3526"/>
    <cellStyle name="40% - Accent4 2 2 3 2 2 2" xfId="9567"/>
    <cellStyle name="40% - Accent4 2 2 3 2 2 2 2" xfId="26614"/>
    <cellStyle name="40% - Accent4 2 2 3 2 2 2 2 2" xfId="55475"/>
    <cellStyle name="40% - Accent4 2 2 3 2 2 2 3" xfId="38428"/>
    <cellStyle name="40% - Accent4 2 2 3 2 2 3" xfId="20636"/>
    <cellStyle name="40% - Accent4 2 2 3 2 2 3 2" xfId="49497"/>
    <cellStyle name="40% - Accent4 2 2 3 2 2 4" xfId="32387"/>
    <cellStyle name="40% - Accent4 2 2 3 2 3" xfId="6681"/>
    <cellStyle name="40% - Accent4 2 2 3 2 3 2" xfId="23728"/>
    <cellStyle name="40% - Accent4 2 2 3 2 3 2 2" xfId="52589"/>
    <cellStyle name="40% - Accent4 2 2 3 2 3 3" xfId="35542"/>
    <cellStyle name="40% - Accent4 2 2 3 2 4" xfId="12582"/>
    <cellStyle name="40% - Accent4 2 2 3 2 4 2" xfId="17956"/>
    <cellStyle name="40% - Accent4 2 2 3 2 4 2 2" xfId="46817"/>
    <cellStyle name="40% - Accent4 2 2 3 2 4 3" xfId="41443"/>
    <cellStyle name="40% - Accent4 2 2 3 2 5" xfId="15276"/>
    <cellStyle name="40% - Accent4 2 2 3 2 5 2" xfId="44137"/>
    <cellStyle name="40% - Accent4 2 2 3 2 6" xfId="29501"/>
    <cellStyle name="40% - Accent4 2 2 3 3" xfId="2184"/>
    <cellStyle name="40% - Accent4 2 2 3 3 2" xfId="5071"/>
    <cellStyle name="40% - Accent4 2 2 3 3 2 2" xfId="11112"/>
    <cellStyle name="40% - Accent4 2 2 3 3 2 2 2" xfId="28159"/>
    <cellStyle name="40% - Accent4 2 2 3 3 2 2 2 2" xfId="57020"/>
    <cellStyle name="40% - Accent4 2 2 3 3 2 2 3" xfId="39973"/>
    <cellStyle name="40% - Accent4 2 2 3 3 2 3" xfId="22181"/>
    <cellStyle name="40% - Accent4 2 2 3 3 2 3 2" xfId="51042"/>
    <cellStyle name="40% - Accent4 2 2 3 3 2 4" xfId="33932"/>
    <cellStyle name="40% - Accent4 2 2 3 3 3" xfId="8226"/>
    <cellStyle name="40% - Accent4 2 2 3 3 3 2" xfId="25273"/>
    <cellStyle name="40% - Accent4 2 2 3 3 3 2 2" xfId="54134"/>
    <cellStyle name="40% - Accent4 2 2 3 3 3 3" xfId="37087"/>
    <cellStyle name="40% - Accent4 2 2 3 3 4" xfId="14179"/>
    <cellStyle name="40% - Accent4 2 2 3 3 4 2" xfId="19501"/>
    <cellStyle name="40% - Accent4 2 2 3 3 4 2 2" xfId="48362"/>
    <cellStyle name="40% - Accent4 2 2 3 3 4 3" xfId="43040"/>
    <cellStyle name="40% - Accent4 2 2 3 3 5" xfId="16821"/>
    <cellStyle name="40% - Accent4 2 2 3 3 5 2" xfId="45682"/>
    <cellStyle name="40% - Accent4 2 2 3 3 6" xfId="31046"/>
    <cellStyle name="40% - Accent4 2 2 3 4" xfId="3114"/>
    <cellStyle name="40% - Accent4 2 2 3 4 2" xfId="9155"/>
    <cellStyle name="40% - Accent4 2 2 3 4 2 2" xfId="26202"/>
    <cellStyle name="40% - Accent4 2 2 3 4 2 2 2" xfId="55063"/>
    <cellStyle name="40% - Accent4 2 2 3 4 2 3" xfId="38016"/>
    <cellStyle name="40% - Accent4 2 2 3 4 3" xfId="20224"/>
    <cellStyle name="40% - Accent4 2 2 3 4 3 2" xfId="49085"/>
    <cellStyle name="40% - Accent4 2 2 3 4 4" xfId="31975"/>
    <cellStyle name="40% - Accent4 2 2 3 5" xfId="6269"/>
    <cellStyle name="40% - Accent4 2 2 3 5 2" xfId="23316"/>
    <cellStyle name="40% - Accent4 2 2 3 5 2 2" xfId="52177"/>
    <cellStyle name="40% - Accent4 2 2 3 5 3" xfId="35130"/>
    <cellStyle name="40% - Accent4 2 2 3 6" xfId="13062"/>
    <cellStyle name="40% - Accent4 2 2 3 6 2" xfId="17647"/>
    <cellStyle name="40% - Accent4 2 2 3 6 2 2" xfId="46508"/>
    <cellStyle name="40% - Accent4 2 2 3 6 3" xfId="41923"/>
    <cellStyle name="40% - Accent4 2 2 3 7" xfId="14864"/>
    <cellStyle name="40% - Accent4 2 2 3 7 2" xfId="43725"/>
    <cellStyle name="40% - Accent4 2 2 3 8" xfId="29089"/>
    <cellStyle name="40% - Accent4 2 2 4" xfId="433"/>
    <cellStyle name="40% - Accent4 2 2 4 2" xfId="3320"/>
    <cellStyle name="40% - Accent4 2 2 4 2 2" xfId="9361"/>
    <cellStyle name="40% - Accent4 2 2 4 2 2 2" xfId="26408"/>
    <cellStyle name="40% - Accent4 2 2 4 2 2 2 2" xfId="55269"/>
    <cellStyle name="40% - Accent4 2 2 4 2 2 3" xfId="38222"/>
    <cellStyle name="40% - Accent4 2 2 4 2 3" xfId="20430"/>
    <cellStyle name="40% - Accent4 2 2 4 2 3 2" xfId="49291"/>
    <cellStyle name="40% - Accent4 2 2 4 2 4" xfId="32181"/>
    <cellStyle name="40% - Accent4 2 2 4 3" xfId="6475"/>
    <cellStyle name="40% - Accent4 2 2 4 3 2" xfId="23522"/>
    <cellStyle name="40% - Accent4 2 2 4 3 2 2" xfId="52383"/>
    <cellStyle name="40% - Accent4 2 2 4 3 3" xfId="35336"/>
    <cellStyle name="40% - Accent4 2 2 4 4" xfId="12963"/>
    <cellStyle name="40% - Accent4 2 2 4 4 2" xfId="17750"/>
    <cellStyle name="40% - Accent4 2 2 4 4 2 2" xfId="46611"/>
    <cellStyle name="40% - Accent4 2 2 4 4 3" xfId="41824"/>
    <cellStyle name="40% - Accent4 2 2 4 5" xfId="15070"/>
    <cellStyle name="40% - Accent4 2 2 4 5 2" xfId="43931"/>
    <cellStyle name="40% - Accent4 2 2 4 6" xfId="29295"/>
    <cellStyle name="40% - Accent4 2 2 5" xfId="742"/>
    <cellStyle name="40% - Accent4 2 2 5 2" xfId="3629"/>
    <cellStyle name="40% - Accent4 2 2 5 2 2" xfId="9670"/>
    <cellStyle name="40% - Accent4 2 2 5 2 2 2" xfId="26717"/>
    <cellStyle name="40% - Accent4 2 2 5 2 2 2 2" xfId="55578"/>
    <cellStyle name="40% - Accent4 2 2 5 2 2 3" xfId="38531"/>
    <cellStyle name="40% - Accent4 2 2 5 2 3" xfId="20739"/>
    <cellStyle name="40% - Accent4 2 2 5 2 3 2" xfId="49600"/>
    <cellStyle name="40% - Accent4 2 2 5 2 4" xfId="32490"/>
    <cellStyle name="40% - Accent4 2 2 5 3" xfId="6784"/>
    <cellStyle name="40% - Accent4 2 2 5 3 2" xfId="23831"/>
    <cellStyle name="40% - Accent4 2 2 5 3 2 2" xfId="52692"/>
    <cellStyle name="40% - Accent4 2 2 5 3 3" xfId="35645"/>
    <cellStyle name="40% - Accent4 2 2 5 4" xfId="12977"/>
    <cellStyle name="40% - Accent4 2 2 5 4 2" xfId="18059"/>
    <cellStyle name="40% - Accent4 2 2 5 4 2 2" xfId="46920"/>
    <cellStyle name="40% - Accent4 2 2 5 4 3" xfId="41838"/>
    <cellStyle name="40% - Accent4 2 2 5 5" xfId="15379"/>
    <cellStyle name="40% - Accent4 2 2 5 5 2" xfId="44240"/>
    <cellStyle name="40% - Accent4 2 2 5 6" xfId="29604"/>
    <cellStyle name="40% - Accent4 2 2 6" xfId="948"/>
    <cellStyle name="40% - Accent4 2 2 6 2" xfId="3835"/>
    <cellStyle name="40% - Accent4 2 2 6 2 2" xfId="9876"/>
    <cellStyle name="40% - Accent4 2 2 6 2 2 2" xfId="26923"/>
    <cellStyle name="40% - Accent4 2 2 6 2 2 2 2" xfId="55784"/>
    <cellStyle name="40% - Accent4 2 2 6 2 2 3" xfId="38737"/>
    <cellStyle name="40% - Accent4 2 2 6 2 3" xfId="20945"/>
    <cellStyle name="40% - Accent4 2 2 6 2 3 2" xfId="49806"/>
    <cellStyle name="40% - Accent4 2 2 6 2 4" xfId="32696"/>
    <cellStyle name="40% - Accent4 2 2 6 3" xfId="6990"/>
    <cellStyle name="40% - Accent4 2 2 6 3 2" xfId="24037"/>
    <cellStyle name="40% - Accent4 2 2 6 3 2 2" xfId="52898"/>
    <cellStyle name="40% - Accent4 2 2 6 3 3" xfId="35851"/>
    <cellStyle name="40% - Accent4 2 2 6 4" xfId="13634"/>
    <cellStyle name="40% - Accent4 2 2 6 4 2" xfId="18265"/>
    <cellStyle name="40% - Accent4 2 2 6 4 2 2" xfId="47126"/>
    <cellStyle name="40% - Accent4 2 2 6 4 3" xfId="42495"/>
    <cellStyle name="40% - Accent4 2 2 6 5" xfId="15585"/>
    <cellStyle name="40% - Accent4 2 2 6 5 2" xfId="44446"/>
    <cellStyle name="40% - Accent4 2 2 6 6" xfId="29810"/>
    <cellStyle name="40% - Accent4 2 2 7" xfId="1154"/>
    <cellStyle name="40% - Accent4 2 2 7 2" xfId="4041"/>
    <cellStyle name="40% - Accent4 2 2 7 2 2" xfId="10082"/>
    <cellStyle name="40% - Accent4 2 2 7 2 2 2" xfId="27129"/>
    <cellStyle name="40% - Accent4 2 2 7 2 2 2 2" xfId="55990"/>
    <cellStyle name="40% - Accent4 2 2 7 2 2 3" xfId="38943"/>
    <cellStyle name="40% - Accent4 2 2 7 2 3" xfId="21151"/>
    <cellStyle name="40% - Accent4 2 2 7 2 3 2" xfId="50012"/>
    <cellStyle name="40% - Accent4 2 2 7 2 4" xfId="32902"/>
    <cellStyle name="40% - Accent4 2 2 7 3" xfId="7196"/>
    <cellStyle name="40% - Accent4 2 2 7 3 2" xfId="24243"/>
    <cellStyle name="40% - Accent4 2 2 7 3 2 2" xfId="53104"/>
    <cellStyle name="40% - Accent4 2 2 7 3 3" xfId="36057"/>
    <cellStyle name="40% - Accent4 2 2 7 4" xfId="12032"/>
    <cellStyle name="40% - Accent4 2 2 7 4 2" xfId="18471"/>
    <cellStyle name="40% - Accent4 2 2 7 4 2 2" xfId="47332"/>
    <cellStyle name="40% - Accent4 2 2 7 4 3" xfId="40893"/>
    <cellStyle name="40% - Accent4 2 2 7 5" xfId="15791"/>
    <cellStyle name="40% - Accent4 2 2 7 5 2" xfId="44652"/>
    <cellStyle name="40% - Accent4 2 2 7 6" xfId="30016"/>
    <cellStyle name="40% - Accent4 2 2 8" xfId="1360"/>
    <cellStyle name="40% - Accent4 2 2 8 2" xfId="4247"/>
    <cellStyle name="40% - Accent4 2 2 8 2 2" xfId="10288"/>
    <cellStyle name="40% - Accent4 2 2 8 2 2 2" xfId="27335"/>
    <cellStyle name="40% - Accent4 2 2 8 2 2 2 2" xfId="56196"/>
    <cellStyle name="40% - Accent4 2 2 8 2 2 3" xfId="39149"/>
    <cellStyle name="40% - Accent4 2 2 8 2 3" xfId="21357"/>
    <cellStyle name="40% - Accent4 2 2 8 2 3 2" xfId="50218"/>
    <cellStyle name="40% - Accent4 2 2 8 2 4" xfId="33108"/>
    <cellStyle name="40% - Accent4 2 2 8 3" xfId="7402"/>
    <cellStyle name="40% - Accent4 2 2 8 3 2" xfId="24449"/>
    <cellStyle name="40% - Accent4 2 2 8 3 2 2" xfId="53310"/>
    <cellStyle name="40% - Accent4 2 2 8 3 3" xfId="36263"/>
    <cellStyle name="40% - Accent4 2 2 8 4" xfId="13251"/>
    <cellStyle name="40% - Accent4 2 2 8 4 2" xfId="18677"/>
    <cellStyle name="40% - Accent4 2 2 8 4 2 2" xfId="47538"/>
    <cellStyle name="40% - Accent4 2 2 8 4 3" xfId="42112"/>
    <cellStyle name="40% - Accent4 2 2 8 5" xfId="15997"/>
    <cellStyle name="40% - Accent4 2 2 8 5 2" xfId="44858"/>
    <cellStyle name="40% - Accent4 2 2 8 6" xfId="30222"/>
    <cellStyle name="40% - Accent4 2 2 9" xfId="1566"/>
    <cellStyle name="40% - Accent4 2 2 9 2" xfId="4453"/>
    <cellStyle name="40% - Accent4 2 2 9 2 2" xfId="10494"/>
    <cellStyle name="40% - Accent4 2 2 9 2 2 2" xfId="27541"/>
    <cellStyle name="40% - Accent4 2 2 9 2 2 2 2" xfId="56402"/>
    <cellStyle name="40% - Accent4 2 2 9 2 2 3" xfId="39355"/>
    <cellStyle name="40% - Accent4 2 2 9 2 3" xfId="21563"/>
    <cellStyle name="40% - Accent4 2 2 9 2 3 2" xfId="50424"/>
    <cellStyle name="40% - Accent4 2 2 9 2 4" xfId="33314"/>
    <cellStyle name="40% - Accent4 2 2 9 3" xfId="7608"/>
    <cellStyle name="40% - Accent4 2 2 9 3 2" xfId="24655"/>
    <cellStyle name="40% - Accent4 2 2 9 3 2 2" xfId="53516"/>
    <cellStyle name="40% - Accent4 2 2 9 3 3" xfId="36469"/>
    <cellStyle name="40% - Accent4 2 2 9 4" xfId="14061"/>
    <cellStyle name="40% - Accent4 2 2 9 4 2" xfId="18883"/>
    <cellStyle name="40% - Accent4 2 2 9 4 2 2" xfId="47744"/>
    <cellStyle name="40% - Accent4 2 2 9 4 3" xfId="42922"/>
    <cellStyle name="40% - Accent4 2 2 9 5" xfId="16203"/>
    <cellStyle name="40% - Accent4 2 2 9 5 2" xfId="45064"/>
    <cellStyle name="40% - Accent4 2 2 9 6" xfId="30428"/>
    <cellStyle name="40% - Accent4 2 20" xfId="6140"/>
    <cellStyle name="40% - Accent4 2 20 2" xfId="23187"/>
    <cellStyle name="40% - Accent4 2 20 2 2" xfId="52048"/>
    <cellStyle name="40% - Accent4 2 20 3" xfId="35001"/>
    <cellStyle name="40% - Accent4 2 21" xfId="14529"/>
    <cellStyle name="40% - Accent4 2 21 2" xfId="43390"/>
    <cellStyle name="40% - Accent4 2 22" xfId="28960"/>
    <cellStyle name="40% - Accent4 2 3" xfId="150"/>
    <cellStyle name="40% - Accent4 2 3 10" xfId="1798"/>
    <cellStyle name="40% - Accent4 2 3 10 2" xfId="4685"/>
    <cellStyle name="40% - Accent4 2 3 10 2 2" xfId="10726"/>
    <cellStyle name="40% - Accent4 2 3 10 2 2 2" xfId="27773"/>
    <cellStyle name="40% - Accent4 2 3 10 2 2 2 2" xfId="56634"/>
    <cellStyle name="40% - Accent4 2 3 10 2 2 3" xfId="39587"/>
    <cellStyle name="40% - Accent4 2 3 10 2 3" xfId="21795"/>
    <cellStyle name="40% - Accent4 2 3 10 2 3 2" xfId="50656"/>
    <cellStyle name="40% - Accent4 2 3 10 2 4" xfId="33546"/>
    <cellStyle name="40% - Accent4 2 3 10 3" xfId="7840"/>
    <cellStyle name="40% - Accent4 2 3 10 3 2" xfId="24887"/>
    <cellStyle name="40% - Accent4 2 3 10 3 2 2" xfId="53748"/>
    <cellStyle name="40% - Accent4 2 3 10 3 3" xfId="36701"/>
    <cellStyle name="40% - Accent4 2 3 10 4" xfId="13941"/>
    <cellStyle name="40% - Accent4 2 3 10 4 2" xfId="19115"/>
    <cellStyle name="40% - Accent4 2 3 10 4 2 2" xfId="47976"/>
    <cellStyle name="40% - Accent4 2 3 10 4 3" xfId="42802"/>
    <cellStyle name="40% - Accent4 2 3 10 5" xfId="16435"/>
    <cellStyle name="40% - Accent4 2 3 10 5 2" xfId="45296"/>
    <cellStyle name="40% - Accent4 2 3 10 6" xfId="30660"/>
    <cellStyle name="40% - Accent4 2 3 11" xfId="2004"/>
    <cellStyle name="40% - Accent4 2 3 11 2" xfId="4891"/>
    <cellStyle name="40% - Accent4 2 3 11 2 2" xfId="10932"/>
    <cellStyle name="40% - Accent4 2 3 11 2 2 2" xfId="27979"/>
    <cellStyle name="40% - Accent4 2 3 11 2 2 2 2" xfId="56840"/>
    <cellStyle name="40% - Accent4 2 3 11 2 2 3" xfId="39793"/>
    <cellStyle name="40% - Accent4 2 3 11 2 3" xfId="22001"/>
    <cellStyle name="40% - Accent4 2 3 11 2 3 2" xfId="50862"/>
    <cellStyle name="40% - Accent4 2 3 11 2 4" xfId="33752"/>
    <cellStyle name="40% - Accent4 2 3 11 3" xfId="8046"/>
    <cellStyle name="40% - Accent4 2 3 11 3 2" xfId="25093"/>
    <cellStyle name="40% - Accent4 2 3 11 3 2 2" xfId="53954"/>
    <cellStyle name="40% - Accent4 2 3 11 3 3" xfId="36907"/>
    <cellStyle name="40% - Accent4 2 3 11 4" xfId="13425"/>
    <cellStyle name="40% - Accent4 2 3 11 4 2" xfId="19321"/>
    <cellStyle name="40% - Accent4 2 3 11 4 2 2" xfId="48182"/>
    <cellStyle name="40% - Accent4 2 3 11 4 3" xfId="42286"/>
    <cellStyle name="40% - Accent4 2 3 11 5" xfId="16641"/>
    <cellStyle name="40% - Accent4 2 3 11 5 2" xfId="45502"/>
    <cellStyle name="40% - Accent4 2 3 11 6" xfId="30866"/>
    <cellStyle name="40% - Accent4 2 3 12" xfId="2416"/>
    <cellStyle name="40% - Accent4 2 3 12 2" xfId="5303"/>
    <cellStyle name="40% - Accent4 2 3 12 2 2" xfId="11344"/>
    <cellStyle name="40% - Accent4 2 3 12 2 2 2" xfId="28391"/>
    <cellStyle name="40% - Accent4 2 3 12 2 2 2 2" xfId="57252"/>
    <cellStyle name="40% - Accent4 2 3 12 2 2 3" xfId="40205"/>
    <cellStyle name="40% - Accent4 2 3 12 2 3" xfId="22413"/>
    <cellStyle name="40% - Accent4 2 3 12 2 3 2" xfId="51274"/>
    <cellStyle name="40% - Accent4 2 3 12 2 4" xfId="34164"/>
    <cellStyle name="40% - Accent4 2 3 12 3" xfId="8458"/>
    <cellStyle name="40% - Accent4 2 3 12 3 2" xfId="25505"/>
    <cellStyle name="40% - Accent4 2 3 12 3 2 2" xfId="54366"/>
    <cellStyle name="40% - Accent4 2 3 12 3 3" xfId="37319"/>
    <cellStyle name="40% - Accent4 2 3 12 4" xfId="12920"/>
    <cellStyle name="40% - Accent4 2 3 12 4 2" xfId="19733"/>
    <cellStyle name="40% - Accent4 2 3 12 4 2 2" xfId="48594"/>
    <cellStyle name="40% - Accent4 2 3 12 4 3" xfId="41781"/>
    <cellStyle name="40% - Accent4 2 3 12 5" xfId="17053"/>
    <cellStyle name="40% - Accent4 2 3 12 5 2" xfId="45914"/>
    <cellStyle name="40% - Accent4 2 3 12 6" xfId="31278"/>
    <cellStyle name="40% - Accent4 2 3 13" xfId="2625"/>
    <cellStyle name="40% - Accent4 2 3 13 2" xfId="5511"/>
    <cellStyle name="40% - Accent4 2 3 13 2 2" xfId="11552"/>
    <cellStyle name="40% - Accent4 2 3 13 2 2 2" xfId="28599"/>
    <cellStyle name="40% - Accent4 2 3 13 2 2 2 2" xfId="57460"/>
    <cellStyle name="40% - Accent4 2 3 13 2 2 3" xfId="40413"/>
    <cellStyle name="40% - Accent4 2 3 13 2 3" xfId="22621"/>
    <cellStyle name="40% - Accent4 2 3 13 2 3 2" xfId="51482"/>
    <cellStyle name="40% - Accent4 2 3 13 2 4" xfId="34372"/>
    <cellStyle name="40% - Accent4 2 3 13 3" xfId="8666"/>
    <cellStyle name="40% - Accent4 2 3 13 3 2" xfId="25713"/>
    <cellStyle name="40% - Accent4 2 3 13 3 2 2" xfId="54574"/>
    <cellStyle name="40% - Accent4 2 3 13 3 3" xfId="37527"/>
    <cellStyle name="40% - Accent4 2 3 13 4" xfId="13693"/>
    <cellStyle name="40% - Accent4 2 3 13 4 2" xfId="19941"/>
    <cellStyle name="40% - Accent4 2 3 13 4 2 2" xfId="48802"/>
    <cellStyle name="40% - Accent4 2 3 13 4 3" xfId="42554"/>
    <cellStyle name="40% - Accent4 2 3 13 5" xfId="17261"/>
    <cellStyle name="40% - Accent4 2 3 13 5 2" xfId="46122"/>
    <cellStyle name="40% - Accent4 2 3 13 6" xfId="31486"/>
    <cellStyle name="40% - Accent4 2 3 14" xfId="3037"/>
    <cellStyle name="40% - Accent4 2 3 14 2" xfId="9078"/>
    <cellStyle name="40% - Accent4 2 3 14 2 2" xfId="26125"/>
    <cellStyle name="40% - Accent4 2 3 14 2 2 2" xfId="54986"/>
    <cellStyle name="40% - Accent4 2 3 14 2 3" xfId="37939"/>
    <cellStyle name="40% - Accent4 2 3 14 3" xfId="13739"/>
    <cellStyle name="40% - Accent4 2 3 14 3 2" xfId="20147"/>
    <cellStyle name="40% - Accent4 2 3 14 3 2 2" xfId="49008"/>
    <cellStyle name="40% - Accent4 2 3 14 3 3" xfId="42600"/>
    <cellStyle name="40% - Accent4 2 3 14 4" xfId="14787"/>
    <cellStyle name="40% - Accent4 2 3 14 4 2" xfId="43648"/>
    <cellStyle name="40% - Accent4 2 3 14 5" xfId="31898"/>
    <cellStyle name="40% - Accent4 2 3 15" xfId="2831"/>
    <cellStyle name="40% - Accent4 2 3 15 2" xfId="8872"/>
    <cellStyle name="40% - Accent4 2 3 15 2 2" xfId="25919"/>
    <cellStyle name="40% - Accent4 2 3 15 2 2 2" xfId="54780"/>
    <cellStyle name="40% - Accent4 2 3 15 2 3" xfId="37733"/>
    <cellStyle name="40% - Accent4 2 3 15 3" xfId="17467"/>
    <cellStyle name="40% - Accent4 2 3 15 3 2" xfId="46328"/>
    <cellStyle name="40% - Accent4 2 3 15 4" xfId="31692"/>
    <cellStyle name="40% - Accent4 2 3 16" xfId="5717"/>
    <cellStyle name="40% - Accent4 2 3 16 2" xfId="11758"/>
    <cellStyle name="40% - Accent4 2 3 16 2 2" xfId="28805"/>
    <cellStyle name="40% - Accent4 2 3 16 2 2 2" xfId="57666"/>
    <cellStyle name="40% - Accent4 2 3 16 2 3" xfId="40619"/>
    <cellStyle name="40% - Accent4 2 3 16 3" xfId="22827"/>
    <cellStyle name="40% - Accent4 2 3 16 3 2" xfId="51688"/>
    <cellStyle name="40% - Accent4 2 3 16 4" xfId="34578"/>
    <cellStyle name="40% - Accent4 2 3 17" xfId="5934"/>
    <cellStyle name="40% - Accent4 2 3 17 2" xfId="23033"/>
    <cellStyle name="40% - Accent4 2 3 17 2 2" xfId="51894"/>
    <cellStyle name="40% - Accent4 2 3 17 3" xfId="34795"/>
    <cellStyle name="40% - Accent4 2 3 18" xfId="6192"/>
    <cellStyle name="40% - Accent4 2 3 18 2" xfId="23239"/>
    <cellStyle name="40% - Accent4 2 3 18 2 2" xfId="52100"/>
    <cellStyle name="40% - Accent4 2 3 18 3" xfId="35053"/>
    <cellStyle name="40% - Accent4 2 3 19" xfId="14581"/>
    <cellStyle name="40% - Accent4 2 3 19 2" xfId="43442"/>
    <cellStyle name="40% - Accent4 2 3 2" xfId="356"/>
    <cellStyle name="40% - Accent4 2 3 2 10" xfId="2519"/>
    <cellStyle name="40% - Accent4 2 3 2 10 2" xfId="5406"/>
    <cellStyle name="40% - Accent4 2 3 2 10 2 2" xfId="11447"/>
    <cellStyle name="40% - Accent4 2 3 2 10 2 2 2" xfId="28494"/>
    <cellStyle name="40% - Accent4 2 3 2 10 2 2 2 2" xfId="57355"/>
    <cellStyle name="40% - Accent4 2 3 2 10 2 2 3" xfId="40308"/>
    <cellStyle name="40% - Accent4 2 3 2 10 2 3" xfId="22516"/>
    <cellStyle name="40% - Accent4 2 3 2 10 2 3 2" xfId="51377"/>
    <cellStyle name="40% - Accent4 2 3 2 10 2 4" xfId="34267"/>
    <cellStyle name="40% - Accent4 2 3 2 10 3" xfId="8561"/>
    <cellStyle name="40% - Accent4 2 3 2 10 3 2" xfId="25608"/>
    <cellStyle name="40% - Accent4 2 3 2 10 3 2 2" xfId="54469"/>
    <cellStyle name="40% - Accent4 2 3 2 10 3 3" xfId="37422"/>
    <cellStyle name="40% - Accent4 2 3 2 10 4" xfId="12217"/>
    <cellStyle name="40% - Accent4 2 3 2 10 4 2" xfId="19836"/>
    <cellStyle name="40% - Accent4 2 3 2 10 4 2 2" xfId="48697"/>
    <cellStyle name="40% - Accent4 2 3 2 10 4 3" xfId="41078"/>
    <cellStyle name="40% - Accent4 2 3 2 10 5" xfId="17156"/>
    <cellStyle name="40% - Accent4 2 3 2 10 5 2" xfId="46017"/>
    <cellStyle name="40% - Accent4 2 3 2 10 6" xfId="31381"/>
    <cellStyle name="40% - Accent4 2 3 2 11" xfId="2728"/>
    <cellStyle name="40% - Accent4 2 3 2 11 2" xfId="5614"/>
    <cellStyle name="40% - Accent4 2 3 2 11 2 2" xfId="11655"/>
    <cellStyle name="40% - Accent4 2 3 2 11 2 2 2" xfId="28702"/>
    <cellStyle name="40% - Accent4 2 3 2 11 2 2 2 2" xfId="57563"/>
    <cellStyle name="40% - Accent4 2 3 2 11 2 2 3" xfId="40516"/>
    <cellStyle name="40% - Accent4 2 3 2 11 2 3" xfId="22724"/>
    <cellStyle name="40% - Accent4 2 3 2 11 2 3 2" xfId="51585"/>
    <cellStyle name="40% - Accent4 2 3 2 11 2 4" xfId="34475"/>
    <cellStyle name="40% - Accent4 2 3 2 11 3" xfId="8769"/>
    <cellStyle name="40% - Accent4 2 3 2 11 3 2" xfId="25816"/>
    <cellStyle name="40% - Accent4 2 3 2 11 3 2 2" xfId="54677"/>
    <cellStyle name="40% - Accent4 2 3 2 11 3 3" xfId="37630"/>
    <cellStyle name="40% - Accent4 2 3 2 11 4" xfId="13471"/>
    <cellStyle name="40% - Accent4 2 3 2 11 4 2" xfId="20044"/>
    <cellStyle name="40% - Accent4 2 3 2 11 4 2 2" xfId="48905"/>
    <cellStyle name="40% - Accent4 2 3 2 11 4 3" xfId="42332"/>
    <cellStyle name="40% - Accent4 2 3 2 11 5" xfId="17364"/>
    <cellStyle name="40% - Accent4 2 3 2 11 5 2" xfId="46225"/>
    <cellStyle name="40% - Accent4 2 3 2 11 6" xfId="31589"/>
    <cellStyle name="40% - Accent4 2 3 2 12" xfId="3243"/>
    <cellStyle name="40% - Accent4 2 3 2 12 2" xfId="9284"/>
    <cellStyle name="40% - Accent4 2 3 2 12 2 2" xfId="26331"/>
    <cellStyle name="40% - Accent4 2 3 2 12 2 2 2" xfId="55192"/>
    <cellStyle name="40% - Accent4 2 3 2 12 2 3" xfId="38145"/>
    <cellStyle name="40% - Accent4 2 3 2 12 3" xfId="12758"/>
    <cellStyle name="40% - Accent4 2 3 2 12 3 2" xfId="20353"/>
    <cellStyle name="40% - Accent4 2 3 2 12 3 2 2" xfId="49214"/>
    <cellStyle name="40% - Accent4 2 3 2 12 3 3" xfId="41619"/>
    <cellStyle name="40% - Accent4 2 3 2 12 4" xfId="14993"/>
    <cellStyle name="40% - Accent4 2 3 2 12 4 2" xfId="43854"/>
    <cellStyle name="40% - Accent4 2 3 2 12 5" xfId="32104"/>
    <cellStyle name="40% - Accent4 2 3 2 13" xfId="2934"/>
    <cellStyle name="40% - Accent4 2 3 2 13 2" xfId="8975"/>
    <cellStyle name="40% - Accent4 2 3 2 13 2 2" xfId="26022"/>
    <cellStyle name="40% - Accent4 2 3 2 13 2 2 2" xfId="54883"/>
    <cellStyle name="40% - Accent4 2 3 2 13 2 3" xfId="37836"/>
    <cellStyle name="40% - Accent4 2 3 2 13 3" xfId="17570"/>
    <cellStyle name="40% - Accent4 2 3 2 13 3 2" xfId="46431"/>
    <cellStyle name="40% - Accent4 2 3 2 13 4" xfId="31795"/>
    <cellStyle name="40% - Accent4 2 3 2 14" xfId="5820"/>
    <cellStyle name="40% - Accent4 2 3 2 14 2" xfId="11861"/>
    <cellStyle name="40% - Accent4 2 3 2 14 2 2" xfId="28908"/>
    <cellStyle name="40% - Accent4 2 3 2 14 2 2 2" xfId="57769"/>
    <cellStyle name="40% - Accent4 2 3 2 14 2 3" xfId="40722"/>
    <cellStyle name="40% - Accent4 2 3 2 14 3" xfId="22930"/>
    <cellStyle name="40% - Accent4 2 3 2 14 3 2" xfId="51791"/>
    <cellStyle name="40% - Accent4 2 3 2 14 4" xfId="34681"/>
    <cellStyle name="40% - Accent4 2 3 2 15" xfId="6037"/>
    <cellStyle name="40% - Accent4 2 3 2 15 2" xfId="23136"/>
    <cellStyle name="40% - Accent4 2 3 2 15 2 2" xfId="51997"/>
    <cellStyle name="40% - Accent4 2 3 2 15 3" xfId="34898"/>
    <cellStyle name="40% - Accent4 2 3 2 16" xfId="6398"/>
    <cellStyle name="40% - Accent4 2 3 2 16 2" xfId="23445"/>
    <cellStyle name="40% - Accent4 2 3 2 16 2 2" xfId="52306"/>
    <cellStyle name="40% - Accent4 2 3 2 16 3" xfId="35259"/>
    <cellStyle name="40% - Accent4 2 3 2 17" xfId="14684"/>
    <cellStyle name="40% - Accent4 2 3 2 17 2" xfId="43545"/>
    <cellStyle name="40% - Accent4 2 3 2 18" xfId="29218"/>
    <cellStyle name="40% - Accent4 2 3 2 2" xfId="562"/>
    <cellStyle name="40% - Accent4 2 3 2 2 2" xfId="2313"/>
    <cellStyle name="40% - Accent4 2 3 2 2 2 2" xfId="5200"/>
    <cellStyle name="40% - Accent4 2 3 2 2 2 2 2" xfId="11241"/>
    <cellStyle name="40% - Accent4 2 3 2 2 2 2 2 2" xfId="28288"/>
    <cellStyle name="40% - Accent4 2 3 2 2 2 2 2 2 2" xfId="57149"/>
    <cellStyle name="40% - Accent4 2 3 2 2 2 2 2 3" xfId="40102"/>
    <cellStyle name="40% - Accent4 2 3 2 2 2 2 3" xfId="22310"/>
    <cellStyle name="40% - Accent4 2 3 2 2 2 2 3 2" xfId="51171"/>
    <cellStyle name="40% - Accent4 2 3 2 2 2 2 4" xfId="34061"/>
    <cellStyle name="40% - Accent4 2 3 2 2 2 3" xfId="8355"/>
    <cellStyle name="40% - Accent4 2 3 2 2 2 3 2" xfId="25402"/>
    <cellStyle name="40% - Accent4 2 3 2 2 2 3 2 2" xfId="54263"/>
    <cellStyle name="40% - Accent4 2 3 2 2 2 3 3" xfId="37216"/>
    <cellStyle name="40% - Accent4 2 3 2 2 2 4" xfId="13121"/>
    <cellStyle name="40% - Accent4 2 3 2 2 2 4 2" xfId="19630"/>
    <cellStyle name="40% - Accent4 2 3 2 2 2 4 2 2" xfId="48491"/>
    <cellStyle name="40% - Accent4 2 3 2 2 2 4 3" xfId="41982"/>
    <cellStyle name="40% - Accent4 2 3 2 2 2 5" xfId="16950"/>
    <cellStyle name="40% - Accent4 2 3 2 2 2 5 2" xfId="45811"/>
    <cellStyle name="40% - Accent4 2 3 2 2 2 6" xfId="31175"/>
    <cellStyle name="40% - Accent4 2 3 2 2 3" xfId="3449"/>
    <cellStyle name="40% - Accent4 2 3 2 2 3 2" xfId="9490"/>
    <cellStyle name="40% - Accent4 2 3 2 2 3 2 2" xfId="26537"/>
    <cellStyle name="40% - Accent4 2 3 2 2 3 2 2 2" xfId="55398"/>
    <cellStyle name="40% - Accent4 2 3 2 2 3 2 3" xfId="38351"/>
    <cellStyle name="40% - Accent4 2 3 2 2 3 3" xfId="20559"/>
    <cellStyle name="40% - Accent4 2 3 2 2 3 3 2" xfId="49420"/>
    <cellStyle name="40% - Accent4 2 3 2 2 3 4" xfId="32310"/>
    <cellStyle name="40% - Accent4 2 3 2 2 4" xfId="6604"/>
    <cellStyle name="40% - Accent4 2 3 2 2 4 2" xfId="23651"/>
    <cellStyle name="40% - Accent4 2 3 2 2 4 2 2" xfId="52512"/>
    <cellStyle name="40% - Accent4 2 3 2 2 4 3" xfId="35465"/>
    <cellStyle name="40% - Accent4 2 3 2 2 5" xfId="14182"/>
    <cellStyle name="40% - Accent4 2 3 2 2 5 2" xfId="17879"/>
    <cellStyle name="40% - Accent4 2 3 2 2 5 2 2" xfId="46740"/>
    <cellStyle name="40% - Accent4 2 3 2 2 5 3" xfId="43043"/>
    <cellStyle name="40% - Accent4 2 3 2 2 6" xfId="15199"/>
    <cellStyle name="40% - Accent4 2 3 2 2 6 2" xfId="44060"/>
    <cellStyle name="40% - Accent4 2 3 2 2 7" xfId="29424"/>
    <cellStyle name="40% - Accent4 2 3 2 3" xfId="871"/>
    <cellStyle name="40% - Accent4 2 3 2 3 2" xfId="3758"/>
    <cellStyle name="40% - Accent4 2 3 2 3 2 2" xfId="9799"/>
    <cellStyle name="40% - Accent4 2 3 2 3 2 2 2" xfId="26846"/>
    <cellStyle name="40% - Accent4 2 3 2 3 2 2 2 2" xfId="55707"/>
    <cellStyle name="40% - Accent4 2 3 2 3 2 2 3" xfId="38660"/>
    <cellStyle name="40% - Accent4 2 3 2 3 2 3" xfId="20868"/>
    <cellStyle name="40% - Accent4 2 3 2 3 2 3 2" xfId="49729"/>
    <cellStyle name="40% - Accent4 2 3 2 3 2 4" xfId="32619"/>
    <cellStyle name="40% - Accent4 2 3 2 3 3" xfId="6913"/>
    <cellStyle name="40% - Accent4 2 3 2 3 3 2" xfId="23960"/>
    <cellStyle name="40% - Accent4 2 3 2 3 3 2 2" xfId="52821"/>
    <cellStyle name="40% - Accent4 2 3 2 3 3 3" xfId="35774"/>
    <cellStyle name="40% - Accent4 2 3 2 3 4" xfId="14005"/>
    <cellStyle name="40% - Accent4 2 3 2 3 4 2" xfId="18188"/>
    <cellStyle name="40% - Accent4 2 3 2 3 4 2 2" xfId="47049"/>
    <cellStyle name="40% - Accent4 2 3 2 3 4 3" xfId="42866"/>
    <cellStyle name="40% - Accent4 2 3 2 3 5" xfId="15508"/>
    <cellStyle name="40% - Accent4 2 3 2 3 5 2" xfId="44369"/>
    <cellStyle name="40% - Accent4 2 3 2 3 6" xfId="29733"/>
    <cellStyle name="40% - Accent4 2 3 2 4" xfId="1077"/>
    <cellStyle name="40% - Accent4 2 3 2 4 2" xfId="3964"/>
    <cellStyle name="40% - Accent4 2 3 2 4 2 2" xfId="10005"/>
    <cellStyle name="40% - Accent4 2 3 2 4 2 2 2" xfId="27052"/>
    <cellStyle name="40% - Accent4 2 3 2 4 2 2 2 2" xfId="55913"/>
    <cellStyle name="40% - Accent4 2 3 2 4 2 2 3" xfId="38866"/>
    <cellStyle name="40% - Accent4 2 3 2 4 2 3" xfId="21074"/>
    <cellStyle name="40% - Accent4 2 3 2 4 2 3 2" xfId="49935"/>
    <cellStyle name="40% - Accent4 2 3 2 4 2 4" xfId="32825"/>
    <cellStyle name="40% - Accent4 2 3 2 4 3" xfId="7119"/>
    <cellStyle name="40% - Accent4 2 3 2 4 3 2" xfId="24166"/>
    <cellStyle name="40% - Accent4 2 3 2 4 3 2 2" xfId="53027"/>
    <cellStyle name="40% - Accent4 2 3 2 4 3 3" xfId="35980"/>
    <cellStyle name="40% - Accent4 2 3 2 4 4" xfId="12396"/>
    <cellStyle name="40% - Accent4 2 3 2 4 4 2" xfId="18394"/>
    <cellStyle name="40% - Accent4 2 3 2 4 4 2 2" xfId="47255"/>
    <cellStyle name="40% - Accent4 2 3 2 4 4 3" xfId="41257"/>
    <cellStyle name="40% - Accent4 2 3 2 4 5" xfId="15714"/>
    <cellStyle name="40% - Accent4 2 3 2 4 5 2" xfId="44575"/>
    <cellStyle name="40% - Accent4 2 3 2 4 6" xfId="29939"/>
    <cellStyle name="40% - Accent4 2 3 2 5" xfId="1283"/>
    <cellStyle name="40% - Accent4 2 3 2 5 2" xfId="4170"/>
    <cellStyle name="40% - Accent4 2 3 2 5 2 2" xfId="10211"/>
    <cellStyle name="40% - Accent4 2 3 2 5 2 2 2" xfId="27258"/>
    <cellStyle name="40% - Accent4 2 3 2 5 2 2 2 2" xfId="56119"/>
    <cellStyle name="40% - Accent4 2 3 2 5 2 2 3" xfId="39072"/>
    <cellStyle name="40% - Accent4 2 3 2 5 2 3" xfId="21280"/>
    <cellStyle name="40% - Accent4 2 3 2 5 2 3 2" xfId="50141"/>
    <cellStyle name="40% - Accent4 2 3 2 5 2 4" xfId="33031"/>
    <cellStyle name="40% - Accent4 2 3 2 5 3" xfId="7325"/>
    <cellStyle name="40% - Accent4 2 3 2 5 3 2" xfId="24372"/>
    <cellStyle name="40% - Accent4 2 3 2 5 3 2 2" xfId="53233"/>
    <cellStyle name="40% - Accent4 2 3 2 5 3 3" xfId="36186"/>
    <cellStyle name="40% - Accent4 2 3 2 5 4" xfId="12058"/>
    <cellStyle name="40% - Accent4 2 3 2 5 4 2" xfId="18600"/>
    <cellStyle name="40% - Accent4 2 3 2 5 4 2 2" xfId="47461"/>
    <cellStyle name="40% - Accent4 2 3 2 5 4 3" xfId="40919"/>
    <cellStyle name="40% - Accent4 2 3 2 5 5" xfId="15920"/>
    <cellStyle name="40% - Accent4 2 3 2 5 5 2" xfId="44781"/>
    <cellStyle name="40% - Accent4 2 3 2 5 6" xfId="30145"/>
    <cellStyle name="40% - Accent4 2 3 2 6" xfId="1489"/>
    <cellStyle name="40% - Accent4 2 3 2 6 2" xfId="4376"/>
    <cellStyle name="40% - Accent4 2 3 2 6 2 2" xfId="10417"/>
    <cellStyle name="40% - Accent4 2 3 2 6 2 2 2" xfId="27464"/>
    <cellStyle name="40% - Accent4 2 3 2 6 2 2 2 2" xfId="56325"/>
    <cellStyle name="40% - Accent4 2 3 2 6 2 2 3" xfId="39278"/>
    <cellStyle name="40% - Accent4 2 3 2 6 2 3" xfId="21486"/>
    <cellStyle name="40% - Accent4 2 3 2 6 2 3 2" xfId="50347"/>
    <cellStyle name="40% - Accent4 2 3 2 6 2 4" xfId="33237"/>
    <cellStyle name="40% - Accent4 2 3 2 6 3" xfId="7531"/>
    <cellStyle name="40% - Accent4 2 3 2 6 3 2" xfId="24578"/>
    <cellStyle name="40% - Accent4 2 3 2 6 3 2 2" xfId="53439"/>
    <cellStyle name="40% - Accent4 2 3 2 6 3 3" xfId="36392"/>
    <cellStyle name="40% - Accent4 2 3 2 6 4" xfId="12399"/>
    <cellStyle name="40% - Accent4 2 3 2 6 4 2" xfId="18806"/>
    <cellStyle name="40% - Accent4 2 3 2 6 4 2 2" xfId="47667"/>
    <cellStyle name="40% - Accent4 2 3 2 6 4 3" xfId="41260"/>
    <cellStyle name="40% - Accent4 2 3 2 6 5" xfId="16126"/>
    <cellStyle name="40% - Accent4 2 3 2 6 5 2" xfId="44987"/>
    <cellStyle name="40% - Accent4 2 3 2 6 6" xfId="30351"/>
    <cellStyle name="40% - Accent4 2 3 2 7" xfId="1695"/>
    <cellStyle name="40% - Accent4 2 3 2 7 2" xfId="4582"/>
    <cellStyle name="40% - Accent4 2 3 2 7 2 2" xfId="10623"/>
    <cellStyle name="40% - Accent4 2 3 2 7 2 2 2" xfId="27670"/>
    <cellStyle name="40% - Accent4 2 3 2 7 2 2 2 2" xfId="56531"/>
    <cellStyle name="40% - Accent4 2 3 2 7 2 2 3" xfId="39484"/>
    <cellStyle name="40% - Accent4 2 3 2 7 2 3" xfId="21692"/>
    <cellStyle name="40% - Accent4 2 3 2 7 2 3 2" xfId="50553"/>
    <cellStyle name="40% - Accent4 2 3 2 7 2 4" xfId="33443"/>
    <cellStyle name="40% - Accent4 2 3 2 7 3" xfId="7737"/>
    <cellStyle name="40% - Accent4 2 3 2 7 3 2" xfId="24784"/>
    <cellStyle name="40% - Accent4 2 3 2 7 3 2 2" xfId="53645"/>
    <cellStyle name="40% - Accent4 2 3 2 7 3 3" xfId="36598"/>
    <cellStyle name="40% - Accent4 2 3 2 7 4" xfId="13539"/>
    <cellStyle name="40% - Accent4 2 3 2 7 4 2" xfId="19012"/>
    <cellStyle name="40% - Accent4 2 3 2 7 4 2 2" xfId="47873"/>
    <cellStyle name="40% - Accent4 2 3 2 7 4 3" xfId="42400"/>
    <cellStyle name="40% - Accent4 2 3 2 7 5" xfId="16332"/>
    <cellStyle name="40% - Accent4 2 3 2 7 5 2" xfId="45193"/>
    <cellStyle name="40% - Accent4 2 3 2 7 6" xfId="30557"/>
    <cellStyle name="40% - Accent4 2 3 2 8" xfId="1901"/>
    <cellStyle name="40% - Accent4 2 3 2 8 2" xfId="4788"/>
    <cellStyle name="40% - Accent4 2 3 2 8 2 2" xfId="10829"/>
    <cellStyle name="40% - Accent4 2 3 2 8 2 2 2" xfId="27876"/>
    <cellStyle name="40% - Accent4 2 3 2 8 2 2 2 2" xfId="56737"/>
    <cellStyle name="40% - Accent4 2 3 2 8 2 2 3" xfId="39690"/>
    <cellStyle name="40% - Accent4 2 3 2 8 2 3" xfId="21898"/>
    <cellStyle name="40% - Accent4 2 3 2 8 2 3 2" xfId="50759"/>
    <cellStyle name="40% - Accent4 2 3 2 8 2 4" xfId="33649"/>
    <cellStyle name="40% - Accent4 2 3 2 8 3" xfId="7943"/>
    <cellStyle name="40% - Accent4 2 3 2 8 3 2" xfId="24990"/>
    <cellStyle name="40% - Accent4 2 3 2 8 3 2 2" xfId="53851"/>
    <cellStyle name="40% - Accent4 2 3 2 8 3 3" xfId="36804"/>
    <cellStyle name="40% - Accent4 2 3 2 8 4" xfId="13704"/>
    <cellStyle name="40% - Accent4 2 3 2 8 4 2" xfId="19218"/>
    <cellStyle name="40% - Accent4 2 3 2 8 4 2 2" xfId="48079"/>
    <cellStyle name="40% - Accent4 2 3 2 8 4 3" xfId="42565"/>
    <cellStyle name="40% - Accent4 2 3 2 8 5" xfId="16538"/>
    <cellStyle name="40% - Accent4 2 3 2 8 5 2" xfId="45399"/>
    <cellStyle name="40% - Accent4 2 3 2 8 6" xfId="30763"/>
    <cellStyle name="40% - Accent4 2 3 2 9" xfId="2107"/>
    <cellStyle name="40% - Accent4 2 3 2 9 2" xfId="4994"/>
    <cellStyle name="40% - Accent4 2 3 2 9 2 2" xfId="11035"/>
    <cellStyle name="40% - Accent4 2 3 2 9 2 2 2" xfId="28082"/>
    <cellStyle name="40% - Accent4 2 3 2 9 2 2 2 2" xfId="56943"/>
    <cellStyle name="40% - Accent4 2 3 2 9 2 2 3" xfId="39896"/>
    <cellStyle name="40% - Accent4 2 3 2 9 2 3" xfId="22104"/>
    <cellStyle name="40% - Accent4 2 3 2 9 2 3 2" xfId="50965"/>
    <cellStyle name="40% - Accent4 2 3 2 9 2 4" xfId="33855"/>
    <cellStyle name="40% - Accent4 2 3 2 9 3" xfId="8149"/>
    <cellStyle name="40% - Accent4 2 3 2 9 3 2" xfId="25196"/>
    <cellStyle name="40% - Accent4 2 3 2 9 3 2 2" xfId="54057"/>
    <cellStyle name="40% - Accent4 2 3 2 9 3 3" xfId="37010"/>
    <cellStyle name="40% - Accent4 2 3 2 9 4" xfId="12828"/>
    <cellStyle name="40% - Accent4 2 3 2 9 4 2" xfId="19424"/>
    <cellStyle name="40% - Accent4 2 3 2 9 4 2 2" xfId="48285"/>
    <cellStyle name="40% - Accent4 2 3 2 9 4 3" xfId="41689"/>
    <cellStyle name="40% - Accent4 2 3 2 9 5" xfId="16744"/>
    <cellStyle name="40% - Accent4 2 3 2 9 5 2" xfId="45605"/>
    <cellStyle name="40% - Accent4 2 3 2 9 6" xfId="30969"/>
    <cellStyle name="40% - Accent4 2 3 20" xfId="29012"/>
    <cellStyle name="40% - Accent4 2 3 3" xfId="253"/>
    <cellStyle name="40% - Accent4 2 3 3 2" xfId="665"/>
    <cellStyle name="40% - Accent4 2 3 3 2 2" xfId="3552"/>
    <cellStyle name="40% - Accent4 2 3 3 2 2 2" xfId="9593"/>
    <cellStyle name="40% - Accent4 2 3 3 2 2 2 2" xfId="26640"/>
    <cellStyle name="40% - Accent4 2 3 3 2 2 2 2 2" xfId="55501"/>
    <cellStyle name="40% - Accent4 2 3 3 2 2 2 3" xfId="38454"/>
    <cellStyle name="40% - Accent4 2 3 3 2 2 3" xfId="20662"/>
    <cellStyle name="40% - Accent4 2 3 3 2 2 3 2" xfId="49523"/>
    <cellStyle name="40% - Accent4 2 3 3 2 2 4" xfId="32413"/>
    <cellStyle name="40% - Accent4 2 3 3 2 3" xfId="6707"/>
    <cellStyle name="40% - Accent4 2 3 3 2 3 2" xfId="23754"/>
    <cellStyle name="40% - Accent4 2 3 3 2 3 2 2" xfId="52615"/>
    <cellStyle name="40% - Accent4 2 3 3 2 3 3" xfId="35568"/>
    <cellStyle name="40% - Accent4 2 3 3 2 4" xfId="12162"/>
    <cellStyle name="40% - Accent4 2 3 3 2 4 2" xfId="17982"/>
    <cellStyle name="40% - Accent4 2 3 3 2 4 2 2" xfId="46843"/>
    <cellStyle name="40% - Accent4 2 3 3 2 4 3" xfId="41023"/>
    <cellStyle name="40% - Accent4 2 3 3 2 5" xfId="15302"/>
    <cellStyle name="40% - Accent4 2 3 3 2 5 2" xfId="44163"/>
    <cellStyle name="40% - Accent4 2 3 3 2 6" xfId="29527"/>
    <cellStyle name="40% - Accent4 2 3 3 3" xfId="2210"/>
    <cellStyle name="40% - Accent4 2 3 3 3 2" xfId="5097"/>
    <cellStyle name="40% - Accent4 2 3 3 3 2 2" xfId="11138"/>
    <cellStyle name="40% - Accent4 2 3 3 3 2 2 2" xfId="28185"/>
    <cellStyle name="40% - Accent4 2 3 3 3 2 2 2 2" xfId="57046"/>
    <cellStyle name="40% - Accent4 2 3 3 3 2 2 3" xfId="39999"/>
    <cellStyle name="40% - Accent4 2 3 3 3 2 3" xfId="22207"/>
    <cellStyle name="40% - Accent4 2 3 3 3 2 3 2" xfId="51068"/>
    <cellStyle name="40% - Accent4 2 3 3 3 2 4" xfId="33958"/>
    <cellStyle name="40% - Accent4 2 3 3 3 3" xfId="8252"/>
    <cellStyle name="40% - Accent4 2 3 3 3 3 2" xfId="25299"/>
    <cellStyle name="40% - Accent4 2 3 3 3 3 2 2" xfId="54160"/>
    <cellStyle name="40% - Accent4 2 3 3 3 3 3" xfId="37113"/>
    <cellStyle name="40% - Accent4 2 3 3 3 4" xfId="13132"/>
    <cellStyle name="40% - Accent4 2 3 3 3 4 2" xfId="19527"/>
    <cellStyle name="40% - Accent4 2 3 3 3 4 2 2" xfId="48388"/>
    <cellStyle name="40% - Accent4 2 3 3 3 4 3" xfId="41993"/>
    <cellStyle name="40% - Accent4 2 3 3 3 5" xfId="16847"/>
    <cellStyle name="40% - Accent4 2 3 3 3 5 2" xfId="45708"/>
    <cellStyle name="40% - Accent4 2 3 3 3 6" xfId="31072"/>
    <cellStyle name="40% - Accent4 2 3 3 4" xfId="3140"/>
    <cellStyle name="40% - Accent4 2 3 3 4 2" xfId="9181"/>
    <cellStyle name="40% - Accent4 2 3 3 4 2 2" xfId="26228"/>
    <cellStyle name="40% - Accent4 2 3 3 4 2 2 2" xfId="55089"/>
    <cellStyle name="40% - Accent4 2 3 3 4 2 3" xfId="38042"/>
    <cellStyle name="40% - Accent4 2 3 3 4 3" xfId="20250"/>
    <cellStyle name="40% - Accent4 2 3 3 4 3 2" xfId="49111"/>
    <cellStyle name="40% - Accent4 2 3 3 4 4" xfId="32001"/>
    <cellStyle name="40% - Accent4 2 3 3 5" xfId="6295"/>
    <cellStyle name="40% - Accent4 2 3 3 5 2" xfId="23342"/>
    <cellStyle name="40% - Accent4 2 3 3 5 2 2" xfId="52203"/>
    <cellStyle name="40% - Accent4 2 3 3 5 3" xfId="35156"/>
    <cellStyle name="40% - Accent4 2 3 3 6" xfId="14411"/>
    <cellStyle name="40% - Accent4 2 3 3 6 2" xfId="17673"/>
    <cellStyle name="40% - Accent4 2 3 3 6 2 2" xfId="46534"/>
    <cellStyle name="40% - Accent4 2 3 3 6 3" xfId="43272"/>
    <cellStyle name="40% - Accent4 2 3 3 7" xfId="14890"/>
    <cellStyle name="40% - Accent4 2 3 3 7 2" xfId="43751"/>
    <cellStyle name="40% - Accent4 2 3 3 8" xfId="29115"/>
    <cellStyle name="40% - Accent4 2 3 4" xfId="459"/>
    <cellStyle name="40% - Accent4 2 3 4 2" xfId="3346"/>
    <cellStyle name="40% - Accent4 2 3 4 2 2" xfId="9387"/>
    <cellStyle name="40% - Accent4 2 3 4 2 2 2" xfId="26434"/>
    <cellStyle name="40% - Accent4 2 3 4 2 2 2 2" xfId="55295"/>
    <cellStyle name="40% - Accent4 2 3 4 2 2 3" xfId="38248"/>
    <cellStyle name="40% - Accent4 2 3 4 2 3" xfId="20456"/>
    <cellStyle name="40% - Accent4 2 3 4 2 3 2" xfId="49317"/>
    <cellStyle name="40% - Accent4 2 3 4 2 4" xfId="32207"/>
    <cellStyle name="40% - Accent4 2 3 4 3" xfId="6501"/>
    <cellStyle name="40% - Accent4 2 3 4 3 2" xfId="23548"/>
    <cellStyle name="40% - Accent4 2 3 4 3 2 2" xfId="52409"/>
    <cellStyle name="40% - Accent4 2 3 4 3 3" xfId="35362"/>
    <cellStyle name="40% - Accent4 2 3 4 4" xfId="13091"/>
    <cellStyle name="40% - Accent4 2 3 4 4 2" xfId="17776"/>
    <cellStyle name="40% - Accent4 2 3 4 4 2 2" xfId="46637"/>
    <cellStyle name="40% - Accent4 2 3 4 4 3" xfId="41952"/>
    <cellStyle name="40% - Accent4 2 3 4 5" xfId="15096"/>
    <cellStyle name="40% - Accent4 2 3 4 5 2" xfId="43957"/>
    <cellStyle name="40% - Accent4 2 3 4 6" xfId="29321"/>
    <cellStyle name="40% - Accent4 2 3 5" xfId="768"/>
    <cellStyle name="40% - Accent4 2 3 5 2" xfId="3655"/>
    <cellStyle name="40% - Accent4 2 3 5 2 2" xfId="9696"/>
    <cellStyle name="40% - Accent4 2 3 5 2 2 2" xfId="26743"/>
    <cellStyle name="40% - Accent4 2 3 5 2 2 2 2" xfId="55604"/>
    <cellStyle name="40% - Accent4 2 3 5 2 2 3" xfId="38557"/>
    <cellStyle name="40% - Accent4 2 3 5 2 3" xfId="20765"/>
    <cellStyle name="40% - Accent4 2 3 5 2 3 2" xfId="49626"/>
    <cellStyle name="40% - Accent4 2 3 5 2 4" xfId="32516"/>
    <cellStyle name="40% - Accent4 2 3 5 3" xfId="6810"/>
    <cellStyle name="40% - Accent4 2 3 5 3 2" xfId="23857"/>
    <cellStyle name="40% - Accent4 2 3 5 3 2 2" xfId="52718"/>
    <cellStyle name="40% - Accent4 2 3 5 3 3" xfId="35671"/>
    <cellStyle name="40% - Accent4 2 3 5 4" xfId="13457"/>
    <cellStyle name="40% - Accent4 2 3 5 4 2" xfId="18085"/>
    <cellStyle name="40% - Accent4 2 3 5 4 2 2" xfId="46946"/>
    <cellStyle name="40% - Accent4 2 3 5 4 3" xfId="42318"/>
    <cellStyle name="40% - Accent4 2 3 5 5" xfId="15405"/>
    <cellStyle name="40% - Accent4 2 3 5 5 2" xfId="44266"/>
    <cellStyle name="40% - Accent4 2 3 5 6" xfId="29630"/>
    <cellStyle name="40% - Accent4 2 3 6" xfId="974"/>
    <cellStyle name="40% - Accent4 2 3 6 2" xfId="3861"/>
    <cellStyle name="40% - Accent4 2 3 6 2 2" xfId="9902"/>
    <cellStyle name="40% - Accent4 2 3 6 2 2 2" xfId="26949"/>
    <cellStyle name="40% - Accent4 2 3 6 2 2 2 2" xfId="55810"/>
    <cellStyle name="40% - Accent4 2 3 6 2 2 3" xfId="38763"/>
    <cellStyle name="40% - Accent4 2 3 6 2 3" xfId="20971"/>
    <cellStyle name="40% - Accent4 2 3 6 2 3 2" xfId="49832"/>
    <cellStyle name="40% - Accent4 2 3 6 2 4" xfId="32722"/>
    <cellStyle name="40% - Accent4 2 3 6 3" xfId="7016"/>
    <cellStyle name="40% - Accent4 2 3 6 3 2" xfId="24063"/>
    <cellStyle name="40% - Accent4 2 3 6 3 2 2" xfId="52924"/>
    <cellStyle name="40% - Accent4 2 3 6 3 3" xfId="35877"/>
    <cellStyle name="40% - Accent4 2 3 6 4" xfId="14262"/>
    <cellStyle name="40% - Accent4 2 3 6 4 2" xfId="18291"/>
    <cellStyle name="40% - Accent4 2 3 6 4 2 2" xfId="47152"/>
    <cellStyle name="40% - Accent4 2 3 6 4 3" xfId="43123"/>
    <cellStyle name="40% - Accent4 2 3 6 5" xfId="15611"/>
    <cellStyle name="40% - Accent4 2 3 6 5 2" xfId="44472"/>
    <cellStyle name="40% - Accent4 2 3 6 6" xfId="29836"/>
    <cellStyle name="40% - Accent4 2 3 7" xfId="1180"/>
    <cellStyle name="40% - Accent4 2 3 7 2" xfId="4067"/>
    <cellStyle name="40% - Accent4 2 3 7 2 2" xfId="10108"/>
    <cellStyle name="40% - Accent4 2 3 7 2 2 2" xfId="27155"/>
    <cellStyle name="40% - Accent4 2 3 7 2 2 2 2" xfId="56016"/>
    <cellStyle name="40% - Accent4 2 3 7 2 2 3" xfId="38969"/>
    <cellStyle name="40% - Accent4 2 3 7 2 3" xfId="21177"/>
    <cellStyle name="40% - Accent4 2 3 7 2 3 2" xfId="50038"/>
    <cellStyle name="40% - Accent4 2 3 7 2 4" xfId="32928"/>
    <cellStyle name="40% - Accent4 2 3 7 3" xfId="7222"/>
    <cellStyle name="40% - Accent4 2 3 7 3 2" xfId="24269"/>
    <cellStyle name="40% - Accent4 2 3 7 3 2 2" xfId="53130"/>
    <cellStyle name="40% - Accent4 2 3 7 3 3" xfId="36083"/>
    <cellStyle name="40% - Accent4 2 3 7 4" xfId="12045"/>
    <cellStyle name="40% - Accent4 2 3 7 4 2" xfId="18497"/>
    <cellStyle name="40% - Accent4 2 3 7 4 2 2" xfId="47358"/>
    <cellStyle name="40% - Accent4 2 3 7 4 3" xfId="40906"/>
    <cellStyle name="40% - Accent4 2 3 7 5" xfId="15817"/>
    <cellStyle name="40% - Accent4 2 3 7 5 2" xfId="44678"/>
    <cellStyle name="40% - Accent4 2 3 7 6" xfId="30042"/>
    <cellStyle name="40% - Accent4 2 3 8" xfId="1386"/>
    <cellStyle name="40% - Accent4 2 3 8 2" xfId="4273"/>
    <cellStyle name="40% - Accent4 2 3 8 2 2" xfId="10314"/>
    <cellStyle name="40% - Accent4 2 3 8 2 2 2" xfId="27361"/>
    <cellStyle name="40% - Accent4 2 3 8 2 2 2 2" xfId="56222"/>
    <cellStyle name="40% - Accent4 2 3 8 2 2 3" xfId="39175"/>
    <cellStyle name="40% - Accent4 2 3 8 2 3" xfId="21383"/>
    <cellStyle name="40% - Accent4 2 3 8 2 3 2" xfId="50244"/>
    <cellStyle name="40% - Accent4 2 3 8 2 4" xfId="33134"/>
    <cellStyle name="40% - Accent4 2 3 8 3" xfId="7428"/>
    <cellStyle name="40% - Accent4 2 3 8 3 2" xfId="24475"/>
    <cellStyle name="40% - Accent4 2 3 8 3 2 2" xfId="53336"/>
    <cellStyle name="40% - Accent4 2 3 8 3 3" xfId="36289"/>
    <cellStyle name="40% - Accent4 2 3 8 4" xfId="12035"/>
    <cellStyle name="40% - Accent4 2 3 8 4 2" xfId="18703"/>
    <cellStyle name="40% - Accent4 2 3 8 4 2 2" xfId="47564"/>
    <cellStyle name="40% - Accent4 2 3 8 4 3" xfId="40896"/>
    <cellStyle name="40% - Accent4 2 3 8 5" xfId="16023"/>
    <cellStyle name="40% - Accent4 2 3 8 5 2" xfId="44884"/>
    <cellStyle name="40% - Accent4 2 3 8 6" xfId="30248"/>
    <cellStyle name="40% - Accent4 2 3 9" xfId="1592"/>
    <cellStyle name="40% - Accent4 2 3 9 2" xfId="4479"/>
    <cellStyle name="40% - Accent4 2 3 9 2 2" xfId="10520"/>
    <cellStyle name="40% - Accent4 2 3 9 2 2 2" xfId="27567"/>
    <cellStyle name="40% - Accent4 2 3 9 2 2 2 2" xfId="56428"/>
    <cellStyle name="40% - Accent4 2 3 9 2 2 3" xfId="39381"/>
    <cellStyle name="40% - Accent4 2 3 9 2 3" xfId="21589"/>
    <cellStyle name="40% - Accent4 2 3 9 2 3 2" xfId="50450"/>
    <cellStyle name="40% - Accent4 2 3 9 2 4" xfId="33340"/>
    <cellStyle name="40% - Accent4 2 3 9 3" xfId="7634"/>
    <cellStyle name="40% - Accent4 2 3 9 3 2" xfId="24681"/>
    <cellStyle name="40% - Accent4 2 3 9 3 2 2" xfId="53542"/>
    <cellStyle name="40% - Accent4 2 3 9 3 3" xfId="36495"/>
    <cellStyle name="40% - Accent4 2 3 9 4" xfId="12418"/>
    <cellStyle name="40% - Accent4 2 3 9 4 2" xfId="18909"/>
    <cellStyle name="40% - Accent4 2 3 9 4 2 2" xfId="47770"/>
    <cellStyle name="40% - Accent4 2 3 9 4 3" xfId="41279"/>
    <cellStyle name="40% - Accent4 2 3 9 5" xfId="16229"/>
    <cellStyle name="40% - Accent4 2 3 9 5 2" xfId="45090"/>
    <cellStyle name="40% - Accent4 2 3 9 6" xfId="30454"/>
    <cellStyle name="40% - Accent4 2 4" xfId="304"/>
    <cellStyle name="40% - Accent4 2 4 10" xfId="2467"/>
    <cellStyle name="40% - Accent4 2 4 10 2" xfId="5354"/>
    <cellStyle name="40% - Accent4 2 4 10 2 2" xfId="11395"/>
    <cellStyle name="40% - Accent4 2 4 10 2 2 2" xfId="28442"/>
    <cellStyle name="40% - Accent4 2 4 10 2 2 2 2" xfId="57303"/>
    <cellStyle name="40% - Accent4 2 4 10 2 2 3" xfId="40256"/>
    <cellStyle name="40% - Accent4 2 4 10 2 3" xfId="22464"/>
    <cellStyle name="40% - Accent4 2 4 10 2 3 2" xfId="51325"/>
    <cellStyle name="40% - Accent4 2 4 10 2 4" xfId="34215"/>
    <cellStyle name="40% - Accent4 2 4 10 3" xfId="8509"/>
    <cellStyle name="40% - Accent4 2 4 10 3 2" xfId="25556"/>
    <cellStyle name="40% - Accent4 2 4 10 3 2 2" xfId="54417"/>
    <cellStyle name="40% - Accent4 2 4 10 3 3" xfId="37370"/>
    <cellStyle name="40% - Accent4 2 4 10 4" xfId="12225"/>
    <cellStyle name="40% - Accent4 2 4 10 4 2" xfId="19784"/>
    <cellStyle name="40% - Accent4 2 4 10 4 2 2" xfId="48645"/>
    <cellStyle name="40% - Accent4 2 4 10 4 3" xfId="41086"/>
    <cellStyle name="40% - Accent4 2 4 10 5" xfId="17104"/>
    <cellStyle name="40% - Accent4 2 4 10 5 2" xfId="45965"/>
    <cellStyle name="40% - Accent4 2 4 10 6" xfId="31329"/>
    <cellStyle name="40% - Accent4 2 4 11" xfId="2676"/>
    <cellStyle name="40% - Accent4 2 4 11 2" xfId="5562"/>
    <cellStyle name="40% - Accent4 2 4 11 2 2" xfId="11603"/>
    <cellStyle name="40% - Accent4 2 4 11 2 2 2" xfId="28650"/>
    <cellStyle name="40% - Accent4 2 4 11 2 2 2 2" xfId="57511"/>
    <cellStyle name="40% - Accent4 2 4 11 2 2 3" xfId="40464"/>
    <cellStyle name="40% - Accent4 2 4 11 2 3" xfId="22672"/>
    <cellStyle name="40% - Accent4 2 4 11 2 3 2" xfId="51533"/>
    <cellStyle name="40% - Accent4 2 4 11 2 4" xfId="34423"/>
    <cellStyle name="40% - Accent4 2 4 11 3" xfId="8717"/>
    <cellStyle name="40% - Accent4 2 4 11 3 2" xfId="25764"/>
    <cellStyle name="40% - Accent4 2 4 11 3 2 2" xfId="54625"/>
    <cellStyle name="40% - Accent4 2 4 11 3 3" xfId="37578"/>
    <cellStyle name="40% - Accent4 2 4 11 4" xfId="13335"/>
    <cellStyle name="40% - Accent4 2 4 11 4 2" xfId="19992"/>
    <cellStyle name="40% - Accent4 2 4 11 4 2 2" xfId="48853"/>
    <cellStyle name="40% - Accent4 2 4 11 4 3" xfId="42196"/>
    <cellStyle name="40% - Accent4 2 4 11 5" xfId="17312"/>
    <cellStyle name="40% - Accent4 2 4 11 5 2" xfId="46173"/>
    <cellStyle name="40% - Accent4 2 4 11 6" xfId="31537"/>
    <cellStyle name="40% - Accent4 2 4 12" xfId="3191"/>
    <cellStyle name="40% - Accent4 2 4 12 2" xfId="9232"/>
    <cellStyle name="40% - Accent4 2 4 12 2 2" xfId="26279"/>
    <cellStyle name="40% - Accent4 2 4 12 2 2 2" xfId="55140"/>
    <cellStyle name="40% - Accent4 2 4 12 2 3" xfId="38093"/>
    <cellStyle name="40% - Accent4 2 4 12 3" xfId="12363"/>
    <cellStyle name="40% - Accent4 2 4 12 3 2" xfId="20301"/>
    <cellStyle name="40% - Accent4 2 4 12 3 2 2" xfId="49162"/>
    <cellStyle name="40% - Accent4 2 4 12 3 3" xfId="41224"/>
    <cellStyle name="40% - Accent4 2 4 12 4" xfId="14941"/>
    <cellStyle name="40% - Accent4 2 4 12 4 2" xfId="43802"/>
    <cellStyle name="40% - Accent4 2 4 12 5" xfId="32052"/>
    <cellStyle name="40% - Accent4 2 4 13" xfId="2882"/>
    <cellStyle name="40% - Accent4 2 4 13 2" xfId="8923"/>
    <cellStyle name="40% - Accent4 2 4 13 2 2" xfId="25970"/>
    <cellStyle name="40% - Accent4 2 4 13 2 2 2" xfId="54831"/>
    <cellStyle name="40% - Accent4 2 4 13 2 3" xfId="37784"/>
    <cellStyle name="40% - Accent4 2 4 13 3" xfId="17518"/>
    <cellStyle name="40% - Accent4 2 4 13 3 2" xfId="46379"/>
    <cellStyle name="40% - Accent4 2 4 13 4" xfId="31743"/>
    <cellStyle name="40% - Accent4 2 4 14" xfId="5768"/>
    <cellStyle name="40% - Accent4 2 4 14 2" xfId="11809"/>
    <cellStyle name="40% - Accent4 2 4 14 2 2" xfId="28856"/>
    <cellStyle name="40% - Accent4 2 4 14 2 2 2" xfId="57717"/>
    <cellStyle name="40% - Accent4 2 4 14 2 3" xfId="40670"/>
    <cellStyle name="40% - Accent4 2 4 14 3" xfId="22878"/>
    <cellStyle name="40% - Accent4 2 4 14 3 2" xfId="51739"/>
    <cellStyle name="40% - Accent4 2 4 14 4" xfId="34629"/>
    <cellStyle name="40% - Accent4 2 4 15" xfId="5985"/>
    <cellStyle name="40% - Accent4 2 4 15 2" xfId="23084"/>
    <cellStyle name="40% - Accent4 2 4 15 2 2" xfId="51945"/>
    <cellStyle name="40% - Accent4 2 4 15 3" xfId="34846"/>
    <cellStyle name="40% - Accent4 2 4 16" xfId="6346"/>
    <cellStyle name="40% - Accent4 2 4 16 2" xfId="23393"/>
    <cellStyle name="40% - Accent4 2 4 16 2 2" xfId="52254"/>
    <cellStyle name="40% - Accent4 2 4 16 3" xfId="35207"/>
    <cellStyle name="40% - Accent4 2 4 17" xfId="14632"/>
    <cellStyle name="40% - Accent4 2 4 17 2" xfId="43493"/>
    <cellStyle name="40% - Accent4 2 4 18" xfId="29166"/>
    <cellStyle name="40% - Accent4 2 4 2" xfId="510"/>
    <cellStyle name="40% - Accent4 2 4 2 2" xfId="2261"/>
    <cellStyle name="40% - Accent4 2 4 2 2 2" xfId="5148"/>
    <cellStyle name="40% - Accent4 2 4 2 2 2 2" xfId="11189"/>
    <cellStyle name="40% - Accent4 2 4 2 2 2 2 2" xfId="28236"/>
    <cellStyle name="40% - Accent4 2 4 2 2 2 2 2 2" xfId="57097"/>
    <cellStyle name="40% - Accent4 2 4 2 2 2 2 3" xfId="40050"/>
    <cellStyle name="40% - Accent4 2 4 2 2 2 3" xfId="22258"/>
    <cellStyle name="40% - Accent4 2 4 2 2 2 3 2" xfId="51119"/>
    <cellStyle name="40% - Accent4 2 4 2 2 2 4" xfId="34009"/>
    <cellStyle name="40% - Accent4 2 4 2 2 3" xfId="8303"/>
    <cellStyle name="40% - Accent4 2 4 2 2 3 2" xfId="25350"/>
    <cellStyle name="40% - Accent4 2 4 2 2 3 2 2" xfId="54211"/>
    <cellStyle name="40% - Accent4 2 4 2 2 3 3" xfId="37164"/>
    <cellStyle name="40% - Accent4 2 4 2 2 4" xfId="13795"/>
    <cellStyle name="40% - Accent4 2 4 2 2 4 2" xfId="19578"/>
    <cellStyle name="40% - Accent4 2 4 2 2 4 2 2" xfId="48439"/>
    <cellStyle name="40% - Accent4 2 4 2 2 4 3" xfId="42656"/>
    <cellStyle name="40% - Accent4 2 4 2 2 5" xfId="16898"/>
    <cellStyle name="40% - Accent4 2 4 2 2 5 2" xfId="45759"/>
    <cellStyle name="40% - Accent4 2 4 2 2 6" xfId="31123"/>
    <cellStyle name="40% - Accent4 2 4 2 3" xfId="3397"/>
    <cellStyle name="40% - Accent4 2 4 2 3 2" xfId="9438"/>
    <cellStyle name="40% - Accent4 2 4 2 3 2 2" xfId="26485"/>
    <cellStyle name="40% - Accent4 2 4 2 3 2 2 2" xfId="55346"/>
    <cellStyle name="40% - Accent4 2 4 2 3 2 3" xfId="38299"/>
    <cellStyle name="40% - Accent4 2 4 2 3 3" xfId="20507"/>
    <cellStyle name="40% - Accent4 2 4 2 3 3 2" xfId="49368"/>
    <cellStyle name="40% - Accent4 2 4 2 3 4" xfId="32258"/>
    <cellStyle name="40% - Accent4 2 4 2 4" xfId="6552"/>
    <cellStyle name="40% - Accent4 2 4 2 4 2" xfId="23599"/>
    <cellStyle name="40% - Accent4 2 4 2 4 2 2" xfId="52460"/>
    <cellStyle name="40% - Accent4 2 4 2 4 3" xfId="35413"/>
    <cellStyle name="40% - Accent4 2 4 2 5" xfId="12874"/>
    <cellStyle name="40% - Accent4 2 4 2 5 2" xfId="17827"/>
    <cellStyle name="40% - Accent4 2 4 2 5 2 2" xfId="46688"/>
    <cellStyle name="40% - Accent4 2 4 2 5 3" xfId="41735"/>
    <cellStyle name="40% - Accent4 2 4 2 6" xfId="15147"/>
    <cellStyle name="40% - Accent4 2 4 2 6 2" xfId="44008"/>
    <cellStyle name="40% - Accent4 2 4 2 7" xfId="29372"/>
    <cellStyle name="40% - Accent4 2 4 3" xfId="819"/>
    <cellStyle name="40% - Accent4 2 4 3 2" xfId="3706"/>
    <cellStyle name="40% - Accent4 2 4 3 2 2" xfId="9747"/>
    <cellStyle name="40% - Accent4 2 4 3 2 2 2" xfId="26794"/>
    <cellStyle name="40% - Accent4 2 4 3 2 2 2 2" xfId="55655"/>
    <cellStyle name="40% - Accent4 2 4 3 2 2 3" xfId="38608"/>
    <cellStyle name="40% - Accent4 2 4 3 2 3" xfId="20816"/>
    <cellStyle name="40% - Accent4 2 4 3 2 3 2" xfId="49677"/>
    <cellStyle name="40% - Accent4 2 4 3 2 4" xfId="32567"/>
    <cellStyle name="40% - Accent4 2 4 3 3" xfId="6861"/>
    <cellStyle name="40% - Accent4 2 4 3 3 2" xfId="23908"/>
    <cellStyle name="40% - Accent4 2 4 3 3 2 2" xfId="52769"/>
    <cellStyle name="40% - Accent4 2 4 3 3 3" xfId="35722"/>
    <cellStyle name="40% - Accent4 2 4 3 4" xfId="14238"/>
    <cellStyle name="40% - Accent4 2 4 3 4 2" xfId="18136"/>
    <cellStyle name="40% - Accent4 2 4 3 4 2 2" xfId="46997"/>
    <cellStyle name="40% - Accent4 2 4 3 4 3" xfId="43099"/>
    <cellStyle name="40% - Accent4 2 4 3 5" xfId="15456"/>
    <cellStyle name="40% - Accent4 2 4 3 5 2" xfId="44317"/>
    <cellStyle name="40% - Accent4 2 4 3 6" xfId="29681"/>
    <cellStyle name="40% - Accent4 2 4 4" xfId="1025"/>
    <cellStyle name="40% - Accent4 2 4 4 2" xfId="3912"/>
    <cellStyle name="40% - Accent4 2 4 4 2 2" xfId="9953"/>
    <cellStyle name="40% - Accent4 2 4 4 2 2 2" xfId="27000"/>
    <cellStyle name="40% - Accent4 2 4 4 2 2 2 2" xfId="55861"/>
    <cellStyle name="40% - Accent4 2 4 4 2 2 3" xfId="38814"/>
    <cellStyle name="40% - Accent4 2 4 4 2 3" xfId="21022"/>
    <cellStyle name="40% - Accent4 2 4 4 2 3 2" xfId="49883"/>
    <cellStyle name="40% - Accent4 2 4 4 2 4" xfId="32773"/>
    <cellStyle name="40% - Accent4 2 4 4 3" xfId="7067"/>
    <cellStyle name="40% - Accent4 2 4 4 3 2" xfId="24114"/>
    <cellStyle name="40% - Accent4 2 4 4 3 2 2" xfId="52975"/>
    <cellStyle name="40% - Accent4 2 4 4 3 3" xfId="35928"/>
    <cellStyle name="40% - Accent4 2 4 4 4" xfId="5866"/>
    <cellStyle name="40% - Accent4 2 4 4 4 2" xfId="18342"/>
    <cellStyle name="40% - Accent4 2 4 4 4 2 2" xfId="47203"/>
    <cellStyle name="40% - Accent4 2 4 4 4 3" xfId="34727"/>
    <cellStyle name="40% - Accent4 2 4 4 5" xfId="15662"/>
    <cellStyle name="40% - Accent4 2 4 4 5 2" xfId="44523"/>
    <cellStyle name="40% - Accent4 2 4 4 6" xfId="29887"/>
    <cellStyle name="40% - Accent4 2 4 5" xfId="1231"/>
    <cellStyle name="40% - Accent4 2 4 5 2" xfId="4118"/>
    <cellStyle name="40% - Accent4 2 4 5 2 2" xfId="10159"/>
    <cellStyle name="40% - Accent4 2 4 5 2 2 2" xfId="27206"/>
    <cellStyle name="40% - Accent4 2 4 5 2 2 2 2" xfId="56067"/>
    <cellStyle name="40% - Accent4 2 4 5 2 2 3" xfId="39020"/>
    <cellStyle name="40% - Accent4 2 4 5 2 3" xfId="21228"/>
    <cellStyle name="40% - Accent4 2 4 5 2 3 2" xfId="50089"/>
    <cellStyle name="40% - Accent4 2 4 5 2 4" xfId="32979"/>
    <cellStyle name="40% - Accent4 2 4 5 3" xfId="7273"/>
    <cellStyle name="40% - Accent4 2 4 5 3 2" xfId="24320"/>
    <cellStyle name="40% - Accent4 2 4 5 3 2 2" xfId="53181"/>
    <cellStyle name="40% - Accent4 2 4 5 3 3" xfId="36134"/>
    <cellStyle name="40% - Accent4 2 4 5 4" xfId="13211"/>
    <cellStyle name="40% - Accent4 2 4 5 4 2" xfId="18548"/>
    <cellStyle name="40% - Accent4 2 4 5 4 2 2" xfId="47409"/>
    <cellStyle name="40% - Accent4 2 4 5 4 3" xfId="42072"/>
    <cellStyle name="40% - Accent4 2 4 5 5" xfId="15868"/>
    <cellStyle name="40% - Accent4 2 4 5 5 2" xfId="44729"/>
    <cellStyle name="40% - Accent4 2 4 5 6" xfId="30093"/>
    <cellStyle name="40% - Accent4 2 4 6" xfId="1437"/>
    <cellStyle name="40% - Accent4 2 4 6 2" xfId="4324"/>
    <cellStyle name="40% - Accent4 2 4 6 2 2" xfId="10365"/>
    <cellStyle name="40% - Accent4 2 4 6 2 2 2" xfId="27412"/>
    <cellStyle name="40% - Accent4 2 4 6 2 2 2 2" xfId="56273"/>
    <cellStyle name="40% - Accent4 2 4 6 2 2 3" xfId="39226"/>
    <cellStyle name="40% - Accent4 2 4 6 2 3" xfId="21434"/>
    <cellStyle name="40% - Accent4 2 4 6 2 3 2" xfId="50295"/>
    <cellStyle name="40% - Accent4 2 4 6 2 4" xfId="33185"/>
    <cellStyle name="40% - Accent4 2 4 6 3" xfId="7479"/>
    <cellStyle name="40% - Accent4 2 4 6 3 2" xfId="24526"/>
    <cellStyle name="40% - Accent4 2 4 6 3 2 2" xfId="53387"/>
    <cellStyle name="40% - Accent4 2 4 6 3 3" xfId="36340"/>
    <cellStyle name="40% - Accent4 2 4 6 4" xfId="12951"/>
    <cellStyle name="40% - Accent4 2 4 6 4 2" xfId="18754"/>
    <cellStyle name="40% - Accent4 2 4 6 4 2 2" xfId="47615"/>
    <cellStyle name="40% - Accent4 2 4 6 4 3" xfId="41812"/>
    <cellStyle name="40% - Accent4 2 4 6 5" xfId="16074"/>
    <cellStyle name="40% - Accent4 2 4 6 5 2" xfId="44935"/>
    <cellStyle name="40% - Accent4 2 4 6 6" xfId="30299"/>
    <cellStyle name="40% - Accent4 2 4 7" xfId="1643"/>
    <cellStyle name="40% - Accent4 2 4 7 2" xfId="4530"/>
    <cellStyle name="40% - Accent4 2 4 7 2 2" xfId="10571"/>
    <cellStyle name="40% - Accent4 2 4 7 2 2 2" xfId="27618"/>
    <cellStyle name="40% - Accent4 2 4 7 2 2 2 2" xfId="56479"/>
    <cellStyle name="40% - Accent4 2 4 7 2 2 3" xfId="39432"/>
    <cellStyle name="40% - Accent4 2 4 7 2 3" xfId="21640"/>
    <cellStyle name="40% - Accent4 2 4 7 2 3 2" xfId="50501"/>
    <cellStyle name="40% - Accent4 2 4 7 2 4" xfId="33391"/>
    <cellStyle name="40% - Accent4 2 4 7 3" xfId="7685"/>
    <cellStyle name="40% - Accent4 2 4 7 3 2" xfId="24732"/>
    <cellStyle name="40% - Accent4 2 4 7 3 2 2" xfId="53593"/>
    <cellStyle name="40% - Accent4 2 4 7 3 3" xfId="36546"/>
    <cellStyle name="40% - Accent4 2 4 7 4" xfId="13847"/>
    <cellStyle name="40% - Accent4 2 4 7 4 2" xfId="18960"/>
    <cellStyle name="40% - Accent4 2 4 7 4 2 2" xfId="47821"/>
    <cellStyle name="40% - Accent4 2 4 7 4 3" xfId="42708"/>
    <cellStyle name="40% - Accent4 2 4 7 5" xfId="16280"/>
    <cellStyle name="40% - Accent4 2 4 7 5 2" xfId="45141"/>
    <cellStyle name="40% - Accent4 2 4 7 6" xfId="30505"/>
    <cellStyle name="40% - Accent4 2 4 8" xfId="1849"/>
    <cellStyle name="40% - Accent4 2 4 8 2" xfId="4736"/>
    <cellStyle name="40% - Accent4 2 4 8 2 2" xfId="10777"/>
    <cellStyle name="40% - Accent4 2 4 8 2 2 2" xfId="27824"/>
    <cellStyle name="40% - Accent4 2 4 8 2 2 2 2" xfId="56685"/>
    <cellStyle name="40% - Accent4 2 4 8 2 2 3" xfId="39638"/>
    <cellStyle name="40% - Accent4 2 4 8 2 3" xfId="21846"/>
    <cellStyle name="40% - Accent4 2 4 8 2 3 2" xfId="50707"/>
    <cellStyle name="40% - Accent4 2 4 8 2 4" xfId="33597"/>
    <cellStyle name="40% - Accent4 2 4 8 3" xfId="7891"/>
    <cellStyle name="40% - Accent4 2 4 8 3 2" xfId="24938"/>
    <cellStyle name="40% - Accent4 2 4 8 3 2 2" xfId="53799"/>
    <cellStyle name="40% - Accent4 2 4 8 3 3" xfId="36752"/>
    <cellStyle name="40% - Accent4 2 4 8 4" xfId="12367"/>
    <cellStyle name="40% - Accent4 2 4 8 4 2" xfId="19166"/>
    <cellStyle name="40% - Accent4 2 4 8 4 2 2" xfId="48027"/>
    <cellStyle name="40% - Accent4 2 4 8 4 3" xfId="41228"/>
    <cellStyle name="40% - Accent4 2 4 8 5" xfId="16486"/>
    <cellStyle name="40% - Accent4 2 4 8 5 2" xfId="45347"/>
    <cellStyle name="40% - Accent4 2 4 8 6" xfId="30711"/>
    <cellStyle name="40% - Accent4 2 4 9" xfId="2055"/>
    <cellStyle name="40% - Accent4 2 4 9 2" xfId="4942"/>
    <cellStyle name="40% - Accent4 2 4 9 2 2" xfId="10983"/>
    <cellStyle name="40% - Accent4 2 4 9 2 2 2" xfId="28030"/>
    <cellStyle name="40% - Accent4 2 4 9 2 2 2 2" xfId="56891"/>
    <cellStyle name="40% - Accent4 2 4 9 2 2 3" xfId="39844"/>
    <cellStyle name="40% - Accent4 2 4 9 2 3" xfId="22052"/>
    <cellStyle name="40% - Accent4 2 4 9 2 3 2" xfId="50913"/>
    <cellStyle name="40% - Accent4 2 4 9 2 4" xfId="33803"/>
    <cellStyle name="40% - Accent4 2 4 9 3" xfId="8097"/>
    <cellStyle name="40% - Accent4 2 4 9 3 2" xfId="25144"/>
    <cellStyle name="40% - Accent4 2 4 9 3 2 2" xfId="54005"/>
    <cellStyle name="40% - Accent4 2 4 9 3 3" xfId="36958"/>
    <cellStyle name="40% - Accent4 2 4 9 4" xfId="14435"/>
    <cellStyle name="40% - Accent4 2 4 9 4 2" xfId="19372"/>
    <cellStyle name="40% - Accent4 2 4 9 4 2 2" xfId="48233"/>
    <cellStyle name="40% - Accent4 2 4 9 4 3" xfId="43296"/>
    <cellStyle name="40% - Accent4 2 4 9 5" xfId="16692"/>
    <cellStyle name="40% - Accent4 2 4 9 5 2" xfId="45553"/>
    <cellStyle name="40% - Accent4 2 4 9 6" xfId="30917"/>
    <cellStyle name="40% - Accent4 2 5" xfId="201"/>
    <cellStyle name="40% - Accent4 2 5 2" xfId="613"/>
    <cellStyle name="40% - Accent4 2 5 2 2" xfId="3500"/>
    <cellStyle name="40% - Accent4 2 5 2 2 2" xfId="9541"/>
    <cellStyle name="40% - Accent4 2 5 2 2 2 2" xfId="26588"/>
    <cellStyle name="40% - Accent4 2 5 2 2 2 2 2" xfId="55449"/>
    <cellStyle name="40% - Accent4 2 5 2 2 2 3" xfId="38402"/>
    <cellStyle name="40% - Accent4 2 5 2 2 3" xfId="20610"/>
    <cellStyle name="40% - Accent4 2 5 2 2 3 2" xfId="49471"/>
    <cellStyle name="40% - Accent4 2 5 2 2 4" xfId="32361"/>
    <cellStyle name="40% - Accent4 2 5 2 3" xfId="6655"/>
    <cellStyle name="40% - Accent4 2 5 2 3 2" xfId="23702"/>
    <cellStyle name="40% - Accent4 2 5 2 3 2 2" xfId="52563"/>
    <cellStyle name="40% - Accent4 2 5 2 3 3" xfId="35516"/>
    <cellStyle name="40% - Accent4 2 5 2 4" xfId="12120"/>
    <cellStyle name="40% - Accent4 2 5 2 4 2" xfId="17930"/>
    <cellStyle name="40% - Accent4 2 5 2 4 2 2" xfId="46791"/>
    <cellStyle name="40% - Accent4 2 5 2 4 3" xfId="40981"/>
    <cellStyle name="40% - Accent4 2 5 2 5" xfId="15250"/>
    <cellStyle name="40% - Accent4 2 5 2 5 2" xfId="44111"/>
    <cellStyle name="40% - Accent4 2 5 2 6" xfId="29475"/>
    <cellStyle name="40% - Accent4 2 5 3" xfId="2158"/>
    <cellStyle name="40% - Accent4 2 5 3 2" xfId="5045"/>
    <cellStyle name="40% - Accent4 2 5 3 2 2" xfId="11086"/>
    <cellStyle name="40% - Accent4 2 5 3 2 2 2" xfId="28133"/>
    <cellStyle name="40% - Accent4 2 5 3 2 2 2 2" xfId="56994"/>
    <cellStyle name="40% - Accent4 2 5 3 2 2 3" xfId="39947"/>
    <cellStyle name="40% - Accent4 2 5 3 2 3" xfId="22155"/>
    <cellStyle name="40% - Accent4 2 5 3 2 3 2" xfId="51016"/>
    <cellStyle name="40% - Accent4 2 5 3 2 4" xfId="33906"/>
    <cellStyle name="40% - Accent4 2 5 3 3" xfId="8200"/>
    <cellStyle name="40% - Accent4 2 5 3 3 2" xfId="25247"/>
    <cellStyle name="40% - Accent4 2 5 3 3 2 2" xfId="54108"/>
    <cellStyle name="40% - Accent4 2 5 3 3 3" xfId="37061"/>
    <cellStyle name="40% - Accent4 2 5 3 4" xfId="14266"/>
    <cellStyle name="40% - Accent4 2 5 3 4 2" xfId="19475"/>
    <cellStyle name="40% - Accent4 2 5 3 4 2 2" xfId="48336"/>
    <cellStyle name="40% - Accent4 2 5 3 4 3" xfId="43127"/>
    <cellStyle name="40% - Accent4 2 5 3 5" xfId="16795"/>
    <cellStyle name="40% - Accent4 2 5 3 5 2" xfId="45656"/>
    <cellStyle name="40% - Accent4 2 5 3 6" xfId="31020"/>
    <cellStyle name="40% - Accent4 2 5 4" xfId="3088"/>
    <cellStyle name="40% - Accent4 2 5 4 2" xfId="9129"/>
    <cellStyle name="40% - Accent4 2 5 4 2 2" xfId="26176"/>
    <cellStyle name="40% - Accent4 2 5 4 2 2 2" xfId="55037"/>
    <cellStyle name="40% - Accent4 2 5 4 2 3" xfId="37990"/>
    <cellStyle name="40% - Accent4 2 5 4 3" xfId="20198"/>
    <cellStyle name="40% - Accent4 2 5 4 3 2" xfId="49059"/>
    <cellStyle name="40% - Accent4 2 5 4 4" xfId="31949"/>
    <cellStyle name="40% - Accent4 2 5 5" xfId="6243"/>
    <cellStyle name="40% - Accent4 2 5 5 2" xfId="23290"/>
    <cellStyle name="40% - Accent4 2 5 5 2 2" xfId="52151"/>
    <cellStyle name="40% - Accent4 2 5 5 3" xfId="35104"/>
    <cellStyle name="40% - Accent4 2 5 6" xfId="12798"/>
    <cellStyle name="40% - Accent4 2 5 6 2" xfId="17621"/>
    <cellStyle name="40% - Accent4 2 5 6 2 2" xfId="46482"/>
    <cellStyle name="40% - Accent4 2 5 6 3" xfId="41659"/>
    <cellStyle name="40% - Accent4 2 5 7" xfId="14838"/>
    <cellStyle name="40% - Accent4 2 5 7 2" xfId="43699"/>
    <cellStyle name="40% - Accent4 2 5 8" xfId="29063"/>
    <cellStyle name="40% - Accent4 2 6" xfId="407"/>
    <cellStyle name="40% - Accent4 2 6 2" xfId="3294"/>
    <cellStyle name="40% - Accent4 2 6 2 2" xfId="9335"/>
    <cellStyle name="40% - Accent4 2 6 2 2 2" xfId="26382"/>
    <cellStyle name="40% - Accent4 2 6 2 2 2 2" xfId="55243"/>
    <cellStyle name="40% - Accent4 2 6 2 2 3" xfId="38196"/>
    <cellStyle name="40% - Accent4 2 6 2 3" xfId="20404"/>
    <cellStyle name="40% - Accent4 2 6 2 3 2" xfId="49265"/>
    <cellStyle name="40% - Accent4 2 6 2 4" xfId="32155"/>
    <cellStyle name="40% - Accent4 2 6 3" xfId="6449"/>
    <cellStyle name="40% - Accent4 2 6 3 2" xfId="23496"/>
    <cellStyle name="40% - Accent4 2 6 3 2 2" xfId="52357"/>
    <cellStyle name="40% - Accent4 2 6 3 3" xfId="35310"/>
    <cellStyle name="40% - Accent4 2 6 4" xfId="13110"/>
    <cellStyle name="40% - Accent4 2 6 4 2" xfId="17724"/>
    <cellStyle name="40% - Accent4 2 6 4 2 2" xfId="46585"/>
    <cellStyle name="40% - Accent4 2 6 4 3" xfId="41971"/>
    <cellStyle name="40% - Accent4 2 6 5" xfId="15044"/>
    <cellStyle name="40% - Accent4 2 6 5 2" xfId="43905"/>
    <cellStyle name="40% - Accent4 2 6 6" xfId="29269"/>
    <cellStyle name="40% - Accent4 2 7" xfId="716"/>
    <cellStyle name="40% - Accent4 2 7 2" xfId="3603"/>
    <cellStyle name="40% - Accent4 2 7 2 2" xfId="9644"/>
    <cellStyle name="40% - Accent4 2 7 2 2 2" xfId="26691"/>
    <cellStyle name="40% - Accent4 2 7 2 2 2 2" xfId="55552"/>
    <cellStyle name="40% - Accent4 2 7 2 2 3" xfId="38505"/>
    <cellStyle name="40% - Accent4 2 7 2 3" xfId="20713"/>
    <cellStyle name="40% - Accent4 2 7 2 3 2" xfId="49574"/>
    <cellStyle name="40% - Accent4 2 7 2 4" xfId="32464"/>
    <cellStyle name="40% - Accent4 2 7 3" xfId="6758"/>
    <cellStyle name="40% - Accent4 2 7 3 2" xfId="23805"/>
    <cellStyle name="40% - Accent4 2 7 3 2 2" xfId="52666"/>
    <cellStyle name="40% - Accent4 2 7 3 3" xfId="35619"/>
    <cellStyle name="40% - Accent4 2 7 4" xfId="13661"/>
    <cellStyle name="40% - Accent4 2 7 4 2" xfId="18033"/>
    <cellStyle name="40% - Accent4 2 7 4 2 2" xfId="46894"/>
    <cellStyle name="40% - Accent4 2 7 4 3" xfId="42522"/>
    <cellStyle name="40% - Accent4 2 7 5" xfId="15353"/>
    <cellStyle name="40% - Accent4 2 7 5 2" xfId="44214"/>
    <cellStyle name="40% - Accent4 2 7 6" xfId="29578"/>
    <cellStyle name="40% - Accent4 2 8" xfId="922"/>
    <cellStyle name="40% - Accent4 2 8 2" xfId="3809"/>
    <cellStyle name="40% - Accent4 2 8 2 2" xfId="9850"/>
    <cellStyle name="40% - Accent4 2 8 2 2 2" xfId="26897"/>
    <cellStyle name="40% - Accent4 2 8 2 2 2 2" xfId="55758"/>
    <cellStyle name="40% - Accent4 2 8 2 2 3" xfId="38711"/>
    <cellStyle name="40% - Accent4 2 8 2 3" xfId="20919"/>
    <cellStyle name="40% - Accent4 2 8 2 3 2" xfId="49780"/>
    <cellStyle name="40% - Accent4 2 8 2 4" xfId="32670"/>
    <cellStyle name="40% - Accent4 2 8 3" xfId="6964"/>
    <cellStyle name="40% - Accent4 2 8 3 2" xfId="24011"/>
    <cellStyle name="40% - Accent4 2 8 3 2 2" xfId="52872"/>
    <cellStyle name="40% - Accent4 2 8 3 3" xfId="35825"/>
    <cellStyle name="40% - Accent4 2 8 4" xfId="13103"/>
    <cellStyle name="40% - Accent4 2 8 4 2" xfId="18239"/>
    <cellStyle name="40% - Accent4 2 8 4 2 2" xfId="47100"/>
    <cellStyle name="40% - Accent4 2 8 4 3" xfId="41964"/>
    <cellStyle name="40% - Accent4 2 8 5" xfId="15559"/>
    <cellStyle name="40% - Accent4 2 8 5 2" xfId="44420"/>
    <cellStyle name="40% - Accent4 2 8 6" xfId="29784"/>
    <cellStyle name="40% - Accent4 2 9" xfId="1128"/>
    <cellStyle name="40% - Accent4 2 9 2" xfId="4015"/>
    <cellStyle name="40% - Accent4 2 9 2 2" xfId="10056"/>
    <cellStyle name="40% - Accent4 2 9 2 2 2" xfId="27103"/>
    <cellStyle name="40% - Accent4 2 9 2 2 2 2" xfId="55964"/>
    <cellStyle name="40% - Accent4 2 9 2 2 3" xfId="38917"/>
    <cellStyle name="40% - Accent4 2 9 2 3" xfId="21125"/>
    <cellStyle name="40% - Accent4 2 9 2 3 2" xfId="49986"/>
    <cellStyle name="40% - Accent4 2 9 2 4" xfId="32876"/>
    <cellStyle name="40% - Accent4 2 9 3" xfId="7170"/>
    <cellStyle name="40% - Accent4 2 9 3 2" xfId="24217"/>
    <cellStyle name="40% - Accent4 2 9 3 2 2" xfId="53078"/>
    <cellStyle name="40% - Accent4 2 9 3 3" xfId="36031"/>
    <cellStyle name="40% - Accent4 2 9 4" xfId="13159"/>
    <cellStyle name="40% - Accent4 2 9 4 2" xfId="18445"/>
    <cellStyle name="40% - Accent4 2 9 4 2 2" xfId="47306"/>
    <cellStyle name="40% - Accent4 2 9 4 3" xfId="42020"/>
    <cellStyle name="40% - Accent4 2 9 5" xfId="15765"/>
    <cellStyle name="40% - Accent4 2 9 5 2" xfId="44626"/>
    <cellStyle name="40% - Accent4 2 9 6" xfId="29990"/>
    <cellStyle name="40% - Accent4 20" xfId="5868"/>
    <cellStyle name="40% - Accent4 20 2" xfId="22967"/>
    <cellStyle name="40% - Accent4 20 2 2" xfId="51828"/>
    <cellStyle name="40% - Accent4 20 3" xfId="34729"/>
    <cellStyle name="40% - Accent4 21" xfId="6126"/>
    <cellStyle name="40% - Accent4 21 2" xfId="23173"/>
    <cellStyle name="40% - Accent4 21 2 2" xfId="52034"/>
    <cellStyle name="40% - Accent4 21 3" xfId="34987"/>
    <cellStyle name="40% - Accent4 22" xfId="14515"/>
    <cellStyle name="40% - Accent4 22 2" xfId="43376"/>
    <cellStyle name="40% - Accent4 23" xfId="28946"/>
    <cellStyle name="40% - Accent4 3" xfId="111"/>
    <cellStyle name="40% - Accent4 3 10" xfId="1759"/>
    <cellStyle name="40% - Accent4 3 10 2" xfId="4646"/>
    <cellStyle name="40% - Accent4 3 10 2 2" xfId="10687"/>
    <cellStyle name="40% - Accent4 3 10 2 2 2" xfId="27734"/>
    <cellStyle name="40% - Accent4 3 10 2 2 2 2" xfId="56595"/>
    <cellStyle name="40% - Accent4 3 10 2 2 3" xfId="39548"/>
    <cellStyle name="40% - Accent4 3 10 2 3" xfId="21756"/>
    <cellStyle name="40% - Accent4 3 10 2 3 2" xfId="50617"/>
    <cellStyle name="40% - Accent4 3 10 2 4" xfId="33507"/>
    <cellStyle name="40% - Accent4 3 10 3" xfId="7801"/>
    <cellStyle name="40% - Accent4 3 10 3 2" xfId="24848"/>
    <cellStyle name="40% - Accent4 3 10 3 2 2" xfId="53709"/>
    <cellStyle name="40% - Accent4 3 10 3 3" xfId="36662"/>
    <cellStyle name="40% - Accent4 3 10 4" xfId="14129"/>
    <cellStyle name="40% - Accent4 3 10 4 2" xfId="19076"/>
    <cellStyle name="40% - Accent4 3 10 4 2 2" xfId="47937"/>
    <cellStyle name="40% - Accent4 3 10 4 3" xfId="42990"/>
    <cellStyle name="40% - Accent4 3 10 5" xfId="16396"/>
    <cellStyle name="40% - Accent4 3 10 5 2" xfId="45257"/>
    <cellStyle name="40% - Accent4 3 10 6" xfId="30621"/>
    <cellStyle name="40% - Accent4 3 11" xfId="1965"/>
    <cellStyle name="40% - Accent4 3 11 2" xfId="4852"/>
    <cellStyle name="40% - Accent4 3 11 2 2" xfId="10893"/>
    <cellStyle name="40% - Accent4 3 11 2 2 2" xfId="27940"/>
    <cellStyle name="40% - Accent4 3 11 2 2 2 2" xfId="56801"/>
    <cellStyle name="40% - Accent4 3 11 2 2 3" xfId="39754"/>
    <cellStyle name="40% - Accent4 3 11 2 3" xfId="21962"/>
    <cellStyle name="40% - Accent4 3 11 2 3 2" xfId="50823"/>
    <cellStyle name="40% - Accent4 3 11 2 4" xfId="33713"/>
    <cellStyle name="40% - Accent4 3 11 3" xfId="8007"/>
    <cellStyle name="40% - Accent4 3 11 3 2" xfId="25054"/>
    <cellStyle name="40% - Accent4 3 11 3 2 2" xfId="53915"/>
    <cellStyle name="40% - Accent4 3 11 3 3" xfId="36868"/>
    <cellStyle name="40% - Accent4 3 11 4" xfId="12870"/>
    <cellStyle name="40% - Accent4 3 11 4 2" xfId="19282"/>
    <cellStyle name="40% - Accent4 3 11 4 2 2" xfId="48143"/>
    <cellStyle name="40% - Accent4 3 11 4 3" xfId="41731"/>
    <cellStyle name="40% - Accent4 3 11 5" xfId="16602"/>
    <cellStyle name="40% - Accent4 3 11 5 2" xfId="45463"/>
    <cellStyle name="40% - Accent4 3 11 6" xfId="30827"/>
    <cellStyle name="40% - Accent4 3 12" xfId="2377"/>
    <cellStyle name="40% - Accent4 3 12 2" xfId="5264"/>
    <cellStyle name="40% - Accent4 3 12 2 2" xfId="11305"/>
    <cellStyle name="40% - Accent4 3 12 2 2 2" xfId="28352"/>
    <cellStyle name="40% - Accent4 3 12 2 2 2 2" xfId="57213"/>
    <cellStyle name="40% - Accent4 3 12 2 2 3" xfId="40166"/>
    <cellStyle name="40% - Accent4 3 12 2 3" xfId="22374"/>
    <cellStyle name="40% - Accent4 3 12 2 3 2" xfId="51235"/>
    <cellStyle name="40% - Accent4 3 12 2 4" xfId="34125"/>
    <cellStyle name="40% - Accent4 3 12 3" xfId="8419"/>
    <cellStyle name="40% - Accent4 3 12 3 2" xfId="25466"/>
    <cellStyle name="40% - Accent4 3 12 3 2 2" xfId="54327"/>
    <cellStyle name="40% - Accent4 3 12 3 3" xfId="37280"/>
    <cellStyle name="40% - Accent4 3 12 4" xfId="12939"/>
    <cellStyle name="40% - Accent4 3 12 4 2" xfId="19694"/>
    <cellStyle name="40% - Accent4 3 12 4 2 2" xfId="48555"/>
    <cellStyle name="40% - Accent4 3 12 4 3" xfId="41800"/>
    <cellStyle name="40% - Accent4 3 12 5" xfId="17014"/>
    <cellStyle name="40% - Accent4 3 12 5 2" xfId="45875"/>
    <cellStyle name="40% - Accent4 3 12 6" xfId="31239"/>
    <cellStyle name="40% - Accent4 3 13" xfId="2586"/>
    <cellStyle name="40% - Accent4 3 13 2" xfId="5472"/>
    <cellStyle name="40% - Accent4 3 13 2 2" xfId="11513"/>
    <cellStyle name="40% - Accent4 3 13 2 2 2" xfId="28560"/>
    <cellStyle name="40% - Accent4 3 13 2 2 2 2" xfId="57421"/>
    <cellStyle name="40% - Accent4 3 13 2 2 3" xfId="40374"/>
    <cellStyle name="40% - Accent4 3 13 2 3" xfId="22582"/>
    <cellStyle name="40% - Accent4 3 13 2 3 2" xfId="51443"/>
    <cellStyle name="40% - Accent4 3 13 2 4" xfId="34333"/>
    <cellStyle name="40% - Accent4 3 13 3" xfId="8627"/>
    <cellStyle name="40% - Accent4 3 13 3 2" xfId="25674"/>
    <cellStyle name="40% - Accent4 3 13 3 2 2" xfId="54535"/>
    <cellStyle name="40% - Accent4 3 13 3 3" xfId="37488"/>
    <cellStyle name="40% - Accent4 3 13 4" xfId="12579"/>
    <cellStyle name="40% - Accent4 3 13 4 2" xfId="19902"/>
    <cellStyle name="40% - Accent4 3 13 4 2 2" xfId="48763"/>
    <cellStyle name="40% - Accent4 3 13 4 3" xfId="41440"/>
    <cellStyle name="40% - Accent4 3 13 5" xfId="17222"/>
    <cellStyle name="40% - Accent4 3 13 5 2" xfId="46083"/>
    <cellStyle name="40% - Accent4 3 13 6" xfId="31447"/>
    <cellStyle name="40% - Accent4 3 14" xfId="2998"/>
    <cellStyle name="40% - Accent4 3 14 2" xfId="9039"/>
    <cellStyle name="40% - Accent4 3 14 2 2" xfId="26086"/>
    <cellStyle name="40% - Accent4 3 14 2 2 2" xfId="54947"/>
    <cellStyle name="40% - Accent4 3 14 2 3" xfId="37900"/>
    <cellStyle name="40% - Accent4 3 14 3" xfId="13559"/>
    <cellStyle name="40% - Accent4 3 14 3 2" xfId="20108"/>
    <cellStyle name="40% - Accent4 3 14 3 2 2" xfId="48969"/>
    <cellStyle name="40% - Accent4 3 14 3 3" xfId="42420"/>
    <cellStyle name="40% - Accent4 3 14 4" xfId="14748"/>
    <cellStyle name="40% - Accent4 3 14 4 2" xfId="43609"/>
    <cellStyle name="40% - Accent4 3 14 5" xfId="31859"/>
    <cellStyle name="40% - Accent4 3 15" xfId="2792"/>
    <cellStyle name="40% - Accent4 3 15 2" xfId="8833"/>
    <cellStyle name="40% - Accent4 3 15 2 2" xfId="25880"/>
    <cellStyle name="40% - Accent4 3 15 2 2 2" xfId="54741"/>
    <cellStyle name="40% - Accent4 3 15 2 3" xfId="37694"/>
    <cellStyle name="40% - Accent4 3 15 3" xfId="17428"/>
    <cellStyle name="40% - Accent4 3 15 3 2" xfId="46289"/>
    <cellStyle name="40% - Accent4 3 15 4" xfId="31653"/>
    <cellStyle name="40% - Accent4 3 16" xfId="5678"/>
    <cellStyle name="40% - Accent4 3 16 2" xfId="11719"/>
    <cellStyle name="40% - Accent4 3 16 2 2" xfId="28766"/>
    <cellStyle name="40% - Accent4 3 16 2 2 2" xfId="57627"/>
    <cellStyle name="40% - Accent4 3 16 2 3" xfId="40580"/>
    <cellStyle name="40% - Accent4 3 16 3" xfId="22788"/>
    <cellStyle name="40% - Accent4 3 16 3 2" xfId="51649"/>
    <cellStyle name="40% - Accent4 3 16 4" xfId="34539"/>
    <cellStyle name="40% - Accent4 3 17" xfId="5895"/>
    <cellStyle name="40% - Accent4 3 17 2" xfId="22994"/>
    <cellStyle name="40% - Accent4 3 17 2 2" xfId="51855"/>
    <cellStyle name="40% - Accent4 3 17 3" xfId="34756"/>
    <cellStyle name="40% - Accent4 3 18" xfId="6153"/>
    <cellStyle name="40% - Accent4 3 18 2" xfId="23200"/>
    <cellStyle name="40% - Accent4 3 18 2 2" xfId="52061"/>
    <cellStyle name="40% - Accent4 3 18 3" xfId="35014"/>
    <cellStyle name="40% - Accent4 3 19" xfId="14542"/>
    <cellStyle name="40% - Accent4 3 19 2" xfId="43403"/>
    <cellStyle name="40% - Accent4 3 2" xfId="317"/>
    <cellStyle name="40% - Accent4 3 2 10" xfId="2480"/>
    <cellStyle name="40% - Accent4 3 2 10 2" xfId="5367"/>
    <cellStyle name="40% - Accent4 3 2 10 2 2" xfId="11408"/>
    <cellStyle name="40% - Accent4 3 2 10 2 2 2" xfId="28455"/>
    <cellStyle name="40% - Accent4 3 2 10 2 2 2 2" xfId="57316"/>
    <cellStyle name="40% - Accent4 3 2 10 2 2 3" xfId="40269"/>
    <cellStyle name="40% - Accent4 3 2 10 2 3" xfId="22477"/>
    <cellStyle name="40% - Accent4 3 2 10 2 3 2" xfId="51338"/>
    <cellStyle name="40% - Accent4 3 2 10 2 4" xfId="34228"/>
    <cellStyle name="40% - Accent4 3 2 10 3" xfId="8522"/>
    <cellStyle name="40% - Accent4 3 2 10 3 2" xfId="25569"/>
    <cellStyle name="40% - Accent4 3 2 10 3 2 2" xfId="54430"/>
    <cellStyle name="40% - Accent4 3 2 10 3 3" xfId="37383"/>
    <cellStyle name="40% - Accent4 3 2 10 4" xfId="13656"/>
    <cellStyle name="40% - Accent4 3 2 10 4 2" xfId="19797"/>
    <cellStyle name="40% - Accent4 3 2 10 4 2 2" xfId="48658"/>
    <cellStyle name="40% - Accent4 3 2 10 4 3" xfId="42517"/>
    <cellStyle name="40% - Accent4 3 2 10 5" xfId="17117"/>
    <cellStyle name="40% - Accent4 3 2 10 5 2" xfId="45978"/>
    <cellStyle name="40% - Accent4 3 2 10 6" xfId="31342"/>
    <cellStyle name="40% - Accent4 3 2 11" xfId="2689"/>
    <cellStyle name="40% - Accent4 3 2 11 2" xfId="5575"/>
    <cellStyle name="40% - Accent4 3 2 11 2 2" xfId="11616"/>
    <cellStyle name="40% - Accent4 3 2 11 2 2 2" xfId="28663"/>
    <cellStyle name="40% - Accent4 3 2 11 2 2 2 2" xfId="57524"/>
    <cellStyle name="40% - Accent4 3 2 11 2 2 3" xfId="40477"/>
    <cellStyle name="40% - Accent4 3 2 11 2 3" xfId="22685"/>
    <cellStyle name="40% - Accent4 3 2 11 2 3 2" xfId="51546"/>
    <cellStyle name="40% - Accent4 3 2 11 2 4" xfId="34436"/>
    <cellStyle name="40% - Accent4 3 2 11 3" xfId="8730"/>
    <cellStyle name="40% - Accent4 3 2 11 3 2" xfId="25777"/>
    <cellStyle name="40% - Accent4 3 2 11 3 2 2" xfId="54638"/>
    <cellStyle name="40% - Accent4 3 2 11 3 3" xfId="37591"/>
    <cellStyle name="40% - Accent4 3 2 11 4" xfId="13273"/>
    <cellStyle name="40% - Accent4 3 2 11 4 2" xfId="20005"/>
    <cellStyle name="40% - Accent4 3 2 11 4 2 2" xfId="48866"/>
    <cellStyle name="40% - Accent4 3 2 11 4 3" xfId="42134"/>
    <cellStyle name="40% - Accent4 3 2 11 5" xfId="17325"/>
    <cellStyle name="40% - Accent4 3 2 11 5 2" xfId="46186"/>
    <cellStyle name="40% - Accent4 3 2 11 6" xfId="31550"/>
    <cellStyle name="40% - Accent4 3 2 12" xfId="3204"/>
    <cellStyle name="40% - Accent4 3 2 12 2" xfId="9245"/>
    <cellStyle name="40% - Accent4 3 2 12 2 2" xfId="26292"/>
    <cellStyle name="40% - Accent4 3 2 12 2 2 2" xfId="55153"/>
    <cellStyle name="40% - Accent4 3 2 12 2 3" xfId="38106"/>
    <cellStyle name="40% - Accent4 3 2 12 3" xfId="12740"/>
    <cellStyle name="40% - Accent4 3 2 12 3 2" xfId="20314"/>
    <cellStyle name="40% - Accent4 3 2 12 3 2 2" xfId="49175"/>
    <cellStyle name="40% - Accent4 3 2 12 3 3" xfId="41601"/>
    <cellStyle name="40% - Accent4 3 2 12 4" xfId="14954"/>
    <cellStyle name="40% - Accent4 3 2 12 4 2" xfId="43815"/>
    <cellStyle name="40% - Accent4 3 2 12 5" xfId="32065"/>
    <cellStyle name="40% - Accent4 3 2 13" xfId="2895"/>
    <cellStyle name="40% - Accent4 3 2 13 2" xfId="8936"/>
    <cellStyle name="40% - Accent4 3 2 13 2 2" xfId="25983"/>
    <cellStyle name="40% - Accent4 3 2 13 2 2 2" xfId="54844"/>
    <cellStyle name="40% - Accent4 3 2 13 2 3" xfId="37797"/>
    <cellStyle name="40% - Accent4 3 2 13 3" xfId="17531"/>
    <cellStyle name="40% - Accent4 3 2 13 3 2" xfId="46392"/>
    <cellStyle name="40% - Accent4 3 2 13 4" xfId="31756"/>
    <cellStyle name="40% - Accent4 3 2 14" xfId="5781"/>
    <cellStyle name="40% - Accent4 3 2 14 2" xfId="11822"/>
    <cellStyle name="40% - Accent4 3 2 14 2 2" xfId="28869"/>
    <cellStyle name="40% - Accent4 3 2 14 2 2 2" xfId="57730"/>
    <cellStyle name="40% - Accent4 3 2 14 2 3" xfId="40683"/>
    <cellStyle name="40% - Accent4 3 2 14 3" xfId="22891"/>
    <cellStyle name="40% - Accent4 3 2 14 3 2" xfId="51752"/>
    <cellStyle name="40% - Accent4 3 2 14 4" xfId="34642"/>
    <cellStyle name="40% - Accent4 3 2 15" xfId="5998"/>
    <cellStyle name="40% - Accent4 3 2 15 2" xfId="23097"/>
    <cellStyle name="40% - Accent4 3 2 15 2 2" xfId="51958"/>
    <cellStyle name="40% - Accent4 3 2 15 3" xfId="34859"/>
    <cellStyle name="40% - Accent4 3 2 16" xfId="6359"/>
    <cellStyle name="40% - Accent4 3 2 16 2" xfId="23406"/>
    <cellStyle name="40% - Accent4 3 2 16 2 2" xfId="52267"/>
    <cellStyle name="40% - Accent4 3 2 16 3" xfId="35220"/>
    <cellStyle name="40% - Accent4 3 2 17" xfId="14645"/>
    <cellStyle name="40% - Accent4 3 2 17 2" xfId="43506"/>
    <cellStyle name="40% - Accent4 3 2 18" xfId="29179"/>
    <cellStyle name="40% - Accent4 3 2 2" xfId="523"/>
    <cellStyle name="40% - Accent4 3 2 2 2" xfId="2274"/>
    <cellStyle name="40% - Accent4 3 2 2 2 2" xfId="5161"/>
    <cellStyle name="40% - Accent4 3 2 2 2 2 2" xfId="11202"/>
    <cellStyle name="40% - Accent4 3 2 2 2 2 2 2" xfId="28249"/>
    <cellStyle name="40% - Accent4 3 2 2 2 2 2 2 2" xfId="57110"/>
    <cellStyle name="40% - Accent4 3 2 2 2 2 2 3" xfId="40063"/>
    <cellStyle name="40% - Accent4 3 2 2 2 2 3" xfId="22271"/>
    <cellStyle name="40% - Accent4 3 2 2 2 2 3 2" xfId="51132"/>
    <cellStyle name="40% - Accent4 3 2 2 2 2 4" xfId="34022"/>
    <cellStyle name="40% - Accent4 3 2 2 2 3" xfId="8316"/>
    <cellStyle name="40% - Accent4 3 2 2 2 3 2" xfId="25363"/>
    <cellStyle name="40% - Accent4 3 2 2 2 3 2 2" xfId="54224"/>
    <cellStyle name="40% - Accent4 3 2 2 2 3 3" xfId="37177"/>
    <cellStyle name="40% - Accent4 3 2 2 2 4" xfId="12443"/>
    <cellStyle name="40% - Accent4 3 2 2 2 4 2" xfId="19591"/>
    <cellStyle name="40% - Accent4 3 2 2 2 4 2 2" xfId="48452"/>
    <cellStyle name="40% - Accent4 3 2 2 2 4 3" xfId="41304"/>
    <cellStyle name="40% - Accent4 3 2 2 2 5" xfId="16911"/>
    <cellStyle name="40% - Accent4 3 2 2 2 5 2" xfId="45772"/>
    <cellStyle name="40% - Accent4 3 2 2 2 6" xfId="31136"/>
    <cellStyle name="40% - Accent4 3 2 2 3" xfId="3410"/>
    <cellStyle name="40% - Accent4 3 2 2 3 2" xfId="9451"/>
    <cellStyle name="40% - Accent4 3 2 2 3 2 2" xfId="26498"/>
    <cellStyle name="40% - Accent4 3 2 2 3 2 2 2" xfId="55359"/>
    <cellStyle name="40% - Accent4 3 2 2 3 2 3" xfId="38312"/>
    <cellStyle name="40% - Accent4 3 2 2 3 3" xfId="20520"/>
    <cellStyle name="40% - Accent4 3 2 2 3 3 2" xfId="49381"/>
    <cellStyle name="40% - Accent4 3 2 2 3 4" xfId="32271"/>
    <cellStyle name="40% - Accent4 3 2 2 4" xfId="6565"/>
    <cellStyle name="40% - Accent4 3 2 2 4 2" xfId="23612"/>
    <cellStyle name="40% - Accent4 3 2 2 4 2 2" xfId="52473"/>
    <cellStyle name="40% - Accent4 3 2 2 4 3" xfId="35426"/>
    <cellStyle name="40% - Accent4 3 2 2 5" xfId="14210"/>
    <cellStyle name="40% - Accent4 3 2 2 5 2" xfId="17840"/>
    <cellStyle name="40% - Accent4 3 2 2 5 2 2" xfId="46701"/>
    <cellStyle name="40% - Accent4 3 2 2 5 3" xfId="43071"/>
    <cellStyle name="40% - Accent4 3 2 2 6" xfId="15160"/>
    <cellStyle name="40% - Accent4 3 2 2 6 2" xfId="44021"/>
    <cellStyle name="40% - Accent4 3 2 2 7" xfId="29385"/>
    <cellStyle name="40% - Accent4 3 2 3" xfId="832"/>
    <cellStyle name="40% - Accent4 3 2 3 2" xfId="3719"/>
    <cellStyle name="40% - Accent4 3 2 3 2 2" xfId="9760"/>
    <cellStyle name="40% - Accent4 3 2 3 2 2 2" xfId="26807"/>
    <cellStyle name="40% - Accent4 3 2 3 2 2 2 2" xfId="55668"/>
    <cellStyle name="40% - Accent4 3 2 3 2 2 3" xfId="38621"/>
    <cellStyle name="40% - Accent4 3 2 3 2 3" xfId="20829"/>
    <cellStyle name="40% - Accent4 3 2 3 2 3 2" xfId="49690"/>
    <cellStyle name="40% - Accent4 3 2 3 2 4" xfId="32580"/>
    <cellStyle name="40% - Accent4 3 2 3 3" xfId="6874"/>
    <cellStyle name="40% - Accent4 3 2 3 3 2" xfId="23921"/>
    <cellStyle name="40% - Accent4 3 2 3 3 2 2" xfId="52782"/>
    <cellStyle name="40% - Accent4 3 2 3 3 3" xfId="35735"/>
    <cellStyle name="40% - Accent4 3 2 3 4" xfId="13229"/>
    <cellStyle name="40% - Accent4 3 2 3 4 2" xfId="18149"/>
    <cellStyle name="40% - Accent4 3 2 3 4 2 2" xfId="47010"/>
    <cellStyle name="40% - Accent4 3 2 3 4 3" xfId="42090"/>
    <cellStyle name="40% - Accent4 3 2 3 5" xfId="15469"/>
    <cellStyle name="40% - Accent4 3 2 3 5 2" xfId="44330"/>
    <cellStyle name="40% - Accent4 3 2 3 6" xfId="29694"/>
    <cellStyle name="40% - Accent4 3 2 4" xfId="1038"/>
    <cellStyle name="40% - Accent4 3 2 4 2" xfId="3925"/>
    <cellStyle name="40% - Accent4 3 2 4 2 2" xfId="9966"/>
    <cellStyle name="40% - Accent4 3 2 4 2 2 2" xfId="27013"/>
    <cellStyle name="40% - Accent4 3 2 4 2 2 2 2" xfId="55874"/>
    <cellStyle name="40% - Accent4 3 2 4 2 2 3" xfId="38827"/>
    <cellStyle name="40% - Accent4 3 2 4 2 3" xfId="21035"/>
    <cellStyle name="40% - Accent4 3 2 4 2 3 2" xfId="49896"/>
    <cellStyle name="40% - Accent4 3 2 4 2 4" xfId="32786"/>
    <cellStyle name="40% - Accent4 3 2 4 3" xfId="7080"/>
    <cellStyle name="40% - Accent4 3 2 4 3 2" xfId="24127"/>
    <cellStyle name="40% - Accent4 3 2 4 3 2 2" xfId="52988"/>
    <cellStyle name="40% - Accent4 3 2 4 3 3" xfId="35941"/>
    <cellStyle name="40% - Accent4 3 2 4 4" xfId="12070"/>
    <cellStyle name="40% - Accent4 3 2 4 4 2" xfId="18355"/>
    <cellStyle name="40% - Accent4 3 2 4 4 2 2" xfId="47216"/>
    <cellStyle name="40% - Accent4 3 2 4 4 3" xfId="40931"/>
    <cellStyle name="40% - Accent4 3 2 4 5" xfId="15675"/>
    <cellStyle name="40% - Accent4 3 2 4 5 2" xfId="44536"/>
    <cellStyle name="40% - Accent4 3 2 4 6" xfId="29900"/>
    <cellStyle name="40% - Accent4 3 2 5" xfId="1244"/>
    <cellStyle name="40% - Accent4 3 2 5 2" xfId="4131"/>
    <cellStyle name="40% - Accent4 3 2 5 2 2" xfId="10172"/>
    <cellStyle name="40% - Accent4 3 2 5 2 2 2" xfId="27219"/>
    <cellStyle name="40% - Accent4 3 2 5 2 2 2 2" xfId="56080"/>
    <cellStyle name="40% - Accent4 3 2 5 2 2 3" xfId="39033"/>
    <cellStyle name="40% - Accent4 3 2 5 2 3" xfId="21241"/>
    <cellStyle name="40% - Accent4 3 2 5 2 3 2" xfId="50102"/>
    <cellStyle name="40% - Accent4 3 2 5 2 4" xfId="32992"/>
    <cellStyle name="40% - Accent4 3 2 5 3" xfId="7286"/>
    <cellStyle name="40% - Accent4 3 2 5 3 2" xfId="24333"/>
    <cellStyle name="40% - Accent4 3 2 5 3 2 2" xfId="53194"/>
    <cellStyle name="40% - Accent4 3 2 5 3 3" xfId="36147"/>
    <cellStyle name="40% - Accent4 3 2 5 4" xfId="14455"/>
    <cellStyle name="40% - Accent4 3 2 5 4 2" xfId="18561"/>
    <cellStyle name="40% - Accent4 3 2 5 4 2 2" xfId="47422"/>
    <cellStyle name="40% - Accent4 3 2 5 4 3" xfId="43316"/>
    <cellStyle name="40% - Accent4 3 2 5 5" xfId="15881"/>
    <cellStyle name="40% - Accent4 3 2 5 5 2" xfId="44742"/>
    <cellStyle name="40% - Accent4 3 2 5 6" xfId="30106"/>
    <cellStyle name="40% - Accent4 3 2 6" xfId="1450"/>
    <cellStyle name="40% - Accent4 3 2 6 2" xfId="4337"/>
    <cellStyle name="40% - Accent4 3 2 6 2 2" xfId="10378"/>
    <cellStyle name="40% - Accent4 3 2 6 2 2 2" xfId="27425"/>
    <cellStyle name="40% - Accent4 3 2 6 2 2 2 2" xfId="56286"/>
    <cellStyle name="40% - Accent4 3 2 6 2 2 3" xfId="39239"/>
    <cellStyle name="40% - Accent4 3 2 6 2 3" xfId="21447"/>
    <cellStyle name="40% - Accent4 3 2 6 2 3 2" xfId="50308"/>
    <cellStyle name="40% - Accent4 3 2 6 2 4" xfId="33198"/>
    <cellStyle name="40% - Accent4 3 2 6 3" xfId="7492"/>
    <cellStyle name="40% - Accent4 3 2 6 3 2" xfId="24539"/>
    <cellStyle name="40% - Accent4 3 2 6 3 2 2" xfId="53400"/>
    <cellStyle name="40% - Accent4 3 2 6 3 3" xfId="36353"/>
    <cellStyle name="40% - Accent4 3 2 6 4" xfId="14254"/>
    <cellStyle name="40% - Accent4 3 2 6 4 2" xfId="18767"/>
    <cellStyle name="40% - Accent4 3 2 6 4 2 2" xfId="47628"/>
    <cellStyle name="40% - Accent4 3 2 6 4 3" xfId="43115"/>
    <cellStyle name="40% - Accent4 3 2 6 5" xfId="16087"/>
    <cellStyle name="40% - Accent4 3 2 6 5 2" xfId="44948"/>
    <cellStyle name="40% - Accent4 3 2 6 6" xfId="30312"/>
    <cellStyle name="40% - Accent4 3 2 7" xfId="1656"/>
    <cellStyle name="40% - Accent4 3 2 7 2" xfId="4543"/>
    <cellStyle name="40% - Accent4 3 2 7 2 2" xfId="10584"/>
    <cellStyle name="40% - Accent4 3 2 7 2 2 2" xfId="27631"/>
    <cellStyle name="40% - Accent4 3 2 7 2 2 2 2" xfId="56492"/>
    <cellStyle name="40% - Accent4 3 2 7 2 2 3" xfId="39445"/>
    <cellStyle name="40% - Accent4 3 2 7 2 3" xfId="21653"/>
    <cellStyle name="40% - Accent4 3 2 7 2 3 2" xfId="50514"/>
    <cellStyle name="40% - Accent4 3 2 7 2 4" xfId="33404"/>
    <cellStyle name="40% - Accent4 3 2 7 3" xfId="7698"/>
    <cellStyle name="40% - Accent4 3 2 7 3 2" xfId="24745"/>
    <cellStyle name="40% - Accent4 3 2 7 3 2 2" xfId="53606"/>
    <cellStyle name="40% - Accent4 3 2 7 3 3" xfId="36559"/>
    <cellStyle name="40% - Accent4 3 2 7 4" xfId="12423"/>
    <cellStyle name="40% - Accent4 3 2 7 4 2" xfId="18973"/>
    <cellStyle name="40% - Accent4 3 2 7 4 2 2" xfId="47834"/>
    <cellStyle name="40% - Accent4 3 2 7 4 3" xfId="41284"/>
    <cellStyle name="40% - Accent4 3 2 7 5" xfId="16293"/>
    <cellStyle name="40% - Accent4 3 2 7 5 2" xfId="45154"/>
    <cellStyle name="40% - Accent4 3 2 7 6" xfId="30518"/>
    <cellStyle name="40% - Accent4 3 2 8" xfId="1862"/>
    <cellStyle name="40% - Accent4 3 2 8 2" xfId="4749"/>
    <cellStyle name="40% - Accent4 3 2 8 2 2" xfId="10790"/>
    <cellStyle name="40% - Accent4 3 2 8 2 2 2" xfId="27837"/>
    <cellStyle name="40% - Accent4 3 2 8 2 2 2 2" xfId="56698"/>
    <cellStyle name="40% - Accent4 3 2 8 2 2 3" xfId="39651"/>
    <cellStyle name="40% - Accent4 3 2 8 2 3" xfId="21859"/>
    <cellStyle name="40% - Accent4 3 2 8 2 3 2" xfId="50720"/>
    <cellStyle name="40% - Accent4 3 2 8 2 4" xfId="33610"/>
    <cellStyle name="40% - Accent4 3 2 8 3" xfId="7904"/>
    <cellStyle name="40% - Accent4 3 2 8 3 2" xfId="24951"/>
    <cellStyle name="40% - Accent4 3 2 8 3 2 2" xfId="53812"/>
    <cellStyle name="40% - Accent4 3 2 8 3 3" xfId="36765"/>
    <cellStyle name="40% - Accent4 3 2 8 4" xfId="14167"/>
    <cellStyle name="40% - Accent4 3 2 8 4 2" xfId="19179"/>
    <cellStyle name="40% - Accent4 3 2 8 4 2 2" xfId="48040"/>
    <cellStyle name="40% - Accent4 3 2 8 4 3" xfId="43028"/>
    <cellStyle name="40% - Accent4 3 2 8 5" xfId="16499"/>
    <cellStyle name="40% - Accent4 3 2 8 5 2" xfId="45360"/>
    <cellStyle name="40% - Accent4 3 2 8 6" xfId="30724"/>
    <cellStyle name="40% - Accent4 3 2 9" xfId="2068"/>
    <cellStyle name="40% - Accent4 3 2 9 2" xfId="4955"/>
    <cellStyle name="40% - Accent4 3 2 9 2 2" xfId="10996"/>
    <cellStyle name="40% - Accent4 3 2 9 2 2 2" xfId="28043"/>
    <cellStyle name="40% - Accent4 3 2 9 2 2 2 2" xfId="56904"/>
    <cellStyle name="40% - Accent4 3 2 9 2 2 3" xfId="39857"/>
    <cellStyle name="40% - Accent4 3 2 9 2 3" xfId="22065"/>
    <cellStyle name="40% - Accent4 3 2 9 2 3 2" xfId="50926"/>
    <cellStyle name="40% - Accent4 3 2 9 2 4" xfId="33816"/>
    <cellStyle name="40% - Accent4 3 2 9 3" xfId="8110"/>
    <cellStyle name="40% - Accent4 3 2 9 3 2" xfId="25157"/>
    <cellStyle name="40% - Accent4 3 2 9 3 2 2" xfId="54018"/>
    <cellStyle name="40% - Accent4 3 2 9 3 3" xfId="36971"/>
    <cellStyle name="40% - Accent4 3 2 9 4" xfId="12310"/>
    <cellStyle name="40% - Accent4 3 2 9 4 2" xfId="19385"/>
    <cellStyle name="40% - Accent4 3 2 9 4 2 2" xfId="48246"/>
    <cellStyle name="40% - Accent4 3 2 9 4 3" xfId="41171"/>
    <cellStyle name="40% - Accent4 3 2 9 5" xfId="16705"/>
    <cellStyle name="40% - Accent4 3 2 9 5 2" xfId="45566"/>
    <cellStyle name="40% - Accent4 3 2 9 6" xfId="30930"/>
    <cellStyle name="40% - Accent4 3 20" xfId="28973"/>
    <cellStyle name="40% - Accent4 3 3" xfId="214"/>
    <cellStyle name="40% - Accent4 3 3 2" xfId="626"/>
    <cellStyle name="40% - Accent4 3 3 2 2" xfId="3513"/>
    <cellStyle name="40% - Accent4 3 3 2 2 2" xfId="9554"/>
    <cellStyle name="40% - Accent4 3 3 2 2 2 2" xfId="26601"/>
    <cellStyle name="40% - Accent4 3 3 2 2 2 2 2" xfId="55462"/>
    <cellStyle name="40% - Accent4 3 3 2 2 2 3" xfId="38415"/>
    <cellStyle name="40% - Accent4 3 3 2 2 3" xfId="20623"/>
    <cellStyle name="40% - Accent4 3 3 2 2 3 2" xfId="49484"/>
    <cellStyle name="40% - Accent4 3 3 2 2 4" xfId="32374"/>
    <cellStyle name="40% - Accent4 3 3 2 3" xfId="6668"/>
    <cellStyle name="40% - Accent4 3 3 2 3 2" xfId="23715"/>
    <cellStyle name="40% - Accent4 3 3 2 3 2 2" xfId="52576"/>
    <cellStyle name="40% - Accent4 3 3 2 3 3" xfId="35529"/>
    <cellStyle name="40% - Accent4 3 3 2 4" xfId="13833"/>
    <cellStyle name="40% - Accent4 3 3 2 4 2" xfId="17943"/>
    <cellStyle name="40% - Accent4 3 3 2 4 2 2" xfId="46804"/>
    <cellStyle name="40% - Accent4 3 3 2 4 3" xfId="42694"/>
    <cellStyle name="40% - Accent4 3 3 2 5" xfId="15263"/>
    <cellStyle name="40% - Accent4 3 3 2 5 2" xfId="44124"/>
    <cellStyle name="40% - Accent4 3 3 2 6" xfId="29488"/>
    <cellStyle name="40% - Accent4 3 3 3" xfId="2171"/>
    <cellStyle name="40% - Accent4 3 3 3 2" xfId="5058"/>
    <cellStyle name="40% - Accent4 3 3 3 2 2" xfId="11099"/>
    <cellStyle name="40% - Accent4 3 3 3 2 2 2" xfId="28146"/>
    <cellStyle name="40% - Accent4 3 3 3 2 2 2 2" xfId="57007"/>
    <cellStyle name="40% - Accent4 3 3 3 2 2 3" xfId="39960"/>
    <cellStyle name="40% - Accent4 3 3 3 2 3" xfId="22168"/>
    <cellStyle name="40% - Accent4 3 3 3 2 3 2" xfId="51029"/>
    <cellStyle name="40% - Accent4 3 3 3 2 4" xfId="33919"/>
    <cellStyle name="40% - Accent4 3 3 3 3" xfId="8213"/>
    <cellStyle name="40% - Accent4 3 3 3 3 2" xfId="25260"/>
    <cellStyle name="40% - Accent4 3 3 3 3 2 2" xfId="54121"/>
    <cellStyle name="40% - Accent4 3 3 3 3 3" xfId="37074"/>
    <cellStyle name="40% - Accent4 3 3 3 4" xfId="13124"/>
    <cellStyle name="40% - Accent4 3 3 3 4 2" xfId="19488"/>
    <cellStyle name="40% - Accent4 3 3 3 4 2 2" xfId="48349"/>
    <cellStyle name="40% - Accent4 3 3 3 4 3" xfId="41985"/>
    <cellStyle name="40% - Accent4 3 3 3 5" xfId="16808"/>
    <cellStyle name="40% - Accent4 3 3 3 5 2" xfId="45669"/>
    <cellStyle name="40% - Accent4 3 3 3 6" xfId="31033"/>
    <cellStyle name="40% - Accent4 3 3 4" xfId="3101"/>
    <cellStyle name="40% - Accent4 3 3 4 2" xfId="9142"/>
    <cellStyle name="40% - Accent4 3 3 4 2 2" xfId="26189"/>
    <cellStyle name="40% - Accent4 3 3 4 2 2 2" xfId="55050"/>
    <cellStyle name="40% - Accent4 3 3 4 2 3" xfId="38003"/>
    <cellStyle name="40% - Accent4 3 3 4 3" xfId="20211"/>
    <cellStyle name="40% - Accent4 3 3 4 3 2" xfId="49072"/>
    <cellStyle name="40% - Accent4 3 3 4 4" xfId="31962"/>
    <cellStyle name="40% - Accent4 3 3 5" xfId="6256"/>
    <cellStyle name="40% - Accent4 3 3 5 2" xfId="23303"/>
    <cellStyle name="40% - Accent4 3 3 5 2 2" xfId="52164"/>
    <cellStyle name="40% - Accent4 3 3 5 3" xfId="35117"/>
    <cellStyle name="40% - Accent4 3 3 6" xfId="13558"/>
    <cellStyle name="40% - Accent4 3 3 6 2" xfId="17634"/>
    <cellStyle name="40% - Accent4 3 3 6 2 2" xfId="46495"/>
    <cellStyle name="40% - Accent4 3 3 6 3" xfId="42419"/>
    <cellStyle name="40% - Accent4 3 3 7" xfId="14851"/>
    <cellStyle name="40% - Accent4 3 3 7 2" xfId="43712"/>
    <cellStyle name="40% - Accent4 3 3 8" xfId="29076"/>
    <cellStyle name="40% - Accent4 3 4" xfId="420"/>
    <cellStyle name="40% - Accent4 3 4 2" xfId="3307"/>
    <cellStyle name="40% - Accent4 3 4 2 2" xfId="9348"/>
    <cellStyle name="40% - Accent4 3 4 2 2 2" xfId="26395"/>
    <cellStyle name="40% - Accent4 3 4 2 2 2 2" xfId="55256"/>
    <cellStyle name="40% - Accent4 3 4 2 2 3" xfId="38209"/>
    <cellStyle name="40% - Accent4 3 4 2 3" xfId="20417"/>
    <cellStyle name="40% - Accent4 3 4 2 3 2" xfId="49278"/>
    <cellStyle name="40% - Accent4 3 4 2 4" xfId="32168"/>
    <cellStyle name="40% - Accent4 3 4 3" xfId="6462"/>
    <cellStyle name="40% - Accent4 3 4 3 2" xfId="23509"/>
    <cellStyle name="40% - Accent4 3 4 3 2 2" xfId="52370"/>
    <cellStyle name="40% - Accent4 3 4 3 3" xfId="35323"/>
    <cellStyle name="40% - Accent4 3 4 4" xfId="12905"/>
    <cellStyle name="40% - Accent4 3 4 4 2" xfId="17737"/>
    <cellStyle name="40% - Accent4 3 4 4 2 2" xfId="46598"/>
    <cellStyle name="40% - Accent4 3 4 4 3" xfId="41766"/>
    <cellStyle name="40% - Accent4 3 4 5" xfId="15057"/>
    <cellStyle name="40% - Accent4 3 4 5 2" xfId="43918"/>
    <cellStyle name="40% - Accent4 3 4 6" xfId="29282"/>
    <cellStyle name="40% - Accent4 3 5" xfId="729"/>
    <cellStyle name="40% - Accent4 3 5 2" xfId="3616"/>
    <cellStyle name="40% - Accent4 3 5 2 2" xfId="9657"/>
    <cellStyle name="40% - Accent4 3 5 2 2 2" xfId="26704"/>
    <cellStyle name="40% - Accent4 3 5 2 2 2 2" xfId="55565"/>
    <cellStyle name="40% - Accent4 3 5 2 2 3" xfId="38518"/>
    <cellStyle name="40% - Accent4 3 5 2 3" xfId="20726"/>
    <cellStyle name="40% - Accent4 3 5 2 3 2" xfId="49587"/>
    <cellStyle name="40% - Accent4 3 5 2 4" xfId="32477"/>
    <cellStyle name="40% - Accent4 3 5 3" xfId="6771"/>
    <cellStyle name="40% - Accent4 3 5 3 2" xfId="23818"/>
    <cellStyle name="40% - Accent4 3 5 3 2 2" xfId="52679"/>
    <cellStyle name="40% - Accent4 3 5 3 3" xfId="35632"/>
    <cellStyle name="40% - Accent4 3 5 4" xfId="13140"/>
    <cellStyle name="40% - Accent4 3 5 4 2" xfId="18046"/>
    <cellStyle name="40% - Accent4 3 5 4 2 2" xfId="46907"/>
    <cellStyle name="40% - Accent4 3 5 4 3" xfId="42001"/>
    <cellStyle name="40% - Accent4 3 5 5" xfId="15366"/>
    <cellStyle name="40% - Accent4 3 5 5 2" xfId="44227"/>
    <cellStyle name="40% - Accent4 3 5 6" xfId="29591"/>
    <cellStyle name="40% - Accent4 3 6" xfId="935"/>
    <cellStyle name="40% - Accent4 3 6 2" xfId="3822"/>
    <cellStyle name="40% - Accent4 3 6 2 2" xfId="9863"/>
    <cellStyle name="40% - Accent4 3 6 2 2 2" xfId="26910"/>
    <cellStyle name="40% - Accent4 3 6 2 2 2 2" xfId="55771"/>
    <cellStyle name="40% - Accent4 3 6 2 2 3" xfId="38724"/>
    <cellStyle name="40% - Accent4 3 6 2 3" xfId="20932"/>
    <cellStyle name="40% - Accent4 3 6 2 3 2" xfId="49793"/>
    <cellStyle name="40% - Accent4 3 6 2 4" xfId="32683"/>
    <cellStyle name="40% - Accent4 3 6 3" xfId="6977"/>
    <cellStyle name="40% - Accent4 3 6 3 2" xfId="24024"/>
    <cellStyle name="40% - Accent4 3 6 3 2 2" xfId="52885"/>
    <cellStyle name="40% - Accent4 3 6 3 3" xfId="35838"/>
    <cellStyle name="40% - Accent4 3 6 4" xfId="11969"/>
    <cellStyle name="40% - Accent4 3 6 4 2" xfId="18252"/>
    <cellStyle name="40% - Accent4 3 6 4 2 2" xfId="47113"/>
    <cellStyle name="40% - Accent4 3 6 4 3" xfId="40830"/>
    <cellStyle name="40% - Accent4 3 6 5" xfId="15572"/>
    <cellStyle name="40% - Accent4 3 6 5 2" xfId="44433"/>
    <cellStyle name="40% - Accent4 3 6 6" xfId="29797"/>
    <cellStyle name="40% - Accent4 3 7" xfId="1141"/>
    <cellStyle name="40% - Accent4 3 7 2" xfId="4028"/>
    <cellStyle name="40% - Accent4 3 7 2 2" xfId="10069"/>
    <cellStyle name="40% - Accent4 3 7 2 2 2" xfId="27116"/>
    <cellStyle name="40% - Accent4 3 7 2 2 2 2" xfId="55977"/>
    <cellStyle name="40% - Accent4 3 7 2 2 3" xfId="38930"/>
    <cellStyle name="40% - Accent4 3 7 2 3" xfId="21138"/>
    <cellStyle name="40% - Accent4 3 7 2 3 2" xfId="49999"/>
    <cellStyle name="40% - Accent4 3 7 2 4" xfId="32889"/>
    <cellStyle name="40% - Accent4 3 7 3" xfId="7183"/>
    <cellStyle name="40% - Accent4 3 7 3 2" xfId="24230"/>
    <cellStyle name="40% - Accent4 3 7 3 2 2" xfId="53091"/>
    <cellStyle name="40% - Accent4 3 7 3 3" xfId="36044"/>
    <cellStyle name="40% - Accent4 3 7 4" xfId="13027"/>
    <cellStyle name="40% - Accent4 3 7 4 2" xfId="18458"/>
    <cellStyle name="40% - Accent4 3 7 4 2 2" xfId="47319"/>
    <cellStyle name="40% - Accent4 3 7 4 3" xfId="41888"/>
    <cellStyle name="40% - Accent4 3 7 5" xfId="15778"/>
    <cellStyle name="40% - Accent4 3 7 5 2" xfId="44639"/>
    <cellStyle name="40% - Accent4 3 7 6" xfId="30003"/>
    <cellStyle name="40% - Accent4 3 8" xfId="1347"/>
    <cellStyle name="40% - Accent4 3 8 2" xfId="4234"/>
    <cellStyle name="40% - Accent4 3 8 2 2" xfId="10275"/>
    <cellStyle name="40% - Accent4 3 8 2 2 2" xfId="27322"/>
    <cellStyle name="40% - Accent4 3 8 2 2 2 2" xfId="56183"/>
    <cellStyle name="40% - Accent4 3 8 2 2 3" xfId="39136"/>
    <cellStyle name="40% - Accent4 3 8 2 3" xfId="21344"/>
    <cellStyle name="40% - Accent4 3 8 2 3 2" xfId="50205"/>
    <cellStyle name="40% - Accent4 3 8 2 4" xfId="33095"/>
    <cellStyle name="40% - Accent4 3 8 3" xfId="7389"/>
    <cellStyle name="40% - Accent4 3 8 3 2" xfId="24436"/>
    <cellStyle name="40% - Accent4 3 8 3 2 2" xfId="53297"/>
    <cellStyle name="40% - Accent4 3 8 3 3" xfId="36250"/>
    <cellStyle name="40% - Accent4 3 8 4" xfId="12830"/>
    <cellStyle name="40% - Accent4 3 8 4 2" xfId="18664"/>
    <cellStyle name="40% - Accent4 3 8 4 2 2" xfId="47525"/>
    <cellStyle name="40% - Accent4 3 8 4 3" xfId="41691"/>
    <cellStyle name="40% - Accent4 3 8 5" xfId="15984"/>
    <cellStyle name="40% - Accent4 3 8 5 2" xfId="44845"/>
    <cellStyle name="40% - Accent4 3 8 6" xfId="30209"/>
    <cellStyle name="40% - Accent4 3 9" xfId="1553"/>
    <cellStyle name="40% - Accent4 3 9 2" xfId="4440"/>
    <cellStyle name="40% - Accent4 3 9 2 2" xfId="10481"/>
    <cellStyle name="40% - Accent4 3 9 2 2 2" xfId="27528"/>
    <cellStyle name="40% - Accent4 3 9 2 2 2 2" xfId="56389"/>
    <cellStyle name="40% - Accent4 3 9 2 2 3" xfId="39342"/>
    <cellStyle name="40% - Accent4 3 9 2 3" xfId="21550"/>
    <cellStyle name="40% - Accent4 3 9 2 3 2" xfId="50411"/>
    <cellStyle name="40% - Accent4 3 9 2 4" xfId="33301"/>
    <cellStyle name="40% - Accent4 3 9 3" xfId="7595"/>
    <cellStyle name="40% - Accent4 3 9 3 2" xfId="24642"/>
    <cellStyle name="40% - Accent4 3 9 3 2 2" xfId="53503"/>
    <cellStyle name="40% - Accent4 3 9 3 3" xfId="36456"/>
    <cellStyle name="40% - Accent4 3 9 4" xfId="12273"/>
    <cellStyle name="40% - Accent4 3 9 4 2" xfId="18870"/>
    <cellStyle name="40% - Accent4 3 9 4 2 2" xfId="47731"/>
    <cellStyle name="40% - Accent4 3 9 4 3" xfId="41134"/>
    <cellStyle name="40% - Accent4 3 9 5" xfId="16190"/>
    <cellStyle name="40% - Accent4 3 9 5 2" xfId="45051"/>
    <cellStyle name="40% - Accent4 3 9 6" xfId="30415"/>
    <cellStyle name="40% - Accent4 4" xfId="137"/>
    <cellStyle name="40% - Accent4 4 10" xfId="1785"/>
    <cellStyle name="40% - Accent4 4 10 2" xfId="4672"/>
    <cellStyle name="40% - Accent4 4 10 2 2" xfId="10713"/>
    <cellStyle name="40% - Accent4 4 10 2 2 2" xfId="27760"/>
    <cellStyle name="40% - Accent4 4 10 2 2 2 2" xfId="56621"/>
    <cellStyle name="40% - Accent4 4 10 2 2 3" xfId="39574"/>
    <cellStyle name="40% - Accent4 4 10 2 3" xfId="21782"/>
    <cellStyle name="40% - Accent4 4 10 2 3 2" xfId="50643"/>
    <cellStyle name="40% - Accent4 4 10 2 4" xfId="33533"/>
    <cellStyle name="40% - Accent4 4 10 3" xfId="7827"/>
    <cellStyle name="40% - Accent4 4 10 3 2" xfId="24874"/>
    <cellStyle name="40% - Accent4 4 10 3 2 2" xfId="53735"/>
    <cellStyle name="40% - Accent4 4 10 3 3" xfId="36688"/>
    <cellStyle name="40% - Accent4 4 10 4" xfId="12361"/>
    <cellStyle name="40% - Accent4 4 10 4 2" xfId="19102"/>
    <cellStyle name="40% - Accent4 4 10 4 2 2" xfId="47963"/>
    <cellStyle name="40% - Accent4 4 10 4 3" xfId="41222"/>
    <cellStyle name="40% - Accent4 4 10 5" xfId="16422"/>
    <cellStyle name="40% - Accent4 4 10 5 2" xfId="45283"/>
    <cellStyle name="40% - Accent4 4 10 6" xfId="30647"/>
    <cellStyle name="40% - Accent4 4 11" xfId="1991"/>
    <cellStyle name="40% - Accent4 4 11 2" xfId="4878"/>
    <cellStyle name="40% - Accent4 4 11 2 2" xfId="10919"/>
    <cellStyle name="40% - Accent4 4 11 2 2 2" xfId="27966"/>
    <cellStyle name="40% - Accent4 4 11 2 2 2 2" xfId="56827"/>
    <cellStyle name="40% - Accent4 4 11 2 2 3" xfId="39780"/>
    <cellStyle name="40% - Accent4 4 11 2 3" xfId="21988"/>
    <cellStyle name="40% - Accent4 4 11 2 3 2" xfId="50849"/>
    <cellStyle name="40% - Accent4 4 11 2 4" xfId="33739"/>
    <cellStyle name="40% - Accent4 4 11 3" xfId="8033"/>
    <cellStyle name="40% - Accent4 4 11 3 2" xfId="25080"/>
    <cellStyle name="40% - Accent4 4 11 3 2 2" xfId="53941"/>
    <cellStyle name="40% - Accent4 4 11 3 3" xfId="36894"/>
    <cellStyle name="40% - Accent4 4 11 4" xfId="12789"/>
    <cellStyle name="40% - Accent4 4 11 4 2" xfId="19308"/>
    <cellStyle name="40% - Accent4 4 11 4 2 2" xfId="48169"/>
    <cellStyle name="40% - Accent4 4 11 4 3" xfId="41650"/>
    <cellStyle name="40% - Accent4 4 11 5" xfId="16628"/>
    <cellStyle name="40% - Accent4 4 11 5 2" xfId="45489"/>
    <cellStyle name="40% - Accent4 4 11 6" xfId="30853"/>
    <cellStyle name="40% - Accent4 4 12" xfId="2403"/>
    <cellStyle name="40% - Accent4 4 12 2" xfId="5290"/>
    <cellStyle name="40% - Accent4 4 12 2 2" xfId="11331"/>
    <cellStyle name="40% - Accent4 4 12 2 2 2" xfId="28378"/>
    <cellStyle name="40% - Accent4 4 12 2 2 2 2" xfId="57239"/>
    <cellStyle name="40% - Accent4 4 12 2 2 3" xfId="40192"/>
    <cellStyle name="40% - Accent4 4 12 2 3" xfId="22400"/>
    <cellStyle name="40% - Accent4 4 12 2 3 2" xfId="51261"/>
    <cellStyle name="40% - Accent4 4 12 2 4" xfId="34151"/>
    <cellStyle name="40% - Accent4 4 12 3" xfId="8445"/>
    <cellStyle name="40% - Accent4 4 12 3 2" xfId="25492"/>
    <cellStyle name="40% - Accent4 4 12 3 2 2" xfId="54353"/>
    <cellStyle name="40% - Accent4 4 12 3 3" xfId="37306"/>
    <cellStyle name="40% - Accent4 4 12 4" xfId="14214"/>
    <cellStyle name="40% - Accent4 4 12 4 2" xfId="19720"/>
    <cellStyle name="40% - Accent4 4 12 4 2 2" xfId="48581"/>
    <cellStyle name="40% - Accent4 4 12 4 3" xfId="43075"/>
    <cellStyle name="40% - Accent4 4 12 5" xfId="17040"/>
    <cellStyle name="40% - Accent4 4 12 5 2" xfId="45901"/>
    <cellStyle name="40% - Accent4 4 12 6" xfId="31265"/>
    <cellStyle name="40% - Accent4 4 13" xfId="2612"/>
    <cellStyle name="40% - Accent4 4 13 2" xfId="5498"/>
    <cellStyle name="40% - Accent4 4 13 2 2" xfId="11539"/>
    <cellStyle name="40% - Accent4 4 13 2 2 2" xfId="28586"/>
    <cellStyle name="40% - Accent4 4 13 2 2 2 2" xfId="57447"/>
    <cellStyle name="40% - Accent4 4 13 2 2 3" xfId="40400"/>
    <cellStyle name="40% - Accent4 4 13 2 3" xfId="22608"/>
    <cellStyle name="40% - Accent4 4 13 2 3 2" xfId="51469"/>
    <cellStyle name="40% - Accent4 4 13 2 4" xfId="34359"/>
    <cellStyle name="40% - Accent4 4 13 3" xfId="8653"/>
    <cellStyle name="40% - Accent4 4 13 3 2" xfId="25700"/>
    <cellStyle name="40% - Accent4 4 13 3 2 2" xfId="54561"/>
    <cellStyle name="40% - Accent4 4 13 3 3" xfId="37514"/>
    <cellStyle name="40% - Accent4 4 13 4" xfId="13998"/>
    <cellStyle name="40% - Accent4 4 13 4 2" xfId="19928"/>
    <cellStyle name="40% - Accent4 4 13 4 2 2" xfId="48789"/>
    <cellStyle name="40% - Accent4 4 13 4 3" xfId="42859"/>
    <cellStyle name="40% - Accent4 4 13 5" xfId="17248"/>
    <cellStyle name="40% - Accent4 4 13 5 2" xfId="46109"/>
    <cellStyle name="40% - Accent4 4 13 6" xfId="31473"/>
    <cellStyle name="40% - Accent4 4 14" xfId="3024"/>
    <cellStyle name="40% - Accent4 4 14 2" xfId="9065"/>
    <cellStyle name="40% - Accent4 4 14 2 2" xfId="26112"/>
    <cellStyle name="40% - Accent4 4 14 2 2 2" xfId="54973"/>
    <cellStyle name="40% - Accent4 4 14 2 3" xfId="37926"/>
    <cellStyle name="40% - Accent4 4 14 3" xfId="12772"/>
    <cellStyle name="40% - Accent4 4 14 3 2" xfId="20134"/>
    <cellStyle name="40% - Accent4 4 14 3 2 2" xfId="48995"/>
    <cellStyle name="40% - Accent4 4 14 3 3" xfId="41633"/>
    <cellStyle name="40% - Accent4 4 14 4" xfId="14774"/>
    <cellStyle name="40% - Accent4 4 14 4 2" xfId="43635"/>
    <cellStyle name="40% - Accent4 4 14 5" xfId="31885"/>
    <cellStyle name="40% - Accent4 4 15" xfId="2818"/>
    <cellStyle name="40% - Accent4 4 15 2" xfId="8859"/>
    <cellStyle name="40% - Accent4 4 15 2 2" xfId="25906"/>
    <cellStyle name="40% - Accent4 4 15 2 2 2" xfId="54767"/>
    <cellStyle name="40% - Accent4 4 15 2 3" xfId="37720"/>
    <cellStyle name="40% - Accent4 4 15 3" xfId="17454"/>
    <cellStyle name="40% - Accent4 4 15 3 2" xfId="46315"/>
    <cellStyle name="40% - Accent4 4 15 4" xfId="31679"/>
    <cellStyle name="40% - Accent4 4 16" xfId="5704"/>
    <cellStyle name="40% - Accent4 4 16 2" xfId="11745"/>
    <cellStyle name="40% - Accent4 4 16 2 2" xfId="28792"/>
    <cellStyle name="40% - Accent4 4 16 2 2 2" xfId="57653"/>
    <cellStyle name="40% - Accent4 4 16 2 3" xfId="40606"/>
    <cellStyle name="40% - Accent4 4 16 3" xfId="22814"/>
    <cellStyle name="40% - Accent4 4 16 3 2" xfId="51675"/>
    <cellStyle name="40% - Accent4 4 16 4" xfId="34565"/>
    <cellStyle name="40% - Accent4 4 17" xfId="5921"/>
    <cellStyle name="40% - Accent4 4 17 2" xfId="23020"/>
    <cellStyle name="40% - Accent4 4 17 2 2" xfId="51881"/>
    <cellStyle name="40% - Accent4 4 17 3" xfId="34782"/>
    <cellStyle name="40% - Accent4 4 18" xfId="6179"/>
    <cellStyle name="40% - Accent4 4 18 2" xfId="23226"/>
    <cellStyle name="40% - Accent4 4 18 2 2" xfId="52087"/>
    <cellStyle name="40% - Accent4 4 18 3" xfId="35040"/>
    <cellStyle name="40% - Accent4 4 19" xfId="14568"/>
    <cellStyle name="40% - Accent4 4 19 2" xfId="43429"/>
    <cellStyle name="40% - Accent4 4 2" xfId="343"/>
    <cellStyle name="40% - Accent4 4 2 10" xfId="2506"/>
    <cellStyle name="40% - Accent4 4 2 10 2" xfId="5393"/>
    <cellStyle name="40% - Accent4 4 2 10 2 2" xfId="11434"/>
    <cellStyle name="40% - Accent4 4 2 10 2 2 2" xfId="28481"/>
    <cellStyle name="40% - Accent4 4 2 10 2 2 2 2" xfId="57342"/>
    <cellStyle name="40% - Accent4 4 2 10 2 2 3" xfId="40295"/>
    <cellStyle name="40% - Accent4 4 2 10 2 3" xfId="22503"/>
    <cellStyle name="40% - Accent4 4 2 10 2 3 2" xfId="51364"/>
    <cellStyle name="40% - Accent4 4 2 10 2 4" xfId="34254"/>
    <cellStyle name="40% - Accent4 4 2 10 3" xfId="8548"/>
    <cellStyle name="40% - Accent4 4 2 10 3 2" xfId="25595"/>
    <cellStyle name="40% - Accent4 4 2 10 3 2 2" xfId="54456"/>
    <cellStyle name="40% - Accent4 4 2 10 3 3" xfId="37409"/>
    <cellStyle name="40% - Accent4 4 2 10 4" xfId="6098"/>
    <cellStyle name="40% - Accent4 4 2 10 4 2" xfId="19823"/>
    <cellStyle name="40% - Accent4 4 2 10 4 2 2" xfId="48684"/>
    <cellStyle name="40% - Accent4 4 2 10 4 3" xfId="34959"/>
    <cellStyle name="40% - Accent4 4 2 10 5" xfId="17143"/>
    <cellStyle name="40% - Accent4 4 2 10 5 2" xfId="46004"/>
    <cellStyle name="40% - Accent4 4 2 10 6" xfId="31368"/>
    <cellStyle name="40% - Accent4 4 2 11" xfId="2715"/>
    <cellStyle name="40% - Accent4 4 2 11 2" xfId="5601"/>
    <cellStyle name="40% - Accent4 4 2 11 2 2" xfId="11642"/>
    <cellStyle name="40% - Accent4 4 2 11 2 2 2" xfId="28689"/>
    <cellStyle name="40% - Accent4 4 2 11 2 2 2 2" xfId="57550"/>
    <cellStyle name="40% - Accent4 4 2 11 2 2 3" xfId="40503"/>
    <cellStyle name="40% - Accent4 4 2 11 2 3" xfId="22711"/>
    <cellStyle name="40% - Accent4 4 2 11 2 3 2" xfId="51572"/>
    <cellStyle name="40% - Accent4 4 2 11 2 4" xfId="34462"/>
    <cellStyle name="40% - Accent4 4 2 11 3" xfId="8756"/>
    <cellStyle name="40% - Accent4 4 2 11 3 2" xfId="25803"/>
    <cellStyle name="40% - Accent4 4 2 11 3 2 2" xfId="54664"/>
    <cellStyle name="40% - Accent4 4 2 11 3 3" xfId="37617"/>
    <cellStyle name="40% - Accent4 4 2 11 4" xfId="13987"/>
    <cellStyle name="40% - Accent4 4 2 11 4 2" xfId="20031"/>
    <cellStyle name="40% - Accent4 4 2 11 4 2 2" xfId="48892"/>
    <cellStyle name="40% - Accent4 4 2 11 4 3" xfId="42848"/>
    <cellStyle name="40% - Accent4 4 2 11 5" xfId="17351"/>
    <cellStyle name="40% - Accent4 4 2 11 5 2" xfId="46212"/>
    <cellStyle name="40% - Accent4 4 2 11 6" xfId="31576"/>
    <cellStyle name="40% - Accent4 4 2 12" xfId="3230"/>
    <cellStyle name="40% - Accent4 4 2 12 2" xfId="9271"/>
    <cellStyle name="40% - Accent4 4 2 12 2 2" xfId="26318"/>
    <cellStyle name="40% - Accent4 4 2 12 2 2 2" xfId="55179"/>
    <cellStyle name="40% - Accent4 4 2 12 2 3" xfId="38132"/>
    <cellStyle name="40% - Accent4 4 2 12 3" xfId="12797"/>
    <cellStyle name="40% - Accent4 4 2 12 3 2" xfId="20340"/>
    <cellStyle name="40% - Accent4 4 2 12 3 2 2" xfId="49201"/>
    <cellStyle name="40% - Accent4 4 2 12 3 3" xfId="41658"/>
    <cellStyle name="40% - Accent4 4 2 12 4" xfId="14980"/>
    <cellStyle name="40% - Accent4 4 2 12 4 2" xfId="43841"/>
    <cellStyle name="40% - Accent4 4 2 12 5" xfId="32091"/>
    <cellStyle name="40% - Accent4 4 2 13" xfId="2921"/>
    <cellStyle name="40% - Accent4 4 2 13 2" xfId="8962"/>
    <cellStyle name="40% - Accent4 4 2 13 2 2" xfId="26009"/>
    <cellStyle name="40% - Accent4 4 2 13 2 2 2" xfId="54870"/>
    <cellStyle name="40% - Accent4 4 2 13 2 3" xfId="37823"/>
    <cellStyle name="40% - Accent4 4 2 13 3" xfId="17557"/>
    <cellStyle name="40% - Accent4 4 2 13 3 2" xfId="46418"/>
    <cellStyle name="40% - Accent4 4 2 13 4" xfId="31782"/>
    <cellStyle name="40% - Accent4 4 2 14" xfId="5807"/>
    <cellStyle name="40% - Accent4 4 2 14 2" xfId="11848"/>
    <cellStyle name="40% - Accent4 4 2 14 2 2" xfId="28895"/>
    <cellStyle name="40% - Accent4 4 2 14 2 2 2" xfId="57756"/>
    <cellStyle name="40% - Accent4 4 2 14 2 3" xfId="40709"/>
    <cellStyle name="40% - Accent4 4 2 14 3" xfId="22917"/>
    <cellStyle name="40% - Accent4 4 2 14 3 2" xfId="51778"/>
    <cellStyle name="40% - Accent4 4 2 14 4" xfId="34668"/>
    <cellStyle name="40% - Accent4 4 2 15" xfId="6024"/>
    <cellStyle name="40% - Accent4 4 2 15 2" xfId="23123"/>
    <cellStyle name="40% - Accent4 4 2 15 2 2" xfId="51984"/>
    <cellStyle name="40% - Accent4 4 2 15 3" xfId="34885"/>
    <cellStyle name="40% - Accent4 4 2 16" xfId="6385"/>
    <cellStyle name="40% - Accent4 4 2 16 2" xfId="23432"/>
    <cellStyle name="40% - Accent4 4 2 16 2 2" xfId="52293"/>
    <cellStyle name="40% - Accent4 4 2 16 3" xfId="35246"/>
    <cellStyle name="40% - Accent4 4 2 17" xfId="14671"/>
    <cellStyle name="40% - Accent4 4 2 17 2" xfId="43532"/>
    <cellStyle name="40% - Accent4 4 2 18" xfId="29205"/>
    <cellStyle name="40% - Accent4 4 2 2" xfId="549"/>
    <cellStyle name="40% - Accent4 4 2 2 2" xfId="2300"/>
    <cellStyle name="40% - Accent4 4 2 2 2 2" xfId="5187"/>
    <cellStyle name="40% - Accent4 4 2 2 2 2 2" xfId="11228"/>
    <cellStyle name="40% - Accent4 4 2 2 2 2 2 2" xfId="28275"/>
    <cellStyle name="40% - Accent4 4 2 2 2 2 2 2 2" xfId="57136"/>
    <cellStyle name="40% - Accent4 4 2 2 2 2 2 3" xfId="40089"/>
    <cellStyle name="40% - Accent4 4 2 2 2 2 3" xfId="22297"/>
    <cellStyle name="40% - Accent4 4 2 2 2 2 3 2" xfId="51158"/>
    <cellStyle name="40% - Accent4 4 2 2 2 2 4" xfId="34048"/>
    <cellStyle name="40% - Accent4 4 2 2 2 3" xfId="8342"/>
    <cellStyle name="40% - Accent4 4 2 2 2 3 2" xfId="25389"/>
    <cellStyle name="40% - Accent4 4 2 2 2 3 2 2" xfId="54250"/>
    <cellStyle name="40% - Accent4 4 2 2 2 3 3" xfId="37203"/>
    <cellStyle name="40% - Accent4 4 2 2 2 4" xfId="13365"/>
    <cellStyle name="40% - Accent4 4 2 2 2 4 2" xfId="19617"/>
    <cellStyle name="40% - Accent4 4 2 2 2 4 2 2" xfId="48478"/>
    <cellStyle name="40% - Accent4 4 2 2 2 4 3" xfId="42226"/>
    <cellStyle name="40% - Accent4 4 2 2 2 5" xfId="16937"/>
    <cellStyle name="40% - Accent4 4 2 2 2 5 2" xfId="45798"/>
    <cellStyle name="40% - Accent4 4 2 2 2 6" xfId="31162"/>
    <cellStyle name="40% - Accent4 4 2 2 3" xfId="3436"/>
    <cellStyle name="40% - Accent4 4 2 2 3 2" xfId="9477"/>
    <cellStyle name="40% - Accent4 4 2 2 3 2 2" xfId="26524"/>
    <cellStyle name="40% - Accent4 4 2 2 3 2 2 2" xfId="55385"/>
    <cellStyle name="40% - Accent4 4 2 2 3 2 3" xfId="38338"/>
    <cellStyle name="40% - Accent4 4 2 2 3 3" xfId="20546"/>
    <cellStyle name="40% - Accent4 4 2 2 3 3 2" xfId="49407"/>
    <cellStyle name="40% - Accent4 4 2 2 3 4" xfId="32297"/>
    <cellStyle name="40% - Accent4 4 2 2 4" xfId="6591"/>
    <cellStyle name="40% - Accent4 4 2 2 4 2" xfId="23638"/>
    <cellStyle name="40% - Accent4 4 2 2 4 2 2" xfId="52499"/>
    <cellStyle name="40% - Accent4 4 2 2 4 3" xfId="35452"/>
    <cellStyle name="40% - Accent4 4 2 2 5" xfId="13555"/>
    <cellStyle name="40% - Accent4 4 2 2 5 2" xfId="17866"/>
    <cellStyle name="40% - Accent4 4 2 2 5 2 2" xfId="46727"/>
    <cellStyle name="40% - Accent4 4 2 2 5 3" xfId="42416"/>
    <cellStyle name="40% - Accent4 4 2 2 6" xfId="15186"/>
    <cellStyle name="40% - Accent4 4 2 2 6 2" xfId="44047"/>
    <cellStyle name="40% - Accent4 4 2 2 7" xfId="29411"/>
    <cellStyle name="40% - Accent4 4 2 3" xfId="858"/>
    <cellStyle name="40% - Accent4 4 2 3 2" xfId="3745"/>
    <cellStyle name="40% - Accent4 4 2 3 2 2" xfId="9786"/>
    <cellStyle name="40% - Accent4 4 2 3 2 2 2" xfId="26833"/>
    <cellStyle name="40% - Accent4 4 2 3 2 2 2 2" xfId="55694"/>
    <cellStyle name="40% - Accent4 4 2 3 2 2 3" xfId="38647"/>
    <cellStyle name="40% - Accent4 4 2 3 2 3" xfId="20855"/>
    <cellStyle name="40% - Accent4 4 2 3 2 3 2" xfId="49716"/>
    <cellStyle name="40% - Accent4 4 2 3 2 4" xfId="32606"/>
    <cellStyle name="40% - Accent4 4 2 3 3" xfId="6900"/>
    <cellStyle name="40% - Accent4 4 2 3 3 2" xfId="23947"/>
    <cellStyle name="40% - Accent4 4 2 3 3 2 2" xfId="52808"/>
    <cellStyle name="40% - Accent4 4 2 3 3 3" xfId="35761"/>
    <cellStyle name="40% - Accent4 4 2 3 4" xfId="12900"/>
    <cellStyle name="40% - Accent4 4 2 3 4 2" xfId="18175"/>
    <cellStyle name="40% - Accent4 4 2 3 4 2 2" xfId="47036"/>
    <cellStyle name="40% - Accent4 4 2 3 4 3" xfId="41761"/>
    <cellStyle name="40% - Accent4 4 2 3 5" xfId="15495"/>
    <cellStyle name="40% - Accent4 4 2 3 5 2" xfId="44356"/>
    <cellStyle name="40% - Accent4 4 2 3 6" xfId="29720"/>
    <cellStyle name="40% - Accent4 4 2 4" xfId="1064"/>
    <cellStyle name="40% - Accent4 4 2 4 2" xfId="3951"/>
    <cellStyle name="40% - Accent4 4 2 4 2 2" xfId="9992"/>
    <cellStyle name="40% - Accent4 4 2 4 2 2 2" xfId="27039"/>
    <cellStyle name="40% - Accent4 4 2 4 2 2 2 2" xfId="55900"/>
    <cellStyle name="40% - Accent4 4 2 4 2 2 3" xfId="38853"/>
    <cellStyle name="40% - Accent4 4 2 4 2 3" xfId="21061"/>
    <cellStyle name="40% - Accent4 4 2 4 2 3 2" xfId="49922"/>
    <cellStyle name="40% - Accent4 4 2 4 2 4" xfId="32812"/>
    <cellStyle name="40% - Accent4 4 2 4 3" xfId="7106"/>
    <cellStyle name="40% - Accent4 4 2 4 3 2" xfId="24153"/>
    <cellStyle name="40% - Accent4 4 2 4 3 2 2" xfId="53014"/>
    <cellStyle name="40% - Accent4 4 2 4 3 3" xfId="35967"/>
    <cellStyle name="40% - Accent4 4 2 4 4" xfId="12560"/>
    <cellStyle name="40% - Accent4 4 2 4 4 2" xfId="18381"/>
    <cellStyle name="40% - Accent4 4 2 4 4 2 2" xfId="47242"/>
    <cellStyle name="40% - Accent4 4 2 4 4 3" xfId="41421"/>
    <cellStyle name="40% - Accent4 4 2 4 5" xfId="15701"/>
    <cellStyle name="40% - Accent4 4 2 4 5 2" xfId="44562"/>
    <cellStyle name="40% - Accent4 4 2 4 6" xfId="29926"/>
    <cellStyle name="40% - Accent4 4 2 5" xfId="1270"/>
    <cellStyle name="40% - Accent4 4 2 5 2" xfId="4157"/>
    <cellStyle name="40% - Accent4 4 2 5 2 2" xfId="10198"/>
    <cellStyle name="40% - Accent4 4 2 5 2 2 2" xfId="27245"/>
    <cellStyle name="40% - Accent4 4 2 5 2 2 2 2" xfId="56106"/>
    <cellStyle name="40% - Accent4 4 2 5 2 2 3" xfId="39059"/>
    <cellStyle name="40% - Accent4 4 2 5 2 3" xfId="21267"/>
    <cellStyle name="40% - Accent4 4 2 5 2 3 2" xfId="50128"/>
    <cellStyle name="40% - Accent4 4 2 5 2 4" xfId="33018"/>
    <cellStyle name="40% - Accent4 4 2 5 3" xfId="7312"/>
    <cellStyle name="40% - Accent4 4 2 5 3 2" xfId="24359"/>
    <cellStyle name="40% - Accent4 4 2 5 3 2 2" xfId="53220"/>
    <cellStyle name="40% - Accent4 4 2 5 3 3" xfId="36173"/>
    <cellStyle name="40% - Accent4 4 2 5 4" xfId="12076"/>
    <cellStyle name="40% - Accent4 4 2 5 4 2" xfId="18587"/>
    <cellStyle name="40% - Accent4 4 2 5 4 2 2" xfId="47448"/>
    <cellStyle name="40% - Accent4 4 2 5 4 3" xfId="40937"/>
    <cellStyle name="40% - Accent4 4 2 5 5" xfId="15907"/>
    <cellStyle name="40% - Accent4 4 2 5 5 2" xfId="44768"/>
    <cellStyle name="40% - Accent4 4 2 5 6" xfId="30132"/>
    <cellStyle name="40% - Accent4 4 2 6" xfId="1476"/>
    <cellStyle name="40% - Accent4 4 2 6 2" xfId="4363"/>
    <cellStyle name="40% - Accent4 4 2 6 2 2" xfId="10404"/>
    <cellStyle name="40% - Accent4 4 2 6 2 2 2" xfId="27451"/>
    <cellStyle name="40% - Accent4 4 2 6 2 2 2 2" xfId="56312"/>
    <cellStyle name="40% - Accent4 4 2 6 2 2 3" xfId="39265"/>
    <cellStyle name="40% - Accent4 4 2 6 2 3" xfId="21473"/>
    <cellStyle name="40% - Accent4 4 2 6 2 3 2" xfId="50334"/>
    <cellStyle name="40% - Accent4 4 2 6 2 4" xfId="33224"/>
    <cellStyle name="40% - Accent4 4 2 6 3" xfId="7518"/>
    <cellStyle name="40% - Accent4 4 2 6 3 2" xfId="24565"/>
    <cellStyle name="40% - Accent4 4 2 6 3 2 2" xfId="53426"/>
    <cellStyle name="40% - Accent4 4 2 6 3 3" xfId="36379"/>
    <cellStyle name="40% - Accent4 4 2 6 4" xfId="12325"/>
    <cellStyle name="40% - Accent4 4 2 6 4 2" xfId="18793"/>
    <cellStyle name="40% - Accent4 4 2 6 4 2 2" xfId="47654"/>
    <cellStyle name="40% - Accent4 4 2 6 4 3" xfId="41186"/>
    <cellStyle name="40% - Accent4 4 2 6 5" xfId="16113"/>
    <cellStyle name="40% - Accent4 4 2 6 5 2" xfId="44974"/>
    <cellStyle name="40% - Accent4 4 2 6 6" xfId="30338"/>
    <cellStyle name="40% - Accent4 4 2 7" xfId="1682"/>
    <cellStyle name="40% - Accent4 4 2 7 2" xfId="4569"/>
    <cellStyle name="40% - Accent4 4 2 7 2 2" xfId="10610"/>
    <cellStyle name="40% - Accent4 4 2 7 2 2 2" xfId="27657"/>
    <cellStyle name="40% - Accent4 4 2 7 2 2 2 2" xfId="56518"/>
    <cellStyle name="40% - Accent4 4 2 7 2 2 3" xfId="39471"/>
    <cellStyle name="40% - Accent4 4 2 7 2 3" xfId="21679"/>
    <cellStyle name="40% - Accent4 4 2 7 2 3 2" xfId="50540"/>
    <cellStyle name="40% - Accent4 4 2 7 2 4" xfId="33430"/>
    <cellStyle name="40% - Accent4 4 2 7 3" xfId="7724"/>
    <cellStyle name="40% - Accent4 4 2 7 3 2" xfId="24771"/>
    <cellStyle name="40% - Accent4 4 2 7 3 2 2" xfId="53632"/>
    <cellStyle name="40% - Accent4 4 2 7 3 3" xfId="36585"/>
    <cellStyle name="40% - Accent4 4 2 7 4" xfId="12575"/>
    <cellStyle name="40% - Accent4 4 2 7 4 2" xfId="18999"/>
    <cellStyle name="40% - Accent4 4 2 7 4 2 2" xfId="47860"/>
    <cellStyle name="40% - Accent4 4 2 7 4 3" xfId="41436"/>
    <cellStyle name="40% - Accent4 4 2 7 5" xfId="16319"/>
    <cellStyle name="40% - Accent4 4 2 7 5 2" xfId="45180"/>
    <cellStyle name="40% - Accent4 4 2 7 6" xfId="30544"/>
    <cellStyle name="40% - Accent4 4 2 8" xfId="1888"/>
    <cellStyle name="40% - Accent4 4 2 8 2" xfId="4775"/>
    <cellStyle name="40% - Accent4 4 2 8 2 2" xfId="10816"/>
    <cellStyle name="40% - Accent4 4 2 8 2 2 2" xfId="27863"/>
    <cellStyle name="40% - Accent4 4 2 8 2 2 2 2" xfId="56724"/>
    <cellStyle name="40% - Accent4 4 2 8 2 2 3" xfId="39677"/>
    <cellStyle name="40% - Accent4 4 2 8 2 3" xfId="21885"/>
    <cellStyle name="40% - Accent4 4 2 8 2 3 2" xfId="50746"/>
    <cellStyle name="40% - Accent4 4 2 8 2 4" xfId="33636"/>
    <cellStyle name="40% - Accent4 4 2 8 3" xfId="7930"/>
    <cellStyle name="40% - Accent4 4 2 8 3 2" xfId="24977"/>
    <cellStyle name="40% - Accent4 4 2 8 3 2 2" xfId="53838"/>
    <cellStyle name="40% - Accent4 4 2 8 3 3" xfId="36791"/>
    <cellStyle name="40% - Accent4 4 2 8 4" xfId="11922"/>
    <cellStyle name="40% - Accent4 4 2 8 4 2" xfId="19205"/>
    <cellStyle name="40% - Accent4 4 2 8 4 2 2" xfId="48066"/>
    <cellStyle name="40% - Accent4 4 2 8 4 3" xfId="40783"/>
    <cellStyle name="40% - Accent4 4 2 8 5" xfId="16525"/>
    <cellStyle name="40% - Accent4 4 2 8 5 2" xfId="45386"/>
    <cellStyle name="40% - Accent4 4 2 8 6" xfId="30750"/>
    <cellStyle name="40% - Accent4 4 2 9" xfId="2094"/>
    <cellStyle name="40% - Accent4 4 2 9 2" xfId="4981"/>
    <cellStyle name="40% - Accent4 4 2 9 2 2" xfId="11022"/>
    <cellStyle name="40% - Accent4 4 2 9 2 2 2" xfId="28069"/>
    <cellStyle name="40% - Accent4 4 2 9 2 2 2 2" xfId="56930"/>
    <cellStyle name="40% - Accent4 4 2 9 2 2 3" xfId="39883"/>
    <cellStyle name="40% - Accent4 4 2 9 2 3" xfId="22091"/>
    <cellStyle name="40% - Accent4 4 2 9 2 3 2" xfId="50952"/>
    <cellStyle name="40% - Accent4 4 2 9 2 4" xfId="33842"/>
    <cellStyle name="40% - Accent4 4 2 9 3" xfId="8136"/>
    <cellStyle name="40% - Accent4 4 2 9 3 2" xfId="25183"/>
    <cellStyle name="40% - Accent4 4 2 9 3 2 2" xfId="54044"/>
    <cellStyle name="40% - Accent4 4 2 9 3 3" xfId="36997"/>
    <cellStyle name="40% - Accent4 4 2 9 4" xfId="12431"/>
    <cellStyle name="40% - Accent4 4 2 9 4 2" xfId="19411"/>
    <cellStyle name="40% - Accent4 4 2 9 4 2 2" xfId="48272"/>
    <cellStyle name="40% - Accent4 4 2 9 4 3" xfId="41292"/>
    <cellStyle name="40% - Accent4 4 2 9 5" xfId="16731"/>
    <cellStyle name="40% - Accent4 4 2 9 5 2" xfId="45592"/>
    <cellStyle name="40% - Accent4 4 2 9 6" xfId="30956"/>
    <cellStyle name="40% - Accent4 4 20" xfId="28999"/>
    <cellStyle name="40% - Accent4 4 3" xfId="240"/>
    <cellStyle name="40% - Accent4 4 3 2" xfId="652"/>
    <cellStyle name="40% - Accent4 4 3 2 2" xfId="3539"/>
    <cellStyle name="40% - Accent4 4 3 2 2 2" xfId="9580"/>
    <cellStyle name="40% - Accent4 4 3 2 2 2 2" xfId="26627"/>
    <cellStyle name="40% - Accent4 4 3 2 2 2 2 2" xfId="55488"/>
    <cellStyle name="40% - Accent4 4 3 2 2 2 3" xfId="38441"/>
    <cellStyle name="40% - Accent4 4 3 2 2 3" xfId="20649"/>
    <cellStyle name="40% - Accent4 4 3 2 2 3 2" xfId="49510"/>
    <cellStyle name="40% - Accent4 4 3 2 2 4" xfId="32400"/>
    <cellStyle name="40% - Accent4 4 3 2 3" xfId="6694"/>
    <cellStyle name="40% - Accent4 4 3 2 3 2" xfId="23741"/>
    <cellStyle name="40% - Accent4 4 3 2 3 2 2" xfId="52602"/>
    <cellStyle name="40% - Accent4 4 3 2 3 3" xfId="35555"/>
    <cellStyle name="40% - Accent4 4 3 2 4" xfId="14310"/>
    <cellStyle name="40% - Accent4 4 3 2 4 2" xfId="17969"/>
    <cellStyle name="40% - Accent4 4 3 2 4 2 2" xfId="46830"/>
    <cellStyle name="40% - Accent4 4 3 2 4 3" xfId="43171"/>
    <cellStyle name="40% - Accent4 4 3 2 5" xfId="15289"/>
    <cellStyle name="40% - Accent4 4 3 2 5 2" xfId="44150"/>
    <cellStyle name="40% - Accent4 4 3 2 6" xfId="29514"/>
    <cellStyle name="40% - Accent4 4 3 3" xfId="2197"/>
    <cellStyle name="40% - Accent4 4 3 3 2" xfId="5084"/>
    <cellStyle name="40% - Accent4 4 3 3 2 2" xfId="11125"/>
    <cellStyle name="40% - Accent4 4 3 3 2 2 2" xfId="28172"/>
    <cellStyle name="40% - Accent4 4 3 3 2 2 2 2" xfId="57033"/>
    <cellStyle name="40% - Accent4 4 3 3 2 2 3" xfId="39986"/>
    <cellStyle name="40% - Accent4 4 3 3 2 3" xfId="22194"/>
    <cellStyle name="40% - Accent4 4 3 3 2 3 2" xfId="51055"/>
    <cellStyle name="40% - Accent4 4 3 3 2 4" xfId="33945"/>
    <cellStyle name="40% - Accent4 4 3 3 3" xfId="8239"/>
    <cellStyle name="40% - Accent4 4 3 3 3 2" xfId="25286"/>
    <cellStyle name="40% - Accent4 4 3 3 3 2 2" xfId="54147"/>
    <cellStyle name="40% - Accent4 4 3 3 3 3" xfId="37100"/>
    <cellStyle name="40% - Accent4 4 3 3 4" xfId="13508"/>
    <cellStyle name="40% - Accent4 4 3 3 4 2" xfId="19514"/>
    <cellStyle name="40% - Accent4 4 3 3 4 2 2" xfId="48375"/>
    <cellStyle name="40% - Accent4 4 3 3 4 3" xfId="42369"/>
    <cellStyle name="40% - Accent4 4 3 3 5" xfId="16834"/>
    <cellStyle name="40% - Accent4 4 3 3 5 2" xfId="45695"/>
    <cellStyle name="40% - Accent4 4 3 3 6" xfId="31059"/>
    <cellStyle name="40% - Accent4 4 3 4" xfId="3127"/>
    <cellStyle name="40% - Accent4 4 3 4 2" xfId="9168"/>
    <cellStyle name="40% - Accent4 4 3 4 2 2" xfId="26215"/>
    <cellStyle name="40% - Accent4 4 3 4 2 2 2" xfId="55076"/>
    <cellStyle name="40% - Accent4 4 3 4 2 3" xfId="38029"/>
    <cellStyle name="40% - Accent4 4 3 4 3" xfId="20237"/>
    <cellStyle name="40% - Accent4 4 3 4 3 2" xfId="49098"/>
    <cellStyle name="40% - Accent4 4 3 4 4" xfId="31988"/>
    <cellStyle name="40% - Accent4 4 3 5" xfId="6282"/>
    <cellStyle name="40% - Accent4 4 3 5 2" xfId="23329"/>
    <cellStyle name="40% - Accent4 4 3 5 2 2" xfId="52190"/>
    <cellStyle name="40% - Accent4 4 3 5 3" xfId="35143"/>
    <cellStyle name="40% - Accent4 4 3 6" xfId="12940"/>
    <cellStyle name="40% - Accent4 4 3 6 2" xfId="17660"/>
    <cellStyle name="40% - Accent4 4 3 6 2 2" xfId="46521"/>
    <cellStyle name="40% - Accent4 4 3 6 3" xfId="41801"/>
    <cellStyle name="40% - Accent4 4 3 7" xfId="14877"/>
    <cellStyle name="40% - Accent4 4 3 7 2" xfId="43738"/>
    <cellStyle name="40% - Accent4 4 3 8" xfId="29102"/>
    <cellStyle name="40% - Accent4 4 4" xfId="446"/>
    <cellStyle name="40% - Accent4 4 4 2" xfId="3333"/>
    <cellStyle name="40% - Accent4 4 4 2 2" xfId="9374"/>
    <cellStyle name="40% - Accent4 4 4 2 2 2" xfId="26421"/>
    <cellStyle name="40% - Accent4 4 4 2 2 2 2" xfId="55282"/>
    <cellStyle name="40% - Accent4 4 4 2 2 3" xfId="38235"/>
    <cellStyle name="40% - Accent4 4 4 2 3" xfId="20443"/>
    <cellStyle name="40% - Accent4 4 4 2 3 2" xfId="49304"/>
    <cellStyle name="40% - Accent4 4 4 2 4" xfId="32194"/>
    <cellStyle name="40% - Accent4 4 4 3" xfId="6488"/>
    <cellStyle name="40% - Accent4 4 4 3 2" xfId="23535"/>
    <cellStyle name="40% - Accent4 4 4 3 2 2" xfId="52396"/>
    <cellStyle name="40% - Accent4 4 4 3 3" xfId="35349"/>
    <cellStyle name="40% - Accent4 4 4 4" xfId="14147"/>
    <cellStyle name="40% - Accent4 4 4 4 2" xfId="17763"/>
    <cellStyle name="40% - Accent4 4 4 4 2 2" xfId="46624"/>
    <cellStyle name="40% - Accent4 4 4 4 3" xfId="43008"/>
    <cellStyle name="40% - Accent4 4 4 5" xfId="15083"/>
    <cellStyle name="40% - Accent4 4 4 5 2" xfId="43944"/>
    <cellStyle name="40% - Accent4 4 4 6" xfId="29308"/>
    <cellStyle name="40% - Accent4 4 5" xfId="755"/>
    <cellStyle name="40% - Accent4 4 5 2" xfId="3642"/>
    <cellStyle name="40% - Accent4 4 5 2 2" xfId="9683"/>
    <cellStyle name="40% - Accent4 4 5 2 2 2" xfId="26730"/>
    <cellStyle name="40% - Accent4 4 5 2 2 2 2" xfId="55591"/>
    <cellStyle name="40% - Accent4 4 5 2 2 3" xfId="38544"/>
    <cellStyle name="40% - Accent4 4 5 2 3" xfId="20752"/>
    <cellStyle name="40% - Accent4 4 5 2 3 2" xfId="49613"/>
    <cellStyle name="40% - Accent4 4 5 2 4" xfId="32503"/>
    <cellStyle name="40% - Accent4 4 5 3" xfId="6797"/>
    <cellStyle name="40% - Accent4 4 5 3 2" xfId="23844"/>
    <cellStyle name="40% - Accent4 4 5 3 2 2" xfId="52705"/>
    <cellStyle name="40% - Accent4 4 5 3 3" xfId="35658"/>
    <cellStyle name="40% - Accent4 4 5 4" xfId="13243"/>
    <cellStyle name="40% - Accent4 4 5 4 2" xfId="18072"/>
    <cellStyle name="40% - Accent4 4 5 4 2 2" xfId="46933"/>
    <cellStyle name="40% - Accent4 4 5 4 3" xfId="42104"/>
    <cellStyle name="40% - Accent4 4 5 5" xfId="15392"/>
    <cellStyle name="40% - Accent4 4 5 5 2" xfId="44253"/>
    <cellStyle name="40% - Accent4 4 5 6" xfId="29617"/>
    <cellStyle name="40% - Accent4 4 6" xfId="961"/>
    <cellStyle name="40% - Accent4 4 6 2" xfId="3848"/>
    <cellStyle name="40% - Accent4 4 6 2 2" xfId="9889"/>
    <cellStyle name="40% - Accent4 4 6 2 2 2" xfId="26936"/>
    <cellStyle name="40% - Accent4 4 6 2 2 2 2" xfId="55797"/>
    <cellStyle name="40% - Accent4 4 6 2 2 3" xfId="38750"/>
    <cellStyle name="40% - Accent4 4 6 2 3" xfId="20958"/>
    <cellStyle name="40% - Accent4 4 6 2 3 2" xfId="49819"/>
    <cellStyle name="40% - Accent4 4 6 2 4" xfId="32709"/>
    <cellStyle name="40% - Accent4 4 6 3" xfId="7003"/>
    <cellStyle name="40% - Accent4 4 6 3 2" xfId="24050"/>
    <cellStyle name="40% - Accent4 4 6 3 2 2" xfId="52911"/>
    <cellStyle name="40% - Accent4 4 6 3 3" xfId="35864"/>
    <cellStyle name="40% - Accent4 4 6 4" xfId="14026"/>
    <cellStyle name="40% - Accent4 4 6 4 2" xfId="18278"/>
    <cellStyle name="40% - Accent4 4 6 4 2 2" xfId="47139"/>
    <cellStyle name="40% - Accent4 4 6 4 3" xfId="42887"/>
    <cellStyle name="40% - Accent4 4 6 5" xfId="15598"/>
    <cellStyle name="40% - Accent4 4 6 5 2" xfId="44459"/>
    <cellStyle name="40% - Accent4 4 6 6" xfId="29823"/>
    <cellStyle name="40% - Accent4 4 7" xfId="1167"/>
    <cellStyle name="40% - Accent4 4 7 2" xfId="4054"/>
    <cellStyle name="40% - Accent4 4 7 2 2" xfId="10095"/>
    <cellStyle name="40% - Accent4 4 7 2 2 2" xfId="27142"/>
    <cellStyle name="40% - Accent4 4 7 2 2 2 2" xfId="56003"/>
    <cellStyle name="40% - Accent4 4 7 2 2 3" xfId="38956"/>
    <cellStyle name="40% - Accent4 4 7 2 3" xfId="21164"/>
    <cellStyle name="40% - Accent4 4 7 2 3 2" xfId="50025"/>
    <cellStyle name="40% - Accent4 4 7 2 4" xfId="32915"/>
    <cellStyle name="40% - Accent4 4 7 3" xfId="7209"/>
    <cellStyle name="40% - Accent4 4 7 3 2" xfId="24256"/>
    <cellStyle name="40% - Accent4 4 7 3 2 2" xfId="53117"/>
    <cellStyle name="40% - Accent4 4 7 3 3" xfId="36070"/>
    <cellStyle name="40% - Accent4 4 7 4" xfId="13370"/>
    <cellStyle name="40% - Accent4 4 7 4 2" xfId="18484"/>
    <cellStyle name="40% - Accent4 4 7 4 2 2" xfId="47345"/>
    <cellStyle name="40% - Accent4 4 7 4 3" xfId="42231"/>
    <cellStyle name="40% - Accent4 4 7 5" xfId="15804"/>
    <cellStyle name="40% - Accent4 4 7 5 2" xfId="44665"/>
    <cellStyle name="40% - Accent4 4 7 6" xfId="30029"/>
    <cellStyle name="40% - Accent4 4 8" xfId="1373"/>
    <cellStyle name="40% - Accent4 4 8 2" xfId="4260"/>
    <cellStyle name="40% - Accent4 4 8 2 2" xfId="10301"/>
    <cellStyle name="40% - Accent4 4 8 2 2 2" xfId="27348"/>
    <cellStyle name="40% - Accent4 4 8 2 2 2 2" xfId="56209"/>
    <cellStyle name="40% - Accent4 4 8 2 2 3" xfId="39162"/>
    <cellStyle name="40% - Accent4 4 8 2 3" xfId="21370"/>
    <cellStyle name="40% - Accent4 4 8 2 3 2" xfId="50231"/>
    <cellStyle name="40% - Accent4 4 8 2 4" xfId="33121"/>
    <cellStyle name="40% - Accent4 4 8 3" xfId="7415"/>
    <cellStyle name="40% - Accent4 4 8 3 2" xfId="24462"/>
    <cellStyle name="40% - Accent4 4 8 3 2 2" xfId="53323"/>
    <cellStyle name="40% - Accent4 4 8 3 3" xfId="36276"/>
    <cellStyle name="40% - Accent4 4 8 4" xfId="13357"/>
    <cellStyle name="40% - Accent4 4 8 4 2" xfId="18690"/>
    <cellStyle name="40% - Accent4 4 8 4 2 2" xfId="47551"/>
    <cellStyle name="40% - Accent4 4 8 4 3" xfId="42218"/>
    <cellStyle name="40% - Accent4 4 8 5" xfId="16010"/>
    <cellStyle name="40% - Accent4 4 8 5 2" xfId="44871"/>
    <cellStyle name="40% - Accent4 4 8 6" xfId="30235"/>
    <cellStyle name="40% - Accent4 4 9" xfId="1579"/>
    <cellStyle name="40% - Accent4 4 9 2" xfId="4466"/>
    <cellStyle name="40% - Accent4 4 9 2 2" xfId="10507"/>
    <cellStyle name="40% - Accent4 4 9 2 2 2" xfId="27554"/>
    <cellStyle name="40% - Accent4 4 9 2 2 2 2" xfId="56415"/>
    <cellStyle name="40% - Accent4 4 9 2 2 3" xfId="39368"/>
    <cellStyle name="40% - Accent4 4 9 2 3" xfId="21576"/>
    <cellStyle name="40% - Accent4 4 9 2 3 2" xfId="50437"/>
    <cellStyle name="40% - Accent4 4 9 2 4" xfId="33327"/>
    <cellStyle name="40% - Accent4 4 9 3" xfId="7621"/>
    <cellStyle name="40% - Accent4 4 9 3 2" xfId="24668"/>
    <cellStyle name="40% - Accent4 4 9 3 2 2" xfId="53529"/>
    <cellStyle name="40% - Accent4 4 9 3 3" xfId="36482"/>
    <cellStyle name="40% - Accent4 4 9 4" xfId="13524"/>
    <cellStyle name="40% - Accent4 4 9 4 2" xfId="18896"/>
    <cellStyle name="40% - Accent4 4 9 4 2 2" xfId="47757"/>
    <cellStyle name="40% - Accent4 4 9 4 3" xfId="42385"/>
    <cellStyle name="40% - Accent4 4 9 5" xfId="16216"/>
    <cellStyle name="40% - Accent4 4 9 5 2" xfId="45077"/>
    <cellStyle name="40% - Accent4 4 9 6" xfId="30441"/>
    <cellStyle name="40% - Accent4 5" xfId="290"/>
    <cellStyle name="40% - Accent4 5 10" xfId="2453"/>
    <cellStyle name="40% - Accent4 5 10 2" xfId="5340"/>
    <cellStyle name="40% - Accent4 5 10 2 2" xfId="11381"/>
    <cellStyle name="40% - Accent4 5 10 2 2 2" xfId="28428"/>
    <cellStyle name="40% - Accent4 5 10 2 2 2 2" xfId="57289"/>
    <cellStyle name="40% - Accent4 5 10 2 2 3" xfId="40242"/>
    <cellStyle name="40% - Accent4 5 10 2 3" xfId="22450"/>
    <cellStyle name="40% - Accent4 5 10 2 3 2" xfId="51311"/>
    <cellStyle name="40% - Accent4 5 10 2 4" xfId="34201"/>
    <cellStyle name="40% - Accent4 5 10 3" xfId="8495"/>
    <cellStyle name="40% - Accent4 5 10 3 2" xfId="25542"/>
    <cellStyle name="40% - Accent4 5 10 3 2 2" xfId="54403"/>
    <cellStyle name="40% - Accent4 5 10 3 3" xfId="37356"/>
    <cellStyle name="40% - Accent4 5 10 4" xfId="14386"/>
    <cellStyle name="40% - Accent4 5 10 4 2" xfId="19770"/>
    <cellStyle name="40% - Accent4 5 10 4 2 2" xfId="48631"/>
    <cellStyle name="40% - Accent4 5 10 4 3" xfId="43247"/>
    <cellStyle name="40% - Accent4 5 10 5" xfId="17090"/>
    <cellStyle name="40% - Accent4 5 10 5 2" xfId="45951"/>
    <cellStyle name="40% - Accent4 5 10 6" xfId="31315"/>
    <cellStyle name="40% - Accent4 5 11" xfId="2662"/>
    <cellStyle name="40% - Accent4 5 11 2" xfId="5548"/>
    <cellStyle name="40% - Accent4 5 11 2 2" xfId="11589"/>
    <cellStyle name="40% - Accent4 5 11 2 2 2" xfId="28636"/>
    <cellStyle name="40% - Accent4 5 11 2 2 2 2" xfId="57497"/>
    <cellStyle name="40% - Accent4 5 11 2 2 3" xfId="40450"/>
    <cellStyle name="40% - Accent4 5 11 2 3" xfId="22658"/>
    <cellStyle name="40% - Accent4 5 11 2 3 2" xfId="51519"/>
    <cellStyle name="40% - Accent4 5 11 2 4" xfId="34409"/>
    <cellStyle name="40% - Accent4 5 11 3" xfId="8703"/>
    <cellStyle name="40% - Accent4 5 11 3 2" xfId="25750"/>
    <cellStyle name="40% - Accent4 5 11 3 2 2" xfId="54611"/>
    <cellStyle name="40% - Accent4 5 11 3 3" xfId="37564"/>
    <cellStyle name="40% - Accent4 5 11 4" xfId="12661"/>
    <cellStyle name="40% - Accent4 5 11 4 2" xfId="19978"/>
    <cellStyle name="40% - Accent4 5 11 4 2 2" xfId="48839"/>
    <cellStyle name="40% - Accent4 5 11 4 3" xfId="41522"/>
    <cellStyle name="40% - Accent4 5 11 5" xfId="17298"/>
    <cellStyle name="40% - Accent4 5 11 5 2" xfId="46159"/>
    <cellStyle name="40% - Accent4 5 11 6" xfId="31523"/>
    <cellStyle name="40% - Accent4 5 12" xfId="3177"/>
    <cellStyle name="40% - Accent4 5 12 2" xfId="9218"/>
    <cellStyle name="40% - Accent4 5 12 2 2" xfId="26265"/>
    <cellStyle name="40% - Accent4 5 12 2 2 2" xfId="55126"/>
    <cellStyle name="40% - Accent4 5 12 2 3" xfId="38079"/>
    <cellStyle name="40% - Accent4 5 12 3" xfId="13271"/>
    <cellStyle name="40% - Accent4 5 12 3 2" xfId="20287"/>
    <cellStyle name="40% - Accent4 5 12 3 2 2" xfId="49148"/>
    <cellStyle name="40% - Accent4 5 12 3 3" xfId="42132"/>
    <cellStyle name="40% - Accent4 5 12 4" xfId="14927"/>
    <cellStyle name="40% - Accent4 5 12 4 2" xfId="43788"/>
    <cellStyle name="40% - Accent4 5 12 5" xfId="32038"/>
    <cellStyle name="40% - Accent4 5 13" xfId="2868"/>
    <cellStyle name="40% - Accent4 5 13 2" xfId="8909"/>
    <cellStyle name="40% - Accent4 5 13 2 2" xfId="25956"/>
    <cellStyle name="40% - Accent4 5 13 2 2 2" xfId="54817"/>
    <cellStyle name="40% - Accent4 5 13 2 3" xfId="37770"/>
    <cellStyle name="40% - Accent4 5 13 3" xfId="17504"/>
    <cellStyle name="40% - Accent4 5 13 3 2" xfId="46365"/>
    <cellStyle name="40% - Accent4 5 13 4" xfId="31729"/>
    <cellStyle name="40% - Accent4 5 14" xfId="5754"/>
    <cellStyle name="40% - Accent4 5 14 2" xfId="11795"/>
    <cellStyle name="40% - Accent4 5 14 2 2" xfId="28842"/>
    <cellStyle name="40% - Accent4 5 14 2 2 2" xfId="57703"/>
    <cellStyle name="40% - Accent4 5 14 2 3" xfId="40656"/>
    <cellStyle name="40% - Accent4 5 14 3" xfId="22864"/>
    <cellStyle name="40% - Accent4 5 14 3 2" xfId="51725"/>
    <cellStyle name="40% - Accent4 5 14 4" xfId="34615"/>
    <cellStyle name="40% - Accent4 5 15" xfId="5971"/>
    <cellStyle name="40% - Accent4 5 15 2" xfId="23070"/>
    <cellStyle name="40% - Accent4 5 15 2 2" xfId="51931"/>
    <cellStyle name="40% - Accent4 5 15 3" xfId="34832"/>
    <cellStyle name="40% - Accent4 5 16" xfId="6332"/>
    <cellStyle name="40% - Accent4 5 16 2" xfId="23379"/>
    <cellStyle name="40% - Accent4 5 16 2 2" xfId="52240"/>
    <cellStyle name="40% - Accent4 5 16 3" xfId="35193"/>
    <cellStyle name="40% - Accent4 5 17" xfId="14618"/>
    <cellStyle name="40% - Accent4 5 17 2" xfId="43479"/>
    <cellStyle name="40% - Accent4 5 18" xfId="29152"/>
    <cellStyle name="40% - Accent4 5 2" xfId="496"/>
    <cellStyle name="40% - Accent4 5 2 2" xfId="2247"/>
    <cellStyle name="40% - Accent4 5 2 2 2" xfId="5134"/>
    <cellStyle name="40% - Accent4 5 2 2 2 2" xfId="11175"/>
    <cellStyle name="40% - Accent4 5 2 2 2 2 2" xfId="28222"/>
    <cellStyle name="40% - Accent4 5 2 2 2 2 2 2" xfId="57083"/>
    <cellStyle name="40% - Accent4 5 2 2 2 2 3" xfId="40036"/>
    <cellStyle name="40% - Accent4 5 2 2 2 3" xfId="22244"/>
    <cellStyle name="40% - Accent4 5 2 2 2 3 2" xfId="51105"/>
    <cellStyle name="40% - Accent4 5 2 2 2 4" xfId="33995"/>
    <cellStyle name="40% - Accent4 5 2 2 3" xfId="8289"/>
    <cellStyle name="40% - Accent4 5 2 2 3 2" xfId="25336"/>
    <cellStyle name="40% - Accent4 5 2 2 3 2 2" xfId="54197"/>
    <cellStyle name="40% - Accent4 5 2 2 3 3" xfId="37150"/>
    <cellStyle name="40% - Accent4 5 2 2 4" xfId="13109"/>
    <cellStyle name="40% - Accent4 5 2 2 4 2" xfId="19564"/>
    <cellStyle name="40% - Accent4 5 2 2 4 2 2" xfId="48425"/>
    <cellStyle name="40% - Accent4 5 2 2 4 3" xfId="41970"/>
    <cellStyle name="40% - Accent4 5 2 2 5" xfId="16884"/>
    <cellStyle name="40% - Accent4 5 2 2 5 2" xfId="45745"/>
    <cellStyle name="40% - Accent4 5 2 2 6" xfId="31109"/>
    <cellStyle name="40% - Accent4 5 2 3" xfId="3383"/>
    <cellStyle name="40% - Accent4 5 2 3 2" xfId="9424"/>
    <cellStyle name="40% - Accent4 5 2 3 2 2" xfId="26471"/>
    <cellStyle name="40% - Accent4 5 2 3 2 2 2" xfId="55332"/>
    <cellStyle name="40% - Accent4 5 2 3 2 3" xfId="38285"/>
    <cellStyle name="40% - Accent4 5 2 3 3" xfId="20493"/>
    <cellStyle name="40% - Accent4 5 2 3 3 2" xfId="49354"/>
    <cellStyle name="40% - Accent4 5 2 3 4" xfId="32244"/>
    <cellStyle name="40% - Accent4 5 2 4" xfId="6538"/>
    <cellStyle name="40% - Accent4 5 2 4 2" xfId="23585"/>
    <cellStyle name="40% - Accent4 5 2 4 2 2" xfId="52446"/>
    <cellStyle name="40% - Accent4 5 2 4 3" xfId="35399"/>
    <cellStyle name="40% - Accent4 5 2 5" xfId="13602"/>
    <cellStyle name="40% - Accent4 5 2 5 2" xfId="17813"/>
    <cellStyle name="40% - Accent4 5 2 5 2 2" xfId="46674"/>
    <cellStyle name="40% - Accent4 5 2 5 3" xfId="42463"/>
    <cellStyle name="40% - Accent4 5 2 6" xfId="15133"/>
    <cellStyle name="40% - Accent4 5 2 6 2" xfId="43994"/>
    <cellStyle name="40% - Accent4 5 2 7" xfId="29358"/>
    <cellStyle name="40% - Accent4 5 3" xfId="805"/>
    <cellStyle name="40% - Accent4 5 3 2" xfId="3692"/>
    <cellStyle name="40% - Accent4 5 3 2 2" xfId="9733"/>
    <cellStyle name="40% - Accent4 5 3 2 2 2" xfId="26780"/>
    <cellStyle name="40% - Accent4 5 3 2 2 2 2" xfId="55641"/>
    <cellStyle name="40% - Accent4 5 3 2 2 3" xfId="38594"/>
    <cellStyle name="40% - Accent4 5 3 2 3" xfId="20802"/>
    <cellStyle name="40% - Accent4 5 3 2 3 2" xfId="49663"/>
    <cellStyle name="40% - Accent4 5 3 2 4" xfId="32553"/>
    <cellStyle name="40% - Accent4 5 3 3" xfId="6847"/>
    <cellStyle name="40% - Accent4 5 3 3 2" xfId="23894"/>
    <cellStyle name="40% - Accent4 5 3 3 2 2" xfId="52755"/>
    <cellStyle name="40% - Accent4 5 3 3 3" xfId="35708"/>
    <cellStyle name="40% - Accent4 5 3 4" xfId="6062"/>
    <cellStyle name="40% - Accent4 5 3 4 2" xfId="18122"/>
    <cellStyle name="40% - Accent4 5 3 4 2 2" xfId="46983"/>
    <cellStyle name="40% - Accent4 5 3 4 3" xfId="34923"/>
    <cellStyle name="40% - Accent4 5 3 5" xfId="15442"/>
    <cellStyle name="40% - Accent4 5 3 5 2" xfId="44303"/>
    <cellStyle name="40% - Accent4 5 3 6" xfId="29667"/>
    <cellStyle name="40% - Accent4 5 4" xfId="1011"/>
    <cellStyle name="40% - Accent4 5 4 2" xfId="3898"/>
    <cellStyle name="40% - Accent4 5 4 2 2" xfId="9939"/>
    <cellStyle name="40% - Accent4 5 4 2 2 2" xfId="26986"/>
    <cellStyle name="40% - Accent4 5 4 2 2 2 2" xfId="55847"/>
    <cellStyle name="40% - Accent4 5 4 2 2 3" xfId="38800"/>
    <cellStyle name="40% - Accent4 5 4 2 3" xfId="21008"/>
    <cellStyle name="40% - Accent4 5 4 2 3 2" xfId="49869"/>
    <cellStyle name="40% - Accent4 5 4 2 4" xfId="32759"/>
    <cellStyle name="40% - Accent4 5 4 3" xfId="7053"/>
    <cellStyle name="40% - Accent4 5 4 3 2" xfId="24100"/>
    <cellStyle name="40% - Accent4 5 4 3 2 2" xfId="52961"/>
    <cellStyle name="40% - Accent4 5 4 3 3" xfId="35914"/>
    <cellStyle name="40% - Accent4 5 4 4" xfId="12700"/>
    <cellStyle name="40% - Accent4 5 4 4 2" xfId="18328"/>
    <cellStyle name="40% - Accent4 5 4 4 2 2" xfId="47189"/>
    <cellStyle name="40% - Accent4 5 4 4 3" xfId="41561"/>
    <cellStyle name="40% - Accent4 5 4 5" xfId="15648"/>
    <cellStyle name="40% - Accent4 5 4 5 2" xfId="44509"/>
    <cellStyle name="40% - Accent4 5 4 6" xfId="29873"/>
    <cellStyle name="40% - Accent4 5 5" xfId="1217"/>
    <cellStyle name="40% - Accent4 5 5 2" xfId="4104"/>
    <cellStyle name="40% - Accent4 5 5 2 2" xfId="10145"/>
    <cellStyle name="40% - Accent4 5 5 2 2 2" xfId="27192"/>
    <cellStyle name="40% - Accent4 5 5 2 2 2 2" xfId="56053"/>
    <cellStyle name="40% - Accent4 5 5 2 2 3" xfId="39006"/>
    <cellStyle name="40% - Accent4 5 5 2 3" xfId="21214"/>
    <cellStyle name="40% - Accent4 5 5 2 3 2" xfId="50075"/>
    <cellStyle name="40% - Accent4 5 5 2 4" xfId="32965"/>
    <cellStyle name="40% - Accent4 5 5 3" xfId="7259"/>
    <cellStyle name="40% - Accent4 5 5 3 2" xfId="24306"/>
    <cellStyle name="40% - Accent4 5 5 3 2 2" xfId="53167"/>
    <cellStyle name="40% - Accent4 5 5 3 3" xfId="36120"/>
    <cellStyle name="40% - Accent4 5 5 4" xfId="13058"/>
    <cellStyle name="40% - Accent4 5 5 4 2" xfId="18534"/>
    <cellStyle name="40% - Accent4 5 5 4 2 2" xfId="47395"/>
    <cellStyle name="40% - Accent4 5 5 4 3" xfId="41919"/>
    <cellStyle name="40% - Accent4 5 5 5" xfId="15854"/>
    <cellStyle name="40% - Accent4 5 5 5 2" xfId="44715"/>
    <cellStyle name="40% - Accent4 5 5 6" xfId="30079"/>
    <cellStyle name="40% - Accent4 5 6" xfId="1423"/>
    <cellStyle name="40% - Accent4 5 6 2" xfId="4310"/>
    <cellStyle name="40% - Accent4 5 6 2 2" xfId="10351"/>
    <cellStyle name="40% - Accent4 5 6 2 2 2" xfId="27398"/>
    <cellStyle name="40% - Accent4 5 6 2 2 2 2" xfId="56259"/>
    <cellStyle name="40% - Accent4 5 6 2 2 3" xfId="39212"/>
    <cellStyle name="40% - Accent4 5 6 2 3" xfId="21420"/>
    <cellStyle name="40% - Accent4 5 6 2 3 2" xfId="50281"/>
    <cellStyle name="40% - Accent4 5 6 2 4" xfId="33171"/>
    <cellStyle name="40% - Accent4 5 6 3" xfId="7465"/>
    <cellStyle name="40% - Accent4 5 6 3 2" xfId="24512"/>
    <cellStyle name="40% - Accent4 5 6 3 2 2" xfId="53373"/>
    <cellStyle name="40% - Accent4 5 6 3 3" xfId="36326"/>
    <cellStyle name="40% - Accent4 5 6 4" xfId="13239"/>
    <cellStyle name="40% - Accent4 5 6 4 2" xfId="18740"/>
    <cellStyle name="40% - Accent4 5 6 4 2 2" xfId="47601"/>
    <cellStyle name="40% - Accent4 5 6 4 3" xfId="42100"/>
    <cellStyle name="40% - Accent4 5 6 5" xfId="16060"/>
    <cellStyle name="40% - Accent4 5 6 5 2" xfId="44921"/>
    <cellStyle name="40% - Accent4 5 6 6" xfId="30285"/>
    <cellStyle name="40% - Accent4 5 7" xfId="1629"/>
    <cellStyle name="40% - Accent4 5 7 2" xfId="4516"/>
    <cellStyle name="40% - Accent4 5 7 2 2" xfId="10557"/>
    <cellStyle name="40% - Accent4 5 7 2 2 2" xfId="27604"/>
    <cellStyle name="40% - Accent4 5 7 2 2 2 2" xfId="56465"/>
    <cellStyle name="40% - Accent4 5 7 2 2 3" xfId="39418"/>
    <cellStyle name="40% - Accent4 5 7 2 3" xfId="21626"/>
    <cellStyle name="40% - Accent4 5 7 2 3 2" xfId="50487"/>
    <cellStyle name="40% - Accent4 5 7 2 4" xfId="33377"/>
    <cellStyle name="40% - Accent4 5 7 3" xfId="7671"/>
    <cellStyle name="40% - Accent4 5 7 3 2" xfId="24718"/>
    <cellStyle name="40% - Accent4 5 7 3 2 2" xfId="53579"/>
    <cellStyle name="40% - Accent4 5 7 3 3" xfId="36532"/>
    <cellStyle name="40% - Accent4 5 7 4" xfId="13605"/>
    <cellStyle name="40% - Accent4 5 7 4 2" xfId="18946"/>
    <cellStyle name="40% - Accent4 5 7 4 2 2" xfId="47807"/>
    <cellStyle name="40% - Accent4 5 7 4 3" xfId="42466"/>
    <cellStyle name="40% - Accent4 5 7 5" xfId="16266"/>
    <cellStyle name="40% - Accent4 5 7 5 2" xfId="45127"/>
    <cellStyle name="40% - Accent4 5 7 6" xfId="30491"/>
    <cellStyle name="40% - Accent4 5 8" xfId="1835"/>
    <cellStyle name="40% - Accent4 5 8 2" xfId="4722"/>
    <cellStyle name="40% - Accent4 5 8 2 2" xfId="10763"/>
    <cellStyle name="40% - Accent4 5 8 2 2 2" xfId="27810"/>
    <cellStyle name="40% - Accent4 5 8 2 2 2 2" xfId="56671"/>
    <cellStyle name="40% - Accent4 5 8 2 2 3" xfId="39624"/>
    <cellStyle name="40% - Accent4 5 8 2 3" xfId="21832"/>
    <cellStyle name="40% - Accent4 5 8 2 3 2" xfId="50693"/>
    <cellStyle name="40% - Accent4 5 8 2 4" xfId="33583"/>
    <cellStyle name="40% - Accent4 5 8 3" xfId="7877"/>
    <cellStyle name="40% - Accent4 5 8 3 2" xfId="24924"/>
    <cellStyle name="40% - Accent4 5 8 3 2 2" xfId="53785"/>
    <cellStyle name="40% - Accent4 5 8 3 3" xfId="36738"/>
    <cellStyle name="40% - Accent4 5 8 4" xfId="11897"/>
    <cellStyle name="40% - Accent4 5 8 4 2" xfId="19152"/>
    <cellStyle name="40% - Accent4 5 8 4 2 2" xfId="48013"/>
    <cellStyle name="40% - Accent4 5 8 4 3" xfId="40758"/>
    <cellStyle name="40% - Accent4 5 8 5" xfId="16472"/>
    <cellStyle name="40% - Accent4 5 8 5 2" xfId="45333"/>
    <cellStyle name="40% - Accent4 5 8 6" xfId="30697"/>
    <cellStyle name="40% - Accent4 5 9" xfId="2041"/>
    <cellStyle name="40% - Accent4 5 9 2" xfId="4928"/>
    <cellStyle name="40% - Accent4 5 9 2 2" xfId="10969"/>
    <cellStyle name="40% - Accent4 5 9 2 2 2" xfId="28016"/>
    <cellStyle name="40% - Accent4 5 9 2 2 2 2" xfId="56877"/>
    <cellStyle name="40% - Accent4 5 9 2 2 3" xfId="39830"/>
    <cellStyle name="40% - Accent4 5 9 2 3" xfId="22038"/>
    <cellStyle name="40% - Accent4 5 9 2 3 2" xfId="50899"/>
    <cellStyle name="40% - Accent4 5 9 2 4" xfId="33789"/>
    <cellStyle name="40% - Accent4 5 9 3" xfId="8083"/>
    <cellStyle name="40% - Accent4 5 9 3 2" xfId="25130"/>
    <cellStyle name="40% - Accent4 5 9 3 2 2" xfId="53991"/>
    <cellStyle name="40% - Accent4 5 9 3 3" xfId="36944"/>
    <cellStyle name="40% - Accent4 5 9 4" xfId="13890"/>
    <cellStyle name="40% - Accent4 5 9 4 2" xfId="19358"/>
    <cellStyle name="40% - Accent4 5 9 4 2 2" xfId="48219"/>
    <cellStyle name="40% - Accent4 5 9 4 3" xfId="42751"/>
    <cellStyle name="40% - Accent4 5 9 5" xfId="16678"/>
    <cellStyle name="40% - Accent4 5 9 5 2" xfId="45539"/>
    <cellStyle name="40% - Accent4 5 9 6" xfId="30903"/>
    <cellStyle name="40% - Accent4 6" xfId="187"/>
    <cellStyle name="40% - Accent4 6 2" xfId="599"/>
    <cellStyle name="40% - Accent4 6 2 2" xfId="3486"/>
    <cellStyle name="40% - Accent4 6 2 2 2" xfId="9527"/>
    <cellStyle name="40% - Accent4 6 2 2 2 2" xfId="26574"/>
    <cellStyle name="40% - Accent4 6 2 2 2 2 2" xfId="55435"/>
    <cellStyle name="40% - Accent4 6 2 2 2 3" xfId="38388"/>
    <cellStyle name="40% - Accent4 6 2 2 3" xfId="20596"/>
    <cellStyle name="40% - Accent4 6 2 2 3 2" xfId="49457"/>
    <cellStyle name="40% - Accent4 6 2 2 4" xfId="32347"/>
    <cellStyle name="40% - Accent4 6 2 3" xfId="6641"/>
    <cellStyle name="40% - Accent4 6 2 3 2" xfId="23688"/>
    <cellStyle name="40% - Accent4 6 2 3 2 2" xfId="52549"/>
    <cellStyle name="40% - Accent4 6 2 3 3" xfId="35502"/>
    <cellStyle name="40% - Accent4 6 2 4" xfId="14149"/>
    <cellStyle name="40% - Accent4 6 2 4 2" xfId="17916"/>
    <cellStyle name="40% - Accent4 6 2 4 2 2" xfId="46777"/>
    <cellStyle name="40% - Accent4 6 2 4 3" xfId="43010"/>
    <cellStyle name="40% - Accent4 6 2 5" xfId="15236"/>
    <cellStyle name="40% - Accent4 6 2 5 2" xfId="44097"/>
    <cellStyle name="40% - Accent4 6 2 6" xfId="29461"/>
    <cellStyle name="40% - Accent4 6 3" xfId="2144"/>
    <cellStyle name="40% - Accent4 6 3 2" xfId="5031"/>
    <cellStyle name="40% - Accent4 6 3 2 2" xfId="11072"/>
    <cellStyle name="40% - Accent4 6 3 2 2 2" xfId="28119"/>
    <cellStyle name="40% - Accent4 6 3 2 2 2 2" xfId="56980"/>
    <cellStyle name="40% - Accent4 6 3 2 2 3" xfId="39933"/>
    <cellStyle name="40% - Accent4 6 3 2 3" xfId="22141"/>
    <cellStyle name="40% - Accent4 6 3 2 3 2" xfId="51002"/>
    <cellStyle name="40% - Accent4 6 3 2 4" xfId="33892"/>
    <cellStyle name="40% - Accent4 6 3 3" xfId="8186"/>
    <cellStyle name="40% - Accent4 6 3 3 2" xfId="25233"/>
    <cellStyle name="40% - Accent4 6 3 3 2 2" xfId="54094"/>
    <cellStyle name="40% - Accent4 6 3 3 3" xfId="37047"/>
    <cellStyle name="40% - Accent4 6 3 4" xfId="14247"/>
    <cellStyle name="40% - Accent4 6 3 4 2" xfId="19461"/>
    <cellStyle name="40% - Accent4 6 3 4 2 2" xfId="48322"/>
    <cellStyle name="40% - Accent4 6 3 4 3" xfId="43108"/>
    <cellStyle name="40% - Accent4 6 3 5" xfId="16781"/>
    <cellStyle name="40% - Accent4 6 3 5 2" xfId="45642"/>
    <cellStyle name="40% - Accent4 6 3 6" xfId="31006"/>
    <cellStyle name="40% - Accent4 6 4" xfId="3074"/>
    <cellStyle name="40% - Accent4 6 4 2" xfId="9115"/>
    <cellStyle name="40% - Accent4 6 4 2 2" xfId="26162"/>
    <cellStyle name="40% - Accent4 6 4 2 2 2" xfId="55023"/>
    <cellStyle name="40% - Accent4 6 4 2 3" xfId="37976"/>
    <cellStyle name="40% - Accent4 6 4 3" xfId="20184"/>
    <cellStyle name="40% - Accent4 6 4 3 2" xfId="49045"/>
    <cellStyle name="40% - Accent4 6 4 4" xfId="31935"/>
    <cellStyle name="40% - Accent4 6 5" xfId="6229"/>
    <cellStyle name="40% - Accent4 6 5 2" xfId="23276"/>
    <cellStyle name="40% - Accent4 6 5 2 2" xfId="52137"/>
    <cellStyle name="40% - Accent4 6 5 3" xfId="35090"/>
    <cellStyle name="40% - Accent4 6 6" xfId="13913"/>
    <cellStyle name="40% - Accent4 6 6 2" xfId="17607"/>
    <cellStyle name="40% - Accent4 6 6 2 2" xfId="46468"/>
    <cellStyle name="40% - Accent4 6 6 3" xfId="42774"/>
    <cellStyle name="40% - Accent4 6 7" xfId="14824"/>
    <cellStyle name="40% - Accent4 6 7 2" xfId="43685"/>
    <cellStyle name="40% - Accent4 6 8" xfId="29049"/>
    <cellStyle name="40% - Accent4 7" xfId="393"/>
    <cellStyle name="40% - Accent4 7 2" xfId="3280"/>
    <cellStyle name="40% - Accent4 7 2 2" xfId="9321"/>
    <cellStyle name="40% - Accent4 7 2 2 2" xfId="26368"/>
    <cellStyle name="40% - Accent4 7 2 2 2 2" xfId="55229"/>
    <cellStyle name="40% - Accent4 7 2 2 3" xfId="38182"/>
    <cellStyle name="40% - Accent4 7 2 3" xfId="20390"/>
    <cellStyle name="40% - Accent4 7 2 3 2" xfId="49251"/>
    <cellStyle name="40% - Accent4 7 2 4" xfId="32141"/>
    <cellStyle name="40% - Accent4 7 3" xfId="6435"/>
    <cellStyle name="40% - Accent4 7 3 2" xfId="23482"/>
    <cellStyle name="40% - Accent4 7 3 2 2" xfId="52343"/>
    <cellStyle name="40% - Accent4 7 3 3" xfId="35296"/>
    <cellStyle name="40% - Accent4 7 4" xfId="12654"/>
    <cellStyle name="40% - Accent4 7 4 2" xfId="17710"/>
    <cellStyle name="40% - Accent4 7 4 2 2" xfId="46571"/>
    <cellStyle name="40% - Accent4 7 4 3" xfId="41515"/>
    <cellStyle name="40% - Accent4 7 5" xfId="15030"/>
    <cellStyle name="40% - Accent4 7 5 2" xfId="43891"/>
    <cellStyle name="40% - Accent4 7 6" xfId="29255"/>
    <cellStyle name="40% - Accent4 8" xfId="702"/>
    <cellStyle name="40% - Accent4 8 2" xfId="3589"/>
    <cellStyle name="40% - Accent4 8 2 2" xfId="9630"/>
    <cellStyle name="40% - Accent4 8 2 2 2" xfId="26677"/>
    <cellStyle name="40% - Accent4 8 2 2 2 2" xfId="55538"/>
    <cellStyle name="40% - Accent4 8 2 2 3" xfId="38491"/>
    <cellStyle name="40% - Accent4 8 2 3" xfId="20699"/>
    <cellStyle name="40% - Accent4 8 2 3 2" xfId="49560"/>
    <cellStyle name="40% - Accent4 8 2 4" xfId="32450"/>
    <cellStyle name="40% - Accent4 8 3" xfId="6744"/>
    <cellStyle name="40% - Accent4 8 3 2" xfId="23791"/>
    <cellStyle name="40% - Accent4 8 3 2 2" xfId="52652"/>
    <cellStyle name="40% - Accent4 8 3 3" xfId="35605"/>
    <cellStyle name="40% - Accent4 8 4" xfId="13348"/>
    <cellStyle name="40% - Accent4 8 4 2" xfId="18019"/>
    <cellStyle name="40% - Accent4 8 4 2 2" xfId="46880"/>
    <cellStyle name="40% - Accent4 8 4 3" xfId="42209"/>
    <cellStyle name="40% - Accent4 8 5" xfId="15339"/>
    <cellStyle name="40% - Accent4 8 5 2" xfId="44200"/>
    <cellStyle name="40% - Accent4 8 6" xfId="29564"/>
    <cellStyle name="40% - Accent4 9" xfId="908"/>
    <cellStyle name="40% - Accent4 9 2" xfId="3795"/>
    <cellStyle name="40% - Accent4 9 2 2" xfId="9836"/>
    <cellStyle name="40% - Accent4 9 2 2 2" xfId="26883"/>
    <cellStyle name="40% - Accent4 9 2 2 2 2" xfId="55744"/>
    <cellStyle name="40% - Accent4 9 2 2 3" xfId="38697"/>
    <cellStyle name="40% - Accent4 9 2 3" xfId="20905"/>
    <cellStyle name="40% - Accent4 9 2 3 2" xfId="49766"/>
    <cellStyle name="40% - Accent4 9 2 4" xfId="32656"/>
    <cellStyle name="40% - Accent4 9 3" xfId="6950"/>
    <cellStyle name="40% - Accent4 9 3 2" xfId="23997"/>
    <cellStyle name="40% - Accent4 9 3 2 2" xfId="52858"/>
    <cellStyle name="40% - Accent4 9 3 3" xfId="35811"/>
    <cellStyle name="40% - Accent4 9 4" xfId="13350"/>
    <cellStyle name="40% - Accent4 9 4 2" xfId="18225"/>
    <cellStyle name="40% - Accent4 9 4 2 2" xfId="47086"/>
    <cellStyle name="40% - Accent4 9 4 3" xfId="42211"/>
    <cellStyle name="40% - Accent4 9 5" xfId="15545"/>
    <cellStyle name="40% - Accent4 9 5 2" xfId="44406"/>
    <cellStyle name="40% - Accent4 9 6" xfId="29770"/>
    <cellStyle name="40% - Accent5" xfId="83" builtinId="47" customBuiltin="1"/>
    <cellStyle name="40% - Accent5 10" xfId="1116"/>
    <cellStyle name="40% - Accent5 10 2" xfId="4003"/>
    <cellStyle name="40% - Accent5 10 2 2" xfId="10044"/>
    <cellStyle name="40% - Accent5 10 2 2 2" xfId="27091"/>
    <cellStyle name="40% - Accent5 10 2 2 2 2" xfId="55952"/>
    <cellStyle name="40% - Accent5 10 2 2 3" xfId="38905"/>
    <cellStyle name="40% - Accent5 10 2 3" xfId="21113"/>
    <cellStyle name="40% - Accent5 10 2 3 2" xfId="49974"/>
    <cellStyle name="40% - Accent5 10 2 4" xfId="32864"/>
    <cellStyle name="40% - Accent5 10 3" xfId="7158"/>
    <cellStyle name="40% - Accent5 10 3 2" xfId="24205"/>
    <cellStyle name="40% - Accent5 10 3 2 2" xfId="53066"/>
    <cellStyle name="40% - Accent5 10 3 3" xfId="36019"/>
    <cellStyle name="40% - Accent5 10 4" xfId="14458"/>
    <cellStyle name="40% - Accent5 10 4 2" xfId="18433"/>
    <cellStyle name="40% - Accent5 10 4 2 2" xfId="47294"/>
    <cellStyle name="40% - Accent5 10 4 3" xfId="43319"/>
    <cellStyle name="40% - Accent5 10 5" xfId="15753"/>
    <cellStyle name="40% - Accent5 10 5 2" xfId="44614"/>
    <cellStyle name="40% - Accent5 10 6" xfId="29978"/>
    <cellStyle name="40% - Accent5 11" xfId="1322"/>
    <cellStyle name="40% - Accent5 11 2" xfId="4209"/>
    <cellStyle name="40% - Accent5 11 2 2" xfId="10250"/>
    <cellStyle name="40% - Accent5 11 2 2 2" xfId="27297"/>
    <cellStyle name="40% - Accent5 11 2 2 2 2" xfId="56158"/>
    <cellStyle name="40% - Accent5 11 2 2 3" xfId="39111"/>
    <cellStyle name="40% - Accent5 11 2 3" xfId="21319"/>
    <cellStyle name="40% - Accent5 11 2 3 2" xfId="50180"/>
    <cellStyle name="40% - Accent5 11 2 4" xfId="33070"/>
    <cellStyle name="40% - Accent5 11 3" xfId="7364"/>
    <cellStyle name="40% - Accent5 11 3 2" xfId="24411"/>
    <cellStyle name="40% - Accent5 11 3 2 2" xfId="53272"/>
    <cellStyle name="40% - Accent5 11 3 3" xfId="36225"/>
    <cellStyle name="40% - Accent5 11 4" xfId="14153"/>
    <cellStyle name="40% - Accent5 11 4 2" xfId="18639"/>
    <cellStyle name="40% - Accent5 11 4 2 2" xfId="47500"/>
    <cellStyle name="40% - Accent5 11 4 3" xfId="43014"/>
    <cellStyle name="40% - Accent5 11 5" xfId="15959"/>
    <cellStyle name="40% - Accent5 11 5 2" xfId="44820"/>
    <cellStyle name="40% - Accent5 11 6" xfId="30184"/>
    <cellStyle name="40% - Accent5 12" xfId="1528"/>
    <cellStyle name="40% - Accent5 12 2" xfId="4415"/>
    <cellStyle name="40% - Accent5 12 2 2" xfId="10456"/>
    <cellStyle name="40% - Accent5 12 2 2 2" xfId="27503"/>
    <cellStyle name="40% - Accent5 12 2 2 2 2" xfId="56364"/>
    <cellStyle name="40% - Accent5 12 2 2 3" xfId="39317"/>
    <cellStyle name="40% - Accent5 12 2 3" xfId="21525"/>
    <cellStyle name="40% - Accent5 12 2 3 2" xfId="50386"/>
    <cellStyle name="40% - Accent5 12 2 4" xfId="33276"/>
    <cellStyle name="40% - Accent5 12 3" xfId="7570"/>
    <cellStyle name="40% - Accent5 12 3 2" xfId="24617"/>
    <cellStyle name="40% - Accent5 12 3 2 2" xfId="53478"/>
    <cellStyle name="40% - Accent5 12 3 3" xfId="36431"/>
    <cellStyle name="40% - Accent5 12 4" xfId="12698"/>
    <cellStyle name="40% - Accent5 12 4 2" xfId="18845"/>
    <cellStyle name="40% - Accent5 12 4 2 2" xfId="47706"/>
    <cellStyle name="40% - Accent5 12 4 3" xfId="41559"/>
    <cellStyle name="40% - Accent5 12 5" xfId="16165"/>
    <cellStyle name="40% - Accent5 12 5 2" xfId="45026"/>
    <cellStyle name="40% - Accent5 12 6" xfId="30390"/>
    <cellStyle name="40% - Accent5 13" xfId="1734"/>
    <cellStyle name="40% - Accent5 13 2" xfId="4621"/>
    <cellStyle name="40% - Accent5 13 2 2" xfId="10662"/>
    <cellStyle name="40% - Accent5 13 2 2 2" xfId="27709"/>
    <cellStyle name="40% - Accent5 13 2 2 2 2" xfId="56570"/>
    <cellStyle name="40% - Accent5 13 2 2 3" xfId="39523"/>
    <cellStyle name="40% - Accent5 13 2 3" xfId="21731"/>
    <cellStyle name="40% - Accent5 13 2 3 2" xfId="50592"/>
    <cellStyle name="40% - Accent5 13 2 4" xfId="33482"/>
    <cellStyle name="40% - Accent5 13 3" xfId="7776"/>
    <cellStyle name="40% - Accent5 13 3 2" xfId="24823"/>
    <cellStyle name="40% - Accent5 13 3 2 2" xfId="53684"/>
    <cellStyle name="40% - Accent5 13 3 3" xfId="36637"/>
    <cellStyle name="40% - Accent5 13 4" xfId="13828"/>
    <cellStyle name="40% - Accent5 13 4 2" xfId="19051"/>
    <cellStyle name="40% - Accent5 13 4 2 2" xfId="47912"/>
    <cellStyle name="40% - Accent5 13 4 3" xfId="42689"/>
    <cellStyle name="40% - Accent5 13 5" xfId="16371"/>
    <cellStyle name="40% - Accent5 13 5 2" xfId="45232"/>
    <cellStyle name="40% - Accent5 13 6" xfId="30596"/>
    <cellStyle name="40% - Accent5 14" xfId="1940"/>
    <cellStyle name="40% - Accent5 14 2" xfId="4827"/>
    <cellStyle name="40% - Accent5 14 2 2" xfId="10868"/>
    <cellStyle name="40% - Accent5 14 2 2 2" xfId="27915"/>
    <cellStyle name="40% - Accent5 14 2 2 2 2" xfId="56776"/>
    <cellStyle name="40% - Accent5 14 2 2 3" xfId="39729"/>
    <cellStyle name="40% - Accent5 14 2 3" xfId="21937"/>
    <cellStyle name="40% - Accent5 14 2 3 2" xfId="50798"/>
    <cellStyle name="40% - Accent5 14 2 4" xfId="33688"/>
    <cellStyle name="40% - Accent5 14 3" xfId="7982"/>
    <cellStyle name="40% - Accent5 14 3 2" xfId="25029"/>
    <cellStyle name="40% - Accent5 14 3 2 2" xfId="53890"/>
    <cellStyle name="40% - Accent5 14 3 3" xfId="36843"/>
    <cellStyle name="40% - Accent5 14 4" xfId="12777"/>
    <cellStyle name="40% - Accent5 14 4 2" xfId="19257"/>
    <cellStyle name="40% - Accent5 14 4 2 2" xfId="48118"/>
    <cellStyle name="40% - Accent5 14 4 3" xfId="41638"/>
    <cellStyle name="40% - Accent5 14 5" xfId="16577"/>
    <cellStyle name="40% - Accent5 14 5 2" xfId="45438"/>
    <cellStyle name="40% - Accent5 14 6" xfId="30802"/>
    <cellStyle name="40% - Accent5 15" xfId="2352"/>
    <cellStyle name="40% - Accent5 15 2" xfId="5239"/>
    <cellStyle name="40% - Accent5 15 2 2" xfId="11280"/>
    <cellStyle name="40% - Accent5 15 2 2 2" xfId="28327"/>
    <cellStyle name="40% - Accent5 15 2 2 2 2" xfId="57188"/>
    <cellStyle name="40% - Accent5 15 2 2 3" xfId="40141"/>
    <cellStyle name="40% - Accent5 15 2 3" xfId="22349"/>
    <cellStyle name="40% - Accent5 15 2 3 2" xfId="51210"/>
    <cellStyle name="40% - Accent5 15 2 4" xfId="34100"/>
    <cellStyle name="40% - Accent5 15 3" xfId="8394"/>
    <cellStyle name="40% - Accent5 15 3 2" xfId="25441"/>
    <cellStyle name="40% - Accent5 15 3 2 2" xfId="54302"/>
    <cellStyle name="40% - Accent5 15 3 3" xfId="37255"/>
    <cellStyle name="40% - Accent5 15 4" xfId="14017"/>
    <cellStyle name="40% - Accent5 15 4 2" xfId="19669"/>
    <cellStyle name="40% - Accent5 15 4 2 2" xfId="48530"/>
    <cellStyle name="40% - Accent5 15 4 3" xfId="42878"/>
    <cellStyle name="40% - Accent5 15 5" xfId="16989"/>
    <cellStyle name="40% - Accent5 15 5 2" xfId="45850"/>
    <cellStyle name="40% - Accent5 15 6" xfId="31214"/>
    <cellStyle name="40% - Accent5 16" xfId="2561"/>
    <cellStyle name="40% - Accent5 16 2" xfId="5447"/>
    <cellStyle name="40% - Accent5 16 2 2" xfId="11488"/>
    <cellStyle name="40% - Accent5 16 2 2 2" xfId="28535"/>
    <cellStyle name="40% - Accent5 16 2 2 2 2" xfId="57396"/>
    <cellStyle name="40% - Accent5 16 2 2 3" xfId="40349"/>
    <cellStyle name="40% - Accent5 16 2 3" xfId="22557"/>
    <cellStyle name="40% - Accent5 16 2 3 2" xfId="51418"/>
    <cellStyle name="40% - Accent5 16 2 4" xfId="34308"/>
    <cellStyle name="40% - Accent5 16 3" xfId="8602"/>
    <cellStyle name="40% - Accent5 16 3 2" xfId="25649"/>
    <cellStyle name="40% - Accent5 16 3 2 2" xfId="54510"/>
    <cellStyle name="40% - Accent5 16 3 3" xfId="37463"/>
    <cellStyle name="40% - Accent5 16 4" xfId="12243"/>
    <cellStyle name="40% - Accent5 16 4 2" xfId="19877"/>
    <cellStyle name="40% - Accent5 16 4 2 2" xfId="48738"/>
    <cellStyle name="40% - Accent5 16 4 3" xfId="41104"/>
    <cellStyle name="40% - Accent5 16 5" xfId="17197"/>
    <cellStyle name="40% - Accent5 16 5 2" xfId="46058"/>
    <cellStyle name="40% - Accent5 16 6" xfId="31422"/>
    <cellStyle name="40% - Accent5 17" xfId="2973"/>
    <cellStyle name="40% - Accent5 17 2" xfId="9014"/>
    <cellStyle name="40% - Accent5 17 2 2" xfId="26061"/>
    <cellStyle name="40% - Accent5 17 2 2 2" xfId="54922"/>
    <cellStyle name="40% - Accent5 17 2 3" xfId="37875"/>
    <cellStyle name="40% - Accent5 17 3" xfId="12755"/>
    <cellStyle name="40% - Accent5 17 3 2" xfId="20083"/>
    <cellStyle name="40% - Accent5 17 3 2 2" xfId="48944"/>
    <cellStyle name="40% - Accent5 17 3 3" xfId="41616"/>
    <cellStyle name="40% - Accent5 17 4" xfId="14723"/>
    <cellStyle name="40% - Accent5 17 4 2" xfId="43584"/>
    <cellStyle name="40% - Accent5 17 5" xfId="31834"/>
    <cellStyle name="40% - Accent5 18" xfId="2767"/>
    <cellStyle name="40% - Accent5 18 2" xfId="8808"/>
    <cellStyle name="40% - Accent5 18 2 2" xfId="25855"/>
    <cellStyle name="40% - Accent5 18 2 2 2" xfId="54716"/>
    <cellStyle name="40% - Accent5 18 2 3" xfId="37669"/>
    <cellStyle name="40% - Accent5 18 3" xfId="17403"/>
    <cellStyle name="40% - Accent5 18 3 2" xfId="46264"/>
    <cellStyle name="40% - Accent5 18 4" xfId="31628"/>
    <cellStyle name="40% - Accent5 19" xfId="5653"/>
    <cellStyle name="40% - Accent5 19 2" xfId="11694"/>
    <cellStyle name="40% - Accent5 19 2 2" xfId="28741"/>
    <cellStyle name="40% - Accent5 19 2 2 2" xfId="57602"/>
    <cellStyle name="40% - Accent5 19 2 3" xfId="40555"/>
    <cellStyle name="40% - Accent5 19 3" xfId="22763"/>
    <cellStyle name="40% - Accent5 19 3 2" xfId="51624"/>
    <cellStyle name="40% - Accent5 19 4" xfId="34514"/>
    <cellStyle name="40% - Accent5 2" xfId="100"/>
    <cellStyle name="40% - Accent5 2 10" xfId="1336"/>
    <cellStyle name="40% - Accent5 2 10 2" xfId="4223"/>
    <cellStyle name="40% - Accent5 2 10 2 2" xfId="10264"/>
    <cellStyle name="40% - Accent5 2 10 2 2 2" xfId="27311"/>
    <cellStyle name="40% - Accent5 2 10 2 2 2 2" xfId="56172"/>
    <cellStyle name="40% - Accent5 2 10 2 2 3" xfId="39125"/>
    <cellStyle name="40% - Accent5 2 10 2 3" xfId="21333"/>
    <cellStyle name="40% - Accent5 2 10 2 3 2" xfId="50194"/>
    <cellStyle name="40% - Accent5 2 10 2 4" xfId="33084"/>
    <cellStyle name="40% - Accent5 2 10 3" xfId="7378"/>
    <cellStyle name="40% - Accent5 2 10 3 2" xfId="24425"/>
    <cellStyle name="40% - Accent5 2 10 3 2 2" xfId="53286"/>
    <cellStyle name="40% - Accent5 2 10 3 3" xfId="36239"/>
    <cellStyle name="40% - Accent5 2 10 4" xfId="12028"/>
    <cellStyle name="40% - Accent5 2 10 4 2" xfId="18653"/>
    <cellStyle name="40% - Accent5 2 10 4 2 2" xfId="47514"/>
    <cellStyle name="40% - Accent5 2 10 4 3" xfId="40889"/>
    <cellStyle name="40% - Accent5 2 10 5" xfId="15973"/>
    <cellStyle name="40% - Accent5 2 10 5 2" xfId="44834"/>
    <cellStyle name="40% - Accent5 2 10 6" xfId="30198"/>
    <cellStyle name="40% - Accent5 2 11" xfId="1542"/>
    <cellStyle name="40% - Accent5 2 11 2" xfId="4429"/>
    <cellStyle name="40% - Accent5 2 11 2 2" xfId="10470"/>
    <cellStyle name="40% - Accent5 2 11 2 2 2" xfId="27517"/>
    <cellStyle name="40% - Accent5 2 11 2 2 2 2" xfId="56378"/>
    <cellStyle name="40% - Accent5 2 11 2 2 3" xfId="39331"/>
    <cellStyle name="40% - Accent5 2 11 2 3" xfId="21539"/>
    <cellStyle name="40% - Accent5 2 11 2 3 2" xfId="50400"/>
    <cellStyle name="40% - Accent5 2 11 2 4" xfId="33290"/>
    <cellStyle name="40% - Accent5 2 11 3" xfId="7584"/>
    <cellStyle name="40% - Accent5 2 11 3 2" xfId="24631"/>
    <cellStyle name="40% - Accent5 2 11 3 2 2" xfId="53492"/>
    <cellStyle name="40% - Accent5 2 11 3 3" xfId="36445"/>
    <cellStyle name="40% - Accent5 2 11 4" xfId="13030"/>
    <cellStyle name="40% - Accent5 2 11 4 2" xfId="18859"/>
    <cellStyle name="40% - Accent5 2 11 4 2 2" xfId="47720"/>
    <cellStyle name="40% - Accent5 2 11 4 3" xfId="41891"/>
    <cellStyle name="40% - Accent5 2 11 5" xfId="16179"/>
    <cellStyle name="40% - Accent5 2 11 5 2" xfId="45040"/>
    <cellStyle name="40% - Accent5 2 11 6" xfId="30404"/>
    <cellStyle name="40% - Accent5 2 12" xfId="1748"/>
    <cellStyle name="40% - Accent5 2 12 2" xfId="4635"/>
    <cellStyle name="40% - Accent5 2 12 2 2" xfId="10676"/>
    <cellStyle name="40% - Accent5 2 12 2 2 2" xfId="27723"/>
    <cellStyle name="40% - Accent5 2 12 2 2 2 2" xfId="56584"/>
    <cellStyle name="40% - Accent5 2 12 2 2 3" xfId="39537"/>
    <cellStyle name="40% - Accent5 2 12 2 3" xfId="21745"/>
    <cellStyle name="40% - Accent5 2 12 2 3 2" xfId="50606"/>
    <cellStyle name="40% - Accent5 2 12 2 4" xfId="33496"/>
    <cellStyle name="40% - Accent5 2 12 3" xfId="7790"/>
    <cellStyle name="40% - Accent5 2 12 3 2" xfId="24837"/>
    <cellStyle name="40% - Accent5 2 12 3 2 2" xfId="53698"/>
    <cellStyle name="40% - Accent5 2 12 3 3" xfId="36651"/>
    <cellStyle name="40% - Accent5 2 12 4" xfId="14183"/>
    <cellStyle name="40% - Accent5 2 12 4 2" xfId="19065"/>
    <cellStyle name="40% - Accent5 2 12 4 2 2" xfId="47926"/>
    <cellStyle name="40% - Accent5 2 12 4 3" xfId="43044"/>
    <cellStyle name="40% - Accent5 2 12 5" xfId="16385"/>
    <cellStyle name="40% - Accent5 2 12 5 2" xfId="45246"/>
    <cellStyle name="40% - Accent5 2 12 6" xfId="30610"/>
    <cellStyle name="40% - Accent5 2 13" xfId="1954"/>
    <cellStyle name="40% - Accent5 2 13 2" xfId="4841"/>
    <cellStyle name="40% - Accent5 2 13 2 2" xfId="10882"/>
    <cellStyle name="40% - Accent5 2 13 2 2 2" xfId="27929"/>
    <cellStyle name="40% - Accent5 2 13 2 2 2 2" xfId="56790"/>
    <cellStyle name="40% - Accent5 2 13 2 2 3" xfId="39743"/>
    <cellStyle name="40% - Accent5 2 13 2 3" xfId="21951"/>
    <cellStyle name="40% - Accent5 2 13 2 3 2" xfId="50812"/>
    <cellStyle name="40% - Accent5 2 13 2 4" xfId="33702"/>
    <cellStyle name="40% - Accent5 2 13 3" xfId="7996"/>
    <cellStyle name="40% - Accent5 2 13 3 2" xfId="25043"/>
    <cellStyle name="40% - Accent5 2 13 3 2 2" xfId="53904"/>
    <cellStyle name="40% - Accent5 2 13 3 3" xfId="36857"/>
    <cellStyle name="40% - Accent5 2 13 4" xfId="12647"/>
    <cellStyle name="40% - Accent5 2 13 4 2" xfId="19271"/>
    <cellStyle name="40% - Accent5 2 13 4 2 2" xfId="48132"/>
    <cellStyle name="40% - Accent5 2 13 4 3" xfId="41508"/>
    <cellStyle name="40% - Accent5 2 13 5" xfId="16591"/>
    <cellStyle name="40% - Accent5 2 13 5 2" xfId="45452"/>
    <cellStyle name="40% - Accent5 2 13 6" xfId="30816"/>
    <cellStyle name="40% - Accent5 2 14" xfId="2366"/>
    <cellStyle name="40% - Accent5 2 14 2" xfId="5253"/>
    <cellStyle name="40% - Accent5 2 14 2 2" xfId="11294"/>
    <cellStyle name="40% - Accent5 2 14 2 2 2" xfId="28341"/>
    <cellStyle name="40% - Accent5 2 14 2 2 2 2" xfId="57202"/>
    <cellStyle name="40% - Accent5 2 14 2 2 3" xfId="40155"/>
    <cellStyle name="40% - Accent5 2 14 2 3" xfId="22363"/>
    <cellStyle name="40% - Accent5 2 14 2 3 2" xfId="51224"/>
    <cellStyle name="40% - Accent5 2 14 2 4" xfId="34114"/>
    <cellStyle name="40% - Accent5 2 14 3" xfId="8408"/>
    <cellStyle name="40% - Accent5 2 14 3 2" xfId="25455"/>
    <cellStyle name="40% - Accent5 2 14 3 2 2" xfId="54316"/>
    <cellStyle name="40% - Accent5 2 14 3 3" xfId="37269"/>
    <cellStyle name="40% - Accent5 2 14 4" xfId="12349"/>
    <cellStyle name="40% - Accent5 2 14 4 2" xfId="19683"/>
    <cellStyle name="40% - Accent5 2 14 4 2 2" xfId="48544"/>
    <cellStyle name="40% - Accent5 2 14 4 3" xfId="41210"/>
    <cellStyle name="40% - Accent5 2 14 5" xfId="17003"/>
    <cellStyle name="40% - Accent5 2 14 5 2" xfId="45864"/>
    <cellStyle name="40% - Accent5 2 14 6" xfId="31228"/>
    <cellStyle name="40% - Accent5 2 15" xfId="2575"/>
    <cellStyle name="40% - Accent5 2 15 2" xfId="5461"/>
    <cellStyle name="40% - Accent5 2 15 2 2" xfId="11502"/>
    <cellStyle name="40% - Accent5 2 15 2 2 2" xfId="28549"/>
    <cellStyle name="40% - Accent5 2 15 2 2 2 2" xfId="57410"/>
    <cellStyle name="40% - Accent5 2 15 2 2 3" xfId="40363"/>
    <cellStyle name="40% - Accent5 2 15 2 3" xfId="22571"/>
    <cellStyle name="40% - Accent5 2 15 2 3 2" xfId="51432"/>
    <cellStyle name="40% - Accent5 2 15 2 4" xfId="34322"/>
    <cellStyle name="40% - Accent5 2 15 3" xfId="8616"/>
    <cellStyle name="40% - Accent5 2 15 3 2" xfId="25663"/>
    <cellStyle name="40% - Accent5 2 15 3 2 2" xfId="54524"/>
    <cellStyle name="40% - Accent5 2 15 3 3" xfId="37477"/>
    <cellStyle name="40% - Accent5 2 15 4" xfId="12205"/>
    <cellStyle name="40% - Accent5 2 15 4 2" xfId="19891"/>
    <cellStyle name="40% - Accent5 2 15 4 2 2" xfId="48752"/>
    <cellStyle name="40% - Accent5 2 15 4 3" xfId="41066"/>
    <cellStyle name="40% - Accent5 2 15 5" xfId="17211"/>
    <cellStyle name="40% - Accent5 2 15 5 2" xfId="46072"/>
    <cellStyle name="40% - Accent5 2 15 6" xfId="31436"/>
    <cellStyle name="40% - Accent5 2 16" xfId="2987"/>
    <cellStyle name="40% - Accent5 2 16 2" xfId="9028"/>
    <cellStyle name="40% - Accent5 2 16 2 2" xfId="26075"/>
    <cellStyle name="40% - Accent5 2 16 2 2 2" xfId="54936"/>
    <cellStyle name="40% - Accent5 2 16 2 3" xfId="37889"/>
    <cellStyle name="40% - Accent5 2 16 3" xfId="12319"/>
    <cellStyle name="40% - Accent5 2 16 3 2" xfId="20097"/>
    <cellStyle name="40% - Accent5 2 16 3 2 2" xfId="48958"/>
    <cellStyle name="40% - Accent5 2 16 3 3" xfId="41180"/>
    <cellStyle name="40% - Accent5 2 16 4" xfId="14737"/>
    <cellStyle name="40% - Accent5 2 16 4 2" xfId="43598"/>
    <cellStyle name="40% - Accent5 2 16 5" xfId="31848"/>
    <cellStyle name="40% - Accent5 2 17" xfId="2781"/>
    <cellStyle name="40% - Accent5 2 17 2" xfId="8822"/>
    <cellStyle name="40% - Accent5 2 17 2 2" xfId="25869"/>
    <cellStyle name="40% - Accent5 2 17 2 2 2" xfId="54730"/>
    <cellStyle name="40% - Accent5 2 17 2 3" xfId="37683"/>
    <cellStyle name="40% - Accent5 2 17 3" xfId="17417"/>
    <cellStyle name="40% - Accent5 2 17 3 2" xfId="46278"/>
    <cellStyle name="40% - Accent5 2 17 4" xfId="31642"/>
    <cellStyle name="40% - Accent5 2 18" xfId="5667"/>
    <cellStyle name="40% - Accent5 2 18 2" xfId="11708"/>
    <cellStyle name="40% - Accent5 2 18 2 2" xfId="28755"/>
    <cellStyle name="40% - Accent5 2 18 2 2 2" xfId="57616"/>
    <cellStyle name="40% - Accent5 2 18 2 3" xfId="40569"/>
    <cellStyle name="40% - Accent5 2 18 3" xfId="22777"/>
    <cellStyle name="40% - Accent5 2 18 3 2" xfId="51638"/>
    <cellStyle name="40% - Accent5 2 18 4" xfId="34528"/>
    <cellStyle name="40% - Accent5 2 19" xfId="5884"/>
    <cellStyle name="40% - Accent5 2 19 2" xfId="22983"/>
    <cellStyle name="40% - Accent5 2 19 2 2" xfId="51844"/>
    <cellStyle name="40% - Accent5 2 19 3" xfId="34745"/>
    <cellStyle name="40% - Accent5 2 2" xfId="126"/>
    <cellStyle name="40% - Accent5 2 2 10" xfId="1774"/>
    <cellStyle name="40% - Accent5 2 2 10 2" xfId="4661"/>
    <cellStyle name="40% - Accent5 2 2 10 2 2" xfId="10702"/>
    <cellStyle name="40% - Accent5 2 2 10 2 2 2" xfId="27749"/>
    <cellStyle name="40% - Accent5 2 2 10 2 2 2 2" xfId="56610"/>
    <cellStyle name="40% - Accent5 2 2 10 2 2 3" xfId="39563"/>
    <cellStyle name="40% - Accent5 2 2 10 2 3" xfId="21771"/>
    <cellStyle name="40% - Accent5 2 2 10 2 3 2" xfId="50632"/>
    <cellStyle name="40% - Accent5 2 2 10 2 4" xfId="33522"/>
    <cellStyle name="40% - Accent5 2 2 10 3" xfId="7816"/>
    <cellStyle name="40% - Accent5 2 2 10 3 2" xfId="24863"/>
    <cellStyle name="40% - Accent5 2 2 10 3 2 2" xfId="53724"/>
    <cellStyle name="40% - Accent5 2 2 10 3 3" xfId="36677"/>
    <cellStyle name="40% - Accent5 2 2 10 4" xfId="12878"/>
    <cellStyle name="40% - Accent5 2 2 10 4 2" xfId="19091"/>
    <cellStyle name="40% - Accent5 2 2 10 4 2 2" xfId="47952"/>
    <cellStyle name="40% - Accent5 2 2 10 4 3" xfId="41739"/>
    <cellStyle name="40% - Accent5 2 2 10 5" xfId="16411"/>
    <cellStyle name="40% - Accent5 2 2 10 5 2" xfId="45272"/>
    <cellStyle name="40% - Accent5 2 2 10 6" xfId="30636"/>
    <cellStyle name="40% - Accent5 2 2 11" xfId="1980"/>
    <cellStyle name="40% - Accent5 2 2 11 2" xfId="4867"/>
    <cellStyle name="40% - Accent5 2 2 11 2 2" xfId="10908"/>
    <cellStyle name="40% - Accent5 2 2 11 2 2 2" xfId="27955"/>
    <cellStyle name="40% - Accent5 2 2 11 2 2 2 2" xfId="56816"/>
    <cellStyle name="40% - Accent5 2 2 11 2 2 3" xfId="39769"/>
    <cellStyle name="40% - Accent5 2 2 11 2 3" xfId="21977"/>
    <cellStyle name="40% - Accent5 2 2 11 2 3 2" xfId="50838"/>
    <cellStyle name="40% - Accent5 2 2 11 2 4" xfId="33728"/>
    <cellStyle name="40% - Accent5 2 2 11 3" xfId="8022"/>
    <cellStyle name="40% - Accent5 2 2 11 3 2" xfId="25069"/>
    <cellStyle name="40% - Accent5 2 2 11 3 2 2" xfId="53930"/>
    <cellStyle name="40% - Accent5 2 2 11 3 3" xfId="36883"/>
    <cellStyle name="40% - Accent5 2 2 11 4" xfId="13952"/>
    <cellStyle name="40% - Accent5 2 2 11 4 2" xfId="19297"/>
    <cellStyle name="40% - Accent5 2 2 11 4 2 2" xfId="48158"/>
    <cellStyle name="40% - Accent5 2 2 11 4 3" xfId="42813"/>
    <cellStyle name="40% - Accent5 2 2 11 5" xfId="16617"/>
    <cellStyle name="40% - Accent5 2 2 11 5 2" xfId="45478"/>
    <cellStyle name="40% - Accent5 2 2 11 6" xfId="30842"/>
    <cellStyle name="40% - Accent5 2 2 12" xfId="2392"/>
    <cellStyle name="40% - Accent5 2 2 12 2" xfId="5279"/>
    <cellStyle name="40% - Accent5 2 2 12 2 2" xfId="11320"/>
    <cellStyle name="40% - Accent5 2 2 12 2 2 2" xfId="28367"/>
    <cellStyle name="40% - Accent5 2 2 12 2 2 2 2" xfId="57228"/>
    <cellStyle name="40% - Accent5 2 2 12 2 2 3" xfId="40181"/>
    <cellStyle name="40% - Accent5 2 2 12 2 3" xfId="22389"/>
    <cellStyle name="40% - Accent5 2 2 12 2 3 2" xfId="51250"/>
    <cellStyle name="40% - Accent5 2 2 12 2 4" xfId="34140"/>
    <cellStyle name="40% - Accent5 2 2 12 3" xfId="8434"/>
    <cellStyle name="40% - Accent5 2 2 12 3 2" xfId="25481"/>
    <cellStyle name="40% - Accent5 2 2 12 3 2 2" xfId="54342"/>
    <cellStyle name="40% - Accent5 2 2 12 3 3" xfId="37295"/>
    <cellStyle name="40% - Accent5 2 2 12 4" xfId="11915"/>
    <cellStyle name="40% - Accent5 2 2 12 4 2" xfId="19709"/>
    <cellStyle name="40% - Accent5 2 2 12 4 2 2" xfId="48570"/>
    <cellStyle name="40% - Accent5 2 2 12 4 3" xfId="40776"/>
    <cellStyle name="40% - Accent5 2 2 12 5" xfId="17029"/>
    <cellStyle name="40% - Accent5 2 2 12 5 2" xfId="45890"/>
    <cellStyle name="40% - Accent5 2 2 12 6" xfId="31254"/>
    <cellStyle name="40% - Accent5 2 2 13" xfId="2601"/>
    <cellStyle name="40% - Accent5 2 2 13 2" xfId="5487"/>
    <cellStyle name="40% - Accent5 2 2 13 2 2" xfId="11528"/>
    <cellStyle name="40% - Accent5 2 2 13 2 2 2" xfId="28575"/>
    <cellStyle name="40% - Accent5 2 2 13 2 2 2 2" xfId="57436"/>
    <cellStyle name="40% - Accent5 2 2 13 2 2 3" xfId="40389"/>
    <cellStyle name="40% - Accent5 2 2 13 2 3" xfId="22597"/>
    <cellStyle name="40% - Accent5 2 2 13 2 3 2" xfId="51458"/>
    <cellStyle name="40% - Accent5 2 2 13 2 4" xfId="34348"/>
    <cellStyle name="40% - Accent5 2 2 13 3" xfId="8642"/>
    <cellStyle name="40% - Accent5 2 2 13 3 2" xfId="25689"/>
    <cellStyle name="40% - Accent5 2 2 13 3 2 2" xfId="54550"/>
    <cellStyle name="40% - Accent5 2 2 13 3 3" xfId="37503"/>
    <cellStyle name="40% - Accent5 2 2 13 4" xfId="12811"/>
    <cellStyle name="40% - Accent5 2 2 13 4 2" xfId="19917"/>
    <cellStyle name="40% - Accent5 2 2 13 4 2 2" xfId="48778"/>
    <cellStyle name="40% - Accent5 2 2 13 4 3" xfId="41672"/>
    <cellStyle name="40% - Accent5 2 2 13 5" xfId="17237"/>
    <cellStyle name="40% - Accent5 2 2 13 5 2" xfId="46098"/>
    <cellStyle name="40% - Accent5 2 2 13 6" xfId="31462"/>
    <cellStyle name="40% - Accent5 2 2 14" xfId="3013"/>
    <cellStyle name="40% - Accent5 2 2 14 2" xfId="9054"/>
    <cellStyle name="40% - Accent5 2 2 14 2 2" xfId="26101"/>
    <cellStyle name="40% - Accent5 2 2 14 2 2 2" xfId="54962"/>
    <cellStyle name="40% - Accent5 2 2 14 2 3" xfId="37915"/>
    <cellStyle name="40% - Accent5 2 2 14 3" xfId="12030"/>
    <cellStyle name="40% - Accent5 2 2 14 3 2" xfId="20123"/>
    <cellStyle name="40% - Accent5 2 2 14 3 2 2" xfId="48984"/>
    <cellStyle name="40% - Accent5 2 2 14 3 3" xfId="40891"/>
    <cellStyle name="40% - Accent5 2 2 14 4" xfId="14763"/>
    <cellStyle name="40% - Accent5 2 2 14 4 2" xfId="43624"/>
    <cellStyle name="40% - Accent5 2 2 14 5" xfId="31874"/>
    <cellStyle name="40% - Accent5 2 2 15" xfId="2807"/>
    <cellStyle name="40% - Accent5 2 2 15 2" xfId="8848"/>
    <cellStyle name="40% - Accent5 2 2 15 2 2" xfId="25895"/>
    <cellStyle name="40% - Accent5 2 2 15 2 2 2" xfId="54756"/>
    <cellStyle name="40% - Accent5 2 2 15 2 3" xfId="37709"/>
    <cellStyle name="40% - Accent5 2 2 15 3" xfId="17443"/>
    <cellStyle name="40% - Accent5 2 2 15 3 2" xfId="46304"/>
    <cellStyle name="40% - Accent5 2 2 15 4" xfId="31668"/>
    <cellStyle name="40% - Accent5 2 2 16" xfId="5693"/>
    <cellStyle name="40% - Accent5 2 2 16 2" xfId="11734"/>
    <cellStyle name="40% - Accent5 2 2 16 2 2" xfId="28781"/>
    <cellStyle name="40% - Accent5 2 2 16 2 2 2" xfId="57642"/>
    <cellStyle name="40% - Accent5 2 2 16 2 3" xfId="40595"/>
    <cellStyle name="40% - Accent5 2 2 16 3" xfId="22803"/>
    <cellStyle name="40% - Accent5 2 2 16 3 2" xfId="51664"/>
    <cellStyle name="40% - Accent5 2 2 16 4" xfId="34554"/>
    <cellStyle name="40% - Accent5 2 2 17" xfId="5910"/>
    <cellStyle name="40% - Accent5 2 2 17 2" xfId="23009"/>
    <cellStyle name="40% - Accent5 2 2 17 2 2" xfId="51870"/>
    <cellStyle name="40% - Accent5 2 2 17 3" xfId="34771"/>
    <cellStyle name="40% - Accent5 2 2 18" xfId="6168"/>
    <cellStyle name="40% - Accent5 2 2 18 2" xfId="23215"/>
    <cellStyle name="40% - Accent5 2 2 18 2 2" xfId="52076"/>
    <cellStyle name="40% - Accent5 2 2 18 3" xfId="35029"/>
    <cellStyle name="40% - Accent5 2 2 19" xfId="14557"/>
    <cellStyle name="40% - Accent5 2 2 19 2" xfId="43418"/>
    <cellStyle name="40% - Accent5 2 2 2" xfId="332"/>
    <cellStyle name="40% - Accent5 2 2 2 10" xfId="2495"/>
    <cellStyle name="40% - Accent5 2 2 2 10 2" xfId="5382"/>
    <cellStyle name="40% - Accent5 2 2 2 10 2 2" xfId="11423"/>
    <cellStyle name="40% - Accent5 2 2 2 10 2 2 2" xfId="28470"/>
    <cellStyle name="40% - Accent5 2 2 2 10 2 2 2 2" xfId="57331"/>
    <cellStyle name="40% - Accent5 2 2 2 10 2 2 3" xfId="40284"/>
    <cellStyle name="40% - Accent5 2 2 2 10 2 3" xfId="22492"/>
    <cellStyle name="40% - Accent5 2 2 2 10 2 3 2" xfId="51353"/>
    <cellStyle name="40% - Accent5 2 2 2 10 2 4" xfId="34243"/>
    <cellStyle name="40% - Accent5 2 2 2 10 3" xfId="8537"/>
    <cellStyle name="40% - Accent5 2 2 2 10 3 2" xfId="25584"/>
    <cellStyle name="40% - Accent5 2 2 2 10 3 2 2" xfId="54445"/>
    <cellStyle name="40% - Accent5 2 2 2 10 3 3" xfId="37398"/>
    <cellStyle name="40% - Accent5 2 2 2 10 4" xfId="13181"/>
    <cellStyle name="40% - Accent5 2 2 2 10 4 2" xfId="19812"/>
    <cellStyle name="40% - Accent5 2 2 2 10 4 2 2" xfId="48673"/>
    <cellStyle name="40% - Accent5 2 2 2 10 4 3" xfId="42042"/>
    <cellStyle name="40% - Accent5 2 2 2 10 5" xfId="17132"/>
    <cellStyle name="40% - Accent5 2 2 2 10 5 2" xfId="45993"/>
    <cellStyle name="40% - Accent5 2 2 2 10 6" xfId="31357"/>
    <cellStyle name="40% - Accent5 2 2 2 11" xfId="2704"/>
    <cellStyle name="40% - Accent5 2 2 2 11 2" xfId="5590"/>
    <cellStyle name="40% - Accent5 2 2 2 11 2 2" xfId="11631"/>
    <cellStyle name="40% - Accent5 2 2 2 11 2 2 2" xfId="28678"/>
    <cellStyle name="40% - Accent5 2 2 2 11 2 2 2 2" xfId="57539"/>
    <cellStyle name="40% - Accent5 2 2 2 11 2 2 3" xfId="40492"/>
    <cellStyle name="40% - Accent5 2 2 2 11 2 3" xfId="22700"/>
    <cellStyle name="40% - Accent5 2 2 2 11 2 3 2" xfId="51561"/>
    <cellStyle name="40% - Accent5 2 2 2 11 2 4" xfId="34451"/>
    <cellStyle name="40% - Accent5 2 2 2 11 3" xfId="8745"/>
    <cellStyle name="40% - Accent5 2 2 2 11 3 2" xfId="25792"/>
    <cellStyle name="40% - Accent5 2 2 2 11 3 2 2" xfId="54653"/>
    <cellStyle name="40% - Accent5 2 2 2 11 3 3" xfId="37606"/>
    <cellStyle name="40% - Accent5 2 2 2 11 4" xfId="12452"/>
    <cellStyle name="40% - Accent5 2 2 2 11 4 2" xfId="20020"/>
    <cellStyle name="40% - Accent5 2 2 2 11 4 2 2" xfId="48881"/>
    <cellStyle name="40% - Accent5 2 2 2 11 4 3" xfId="41313"/>
    <cellStyle name="40% - Accent5 2 2 2 11 5" xfId="17340"/>
    <cellStyle name="40% - Accent5 2 2 2 11 5 2" xfId="46201"/>
    <cellStyle name="40% - Accent5 2 2 2 11 6" xfId="31565"/>
    <cellStyle name="40% - Accent5 2 2 2 12" xfId="3219"/>
    <cellStyle name="40% - Accent5 2 2 2 12 2" xfId="9260"/>
    <cellStyle name="40% - Accent5 2 2 2 12 2 2" xfId="26307"/>
    <cellStyle name="40% - Accent5 2 2 2 12 2 2 2" xfId="55168"/>
    <cellStyle name="40% - Accent5 2 2 2 12 2 3" xfId="38121"/>
    <cellStyle name="40% - Accent5 2 2 2 12 3" xfId="12179"/>
    <cellStyle name="40% - Accent5 2 2 2 12 3 2" xfId="20329"/>
    <cellStyle name="40% - Accent5 2 2 2 12 3 2 2" xfId="49190"/>
    <cellStyle name="40% - Accent5 2 2 2 12 3 3" xfId="41040"/>
    <cellStyle name="40% - Accent5 2 2 2 12 4" xfId="14969"/>
    <cellStyle name="40% - Accent5 2 2 2 12 4 2" xfId="43830"/>
    <cellStyle name="40% - Accent5 2 2 2 12 5" xfId="32080"/>
    <cellStyle name="40% - Accent5 2 2 2 13" xfId="2910"/>
    <cellStyle name="40% - Accent5 2 2 2 13 2" xfId="8951"/>
    <cellStyle name="40% - Accent5 2 2 2 13 2 2" xfId="25998"/>
    <cellStyle name="40% - Accent5 2 2 2 13 2 2 2" xfId="54859"/>
    <cellStyle name="40% - Accent5 2 2 2 13 2 3" xfId="37812"/>
    <cellStyle name="40% - Accent5 2 2 2 13 3" xfId="17546"/>
    <cellStyle name="40% - Accent5 2 2 2 13 3 2" xfId="46407"/>
    <cellStyle name="40% - Accent5 2 2 2 13 4" xfId="31771"/>
    <cellStyle name="40% - Accent5 2 2 2 14" xfId="5796"/>
    <cellStyle name="40% - Accent5 2 2 2 14 2" xfId="11837"/>
    <cellStyle name="40% - Accent5 2 2 2 14 2 2" xfId="28884"/>
    <cellStyle name="40% - Accent5 2 2 2 14 2 2 2" xfId="57745"/>
    <cellStyle name="40% - Accent5 2 2 2 14 2 3" xfId="40698"/>
    <cellStyle name="40% - Accent5 2 2 2 14 3" xfId="22906"/>
    <cellStyle name="40% - Accent5 2 2 2 14 3 2" xfId="51767"/>
    <cellStyle name="40% - Accent5 2 2 2 14 4" xfId="34657"/>
    <cellStyle name="40% - Accent5 2 2 2 15" xfId="6013"/>
    <cellStyle name="40% - Accent5 2 2 2 15 2" xfId="23112"/>
    <cellStyle name="40% - Accent5 2 2 2 15 2 2" xfId="51973"/>
    <cellStyle name="40% - Accent5 2 2 2 15 3" xfId="34874"/>
    <cellStyle name="40% - Accent5 2 2 2 16" xfId="6374"/>
    <cellStyle name="40% - Accent5 2 2 2 16 2" xfId="23421"/>
    <cellStyle name="40% - Accent5 2 2 2 16 2 2" xfId="52282"/>
    <cellStyle name="40% - Accent5 2 2 2 16 3" xfId="35235"/>
    <cellStyle name="40% - Accent5 2 2 2 17" xfId="14660"/>
    <cellStyle name="40% - Accent5 2 2 2 17 2" xfId="43521"/>
    <cellStyle name="40% - Accent5 2 2 2 18" xfId="29194"/>
    <cellStyle name="40% - Accent5 2 2 2 2" xfId="538"/>
    <cellStyle name="40% - Accent5 2 2 2 2 2" xfId="2289"/>
    <cellStyle name="40% - Accent5 2 2 2 2 2 2" xfId="5176"/>
    <cellStyle name="40% - Accent5 2 2 2 2 2 2 2" xfId="11217"/>
    <cellStyle name="40% - Accent5 2 2 2 2 2 2 2 2" xfId="28264"/>
    <cellStyle name="40% - Accent5 2 2 2 2 2 2 2 2 2" xfId="57125"/>
    <cellStyle name="40% - Accent5 2 2 2 2 2 2 2 3" xfId="40078"/>
    <cellStyle name="40% - Accent5 2 2 2 2 2 2 3" xfId="22286"/>
    <cellStyle name="40% - Accent5 2 2 2 2 2 2 3 2" xfId="51147"/>
    <cellStyle name="40% - Accent5 2 2 2 2 2 2 4" xfId="34037"/>
    <cellStyle name="40% - Accent5 2 2 2 2 2 3" xfId="8331"/>
    <cellStyle name="40% - Accent5 2 2 2 2 2 3 2" xfId="25378"/>
    <cellStyle name="40% - Accent5 2 2 2 2 2 3 2 2" xfId="54239"/>
    <cellStyle name="40% - Accent5 2 2 2 2 2 3 3" xfId="37192"/>
    <cellStyle name="40% - Accent5 2 2 2 2 2 4" xfId="13074"/>
    <cellStyle name="40% - Accent5 2 2 2 2 2 4 2" xfId="19606"/>
    <cellStyle name="40% - Accent5 2 2 2 2 2 4 2 2" xfId="48467"/>
    <cellStyle name="40% - Accent5 2 2 2 2 2 4 3" xfId="41935"/>
    <cellStyle name="40% - Accent5 2 2 2 2 2 5" xfId="16926"/>
    <cellStyle name="40% - Accent5 2 2 2 2 2 5 2" xfId="45787"/>
    <cellStyle name="40% - Accent5 2 2 2 2 2 6" xfId="31151"/>
    <cellStyle name="40% - Accent5 2 2 2 2 3" xfId="3425"/>
    <cellStyle name="40% - Accent5 2 2 2 2 3 2" xfId="9466"/>
    <cellStyle name="40% - Accent5 2 2 2 2 3 2 2" xfId="26513"/>
    <cellStyle name="40% - Accent5 2 2 2 2 3 2 2 2" xfId="55374"/>
    <cellStyle name="40% - Accent5 2 2 2 2 3 2 3" xfId="38327"/>
    <cellStyle name="40% - Accent5 2 2 2 2 3 3" xfId="20535"/>
    <cellStyle name="40% - Accent5 2 2 2 2 3 3 2" xfId="49396"/>
    <cellStyle name="40% - Accent5 2 2 2 2 3 4" xfId="32286"/>
    <cellStyle name="40% - Accent5 2 2 2 2 4" xfId="6580"/>
    <cellStyle name="40% - Accent5 2 2 2 2 4 2" xfId="23627"/>
    <cellStyle name="40% - Accent5 2 2 2 2 4 2 2" xfId="52488"/>
    <cellStyle name="40% - Accent5 2 2 2 2 4 3" xfId="35441"/>
    <cellStyle name="40% - Accent5 2 2 2 2 5" xfId="13220"/>
    <cellStyle name="40% - Accent5 2 2 2 2 5 2" xfId="17855"/>
    <cellStyle name="40% - Accent5 2 2 2 2 5 2 2" xfId="46716"/>
    <cellStyle name="40% - Accent5 2 2 2 2 5 3" xfId="42081"/>
    <cellStyle name="40% - Accent5 2 2 2 2 6" xfId="15175"/>
    <cellStyle name="40% - Accent5 2 2 2 2 6 2" xfId="44036"/>
    <cellStyle name="40% - Accent5 2 2 2 2 7" xfId="29400"/>
    <cellStyle name="40% - Accent5 2 2 2 3" xfId="847"/>
    <cellStyle name="40% - Accent5 2 2 2 3 2" xfId="3734"/>
    <cellStyle name="40% - Accent5 2 2 2 3 2 2" xfId="9775"/>
    <cellStyle name="40% - Accent5 2 2 2 3 2 2 2" xfId="26822"/>
    <cellStyle name="40% - Accent5 2 2 2 3 2 2 2 2" xfId="55683"/>
    <cellStyle name="40% - Accent5 2 2 2 3 2 2 3" xfId="38636"/>
    <cellStyle name="40% - Accent5 2 2 2 3 2 3" xfId="20844"/>
    <cellStyle name="40% - Accent5 2 2 2 3 2 3 2" xfId="49705"/>
    <cellStyle name="40% - Accent5 2 2 2 3 2 4" xfId="32595"/>
    <cellStyle name="40% - Accent5 2 2 2 3 3" xfId="6889"/>
    <cellStyle name="40% - Accent5 2 2 2 3 3 2" xfId="23936"/>
    <cellStyle name="40% - Accent5 2 2 2 3 3 2 2" xfId="52797"/>
    <cellStyle name="40% - Accent5 2 2 2 3 3 3" xfId="35750"/>
    <cellStyle name="40% - Accent5 2 2 2 3 4" xfId="12214"/>
    <cellStyle name="40% - Accent5 2 2 2 3 4 2" xfId="18164"/>
    <cellStyle name="40% - Accent5 2 2 2 3 4 2 2" xfId="47025"/>
    <cellStyle name="40% - Accent5 2 2 2 3 4 3" xfId="41075"/>
    <cellStyle name="40% - Accent5 2 2 2 3 5" xfId="15484"/>
    <cellStyle name="40% - Accent5 2 2 2 3 5 2" xfId="44345"/>
    <cellStyle name="40% - Accent5 2 2 2 3 6" xfId="29709"/>
    <cellStyle name="40% - Accent5 2 2 2 4" xfId="1053"/>
    <cellStyle name="40% - Accent5 2 2 2 4 2" xfId="3940"/>
    <cellStyle name="40% - Accent5 2 2 2 4 2 2" xfId="9981"/>
    <cellStyle name="40% - Accent5 2 2 2 4 2 2 2" xfId="27028"/>
    <cellStyle name="40% - Accent5 2 2 2 4 2 2 2 2" xfId="55889"/>
    <cellStyle name="40% - Accent5 2 2 2 4 2 2 3" xfId="38842"/>
    <cellStyle name="40% - Accent5 2 2 2 4 2 3" xfId="21050"/>
    <cellStyle name="40% - Accent5 2 2 2 4 2 3 2" xfId="49911"/>
    <cellStyle name="40% - Accent5 2 2 2 4 2 4" xfId="32801"/>
    <cellStyle name="40% - Accent5 2 2 2 4 3" xfId="7095"/>
    <cellStyle name="40% - Accent5 2 2 2 4 3 2" xfId="24142"/>
    <cellStyle name="40% - Accent5 2 2 2 4 3 2 2" xfId="53003"/>
    <cellStyle name="40% - Accent5 2 2 2 4 3 3" xfId="35956"/>
    <cellStyle name="40% - Accent5 2 2 2 4 4" xfId="12615"/>
    <cellStyle name="40% - Accent5 2 2 2 4 4 2" xfId="18370"/>
    <cellStyle name="40% - Accent5 2 2 2 4 4 2 2" xfId="47231"/>
    <cellStyle name="40% - Accent5 2 2 2 4 4 3" xfId="41476"/>
    <cellStyle name="40% - Accent5 2 2 2 4 5" xfId="15690"/>
    <cellStyle name="40% - Accent5 2 2 2 4 5 2" xfId="44551"/>
    <cellStyle name="40% - Accent5 2 2 2 4 6" xfId="29915"/>
    <cellStyle name="40% - Accent5 2 2 2 5" xfId="1259"/>
    <cellStyle name="40% - Accent5 2 2 2 5 2" xfId="4146"/>
    <cellStyle name="40% - Accent5 2 2 2 5 2 2" xfId="10187"/>
    <cellStyle name="40% - Accent5 2 2 2 5 2 2 2" xfId="27234"/>
    <cellStyle name="40% - Accent5 2 2 2 5 2 2 2 2" xfId="56095"/>
    <cellStyle name="40% - Accent5 2 2 2 5 2 2 3" xfId="39048"/>
    <cellStyle name="40% - Accent5 2 2 2 5 2 3" xfId="21256"/>
    <cellStyle name="40% - Accent5 2 2 2 5 2 3 2" xfId="50117"/>
    <cellStyle name="40% - Accent5 2 2 2 5 2 4" xfId="33007"/>
    <cellStyle name="40% - Accent5 2 2 2 5 3" xfId="7301"/>
    <cellStyle name="40% - Accent5 2 2 2 5 3 2" xfId="24348"/>
    <cellStyle name="40% - Accent5 2 2 2 5 3 2 2" xfId="53209"/>
    <cellStyle name="40% - Accent5 2 2 2 5 3 3" xfId="36162"/>
    <cellStyle name="40% - Accent5 2 2 2 5 4" xfId="12136"/>
    <cellStyle name="40% - Accent5 2 2 2 5 4 2" xfId="18576"/>
    <cellStyle name="40% - Accent5 2 2 2 5 4 2 2" xfId="47437"/>
    <cellStyle name="40% - Accent5 2 2 2 5 4 3" xfId="40997"/>
    <cellStyle name="40% - Accent5 2 2 2 5 5" xfId="15896"/>
    <cellStyle name="40% - Accent5 2 2 2 5 5 2" xfId="44757"/>
    <cellStyle name="40% - Accent5 2 2 2 5 6" xfId="30121"/>
    <cellStyle name="40% - Accent5 2 2 2 6" xfId="1465"/>
    <cellStyle name="40% - Accent5 2 2 2 6 2" xfId="4352"/>
    <cellStyle name="40% - Accent5 2 2 2 6 2 2" xfId="10393"/>
    <cellStyle name="40% - Accent5 2 2 2 6 2 2 2" xfId="27440"/>
    <cellStyle name="40% - Accent5 2 2 2 6 2 2 2 2" xfId="56301"/>
    <cellStyle name="40% - Accent5 2 2 2 6 2 2 3" xfId="39254"/>
    <cellStyle name="40% - Accent5 2 2 2 6 2 3" xfId="21462"/>
    <cellStyle name="40% - Accent5 2 2 2 6 2 3 2" xfId="50323"/>
    <cellStyle name="40% - Accent5 2 2 2 6 2 4" xfId="33213"/>
    <cellStyle name="40% - Accent5 2 2 2 6 3" xfId="7507"/>
    <cellStyle name="40% - Accent5 2 2 2 6 3 2" xfId="24554"/>
    <cellStyle name="40% - Accent5 2 2 2 6 3 2 2" xfId="53415"/>
    <cellStyle name="40% - Accent5 2 2 2 6 3 3" xfId="36368"/>
    <cellStyle name="40% - Accent5 2 2 2 6 4" xfId="14042"/>
    <cellStyle name="40% - Accent5 2 2 2 6 4 2" xfId="18782"/>
    <cellStyle name="40% - Accent5 2 2 2 6 4 2 2" xfId="47643"/>
    <cellStyle name="40% - Accent5 2 2 2 6 4 3" xfId="42903"/>
    <cellStyle name="40% - Accent5 2 2 2 6 5" xfId="16102"/>
    <cellStyle name="40% - Accent5 2 2 2 6 5 2" xfId="44963"/>
    <cellStyle name="40% - Accent5 2 2 2 6 6" xfId="30327"/>
    <cellStyle name="40% - Accent5 2 2 2 7" xfId="1671"/>
    <cellStyle name="40% - Accent5 2 2 2 7 2" xfId="4558"/>
    <cellStyle name="40% - Accent5 2 2 2 7 2 2" xfId="10599"/>
    <cellStyle name="40% - Accent5 2 2 2 7 2 2 2" xfId="27646"/>
    <cellStyle name="40% - Accent5 2 2 2 7 2 2 2 2" xfId="56507"/>
    <cellStyle name="40% - Accent5 2 2 2 7 2 2 3" xfId="39460"/>
    <cellStyle name="40% - Accent5 2 2 2 7 2 3" xfId="21668"/>
    <cellStyle name="40% - Accent5 2 2 2 7 2 3 2" xfId="50529"/>
    <cellStyle name="40% - Accent5 2 2 2 7 2 4" xfId="33419"/>
    <cellStyle name="40% - Accent5 2 2 2 7 3" xfId="7713"/>
    <cellStyle name="40% - Accent5 2 2 2 7 3 2" xfId="24760"/>
    <cellStyle name="40% - Accent5 2 2 2 7 3 2 2" xfId="53621"/>
    <cellStyle name="40% - Accent5 2 2 2 7 3 3" xfId="36574"/>
    <cellStyle name="40% - Accent5 2 2 2 7 4" xfId="13019"/>
    <cellStyle name="40% - Accent5 2 2 2 7 4 2" xfId="18988"/>
    <cellStyle name="40% - Accent5 2 2 2 7 4 2 2" xfId="47849"/>
    <cellStyle name="40% - Accent5 2 2 2 7 4 3" xfId="41880"/>
    <cellStyle name="40% - Accent5 2 2 2 7 5" xfId="16308"/>
    <cellStyle name="40% - Accent5 2 2 2 7 5 2" xfId="45169"/>
    <cellStyle name="40% - Accent5 2 2 2 7 6" xfId="30533"/>
    <cellStyle name="40% - Accent5 2 2 2 8" xfId="1877"/>
    <cellStyle name="40% - Accent5 2 2 2 8 2" xfId="4764"/>
    <cellStyle name="40% - Accent5 2 2 2 8 2 2" xfId="10805"/>
    <cellStyle name="40% - Accent5 2 2 2 8 2 2 2" xfId="27852"/>
    <cellStyle name="40% - Accent5 2 2 2 8 2 2 2 2" xfId="56713"/>
    <cellStyle name="40% - Accent5 2 2 2 8 2 2 3" xfId="39666"/>
    <cellStyle name="40% - Accent5 2 2 2 8 2 3" xfId="21874"/>
    <cellStyle name="40% - Accent5 2 2 2 8 2 3 2" xfId="50735"/>
    <cellStyle name="40% - Accent5 2 2 2 8 2 4" xfId="33625"/>
    <cellStyle name="40% - Accent5 2 2 2 8 3" xfId="7919"/>
    <cellStyle name="40% - Accent5 2 2 2 8 3 2" xfId="24966"/>
    <cellStyle name="40% - Accent5 2 2 2 8 3 2 2" xfId="53827"/>
    <cellStyle name="40% - Accent5 2 2 2 8 3 3" xfId="36780"/>
    <cellStyle name="40% - Accent5 2 2 2 8 4" xfId="13378"/>
    <cellStyle name="40% - Accent5 2 2 2 8 4 2" xfId="19194"/>
    <cellStyle name="40% - Accent5 2 2 2 8 4 2 2" xfId="48055"/>
    <cellStyle name="40% - Accent5 2 2 2 8 4 3" xfId="42239"/>
    <cellStyle name="40% - Accent5 2 2 2 8 5" xfId="16514"/>
    <cellStyle name="40% - Accent5 2 2 2 8 5 2" xfId="45375"/>
    <cellStyle name="40% - Accent5 2 2 2 8 6" xfId="30739"/>
    <cellStyle name="40% - Accent5 2 2 2 9" xfId="2083"/>
    <cellStyle name="40% - Accent5 2 2 2 9 2" xfId="4970"/>
    <cellStyle name="40% - Accent5 2 2 2 9 2 2" xfId="11011"/>
    <cellStyle name="40% - Accent5 2 2 2 9 2 2 2" xfId="28058"/>
    <cellStyle name="40% - Accent5 2 2 2 9 2 2 2 2" xfId="56919"/>
    <cellStyle name="40% - Accent5 2 2 2 9 2 2 3" xfId="39872"/>
    <cellStyle name="40% - Accent5 2 2 2 9 2 3" xfId="22080"/>
    <cellStyle name="40% - Accent5 2 2 2 9 2 3 2" xfId="50941"/>
    <cellStyle name="40% - Accent5 2 2 2 9 2 4" xfId="33831"/>
    <cellStyle name="40% - Accent5 2 2 2 9 3" xfId="8125"/>
    <cellStyle name="40% - Accent5 2 2 2 9 3 2" xfId="25172"/>
    <cellStyle name="40% - Accent5 2 2 2 9 3 2 2" xfId="54033"/>
    <cellStyle name="40% - Accent5 2 2 2 9 3 3" xfId="36986"/>
    <cellStyle name="40% - Accent5 2 2 2 9 4" xfId="14044"/>
    <cellStyle name="40% - Accent5 2 2 2 9 4 2" xfId="19400"/>
    <cellStyle name="40% - Accent5 2 2 2 9 4 2 2" xfId="48261"/>
    <cellStyle name="40% - Accent5 2 2 2 9 4 3" xfId="42905"/>
    <cellStyle name="40% - Accent5 2 2 2 9 5" xfId="16720"/>
    <cellStyle name="40% - Accent5 2 2 2 9 5 2" xfId="45581"/>
    <cellStyle name="40% - Accent5 2 2 2 9 6" xfId="30945"/>
    <cellStyle name="40% - Accent5 2 2 20" xfId="28988"/>
    <cellStyle name="40% - Accent5 2 2 3" xfId="229"/>
    <cellStyle name="40% - Accent5 2 2 3 2" xfId="641"/>
    <cellStyle name="40% - Accent5 2 2 3 2 2" xfId="3528"/>
    <cellStyle name="40% - Accent5 2 2 3 2 2 2" xfId="9569"/>
    <cellStyle name="40% - Accent5 2 2 3 2 2 2 2" xfId="26616"/>
    <cellStyle name="40% - Accent5 2 2 3 2 2 2 2 2" xfId="55477"/>
    <cellStyle name="40% - Accent5 2 2 3 2 2 2 3" xfId="38430"/>
    <cellStyle name="40% - Accent5 2 2 3 2 2 3" xfId="20638"/>
    <cellStyle name="40% - Accent5 2 2 3 2 2 3 2" xfId="49499"/>
    <cellStyle name="40% - Accent5 2 2 3 2 2 4" xfId="32389"/>
    <cellStyle name="40% - Accent5 2 2 3 2 3" xfId="6683"/>
    <cellStyle name="40% - Accent5 2 2 3 2 3 2" xfId="23730"/>
    <cellStyle name="40% - Accent5 2 2 3 2 3 2 2" xfId="52591"/>
    <cellStyle name="40% - Accent5 2 2 3 2 3 3" xfId="35544"/>
    <cellStyle name="40% - Accent5 2 2 3 2 4" xfId="12377"/>
    <cellStyle name="40% - Accent5 2 2 3 2 4 2" xfId="17958"/>
    <cellStyle name="40% - Accent5 2 2 3 2 4 2 2" xfId="46819"/>
    <cellStyle name="40% - Accent5 2 2 3 2 4 3" xfId="41238"/>
    <cellStyle name="40% - Accent5 2 2 3 2 5" xfId="15278"/>
    <cellStyle name="40% - Accent5 2 2 3 2 5 2" xfId="44139"/>
    <cellStyle name="40% - Accent5 2 2 3 2 6" xfId="29503"/>
    <cellStyle name="40% - Accent5 2 2 3 3" xfId="2186"/>
    <cellStyle name="40% - Accent5 2 2 3 3 2" xfId="5073"/>
    <cellStyle name="40% - Accent5 2 2 3 3 2 2" xfId="11114"/>
    <cellStyle name="40% - Accent5 2 2 3 3 2 2 2" xfId="28161"/>
    <cellStyle name="40% - Accent5 2 2 3 3 2 2 2 2" xfId="57022"/>
    <cellStyle name="40% - Accent5 2 2 3 3 2 2 3" xfId="39975"/>
    <cellStyle name="40% - Accent5 2 2 3 3 2 3" xfId="22183"/>
    <cellStyle name="40% - Accent5 2 2 3 3 2 3 2" xfId="51044"/>
    <cellStyle name="40% - Accent5 2 2 3 3 2 4" xfId="33934"/>
    <cellStyle name="40% - Accent5 2 2 3 3 3" xfId="8228"/>
    <cellStyle name="40% - Accent5 2 2 3 3 3 2" xfId="25275"/>
    <cellStyle name="40% - Accent5 2 2 3 3 3 2 2" xfId="54136"/>
    <cellStyle name="40% - Accent5 2 2 3 3 3 3" xfId="37089"/>
    <cellStyle name="40% - Accent5 2 2 3 3 4" xfId="12358"/>
    <cellStyle name="40% - Accent5 2 2 3 3 4 2" xfId="19503"/>
    <cellStyle name="40% - Accent5 2 2 3 3 4 2 2" xfId="48364"/>
    <cellStyle name="40% - Accent5 2 2 3 3 4 3" xfId="41219"/>
    <cellStyle name="40% - Accent5 2 2 3 3 5" xfId="16823"/>
    <cellStyle name="40% - Accent5 2 2 3 3 5 2" xfId="45684"/>
    <cellStyle name="40% - Accent5 2 2 3 3 6" xfId="31048"/>
    <cellStyle name="40% - Accent5 2 2 3 4" xfId="3116"/>
    <cellStyle name="40% - Accent5 2 2 3 4 2" xfId="9157"/>
    <cellStyle name="40% - Accent5 2 2 3 4 2 2" xfId="26204"/>
    <cellStyle name="40% - Accent5 2 2 3 4 2 2 2" xfId="55065"/>
    <cellStyle name="40% - Accent5 2 2 3 4 2 3" xfId="38018"/>
    <cellStyle name="40% - Accent5 2 2 3 4 3" xfId="20226"/>
    <cellStyle name="40% - Accent5 2 2 3 4 3 2" xfId="49087"/>
    <cellStyle name="40% - Accent5 2 2 3 4 4" xfId="31977"/>
    <cellStyle name="40% - Accent5 2 2 3 5" xfId="6271"/>
    <cellStyle name="40% - Accent5 2 2 3 5 2" xfId="23318"/>
    <cellStyle name="40% - Accent5 2 2 3 5 2 2" xfId="52179"/>
    <cellStyle name="40% - Accent5 2 2 3 5 3" xfId="35132"/>
    <cellStyle name="40% - Accent5 2 2 3 6" xfId="12326"/>
    <cellStyle name="40% - Accent5 2 2 3 6 2" xfId="17649"/>
    <cellStyle name="40% - Accent5 2 2 3 6 2 2" xfId="46510"/>
    <cellStyle name="40% - Accent5 2 2 3 6 3" xfId="41187"/>
    <cellStyle name="40% - Accent5 2 2 3 7" xfId="14866"/>
    <cellStyle name="40% - Accent5 2 2 3 7 2" xfId="43727"/>
    <cellStyle name="40% - Accent5 2 2 3 8" xfId="29091"/>
    <cellStyle name="40% - Accent5 2 2 4" xfId="435"/>
    <cellStyle name="40% - Accent5 2 2 4 2" xfId="3322"/>
    <cellStyle name="40% - Accent5 2 2 4 2 2" xfId="9363"/>
    <cellStyle name="40% - Accent5 2 2 4 2 2 2" xfId="26410"/>
    <cellStyle name="40% - Accent5 2 2 4 2 2 2 2" xfId="55271"/>
    <cellStyle name="40% - Accent5 2 2 4 2 2 3" xfId="38224"/>
    <cellStyle name="40% - Accent5 2 2 4 2 3" xfId="20432"/>
    <cellStyle name="40% - Accent5 2 2 4 2 3 2" xfId="49293"/>
    <cellStyle name="40% - Accent5 2 2 4 2 4" xfId="32183"/>
    <cellStyle name="40% - Accent5 2 2 4 3" xfId="6477"/>
    <cellStyle name="40% - Accent5 2 2 4 3 2" xfId="23524"/>
    <cellStyle name="40% - Accent5 2 2 4 3 2 2" xfId="52385"/>
    <cellStyle name="40% - Accent5 2 2 4 3 3" xfId="35338"/>
    <cellStyle name="40% - Accent5 2 2 4 4" xfId="13940"/>
    <cellStyle name="40% - Accent5 2 2 4 4 2" xfId="17752"/>
    <cellStyle name="40% - Accent5 2 2 4 4 2 2" xfId="46613"/>
    <cellStyle name="40% - Accent5 2 2 4 4 3" xfId="42801"/>
    <cellStyle name="40% - Accent5 2 2 4 5" xfId="15072"/>
    <cellStyle name="40% - Accent5 2 2 4 5 2" xfId="43933"/>
    <cellStyle name="40% - Accent5 2 2 4 6" xfId="29297"/>
    <cellStyle name="40% - Accent5 2 2 5" xfId="744"/>
    <cellStyle name="40% - Accent5 2 2 5 2" xfId="3631"/>
    <cellStyle name="40% - Accent5 2 2 5 2 2" xfId="9672"/>
    <cellStyle name="40% - Accent5 2 2 5 2 2 2" xfId="26719"/>
    <cellStyle name="40% - Accent5 2 2 5 2 2 2 2" xfId="55580"/>
    <cellStyle name="40% - Accent5 2 2 5 2 2 3" xfId="38533"/>
    <cellStyle name="40% - Accent5 2 2 5 2 3" xfId="20741"/>
    <cellStyle name="40% - Accent5 2 2 5 2 3 2" xfId="49602"/>
    <cellStyle name="40% - Accent5 2 2 5 2 4" xfId="32492"/>
    <cellStyle name="40% - Accent5 2 2 5 3" xfId="6786"/>
    <cellStyle name="40% - Accent5 2 2 5 3 2" xfId="23833"/>
    <cellStyle name="40% - Accent5 2 2 5 3 2 2" xfId="52694"/>
    <cellStyle name="40% - Accent5 2 2 5 3 3" xfId="35647"/>
    <cellStyle name="40% - Accent5 2 2 5 4" xfId="13164"/>
    <cellStyle name="40% - Accent5 2 2 5 4 2" xfId="18061"/>
    <cellStyle name="40% - Accent5 2 2 5 4 2 2" xfId="46922"/>
    <cellStyle name="40% - Accent5 2 2 5 4 3" xfId="42025"/>
    <cellStyle name="40% - Accent5 2 2 5 5" xfId="15381"/>
    <cellStyle name="40% - Accent5 2 2 5 5 2" xfId="44242"/>
    <cellStyle name="40% - Accent5 2 2 5 6" xfId="29606"/>
    <cellStyle name="40% - Accent5 2 2 6" xfId="950"/>
    <cellStyle name="40% - Accent5 2 2 6 2" xfId="3837"/>
    <cellStyle name="40% - Accent5 2 2 6 2 2" xfId="9878"/>
    <cellStyle name="40% - Accent5 2 2 6 2 2 2" xfId="26925"/>
    <cellStyle name="40% - Accent5 2 2 6 2 2 2 2" xfId="55786"/>
    <cellStyle name="40% - Accent5 2 2 6 2 2 3" xfId="38739"/>
    <cellStyle name="40% - Accent5 2 2 6 2 3" xfId="20947"/>
    <cellStyle name="40% - Accent5 2 2 6 2 3 2" xfId="49808"/>
    <cellStyle name="40% - Accent5 2 2 6 2 4" xfId="32698"/>
    <cellStyle name="40% - Accent5 2 2 6 3" xfId="6992"/>
    <cellStyle name="40% - Accent5 2 2 6 3 2" xfId="24039"/>
    <cellStyle name="40% - Accent5 2 2 6 3 2 2" xfId="52900"/>
    <cellStyle name="40% - Accent5 2 2 6 3 3" xfId="35853"/>
    <cellStyle name="40% - Accent5 2 2 6 4" xfId="6096"/>
    <cellStyle name="40% - Accent5 2 2 6 4 2" xfId="18267"/>
    <cellStyle name="40% - Accent5 2 2 6 4 2 2" xfId="47128"/>
    <cellStyle name="40% - Accent5 2 2 6 4 3" xfId="34957"/>
    <cellStyle name="40% - Accent5 2 2 6 5" xfId="15587"/>
    <cellStyle name="40% - Accent5 2 2 6 5 2" xfId="44448"/>
    <cellStyle name="40% - Accent5 2 2 6 6" xfId="29812"/>
    <cellStyle name="40% - Accent5 2 2 7" xfId="1156"/>
    <cellStyle name="40% - Accent5 2 2 7 2" xfId="4043"/>
    <cellStyle name="40% - Accent5 2 2 7 2 2" xfId="10084"/>
    <cellStyle name="40% - Accent5 2 2 7 2 2 2" xfId="27131"/>
    <cellStyle name="40% - Accent5 2 2 7 2 2 2 2" xfId="55992"/>
    <cellStyle name="40% - Accent5 2 2 7 2 2 3" xfId="38945"/>
    <cellStyle name="40% - Accent5 2 2 7 2 3" xfId="21153"/>
    <cellStyle name="40% - Accent5 2 2 7 2 3 2" xfId="50014"/>
    <cellStyle name="40% - Accent5 2 2 7 2 4" xfId="32904"/>
    <cellStyle name="40% - Accent5 2 2 7 3" xfId="7198"/>
    <cellStyle name="40% - Accent5 2 2 7 3 2" xfId="24245"/>
    <cellStyle name="40% - Accent5 2 2 7 3 2 2" xfId="53106"/>
    <cellStyle name="40% - Accent5 2 2 7 3 3" xfId="36059"/>
    <cellStyle name="40% - Accent5 2 2 7 4" xfId="12776"/>
    <cellStyle name="40% - Accent5 2 2 7 4 2" xfId="18473"/>
    <cellStyle name="40% - Accent5 2 2 7 4 2 2" xfId="47334"/>
    <cellStyle name="40% - Accent5 2 2 7 4 3" xfId="41637"/>
    <cellStyle name="40% - Accent5 2 2 7 5" xfId="15793"/>
    <cellStyle name="40% - Accent5 2 2 7 5 2" xfId="44654"/>
    <cellStyle name="40% - Accent5 2 2 7 6" xfId="30018"/>
    <cellStyle name="40% - Accent5 2 2 8" xfId="1362"/>
    <cellStyle name="40% - Accent5 2 2 8 2" xfId="4249"/>
    <cellStyle name="40% - Accent5 2 2 8 2 2" xfId="10290"/>
    <cellStyle name="40% - Accent5 2 2 8 2 2 2" xfId="27337"/>
    <cellStyle name="40% - Accent5 2 2 8 2 2 2 2" xfId="56198"/>
    <cellStyle name="40% - Accent5 2 2 8 2 2 3" xfId="39151"/>
    <cellStyle name="40% - Accent5 2 2 8 2 3" xfId="21359"/>
    <cellStyle name="40% - Accent5 2 2 8 2 3 2" xfId="50220"/>
    <cellStyle name="40% - Accent5 2 2 8 2 4" xfId="33110"/>
    <cellStyle name="40% - Accent5 2 2 8 3" xfId="7404"/>
    <cellStyle name="40% - Accent5 2 2 8 3 2" xfId="24451"/>
    <cellStyle name="40% - Accent5 2 2 8 3 2 2" xfId="53312"/>
    <cellStyle name="40% - Accent5 2 2 8 3 3" xfId="36265"/>
    <cellStyle name="40% - Accent5 2 2 8 4" xfId="13632"/>
    <cellStyle name="40% - Accent5 2 2 8 4 2" xfId="18679"/>
    <cellStyle name="40% - Accent5 2 2 8 4 2 2" xfId="47540"/>
    <cellStyle name="40% - Accent5 2 2 8 4 3" xfId="42493"/>
    <cellStyle name="40% - Accent5 2 2 8 5" xfId="15999"/>
    <cellStyle name="40% - Accent5 2 2 8 5 2" xfId="44860"/>
    <cellStyle name="40% - Accent5 2 2 8 6" xfId="30224"/>
    <cellStyle name="40% - Accent5 2 2 9" xfId="1568"/>
    <cellStyle name="40% - Accent5 2 2 9 2" xfId="4455"/>
    <cellStyle name="40% - Accent5 2 2 9 2 2" xfId="10496"/>
    <cellStyle name="40% - Accent5 2 2 9 2 2 2" xfId="27543"/>
    <cellStyle name="40% - Accent5 2 2 9 2 2 2 2" xfId="56404"/>
    <cellStyle name="40% - Accent5 2 2 9 2 2 3" xfId="39357"/>
    <cellStyle name="40% - Accent5 2 2 9 2 3" xfId="21565"/>
    <cellStyle name="40% - Accent5 2 2 9 2 3 2" xfId="50426"/>
    <cellStyle name="40% - Accent5 2 2 9 2 4" xfId="33316"/>
    <cellStyle name="40% - Accent5 2 2 9 3" xfId="7610"/>
    <cellStyle name="40% - Accent5 2 2 9 3 2" xfId="24657"/>
    <cellStyle name="40% - Accent5 2 2 9 3 2 2" xfId="53518"/>
    <cellStyle name="40% - Accent5 2 2 9 3 3" xfId="36471"/>
    <cellStyle name="40% - Accent5 2 2 9 4" xfId="13825"/>
    <cellStyle name="40% - Accent5 2 2 9 4 2" xfId="18885"/>
    <cellStyle name="40% - Accent5 2 2 9 4 2 2" xfId="47746"/>
    <cellStyle name="40% - Accent5 2 2 9 4 3" xfId="42686"/>
    <cellStyle name="40% - Accent5 2 2 9 5" xfId="16205"/>
    <cellStyle name="40% - Accent5 2 2 9 5 2" xfId="45066"/>
    <cellStyle name="40% - Accent5 2 2 9 6" xfId="30430"/>
    <cellStyle name="40% - Accent5 2 20" xfId="6142"/>
    <cellStyle name="40% - Accent5 2 20 2" xfId="23189"/>
    <cellStyle name="40% - Accent5 2 20 2 2" xfId="52050"/>
    <cellStyle name="40% - Accent5 2 20 3" xfId="35003"/>
    <cellStyle name="40% - Accent5 2 21" xfId="14531"/>
    <cellStyle name="40% - Accent5 2 21 2" xfId="43392"/>
    <cellStyle name="40% - Accent5 2 22" xfId="28962"/>
    <cellStyle name="40% - Accent5 2 3" xfId="152"/>
    <cellStyle name="40% - Accent5 2 3 10" xfId="1800"/>
    <cellStyle name="40% - Accent5 2 3 10 2" xfId="4687"/>
    <cellStyle name="40% - Accent5 2 3 10 2 2" xfId="10728"/>
    <cellStyle name="40% - Accent5 2 3 10 2 2 2" xfId="27775"/>
    <cellStyle name="40% - Accent5 2 3 10 2 2 2 2" xfId="56636"/>
    <cellStyle name="40% - Accent5 2 3 10 2 2 3" xfId="39589"/>
    <cellStyle name="40% - Accent5 2 3 10 2 3" xfId="21797"/>
    <cellStyle name="40% - Accent5 2 3 10 2 3 2" xfId="50658"/>
    <cellStyle name="40% - Accent5 2 3 10 2 4" xfId="33548"/>
    <cellStyle name="40% - Accent5 2 3 10 3" xfId="7842"/>
    <cellStyle name="40% - Accent5 2 3 10 3 2" xfId="24889"/>
    <cellStyle name="40% - Accent5 2 3 10 3 2 2" xfId="53750"/>
    <cellStyle name="40% - Accent5 2 3 10 3 3" xfId="36703"/>
    <cellStyle name="40% - Accent5 2 3 10 4" xfId="13881"/>
    <cellStyle name="40% - Accent5 2 3 10 4 2" xfId="19117"/>
    <cellStyle name="40% - Accent5 2 3 10 4 2 2" xfId="47978"/>
    <cellStyle name="40% - Accent5 2 3 10 4 3" xfId="42742"/>
    <cellStyle name="40% - Accent5 2 3 10 5" xfId="16437"/>
    <cellStyle name="40% - Accent5 2 3 10 5 2" xfId="45298"/>
    <cellStyle name="40% - Accent5 2 3 10 6" xfId="30662"/>
    <cellStyle name="40% - Accent5 2 3 11" xfId="2006"/>
    <cellStyle name="40% - Accent5 2 3 11 2" xfId="4893"/>
    <cellStyle name="40% - Accent5 2 3 11 2 2" xfId="10934"/>
    <cellStyle name="40% - Accent5 2 3 11 2 2 2" xfId="27981"/>
    <cellStyle name="40% - Accent5 2 3 11 2 2 2 2" xfId="56842"/>
    <cellStyle name="40% - Accent5 2 3 11 2 2 3" xfId="39795"/>
    <cellStyle name="40% - Accent5 2 3 11 2 3" xfId="22003"/>
    <cellStyle name="40% - Accent5 2 3 11 2 3 2" xfId="50864"/>
    <cellStyle name="40% - Accent5 2 3 11 2 4" xfId="33754"/>
    <cellStyle name="40% - Accent5 2 3 11 3" xfId="8048"/>
    <cellStyle name="40% - Accent5 2 3 11 3 2" xfId="25095"/>
    <cellStyle name="40% - Accent5 2 3 11 3 2 2" xfId="53956"/>
    <cellStyle name="40% - Accent5 2 3 11 3 3" xfId="36909"/>
    <cellStyle name="40% - Accent5 2 3 11 4" xfId="12918"/>
    <cellStyle name="40% - Accent5 2 3 11 4 2" xfId="19323"/>
    <cellStyle name="40% - Accent5 2 3 11 4 2 2" xfId="48184"/>
    <cellStyle name="40% - Accent5 2 3 11 4 3" xfId="41779"/>
    <cellStyle name="40% - Accent5 2 3 11 5" xfId="16643"/>
    <cellStyle name="40% - Accent5 2 3 11 5 2" xfId="45504"/>
    <cellStyle name="40% - Accent5 2 3 11 6" xfId="30868"/>
    <cellStyle name="40% - Accent5 2 3 12" xfId="2418"/>
    <cellStyle name="40% - Accent5 2 3 12 2" xfId="5305"/>
    <cellStyle name="40% - Accent5 2 3 12 2 2" xfId="11346"/>
    <cellStyle name="40% - Accent5 2 3 12 2 2 2" xfId="28393"/>
    <cellStyle name="40% - Accent5 2 3 12 2 2 2 2" xfId="57254"/>
    <cellStyle name="40% - Accent5 2 3 12 2 2 3" xfId="40207"/>
    <cellStyle name="40% - Accent5 2 3 12 2 3" xfId="22415"/>
    <cellStyle name="40% - Accent5 2 3 12 2 3 2" xfId="51276"/>
    <cellStyle name="40% - Accent5 2 3 12 2 4" xfId="34166"/>
    <cellStyle name="40% - Accent5 2 3 12 3" xfId="8460"/>
    <cellStyle name="40% - Accent5 2 3 12 3 2" xfId="25507"/>
    <cellStyle name="40% - Accent5 2 3 12 3 2 2" xfId="54368"/>
    <cellStyle name="40% - Accent5 2 3 12 3 3" xfId="37321"/>
    <cellStyle name="40% - Accent5 2 3 12 4" xfId="12514"/>
    <cellStyle name="40% - Accent5 2 3 12 4 2" xfId="19735"/>
    <cellStyle name="40% - Accent5 2 3 12 4 2 2" xfId="48596"/>
    <cellStyle name="40% - Accent5 2 3 12 4 3" xfId="41375"/>
    <cellStyle name="40% - Accent5 2 3 12 5" xfId="17055"/>
    <cellStyle name="40% - Accent5 2 3 12 5 2" xfId="45916"/>
    <cellStyle name="40% - Accent5 2 3 12 6" xfId="31280"/>
    <cellStyle name="40% - Accent5 2 3 13" xfId="2627"/>
    <cellStyle name="40% - Accent5 2 3 13 2" xfId="5513"/>
    <cellStyle name="40% - Accent5 2 3 13 2 2" xfId="11554"/>
    <cellStyle name="40% - Accent5 2 3 13 2 2 2" xfId="28601"/>
    <cellStyle name="40% - Accent5 2 3 13 2 2 2 2" xfId="57462"/>
    <cellStyle name="40% - Accent5 2 3 13 2 2 3" xfId="40415"/>
    <cellStyle name="40% - Accent5 2 3 13 2 3" xfId="22623"/>
    <cellStyle name="40% - Accent5 2 3 13 2 3 2" xfId="51484"/>
    <cellStyle name="40% - Accent5 2 3 13 2 4" xfId="34374"/>
    <cellStyle name="40% - Accent5 2 3 13 3" xfId="8668"/>
    <cellStyle name="40% - Accent5 2 3 13 3 2" xfId="25715"/>
    <cellStyle name="40% - Accent5 2 3 13 3 2 2" xfId="54576"/>
    <cellStyle name="40% - Accent5 2 3 13 3 3" xfId="37529"/>
    <cellStyle name="40% - Accent5 2 3 13 4" xfId="13254"/>
    <cellStyle name="40% - Accent5 2 3 13 4 2" xfId="19943"/>
    <cellStyle name="40% - Accent5 2 3 13 4 2 2" xfId="48804"/>
    <cellStyle name="40% - Accent5 2 3 13 4 3" xfId="42115"/>
    <cellStyle name="40% - Accent5 2 3 13 5" xfId="17263"/>
    <cellStyle name="40% - Accent5 2 3 13 5 2" xfId="46124"/>
    <cellStyle name="40% - Accent5 2 3 13 6" xfId="31488"/>
    <cellStyle name="40% - Accent5 2 3 14" xfId="3039"/>
    <cellStyle name="40% - Accent5 2 3 14 2" xfId="9080"/>
    <cellStyle name="40% - Accent5 2 3 14 2 2" xfId="26127"/>
    <cellStyle name="40% - Accent5 2 3 14 2 2 2" xfId="54988"/>
    <cellStyle name="40% - Accent5 2 3 14 2 3" xfId="37941"/>
    <cellStyle name="40% - Accent5 2 3 14 3" xfId="11908"/>
    <cellStyle name="40% - Accent5 2 3 14 3 2" xfId="20149"/>
    <cellStyle name="40% - Accent5 2 3 14 3 2 2" xfId="49010"/>
    <cellStyle name="40% - Accent5 2 3 14 3 3" xfId="40769"/>
    <cellStyle name="40% - Accent5 2 3 14 4" xfId="14789"/>
    <cellStyle name="40% - Accent5 2 3 14 4 2" xfId="43650"/>
    <cellStyle name="40% - Accent5 2 3 14 5" xfId="31900"/>
    <cellStyle name="40% - Accent5 2 3 15" xfId="2833"/>
    <cellStyle name="40% - Accent5 2 3 15 2" xfId="8874"/>
    <cellStyle name="40% - Accent5 2 3 15 2 2" xfId="25921"/>
    <cellStyle name="40% - Accent5 2 3 15 2 2 2" xfId="54782"/>
    <cellStyle name="40% - Accent5 2 3 15 2 3" xfId="37735"/>
    <cellStyle name="40% - Accent5 2 3 15 3" xfId="17469"/>
    <cellStyle name="40% - Accent5 2 3 15 3 2" xfId="46330"/>
    <cellStyle name="40% - Accent5 2 3 15 4" xfId="31694"/>
    <cellStyle name="40% - Accent5 2 3 16" xfId="5719"/>
    <cellStyle name="40% - Accent5 2 3 16 2" xfId="11760"/>
    <cellStyle name="40% - Accent5 2 3 16 2 2" xfId="28807"/>
    <cellStyle name="40% - Accent5 2 3 16 2 2 2" xfId="57668"/>
    <cellStyle name="40% - Accent5 2 3 16 2 3" xfId="40621"/>
    <cellStyle name="40% - Accent5 2 3 16 3" xfId="22829"/>
    <cellStyle name="40% - Accent5 2 3 16 3 2" xfId="51690"/>
    <cellStyle name="40% - Accent5 2 3 16 4" xfId="34580"/>
    <cellStyle name="40% - Accent5 2 3 17" xfId="5936"/>
    <cellStyle name="40% - Accent5 2 3 17 2" xfId="23035"/>
    <cellStyle name="40% - Accent5 2 3 17 2 2" xfId="51896"/>
    <cellStyle name="40% - Accent5 2 3 17 3" xfId="34797"/>
    <cellStyle name="40% - Accent5 2 3 18" xfId="6194"/>
    <cellStyle name="40% - Accent5 2 3 18 2" xfId="23241"/>
    <cellStyle name="40% - Accent5 2 3 18 2 2" xfId="52102"/>
    <cellStyle name="40% - Accent5 2 3 18 3" xfId="35055"/>
    <cellStyle name="40% - Accent5 2 3 19" xfId="14583"/>
    <cellStyle name="40% - Accent5 2 3 19 2" xfId="43444"/>
    <cellStyle name="40% - Accent5 2 3 2" xfId="358"/>
    <cellStyle name="40% - Accent5 2 3 2 10" xfId="2521"/>
    <cellStyle name="40% - Accent5 2 3 2 10 2" xfId="5408"/>
    <cellStyle name="40% - Accent5 2 3 2 10 2 2" xfId="11449"/>
    <cellStyle name="40% - Accent5 2 3 2 10 2 2 2" xfId="28496"/>
    <cellStyle name="40% - Accent5 2 3 2 10 2 2 2 2" xfId="57357"/>
    <cellStyle name="40% - Accent5 2 3 2 10 2 2 3" xfId="40310"/>
    <cellStyle name="40% - Accent5 2 3 2 10 2 3" xfId="22518"/>
    <cellStyle name="40% - Accent5 2 3 2 10 2 3 2" xfId="51379"/>
    <cellStyle name="40% - Accent5 2 3 2 10 2 4" xfId="34269"/>
    <cellStyle name="40% - Accent5 2 3 2 10 3" xfId="8563"/>
    <cellStyle name="40% - Accent5 2 3 2 10 3 2" xfId="25610"/>
    <cellStyle name="40% - Accent5 2 3 2 10 3 2 2" xfId="54471"/>
    <cellStyle name="40% - Accent5 2 3 2 10 3 3" xfId="37424"/>
    <cellStyle name="40% - Accent5 2 3 2 10 4" xfId="13034"/>
    <cellStyle name="40% - Accent5 2 3 2 10 4 2" xfId="19838"/>
    <cellStyle name="40% - Accent5 2 3 2 10 4 2 2" xfId="48699"/>
    <cellStyle name="40% - Accent5 2 3 2 10 4 3" xfId="41895"/>
    <cellStyle name="40% - Accent5 2 3 2 10 5" xfId="17158"/>
    <cellStyle name="40% - Accent5 2 3 2 10 5 2" xfId="46019"/>
    <cellStyle name="40% - Accent5 2 3 2 10 6" xfId="31383"/>
    <cellStyle name="40% - Accent5 2 3 2 11" xfId="2730"/>
    <cellStyle name="40% - Accent5 2 3 2 11 2" xfId="5616"/>
    <cellStyle name="40% - Accent5 2 3 2 11 2 2" xfId="11657"/>
    <cellStyle name="40% - Accent5 2 3 2 11 2 2 2" xfId="28704"/>
    <cellStyle name="40% - Accent5 2 3 2 11 2 2 2 2" xfId="57565"/>
    <cellStyle name="40% - Accent5 2 3 2 11 2 2 3" xfId="40518"/>
    <cellStyle name="40% - Accent5 2 3 2 11 2 3" xfId="22726"/>
    <cellStyle name="40% - Accent5 2 3 2 11 2 3 2" xfId="51587"/>
    <cellStyle name="40% - Accent5 2 3 2 11 2 4" xfId="34477"/>
    <cellStyle name="40% - Accent5 2 3 2 11 3" xfId="8771"/>
    <cellStyle name="40% - Accent5 2 3 2 11 3 2" xfId="25818"/>
    <cellStyle name="40% - Accent5 2 3 2 11 3 2 2" xfId="54679"/>
    <cellStyle name="40% - Accent5 2 3 2 11 3 3" xfId="37632"/>
    <cellStyle name="40% - Accent5 2 3 2 11 4" xfId="12240"/>
    <cellStyle name="40% - Accent5 2 3 2 11 4 2" xfId="20046"/>
    <cellStyle name="40% - Accent5 2 3 2 11 4 2 2" xfId="48907"/>
    <cellStyle name="40% - Accent5 2 3 2 11 4 3" xfId="41101"/>
    <cellStyle name="40% - Accent5 2 3 2 11 5" xfId="17366"/>
    <cellStyle name="40% - Accent5 2 3 2 11 5 2" xfId="46227"/>
    <cellStyle name="40% - Accent5 2 3 2 11 6" xfId="31591"/>
    <cellStyle name="40% - Accent5 2 3 2 12" xfId="3245"/>
    <cellStyle name="40% - Accent5 2 3 2 12 2" xfId="9286"/>
    <cellStyle name="40% - Accent5 2 3 2 12 2 2" xfId="26333"/>
    <cellStyle name="40% - Accent5 2 3 2 12 2 2 2" xfId="55194"/>
    <cellStyle name="40% - Accent5 2 3 2 12 2 3" xfId="38147"/>
    <cellStyle name="40% - Accent5 2 3 2 12 3" xfId="11958"/>
    <cellStyle name="40% - Accent5 2 3 2 12 3 2" xfId="20355"/>
    <cellStyle name="40% - Accent5 2 3 2 12 3 2 2" xfId="49216"/>
    <cellStyle name="40% - Accent5 2 3 2 12 3 3" xfId="40819"/>
    <cellStyle name="40% - Accent5 2 3 2 12 4" xfId="14995"/>
    <cellStyle name="40% - Accent5 2 3 2 12 4 2" xfId="43856"/>
    <cellStyle name="40% - Accent5 2 3 2 12 5" xfId="32106"/>
    <cellStyle name="40% - Accent5 2 3 2 13" xfId="2936"/>
    <cellStyle name="40% - Accent5 2 3 2 13 2" xfId="8977"/>
    <cellStyle name="40% - Accent5 2 3 2 13 2 2" xfId="26024"/>
    <cellStyle name="40% - Accent5 2 3 2 13 2 2 2" xfId="54885"/>
    <cellStyle name="40% - Accent5 2 3 2 13 2 3" xfId="37838"/>
    <cellStyle name="40% - Accent5 2 3 2 13 3" xfId="17572"/>
    <cellStyle name="40% - Accent5 2 3 2 13 3 2" xfId="46433"/>
    <cellStyle name="40% - Accent5 2 3 2 13 4" xfId="31797"/>
    <cellStyle name="40% - Accent5 2 3 2 14" xfId="5822"/>
    <cellStyle name="40% - Accent5 2 3 2 14 2" xfId="11863"/>
    <cellStyle name="40% - Accent5 2 3 2 14 2 2" xfId="28910"/>
    <cellStyle name="40% - Accent5 2 3 2 14 2 2 2" xfId="57771"/>
    <cellStyle name="40% - Accent5 2 3 2 14 2 3" xfId="40724"/>
    <cellStyle name="40% - Accent5 2 3 2 14 3" xfId="22932"/>
    <cellStyle name="40% - Accent5 2 3 2 14 3 2" xfId="51793"/>
    <cellStyle name="40% - Accent5 2 3 2 14 4" xfId="34683"/>
    <cellStyle name="40% - Accent5 2 3 2 15" xfId="6039"/>
    <cellStyle name="40% - Accent5 2 3 2 15 2" xfId="23138"/>
    <cellStyle name="40% - Accent5 2 3 2 15 2 2" xfId="51999"/>
    <cellStyle name="40% - Accent5 2 3 2 15 3" xfId="34900"/>
    <cellStyle name="40% - Accent5 2 3 2 16" xfId="6400"/>
    <cellStyle name="40% - Accent5 2 3 2 16 2" xfId="23447"/>
    <cellStyle name="40% - Accent5 2 3 2 16 2 2" xfId="52308"/>
    <cellStyle name="40% - Accent5 2 3 2 16 3" xfId="35261"/>
    <cellStyle name="40% - Accent5 2 3 2 17" xfId="14686"/>
    <cellStyle name="40% - Accent5 2 3 2 17 2" xfId="43547"/>
    <cellStyle name="40% - Accent5 2 3 2 18" xfId="29220"/>
    <cellStyle name="40% - Accent5 2 3 2 2" xfId="564"/>
    <cellStyle name="40% - Accent5 2 3 2 2 2" xfId="2315"/>
    <cellStyle name="40% - Accent5 2 3 2 2 2 2" xfId="5202"/>
    <cellStyle name="40% - Accent5 2 3 2 2 2 2 2" xfId="11243"/>
    <cellStyle name="40% - Accent5 2 3 2 2 2 2 2 2" xfId="28290"/>
    <cellStyle name="40% - Accent5 2 3 2 2 2 2 2 2 2" xfId="57151"/>
    <cellStyle name="40% - Accent5 2 3 2 2 2 2 2 3" xfId="40104"/>
    <cellStyle name="40% - Accent5 2 3 2 2 2 2 3" xfId="22312"/>
    <cellStyle name="40% - Accent5 2 3 2 2 2 2 3 2" xfId="51173"/>
    <cellStyle name="40% - Accent5 2 3 2 2 2 2 4" xfId="34063"/>
    <cellStyle name="40% - Accent5 2 3 2 2 2 3" xfId="8357"/>
    <cellStyle name="40% - Accent5 2 3 2 2 2 3 2" xfId="25404"/>
    <cellStyle name="40% - Accent5 2 3 2 2 2 3 2 2" xfId="54265"/>
    <cellStyle name="40% - Accent5 2 3 2 2 2 3 3" xfId="37218"/>
    <cellStyle name="40% - Accent5 2 3 2 2 2 4" xfId="13546"/>
    <cellStyle name="40% - Accent5 2 3 2 2 2 4 2" xfId="19632"/>
    <cellStyle name="40% - Accent5 2 3 2 2 2 4 2 2" xfId="48493"/>
    <cellStyle name="40% - Accent5 2 3 2 2 2 4 3" xfId="42407"/>
    <cellStyle name="40% - Accent5 2 3 2 2 2 5" xfId="16952"/>
    <cellStyle name="40% - Accent5 2 3 2 2 2 5 2" xfId="45813"/>
    <cellStyle name="40% - Accent5 2 3 2 2 2 6" xfId="31177"/>
    <cellStyle name="40% - Accent5 2 3 2 2 3" xfId="3451"/>
    <cellStyle name="40% - Accent5 2 3 2 2 3 2" xfId="9492"/>
    <cellStyle name="40% - Accent5 2 3 2 2 3 2 2" xfId="26539"/>
    <cellStyle name="40% - Accent5 2 3 2 2 3 2 2 2" xfId="55400"/>
    <cellStyle name="40% - Accent5 2 3 2 2 3 2 3" xfId="38353"/>
    <cellStyle name="40% - Accent5 2 3 2 2 3 3" xfId="20561"/>
    <cellStyle name="40% - Accent5 2 3 2 2 3 3 2" xfId="49422"/>
    <cellStyle name="40% - Accent5 2 3 2 2 3 4" xfId="32312"/>
    <cellStyle name="40% - Accent5 2 3 2 2 4" xfId="6606"/>
    <cellStyle name="40% - Accent5 2 3 2 2 4 2" xfId="23653"/>
    <cellStyle name="40% - Accent5 2 3 2 2 4 2 2" xfId="52514"/>
    <cellStyle name="40% - Accent5 2 3 2 2 4 3" xfId="35467"/>
    <cellStyle name="40% - Accent5 2 3 2 2 5" xfId="12449"/>
    <cellStyle name="40% - Accent5 2 3 2 2 5 2" xfId="17881"/>
    <cellStyle name="40% - Accent5 2 3 2 2 5 2 2" xfId="46742"/>
    <cellStyle name="40% - Accent5 2 3 2 2 5 3" xfId="41310"/>
    <cellStyle name="40% - Accent5 2 3 2 2 6" xfId="15201"/>
    <cellStyle name="40% - Accent5 2 3 2 2 6 2" xfId="44062"/>
    <cellStyle name="40% - Accent5 2 3 2 2 7" xfId="29426"/>
    <cellStyle name="40% - Accent5 2 3 2 3" xfId="873"/>
    <cellStyle name="40% - Accent5 2 3 2 3 2" xfId="3760"/>
    <cellStyle name="40% - Accent5 2 3 2 3 2 2" xfId="9801"/>
    <cellStyle name="40% - Accent5 2 3 2 3 2 2 2" xfId="26848"/>
    <cellStyle name="40% - Accent5 2 3 2 3 2 2 2 2" xfId="55709"/>
    <cellStyle name="40% - Accent5 2 3 2 3 2 2 3" xfId="38662"/>
    <cellStyle name="40% - Accent5 2 3 2 3 2 3" xfId="20870"/>
    <cellStyle name="40% - Accent5 2 3 2 3 2 3 2" xfId="49731"/>
    <cellStyle name="40% - Accent5 2 3 2 3 2 4" xfId="32621"/>
    <cellStyle name="40% - Accent5 2 3 2 3 3" xfId="6915"/>
    <cellStyle name="40% - Accent5 2 3 2 3 3 2" xfId="23962"/>
    <cellStyle name="40% - Accent5 2 3 2 3 3 2 2" xfId="52823"/>
    <cellStyle name="40% - Accent5 2 3 2 3 3 3" xfId="35776"/>
    <cellStyle name="40% - Accent5 2 3 2 3 4" xfId="12121"/>
    <cellStyle name="40% - Accent5 2 3 2 3 4 2" xfId="18190"/>
    <cellStyle name="40% - Accent5 2 3 2 3 4 2 2" xfId="47051"/>
    <cellStyle name="40% - Accent5 2 3 2 3 4 3" xfId="40982"/>
    <cellStyle name="40% - Accent5 2 3 2 3 5" xfId="15510"/>
    <cellStyle name="40% - Accent5 2 3 2 3 5 2" xfId="44371"/>
    <cellStyle name="40% - Accent5 2 3 2 3 6" xfId="29735"/>
    <cellStyle name="40% - Accent5 2 3 2 4" xfId="1079"/>
    <cellStyle name="40% - Accent5 2 3 2 4 2" xfId="3966"/>
    <cellStyle name="40% - Accent5 2 3 2 4 2 2" xfId="10007"/>
    <cellStyle name="40% - Accent5 2 3 2 4 2 2 2" xfId="27054"/>
    <cellStyle name="40% - Accent5 2 3 2 4 2 2 2 2" xfId="55915"/>
    <cellStyle name="40% - Accent5 2 3 2 4 2 2 3" xfId="38868"/>
    <cellStyle name="40% - Accent5 2 3 2 4 2 3" xfId="21076"/>
    <cellStyle name="40% - Accent5 2 3 2 4 2 3 2" xfId="49937"/>
    <cellStyle name="40% - Accent5 2 3 2 4 2 4" xfId="32827"/>
    <cellStyle name="40% - Accent5 2 3 2 4 3" xfId="7121"/>
    <cellStyle name="40% - Accent5 2 3 2 4 3 2" xfId="24168"/>
    <cellStyle name="40% - Accent5 2 3 2 4 3 2 2" xfId="53029"/>
    <cellStyle name="40% - Accent5 2 3 2 4 3 3" xfId="35982"/>
    <cellStyle name="40% - Accent5 2 3 2 4 4" xfId="12943"/>
    <cellStyle name="40% - Accent5 2 3 2 4 4 2" xfId="18396"/>
    <cellStyle name="40% - Accent5 2 3 2 4 4 2 2" xfId="47257"/>
    <cellStyle name="40% - Accent5 2 3 2 4 4 3" xfId="41804"/>
    <cellStyle name="40% - Accent5 2 3 2 4 5" xfId="15716"/>
    <cellStyle name="40% - Accent5 2 3 2 4 5 2" xfId="44577"/>
    <cellStyle name="40% - Accent5 2 3 2 4 6" xfId="29941"/>
    <cellStyle name="40% - Accent5 2 3 2 5" xfId="1285"/>
    <cellStyle name="40% - Accent5 2 3 2 5 2" xfId="4172"/>
    <cellStyle name="40% - Accent5 2 3 2 5 2 2" xfId="10213"/>
    <cellStyle name="40% - Accent5 2 3 2 5 2 2 2" xfId="27260"/>
    <cellStyle name="40% - Accent5 2 3 2 5 2 2 2 2" xfId="56121"/>
    <cellStyle name="40% - Accent5 2 3 2 5 2 2 3" xfId="39074"/>
    <cellStyle name="40% - Accent5 2 3 2 5 2 3" xfId="21282"/>
    <cellStyle name="40% - Accent5 2 3 2 5 2 3 2" xfId="50143"/>
    <cellStyle name="40% - Accent5 2 3 2 5 2 4" xfId="33033"/>
    <cellStyle name="40% - Accent5 2 3 2 5 3" xfId="7327"/>
    <cellStyle name="40% - Accent5 2 3 2 5 3 2" xfId="24374"/>
    <cellStyle name="40% - Accent5 2 3 2 5 3 2 2" xfId="53235"/>
    <cellStyle name="40% - Accent5 2 3 2 5 3 3" xfId="36188"/>
    <cellStyle name="40% - Accent5 2 3 2 5 4" xfId="13372"/>
    <cellStyle name="40% - Accent5 2 3 2 5 4 2" xfId="18602"/>
    <cellStyle name="40% - Accent5 2 3 2 5 4 2 2" xfId="47463"/>
    <cellStyle name="40% - Accent5 2 3 2 5 4 3" xfId="42233"/>
    <cellStyle name="40% - Accent5 2 3 2 5 5" xfId="15922"/>
    <cellStyle name="40% - Accent5 2 3 2 5 5 2" xfId="44783"/>
    <cellStyle name="40% - Accent5 2 3 2 5 6" xfId="30147"/>
    <cellStyle name="40% - Accent5 2 3 2 6" xfId="1491"/>
    <cellStyle name="40% - Accent5 2 3 2 6 2" xfId="4378"/>
    <cellStyle name="40% - Accent5 2 3 2 6 2 2" xfId="10419"/>
    <cellStyle name="40% - Accent5 2 3 2 6 2 2 2" xfId="27466"/>
    <cellStyle name="40% - Accent5 2 3 2 6 2 2 2 2" xfId="56327"/>
    <cellStyle name="40% - Accent5 2 3 2 6 2 2 3" xfId="39280"/>
    <cellStyle name="40% - Accent5 2 3 2 6 2 3" xfId="21488"/>
    <cellStyle name="40% - Accent5 2 3 2 6 2 3 2" xfId="50349"/>
    <cellStyle name="40% - Accent5 2 3 2 6 2 4" xfId="33239"/>
    <cellStyle name="40% - Accent5 2 3 2 6 3" xfId="7533"/>
    <cellStyle name="40% - Accent5 2 3 2 6 3 2" xfId="24580"/>
    <cellStyle name="40% - Accent5 2 3 2 6 3 2 2" xfId="53441"/>
    <cellStyle name="40% - Accent5 2 3 2 6 3 3" xfId="36394"/>
    <cellStyle name="40% - Accent5 2 3 2 6 4" xfId="13850"/>
    <cellStyle name="40% - Accent5 2 3 2 6 4 2" xfId="18808"/>
    <cellStyle name="40% - Accent5 2 3 2 6 4 2 2" xfId="47669"/>
    <cellStyle name="40% - Accent5 2 3 2 6 4 3" xfId="42711"/>
    <cellStyle name="40% - Accent5 2 3 2 6 5" xfId="16128"/>
    <cellStyle name="40% - Accent5 2 3 2 6 5 2" xfId="44989"/>
    <cellStyle name="40% - Accent5 2 3 2 6 6" xfId="30353"/>
    <cellStyle name="40% - Accent5 2 3 2 7" xfId="1697"/>
    <cellStyle name="40% - Accent5 2 3 2 7 2" xfId="4584"/>
    <cellStyle name="40% - Accent5 2 3 2 7 2 2" xfId="10625"/>
    <cellStyle name="40% - Accent5 2 3 2 7 2 2 2" xfId="27672"/>
    <cellStyle name="40% - Accent5 2 3 2 7 2 2 2 2" xfId="56533"/>
    <cellStyle name="40% - Accent5 2 3 2 7 2 2 3" xfId="39486"/>
    <cellStyle name="40% - Accent5 2 3 2 7 2 3" xfId="21694"/>
    <cellStyle name="40% - Accent5 2 3 2 7 2 3 2" xfId="50555"/>
    <cellStyle name="40% - Accent5 2 3 2 7 2 4" xfId="33445"/>
    <cellStyle name="40% - Accent5 2 3 2 7 3" xfId="7739"/>
    <cellStyle name="40% - Accent5 2 3 2 7 3 2" xfId="24786"/>
    <cellStyle name="40% - Accent5 2 3 2 7 3 2 2" xfId="53647"/>
    <cellStyle name="40% - Accent5 2 3 2 7 3 3" xfId="36600"/>
    <cellStyle name="40% - Accent5 2 3 2 7 4" xfId="13528"/>
    <cellStyle name="40% - Accent5 2 3 2 7 4 2" xfId="19014"/>
    <cellStyle name="40% - Accent5 2 3 2 7 4 2 2" xfId="47875"/>
    <cellStyle name="40% - Accent5 2 3 2 7 4 3" xfId="42389"/>
    <cellStyle name="40% - Accent5 2 3 2 7 5" xfId="16334"/>
    <cellStyle name="40% - Accent5 2 3 2 7 5 2" xfId="45195"/>
    <cellStyle name="40% - Accent5 2 3 2 7 6" xfId="30559"/>
    <cellStyle name="40% - Accent5 2 3 2 8" xfId="1903"/>
    <cellStyle name="40% - Accent5 2 3 2 8 2" xfId="4790"/>
    <cellStyle name="40% - Accent5 2 3 2 8 2 2" xfId="10831"/>
    <cellStyle name="40% - Accent5 2 3 2 8 2 2 2" xfId="27878"/>
    <cellStyle name="40% - Accent5 2 3 2 8 2 2 2 2" xfId="56739"/>
    <cellStyle name="40% - Accent5 2 3 2 8 2 2 3" xfId="39692"/>
    <cellStyle name="40% - Accent5 2 3 2 8 2 3" xfId="21900"/>
    <cellStyle name="40% - Accent5 2 3 2 8 2 3 2" xfId="50761"/>
    <cellStyle name="40% - Accent5 2 3 2 8 2 4" xfId="33651"/>
    <cellStyle name="40% - Accent5 2 3 2 8 3" xfId="7945"/>
    <cellStyle name="40% - Accent5 2 3 2 8 3 2" xfId="24992"/>
    <cellStyle name="40% - Accent5 2 3 2 8 3 2 2" xfId="53853"/>
    <cellStyle name="40% - Accent5 2 3 2 8 3 3" xfId="36806"/>
    <cellStyle name="40% - Accent5 2 3 2 8 4" xfId="13012"/>
    <cellStyle name="40% - Accent5 2 3 2 8 4 2" xfId="19220"/>
    <cellStyle name="40% - Accent5 2 3 2 8 4 2 2" xfId="48081"/>
    <cellStyle name="40% - Accent5 2 3 2 8 4 3" xfId="41873"/>
    <cellStyle name="40% - Accent5 2 3 2 8 5" xfId="16540"/>
    <cellStyle name="40% - Accent5 2 3 2 8 5 2" xfId="45401"/>
    <cellStyle name="40% - Accent5 2 3 2 8 6" xfId="30765"/>
    <cellStyle name="40% - Accent5 2 3 2 9" xfId="2109"/>
    <cellStyle name="40% - Accent5 2 3 2 9 2" xfId="4996"/>
    <cellStyle name="40% - Accent5 2 3 2 9 2 2" xfId="11037"/>
    <cellStyle name="40% - Accent5 2 3 2 9 2 2 2" xfId="28084"/>
    <cellStyle name="40% - Accent5 2 3 2 9 2 2 2 2" xfId="56945"/>
    <cellStyle name="40% - Accent5 2 3 2 9 2 2 3" xfId="39898"/>
    <cellStyle name="40% - Accent5 2 3 2 9 2 3" xfId="22106"/>
    <cellStyle name="40% - Accent5 2 3 2 9 2 3 2" xfId="50967"/>
    <cellStyle name="40% - Accent5 2 3 2 9 2 4" xfId="33857"/>
    <cellStyle name="40% - Accent5 2 3 2 9 3" xfId="8151"/>
    <cellStyle name="40% - Accent5 2 3 2 9 3 2" xfId="25198"/>
    <cellStyle name="40% - Accent5 2 3 2 9 3 2 2" xfId="54059"/>
    <cellStyle name="40% - Accent5 2 3 2 9 3 3" xfId="37012"/>
    <cellStyle name="40% - Accent5 2 3 2 9 4" xfId="12456"/>
    <cellStyle name="40% - Accent5 2 3 2 9 4 2" xfId="19426"/>
    <cellStyle name="40% - Accent5 2 3 2 9 4 2 2" xfId="48287"/>
    <cellStyle name="40% - Accent5 2 3 2 9 4 3" xfId="41317"/>
    <cellStyle name="40% - Accent5 2 3 2 9 5" xfId="16746"/>
    <cellStyle name="40% - Accent5 2 3 2 9 5 2" xfId="45607"/>
    <cellStyle name="40% - Accent5 2 3 2 9 6" xfId="30971"/>
    <cellStyle name="40% - Accent5 2 3 20" xfId="29014"/>
    <cellStyle name="40% - Accent5 2 3 3" xfId="255"/>
    <cellStyle name="40% - Accent5 2 3 3 2" xfId="667"/>
    <cellStyle name="40% - Accent5 2 3 3 2 2" xfId="3554"/>
    <cellStyle name="40% - Accent5 2 3 3 2 2 2" xfId="9595"/>
    <cellStyle name="40% - Accent5 2 3 3 2 2 2 2" xfId="26642"/>
    <cellStyle name="40% - Accent5 2 3 3 2 2 2 2 2" xfId="55503"/>
    <cellStyle name="40% - Accent5 2 3 3 2 2 2 3" xfId="38456"/>
    <cellStyle name="40% - Accent5 2 3 3 2 2 3" xfId="20664"/>
    <cellStyle name="40% - Accent5 2 3 3 2 2 3 2" xfId="49525"/>
    <cellStyle name="40% - Accent5 2 3 3 2 2 4" xfId="32415"/>
    <cellStyle name="40% - Accent5 2 3 3 2 3" xfId="6709"/>
    <cellStyle name="40% - Accent5 2 3 3 2 3 2" xfId="23756"/>
    <cellStyle name="40% - Accent5 2 3 3 2 3 2 2" xfId="52617"/>
    <cellStyle name="40% - Accent5 2 3 3 2 3 3" xfId="35570"/>
    <cellStyle name="40% - Accent5 2 3 3 2 4" xfId="11963"/>
    <cellStyle name="40% - Accent5 2 3 3 2 4 2" xfId="17984"/>
    <cellStyle name="40% - Accent5 2 3 3 2 4 2 2" xfId="46845"/>
    <cellStyle name="40% - Accent5 2 3 3 2 4 3" xfId="40824"/>
    <cellStyle name="40% - Accent5 2 3 3 2 5" xfId="15304"/>
    <cellStyle name="40% - Accent5 2 3 3 2 5 2" xfId="44165"/>
    <cellStyle name="40% - Accent5 2 3 3 2 6" xfId="29529"/>
    <cellStyle name="40% - Accent5 2 3 3 3" xfId="2212"/>
    <cellStyle name="40% - Accent5 2 3 3 3 2" xfId="5099"/>
    <cellStyle name="40% - Accent5 2 3 3 3 2 2" xfId="11140"/>
    <cellStyle name="40% - Accent5 2 3 3 3 2 2 2" xfId="28187"/>
    <cellStyle name="40% - Accent5 2 3 3 3 2 2 2 2" xfId="57048"/>
    <cellStyle name="40% - Accent5 2 3 3 3 2 2 3" xfId="40001"/>
    <cellStyle name="40% - Accent5 2 3 3 3 2 3" xfId="22209"/>
    <cellStyle name="40% - Accent5 2 3 3 3 2 3 2" xfId="51070"/>
    <cellStyle name="40% - Accent5 2 3 3 3 2 4" xfId="33960"/>
    <cellStyle name="40% - Accent5 2 3 3 3 3" xfId="8254"/>
    <cellStyle name="40% - Accent5 2 3 3 3 3 2" xfId="25301"/>
    <cellStyle name="40% - Accent5 2 3 3 3 3 2 2" xfId="54162"/>
    <cellStyle name="40% - Accent5 2 3 3 3 3 3" xfId="37115"/>
    <cellStyle name="40% - Accent5 2 3 3 3 4" xfId="13077"/>
    <cellStyle name="40% - Accent5 2 3 3 3 4 2" xfId="19529"/>
    <cellStyle name="40% - Accent5 2 3 3 3 4 2 2" xfId="48390"/>
    <cellStyle name="40% - Accent5 2 3 3 3 4 3" xfId="41938"/>
    <cellStyle name="40% - Accent5 2 3 3 3 5" xfId="16849"/>
    <cellStyle name="40% - Accent5 2 3 3 3 5 2" xfId="45710"/>
    <cellStyle name="40% - Accent5 2 3 3 3 6" xfId="31074"/>
    <cellStyle name="40% - Accent5 2 3 3 4" xfId="3142"/>
    <cellStyle name="40% - Accent5 2 3 3 4 2" xfId="9183"/>
    <cellStyle name="40% - Accent5 2 3 3 4 2 2" xfId="26230"/>
    <cellStyle name="40% - Accent5 2 3 3 4 2 2 2" xfId="55091"/>
    <cellStyle name="40% - Accent5 2 3 3 4 2 3" xfId="38044"/>
    <cellStyle name="40% - Accent5 2 3 3 4 3" xfId="20252"/>
    <cellStyle name="40% - Accent5 2 3 3 4 3 2" xfId="49113"/>
    <cellStyle name="40% - Accent5 2 3 3 4 4" xfId="32003"/>
    <cellStyle name="40% - Accent5 2 3 3 5" xfId="6297"/>
    <cellStyle name="40% - Accent5 2 3 3 5 2" xfId="23344"/>
    <cellStyle name="40% - Accent5 2 3 3 5 2 2" xfId="52205"/>
    <cellStyle name="40% - Accent5 2 3 3 5 3" xfId="35158"/>
    <cellStyle name="40% - Accent5 2 3 3 6" xfId="12345"/>
    <cellStyle name="40% - Accent5 2 3 3 6 2" xfId="17675"/>
    <cellStyle name="40% - Accent5 2 3 3 6 2 2" xfId="46536"/>
    <cellStyle name="40% - Accent5 2 3 3 6 3" xfId="41206"/>
    <cellStyle name="40% - Accent5 2 3 3 7" xfId="14892"/>
    <cellStyle name="40% - Accent5 2 3 3 7 2" xfId="43753"/>
    <cellStyle name="40% - Accent5 2 3 3 8" xfId="29117"/>
    <cellStyle name="40% - Accent5 2 3 4" xfId="461"/>
    <cellStyle name="40% - Accent5 2 3 4 2" xfId="3348"/>
    <cellStyle name="40% - Accent5 2 3 4 2 2" xfId="9389"/>
    <cellStyle name="40% - Accent5 2 3 4 2 2 2" xfId="26436"/>
    <cellStyle name="40% - Accent5 2 3 4 2 2 2 2" xfId="55297"/>
    <cellStyle name="40% - Accent5 2 3 4 2 2 3" xfId="38250"/>
    <cellStyle name="40% - Accent5 2 3 4 2 3" xfId="20458"/>
    <cellStyle name="40% - Accent5 2 3 4 2 3 2" xfId="49319"/>
    <cellStyle name="40% - Accent5 2 3 4 2 4" xfId="32209"/>
    <cellStyle name="40% - Accent5 2 3 4 3" xfId="6503"/>
    <cellStyle name="40% - Accent5 2 3 4 3 2" xfId="23550"/>
    <cellStyle name="40% - Accent5 2 3 4 3 2 2" xfId="52411"/>
    <cellStyle name="40% - Accent5 2 3 4 3 3" xfId="35364"/>
    <cellStyle name="40% - Accent5 2 3 4 4" xfId="13880"/>
    <cellStyle name="40% - Accent5 2 3 4 4 2" xfId="17778"/>
    <cellStyle name="40% - Accent5 2 3 4 4 2 2" xfId="46639"/>
    <cellStyle name="40% - Accent5 2 3 4 4 3" xfId="42741"/>
    <cellStyle name="40% - Accent5 2 3 4 5" xfId="15098"/>
    <cellStyle name="40% - Accent5 2 3 4 5 2" xfId="43959"/>
    <cellStyle name="40% - Accent5 2 3 4 6" xfId="29323"/>
    <cellStyle name="40% - Accent5 2 3 5" xfId="770"/>
    <cellStyle name="40% - Accent5 2 3 5 2" xfId="3657"/>
    <cellStyle name="40% - Accent5 2 3 5 2 2" xfId="9698"/>
    <cellStyle name="40% - Accent5 2 3 5 2 2 2" xfId="26745"/>
    <cellStyle name="40% - Accent5 2 3 5 2 2 2 2" xfId="55606"/>
    <cellStyle name="40% - Accent5 2 3 5 2 2 3" xfId="38559"/>
    <cellStyle name="40% - Accent5 2 3 5 2 3" xfId="20767"/>
    <cellStyle name="40% - Accent5 2 3 5 2 3 2" xfId="49628"/>
    <cellStyle name="40% - Accent5 2 3 5 2 4" xfId="32518"/>
    <cellStyle name="40% - Accent5 2 3 5 3" xfId="6812"/>
    <cellStyle name="40% - Accent5 2 3 5 3 2" xfId="23859"/>
    <cellStyle name="40% - Accent5 2 3 5 3 2 2" xfId="52720"/>
    <cellStyle name="40% - Accent5 2 3 5 3 3" xfId="35673"/>
    <cellStyle name="40% - Accent5 2 3 5 4" xfId="13851"/>
    <cellStyle name="40% - Accent5 2 3 5 4 2" xfId="18087"/>
    <cellStyle name="40% - Accent5 2 3 5 4 2 2" xfId="46948"/>
    <cellStyle name="40% - Accent5 2 3 5 4 3" xfId="42712"/>
    <cellStyle name="40% - Accent5 2 3 5 5" xfId="15407"/>
    <cellStyle name="40% - Accent5 2 3 5 5 2" xfId="44268"/>
    <cellStyle name="40% - Accent5 2 3 5 6" xfId="29632"/>
    <cellStyle name="40% - Accent5 2 3 6" xfId="976"/>
    <cellStyle name="40% - Accent5 2 3 6 2" xfId="3863"/>
    <cellStyle name="40% - Accent5 2 3 6 2 2" xfId="9904"/>
    <cellStyle name="40% - Accent5 2 3 6 2 2 2" xfId="26951"/>
    <cellStyle name="40% - Accent5 2 3 6 2 2 2 2" xfId="55812"/>
    <cellStyle name="40% - Accent5 2 3 6 2 2 3" xfId="38765"/>
    <cellStyle name="40% - Accent5 2 3 6 2 3" xfId="20973"/>
    <cellStyle name="40% - Accent5 2 3 6 2 3 2" xfId="49834"/>
    <cellStyle name="40% - Accent5 2 3 6 2 4" xfId="32724"/>
    <cellStyle name="40% - Accent5 2 3 6 3" xfId="7018"/>
    <cellStyle name="40% - Accent5 2 3 6 3 2" xfId="24065"/>
    <cellStyle name="40% - Accent5 2 3 6 3 2 2" xfId="52926"/>
    <cellStyle name="40% - Accent5 2 3 6 3 3" xfId="35879"/>
    <cellStyle name="40% - Accent5 2 3 6 4" xfId="14270"/>
    <cellStyle name="40% - Accent5 2 3 6 4 2" xfId="18293"/>
    <cellStyle name="40% - Accent5 2 3 6 4 2 2" xfId="47154"/>
    <cellStyle name="40% - Accent5 2 3 6 4 3" xfId="43131"/>
    <cellStyle name="40% - Accent5 2 3 6 5" xfId="15613"/>
    <cellStyle name="40% - Accent5 2 3 6 5 2" xfId="44474"/>
    <cellStyle name="40% - Accent5 2 3 6 6" xfId="29838"/>
    <cellStyle name="40% - Accent5 2 3 7" xfId="1182"/>
    <cellStyle name="40% - Accent5 2 3 7 2" xfId="4069"/>
    <cellStyle name="40% - Accent5 2 3 7 2 2" xfId="10110"/>
    <cellStyle name="40% - Accent5 2 3 7 2 2 2" xfId="27157"/>
    <cellStyle name="40% - Accent5 2 3 7 2 2 2 2" xfId="56018"/>
    <cellStyle name="40% - Accent5 2 3 7 2 2 3" xfId="38971"/>
    <cellStyle name="40% - Accent5 2 3 7 2 3" xfId="21179"/>
    <cellStyle name="40% - Accent5 2 3 7 2 3 2" xfId="50040"/>
    <cellStyle name="40% - Accent5 2 3 7 2 4" xfId="32930"/>
    <cellStyle name="40% - Accent5 2 3 7 3" xfId="7224"/>
    <cellStyle name="40% - Accent5 2 3 7 3 2" xfId="24271"/>
    <cellStyle name="40% - Accent5 2 3 7 3 2 2" xfId="53132"/>
    <cellStyle name="40% - Accent5 2 3 7 3 3" xfId="36085"/>
    <cellStyle name="40% - Accent5 2 3 7 4" xfId="12990"/>
    <cellStyle name="40% - Accent5 2 3 7 4 2" xfId="18499"/>
    <cellStyle name="40% - Accent5 2 3 7 4 2 2" xfId="47360"/>
    <cellStyle name="40% - Accent5 2 3 7 4 3" xfId="41851"/>
    <cellStyle name="40% - Accent5 2 3 7 5" xfId="15819"/>
    <cellStyle name="40% - Accent5 2 3 7 5 2" xfId="44680"/>
    <cellStyle name="40% - Accent5 2 3 7 6" xfId="30044"/>
    <cellStyle name="40% - Accent5 2 3 8" xfId="1388"/>
    <cellStyle name="40% - Accent5 2 3 8 2" xfId="4275"/>
    <cellStyle name="40% - Accent5 2 3 8 2 2" xfId="10316"/>
    <cellStyle name="40% - Accent5 2 3 8 2 2 2" xfId="27363"/>
    <cellStyle name="40% - Accent5 2 3 8 2 2 2 2" xfId="56224"/>
    <cellStyle name="40% - Accent5 2 3 8 2 2 3" xfId="39177"/>
    <cellStyle name="40% - Accent5 2 3 8 2 3" xfId="21385"/>
    <cellStyle name="40% - Accent5 2 3 8 2 3 2" xfId="50246"/>
    <cellStyle name="40% - Accent5 2 3 8 2 4" xfId="33136"/>
    <cellStyle name="40% - Accent5 2 3 8 3" xfId="7430"/>
    <cellStyle name="40% - Accent5 2 3 8 3 2" xfId="24477"/>
    <cellStyle name="40% - Accent5 2 3 8 3 2 2" xfId="53338"/>
    <cellStyle name="40% - Accent5 2 3 8 3 3" xfId="36291"/>
    <cellStyle name="40% - Accent5 2 3 8 4" xfId="12272"/>
    <cellStyle name="40% - Accent5 2 3 8 4 2" xfId="18705"/>
    <cellStyle name="40% - Accent5 2 3 8 4 2 2" xfId="47566"/>
    <cellStyle name="40% - Accent5 2 3 8 4 3" xfId="41133"/>
    <cellStyle name="40% - Accent5 2 3 8 5" xfId="16025"/>
    <cellStyle name="40% - Accent5 2 3 8 5 2" xfId="44886"/>
    <cellStyle name="40% - Accent5 2 3 8 6" xfId="30250"/>
    <cellStyle name="40% - Accent5 2 3 9" xfId="1594"/>
    <cellStyle name="40% - Accent5 2 3 9 2" xfId="4481"/>
    <cellStyle name="40% - Accent5 2 3 9 2 2" xfId="10522"/>
    <cellStyle name="40% - Accent5 2 3 9 2 2 2" xfId="27569"/>
    <cellStyle name="40% - Accent5 2 3 9 2 2 2 2" xfId="56430"/>
    <cellStyle name="40% - Accent5 2 3 9 2 2 3" xfId="39383"/>
    <cellStyle name="40% - Accent5 2 3 9 2 3" xfId="21591"/>
    <cellStyle name="40% - Accent5 2 3 9 2 3 2" xfId="50452"/>
    <cellStyle name="40% - Accent5 2 3 9 2 4" xfId="33342"/>
    <cellStyle name="40% - Accent5 2 3 9 3" xfId="7636"/>
    <cellStyle name="40% - Accent5 2 3 9 3 2" xfId="24683"/>
    <cellStyle name="40% - Accent5 2 3 9 3 2 2" xfId="53544"/>
    <cellStyle name="40% - Accent5 2 3 9 3 3" xfId="36497"/>
    <cellStyle name="40% - Accent5 2 3 9 4" xfId="12668"/>
    <cellStyle name="40% - Accent5 2 3 9 4 2" xfId="18911"/>
    <cellStyle name="40% - Accent5 2 3 9 4 2 2" xfId="47772"/>
    <cellStyle name="40% - Accent5 2 3 9 4 3" xfId="41529"/>
    <cellStyle name="40% - Accent5 2 3 9 5" xfId="16231"/>
    <cellStyle name="40% - Accent5 2 3 9 5 2" xfId="45092"/>
    <cellStyle name="40% - Accent5 2 3 9 6" xfId="30456"/>
    <cellStyle name="40% - Accent5 2 4" xfId="306"/>
    <cellStyle name="40% - Accent5 2 4 10" xfId="2469"/>
    <cellStyle name="40% - Accent5 2 4 10 2" xfId="5356"/>
    <cellStyle name="40% - Accent5 2 4 10 2 2" xfId="11397"/>
    <cellStyle name="40% - Accent5 2 4 10 2 2 2" xfId="28444"/>
    <cellStyle name="40% - Accent5 2 4 10 2 2 2 2" xfId="57305"/>
    <cellStyle name="40% - Accent5 2 4 10 2 2 3" xfId="40258"/>
    <cellStyle name="40% - Accent5 2 4 10 2 3" xfId="22466"/>
    <cellStyle name="40% - Accent5 2 4 10 2 3 2" xfId="51327"/>
    <cellStyle name="40% - Accent5 2 4 10 2 4" xfId="34217"/>
    <cellStyle name="40% - Accent5 2 4 10 3" xfId="8511"/>
    <cellStyle name="40% - Accent5 2 4 10 3 2" xfId="25558"/>
    <cellStyle name="40% - Accent5 2 4 10 3 2 2" xfId="54419"/>
    <cellStyle name="40% - Accent5 2 4 10 3 3" xfId="37372"/>
    <cellStyle name="40% - Accent5 2 4 10 4" xfId="12220"/>
    <cellStyle name="40% - Accent5 2 4 10 4 2" xfId="19786"/>
    <cellStyle name="40% - Accent5 2 4 10 4 2 2" xfId="48647"/>
    <cellStyle name="40% - Accent5 2 4 10 4 3" xfId="41081"/>
    <cellStyle name="40% - Accent5 2 4 10 5" xfId="17106"/>
    <cellStyle name="40% - Accent5 2 4 10 5 2" xfId="45967"/>
    <cellStyle name="40% - Accent5 2 4 10 6" xfId="31331"/>
    <cellStyle name="40% - Accent5 2 4 11" xfId="2678"/>
    <cellStyle name="40% - Accent5 2 4 11 2" xfId="5564"/>
    <cellStyle name="40% - Accent5 2 4 11 2 2" xfId="11605"/>
    <cellStyle name="40% - Accent5 2 4 11 2 2 2" xfId="28652"/>
    <cellStyle name="40% - Accent5 2 4 11 2 2 2 2" xfId="57513"/>
    <cellStyle name="40% - Accent5 2 4 11 2 2 3" xfId="40466"/>
    <cellStyle name="40% - Accent5 2 4 11 2 3" xfId="22674"/>
    <cellStyle name="40% - Accent5 2 4 11 2 3 2" xfId="51535"/>
    <cellStyle name="40% - Accent5 2 4 11 2 4" xfId="34425"/>
    <cellStyle name="40% - Accent5 2 4 11 3" xfId="8719"/>
    <cellStyle name="40% - Accent5 2 4 11 3 2" xfId="25766"/>
    <cellStyle name="40% - Accent5 2 4 11 3 2 2" xfId="54627"/>
    <cellStyle name="40% - Accent5 2 4 11 3 3" xfId="37580"/>
    <cellStyle name="40% - Accent5 2 4 11 4" xfId="13336"/>
    <cellStyle name="40% - Accent5 2 4 11 4 2" xfId="19994"/>
    <cellStyle name="40% - Accent5 2 4 11 4 2 2" xfId="48855"/>
    <cellStyle name="40% - Accent5 2 4 11 4 3" xfId="42197"/>
    <cellStyle name="40% - Accent5 2 4 11 5" xfId="17314"/>
    <cellStyle name="40% - Accent5 2 4 11 5 2" xfId="46175"/>
    <cellStyle name="40% - Accent5 2 4 11 6" xfId="31539"/>
    <cellStyle name="40% - Accent5 2 4 12" xfId="3193"/>
    <cellStyle name="40% - Accent5 2 4 12 2" xfId="9234"/>
    <cellStyle name="40% - Accent5 2 4 12 2 2" xfId="26281"/>
    <cellStyle name="40% - Accent5 2 4 12 2 2 2" xfId="55142"/>
    <cellStyle name="40% - Accent5 2 4 12 2 3" xfId="38095"/>
    <cellStyle name="40% - Accent5 2 4 12 3" xfId="13205"/>
    <cellStyle name="40% - Accent5 2 4 12 3 2" xfId="20303"/>
    <cellStyle name="40% - Accent5 2 4 12 3 2 2" xfId="49164"/>
    <cellStyle name="40% - Accent5 2 4 12 3 3" xfId="42066"/>
    <cellStyle name="40% - Accent5 2 4 12 4" xfId="14943"/>
    <cellStyle name="40% - Accent5 2 4 12 4 2" xfId="43804"/>
    <cellStyle name="40% - Accent5 2 4 12 5" xfId="32054"/>
    <cellStyle name="40% - Accent5 2 4 13" xfId="2884"/>
    <cellStyle name="40% - Accent5 2 4 13 2" xfId="8925"/>
    <cellStyle name="40% - Accent5 2 4 13 2 2" xfId="25972"/>
    <cellStyle name="40% - Accent5 2 4 13 2 2 2" xfId="54833"/>
    <cellStyle name="40% - Accent5 2 4 13 2 3" xfId="37786"/>
    <cellStyle name="40% - Accent5 2 4 13 3" xfId="17520"/>
    <cellStyle name="40% - Accent5 2 4 13 3 2" xfId="46381"/>
    <cellStyle name="40% - Accent5 2 4 13 4" xfId="31745"/>
    <cellStyle name="40% - Accent5 2 4 14" xfId="5770"/>
    <cellStyle name="40% - Accent5 2 4 14 2" xfId="11811"/>
    <cellStyle name="40% - Accent5 2 4 14 2 2" xfId="28858"/>
    <cellStyle name="40% - Accent5 2 4 14 2 2 2" xfId="57719"/>
    <cellStyle name="40% - Accent5 2 4 14 2 3" xfId="40672"/>
    <cellStyle name="40% - Accent5 2 4 14 3" xfId="22880"/>
    <cellStyle name="40% - Accent5 2 4 14 3 2" xfId="51741"/>
    <cellStyle name="40% - Accent5 2 4 14 4" xfId="34631"/>
    <cellStyle name="40% - Accent5 2 4 15" xfId="5987"/>
    <cellStyle name="40% - Accent5 2 4 15 2" xfId="23086"/>
    <cellStyle name="40% - Accent5 2 4 15 2 2" xfId="51947"/>
    <cellStyle name="40% - Accent5 2 4 15 3" xfId="34848"/>
    <cellStyle name="40% - Accent5 2 4 16" xfId="6348"/>
    <cellStyle name="40% - Accent5 2 4 16 2" xfId="23395"/>
    <cellStyle name="40% - Accent5 2 4 16 2 2" xfId="52256"/>
    <cellStyle name="40% - Accent5 2 4 16 3" xfId="35209"/>
    <cellStyle name="40% - Accent5 2 4 17" xfId="14634"/>
    <cellStyle name="40% - Accent5 2 4 17 2" xfId="43495"/>
    <cellStyle name="40% - Accent5 2 4 18" xfId="29168"/>
    <cellStyle name="40% - Accent5 2 4 2" xfId="512"/>
    <cellStyle name="40% - Accent5 2 4 2 2" xfId="2263"/>
    <cellStyle name="40% - Accent5 2 4 2 2 2" xfId="5150"/>
    <cellStyle name="40% - Accent5 2 4 2 2 2 2" xfId="11191"/>
    <cellStyle name="40% - Accent5 2 4 2 2 2 2 2" xfId="28238"/>
    <cellStyle name="40% - Accent5 2 4 2 2 2 2 2 2" xfId="57099"/>
    <cellStyle name="40% - Accent5 2 4 2 2 2 2 3" xfId="40052"/>
    <cellStyle name="40% - Accent5 2 4 2 2 2 3" xfId="22260"/>
    <cellStyle name="40% - Accent5 2 4 2 2 2 3 2" xfId="51121"/>
    <cellStyle name="40% - Accent5 2 4 2 2 2 4" xfId="34011"/>
    <cellStyle name="40% - Accent5 2 4 2 2 3" xfId="8305"/>
    <cellStyle name="40% - Accent5 2 4 2 2 3 2" xfId="25352"/>
    <cellStyle name="40% - Accent5 2 4 2 2 3 2 2" xfId="54213"/>
    <cellStyle name="40% - Accent5 2 4 2 2 3 3" xfId="37166"/>
    <cellStyle name="40% - Accent5 2 4 2 2 4" xfId="13994"/>
    <cellStyle name="40% - Accent5 2 4 2 2 4 2" xfId="19580"/>
    <cellStyle name="40% - Accent5 2 4 2 2 4 2 2" xfId="48441"/>
    <cellStyle name="40% - Accent5 2 4 2 2 4 3" xfId="42855"/>
    <cellStyle name="40% - Accent5 2 4 2 2 5" xfId="16900"/>
    <cellStyle name="40% - Accent5 2 4 2 2 5 2" xfId="45761"/>
    <cellStyle name="40% - Accent5 2 4 2 2 6" xfId="31125"/>
    <cellStyle name="40% - Accent5 2 4 2 3" xfId="3399"/>
    <cellStyle name="40% - Accent5 2 4 2 3 2" xfId="9440"/>
    <cellStyle name="40% - Accent5 2 4 2 3 2 2" xfId="26487"/>
    <cellStyle name="40% - Accent5 2 4 2 3 2 2 2" xfId="55348"/>
    <cellStyle name="40% - Accent5 2 4 2 3 2 3" xfId="38301"/>
    <cellStyle name="40% - Accent5 2 4 2 3 3" xfId="20509"/>
    <cellStyle name="40% - Accent5 2 4 2 3 3 2" xfId="49370"/>
    <cellStyle name="40% - Accent5 2 4 2 3 4" xfId="32260"/>
    <cellStyle name="40% - Accent5 2 4 2 4" xfId="6554"/>
    <cellStyle name="40% - Accent5 2 4 2 4 2" xfId="23601"/>
    <cellStyle name="40% - Accent5 2 4 2 4 2 2" xfId="52462"/>
    <cellStyle name="40% - Accent5 2 4 2 4 3" xfId="35415"/>
    <cellStyle name="40% - Accent5 2 4 2 5" xfId="12678"/>
    <cellStyle name="40% - Accent5 2 4 2 5 2" xfId="17829"/>
    <cellStyle name="40% - Accent5 2 4 2 5 2 2" xfId="46690"/>
    <cellStyle name="40% - Accent5 2 4 2 5 3" xfId="41539"/>
    <cellStyle name="40% - Accent5 2 4 2 6" xfId="15149"/>
    <cellStyle name="40% - Accent5 2 4 2 6 2" xfId="44010"/>
    <cellStyle name="40% - Accent5 2 4 2 7" xfId="29374"/>
    <cellStyle name="40% - Accent5 2 4 3" xfId="821"/>
    <cellStyle name="40% - Accent5 2 4 3 2" xfId="3708"/>
    <cellStyle name="40% - Accent5 2 4 3 2 2" xfId="9749"/>
    <cellStyle name="40% - Accent5 2 4 3 2 2 2" xfId="26796"/>
    <cellStyle name="40% - Accent5 2 4 3 2 2 2 2" xfId="55657"/>
    <cellStyle name="40% - Accent5 2 4 3 2 2 3" xfId="38610"/>
    <cellStyle name="40% - Accent5 2 4 3 2 3" xfId="20818"/>
    <cellStyle name="40% - Accent5 2 4 3 2 3 2" xfId="49679"/>
    <cellStyle name="40% - Accent5 2 4 3 2 4" xfId="32569"/>
    <cellStyle name="40% - Accent5 2 4 3 3" xfId="6863"/>
    <cellStyle name="40% - Accent5 2 4 3 3 2" xfId="23910"/>
    <cellStyle name="40% - Accent5 2 4 3 3 2 2" xfId="52771"/>
    <cellStyle name="40% - Accent5 2 4 3 3 3" xfId="35724"/>
    <cellStyle name="40% - Accent5 2 4 3 4" xfId="12693"/>
    <cellStyle name="40% - Accent5 2 4 3 4 2" xfId="18138"/>
    <cellStyle name="40% - Accent5 2 4 3 4 2 2" xfId="46999"/>
    <cellStyle name="40% - Accent5 2 4 3 4 3" xfId="41554"/>
    <cellStyle name="40% - Accent5 2 4 3 5" xfId="15458"/>
    <cellStyle name="40% - Accent5 2 4 3 5 2" xfId="44319"/>
    <cellStyle name="40% - Accent5 2 4 3 6" xfId="29683"/>
    <cellStyle name="40% - Accent5 2 4 4" xfId="1027"/>
    <cellStyle name="40% - Accent5 2 4 4 2" xfId="3914"/>
    <cellStyle name="40% - Accent5 2 4 4 2 2" xfId="9955"/>
    <cellStyle name="40% - Accent5 2 4 4 2 2 2" xfId="27002"/>
    <cellStyle name="40% - Accent5 2 4 4 2 2 2 2" xfId="55863"/>
    <cellStyle name="40% - Accent5 2 4 4 2 2 3" xfId="38816"/>
    <cellStyle name="40% - Accent5 2 4 4 2 3" xfId="21024"/>
    <cellStyle name="40% - Accent5 2 4 4 2 3 2" xfId="49885"/>
    <cellStyle name="40% - Accent5 2 4 4 2 4" xfId="32775"/>
    <cellStyle name="40% - Accent5 2 4 4 3" xfId="7069"/>
    <cellStyle name="40% - Accent5 2 4 4 3 2" xfId="24116"/>
    <cellStyle name="40% - Accent5 2 4 4 3 2 2" xfId="52977"/>
    <cellStyle name="40% - Accent5 2 4 4 3 3" xfId="35930"/>
    <cellStyle name="40% - Accent5 2 4 4 4" xfId="12402"/>
    <cellStyle name="40% - Accent5 2 4 4 4 2" xfId="18344"/>
    <cellStyle name="40% - Accent5 2 4 4 4 2 2" xfId="47205"/>
    <cellStyle name="40% - Accent5 2 4 4 4 3" xfId="41263"/>
    <cellStyle name="40% - Accent5 2 4 4 5" xfId="15664"/>
    <cellStyle name="40% - Accent5 2 4 4 5 2" xfId="44525"/>
    <cellStyle name="40% - Accent5 2 4 4 6" xfId="29889"/>
    <cellStyle name="40% - Accent5 2 4 5" xfId="1233"/>
    <cellStyle name="40% - Accent5 2 4 5 2" xfId="4120"/>
    <cellStyle name="40% - Accent5 2 4 5 2 2" xfId="10161"/>
    <cellStyle name="40% - Accent5 2 4 5 2 2 2" xfId="27208"/>
    <cellStyle name="40% - Accent5 2 4 5 2 2 2 2" xfId="56069"/>
    <cellStyle name="40% - Accent5 2 4 5 2 2 3" xfId="39022"/>
    <cellStyle name="40% - Accent5 2 4 5 2 3" xfId="21230"/>
    <cellStyle name="40% - Accent5 2 4 5 2 3 2" xfId="50091"/>
    <cellStyle name="40% - Accent5 2 4 5 2 4" xfId="32981"/>
    <cellStyle name="40% - Accent5 2 4 5 3" xfId="7275"/>
    <cellStyle name="40% - Accent5 2 4 5 3 2" xfId="24322"/>
    <cellStyle name="40% - Accent5 2 4 5 3 2 2" xfId="53183"/>
    <cellStyle name="40% - Accent5 2 4 5 3 3" xfId="36136"/>
    <cellStyle name="40% - Accent5 2 4 5 4" xfId="13459"/>
    <cellStyle name="40% - Accent5 2 4 5 4 2" xfId="18550"/>
    <cellStyle name="40% - Accent5 2 4 5 4 2 2" xfId="47411"/>
    <cellStyle name="40% - Accent5 2 4 5 4 3" xfId="42320"/>
    <cellStyle name="40% - Accent5 2 4 5 5" xfId="15870"/>
    <cellStyle name="40% - Accent5 2 4 5 5 2" xfId="44731"/>
    <cellStyle name="40% - Accent5 2 4 5 6" xfId="30095"/>
    <cellStyle name="40% - Accent5 2 4 6" xfId="1439"/>
    <cellStyle name="40% - Accent5 2 4 6 2" xfId="4326"/>
    <cellStyle name="40% - Accent5 2 4 6 2 2" xfId="10367"/>
    <cellStyle name="40% - Accent5 2 4 6 2 2 2" xfId="27414"/>
    <cellStyle name="40% - Accent5 2 4 6 2 2 2 2" xfId="56275"/>
    <cellStyle name="40% - Accent5 2 4 6 2 2 3" xfId="39228"/>
    <cellStyle name="40% - Accent5 2 4 6 2 3" xfId="21436"/>
    <cellStyle name="40% - Accent5 2 4 6 2 3 2" xfId="50297"/>
    <cellStyle name="40% - Accent5 2 4 6 2 4" xfId="33187"/>
    <cellStyle name="40% - Accent5 2 4 6 3" xfId="7481"/>
    <cellStyle name="40% - Accent5 2 4 6 3 2" xfId="24528"/>
    <cellStyle name="40% - Accent5 2 4 6 3 2 2" xfId="53389"/>
    <cellStyle name="40% - Accent5 2 4 6 3 3" xfId="36342"/>
    <cellStyle name="40% - Accent5 2 4 6 4" xfId="12465"/>
    <cellStyle name="40% - Accent5 2 4 6 4 2" xfId="18756"/>
    <cellStyle name="40% - Accent5 2 4 6 4 2 2" xfId="47617"/>
    <cellStyle name="40% - Accent5 2 4 6 4 3" xfId="41326"/>
    <cellStyle name="40% - Accent5 2 4 6 5" xfId="16076"/>
    <cellStyle name="40% - Accent5 2 4 6 5 2" xfId="44937"/>
    <cellStyle name="40% - Accent5 2 4 6 6" xfId="30301"/>
    <cellStyle name="40% - Accent5 2 4 7" xfId="1645"/>
    <cellStyle name="40% - Accent5 2 4 7 2" xfId="4532"/>
    <cellStyle name="40% - Accent5 2 4 7 2 2" xfId="10573"/>
    <cellStyle name="40% - Accent5 2 4 7 2 2 2" xfId="27620"/>
    <cellStyle name="40% - Accent5 2 4 7 2 2 2 2" xfId="56481"/>
    <cellStyle name="40% - Accent5 2 4 7 2 2 3" xfId="39434"/>
    <cellStyle name="40% - Accent5 2 4 7 2 3" xfId="21642"/>
    <cellStyle name="40% - Accent5 2 4 7 2 3 2" xfId="50503"/>
    <cellStyle name="40% - Accent5 2 4 7 2 4" xfId="33393"/>
    <cellStyle name="40% - Accent5 2 4 7 3" xfId="7687"/>
    <cellStyle name="40% - Accent5 2 4 7 3 2" xfId="24734"/>
    <cellStyle name="40% - Accent5 2 4 7 3 2 2" xfId="53595"/>
    <cellStyle name="40% - Accent5 2 4 7 3 3" xfId="36548"/>
    <cellStyle name="40% - Accent5 2 4 7 4" xfId="13014"/>
    <cellStyle name="40% - Accent5 2 4 7 4 2" xfId="18962"/>
    <cellStyle name="40% - Accent5 2 4 7 4 2 2" xfId="47823"/>
    <cellStyle name="40% - Accent5 2 4 7 4 3" xfId="41875"/>
    <cellStyle name="40% - Accent5 2 4 7 5" xfId="16282"/>
    <cellStyle name="40% - Accent5 2 4 7 5 2" xfId="45143"/>
    <cellStyle name="40% - Accent5 2 4 7 6" xfId="30507"/>
    <cellStyle name="40% - Accent5 2 4 8" xfId="1851"/>
    <cellStyle name="40% - Accent5 2 4 8 2" xfId="4738"/>
    <cellStyle name="40% - Accent5 2 4 8 2 2" xfId="10779"/>
    <cellStyle name="40% - Accent5 2 4 8 2 2 2" xfId="27826"/>
    <cellStyle name="40% - Accent5 2 4 8 2 2 2 2" xfId="56687"/>
    <cellStyle name="40% - Accent5 2 4 8 2 2 3" xfId="39640"/>
    <cellStyle name="40% - Accent5 2 4 8 2 3" xfId="21848"/>
    <cellStyle name="40% - Accent5 2 4 8 2 3 2" xfId="50709"/>
    <cellStyle name="40% - Accent5 2 4 8 2 4" xfId="33599"/>
    <cellStyle name="40% - Accent5 2 4 8 3" xfId="7893"/>
    <cellStyle name="40% - Accent5 2 4 8 3 2" xfId="24940"/>
    <cellStyle name="40% - Accent5 2 4 8 3 2 2" xfId="53801"/>
    <cellStyle name="40% - Accent5 2 4 8 3 3" xfId="36754"/>
    <cellStyle name="40% - Accent5 2 4 8 4" xfId="13843"/>
    <cellStyle name="40% - Accent5 2 4 8 4 2" xfId="19168"/>
    <cellStyle name="40% - Accent5 2 4 8 4 2 2" xfId="48029"/>
    <cellStyle name="40% - Accent5 2 4 8 4 3" xfId="42704"/>
    <cellStyle name="40% - Accent5 2 4 8 5" xfId="16488"/>
    <cellStyle name="40% - Accent5 2 4 8 5 2" xfId="45349"/>
    <cellStyle name="40% - Accent5 2 4 8 6" xfId="30713"/>
    <cellStyle name="40% - Accent5 2 4 9" xfId="2057"/>
    <cellStyle name="40% - Accent5 2 4 9 2" xfId="4944"/>
    <cellStyle name="40% - Accent5 2 4 9 2 2" xfId="10985"/>
    <cellStyle name="40% - Accent5 2 4 9 2 2 2" xfId="28032"/>
    <cellStyle name="40% - Accent5 2 4 9 2 2 2 2" xfId="56893"/>
    <cellStyle name="40% - Accent5 2 4 9 2 2 3" xfId="39846"/>
    <cellStyle name="40% - Accent5 2 4 9 2 3" xfId="22054"/>
    <cellStyle name="40% - Accent5 2 4 9 2 3 2" xfId="50915"/>
    <cellStyle name="40% - Accent5 2 4 9 2 4" xfId="33805"/>
    <cellStyle name="40% - Accent5 2 4 9 3" xfId="8099"/>
    <cellStyle name="40% - Accent5 2 4 9 3 2" xfId="25146"/>
    <cellStyle name="40% - Accent5 2 4 9 3 2 2" xfId="54007"/>
    <cellStyle name="40% - Accent5 2 4 9 3 3" xfId="36960"/>
    <cellStyle name="40% - Accent5 2 4 9 4" xfId="13569"/>
    <cellStyle name="40% - Accent5 2 4 9 4 2" xfId="19374"/>
    <cellStyle name="40% - Accent5 2 4 9 4 2 2" xfId="48235"/>
    <cellStyle name="40% - Accent5 2 4 9 4 3" xfId="42430"/>
    <cellStyle name="40% - Accent5 2 4 9 5" xfId="16694"/>
    <cellStyle name="40% - Accent5 2 4 9 5 2" xfId="45555"/>
    <cellStyle name="40% - Accent5 2 4 9 6" xfId="30919"/>
    <cellStyle name="40% - Accent5 2 5" xfId="203"/>
    <cellStyle name="40% - Accent5 2 5 2" xfId="615"/>
    <cellStyle name="40% - Accent5 2 5 2 2" xfId="3502"/>
    <cellStyle name="40% - Accent5 2 5 2 2 2" xfId="9543"/>
    <cellStyle name="40% - Accent5 2 5 2 2 2 2" xfId="26590"/>
    <cellStyle name="40% - Accent5 2 5 2 2 2 2 2" xfId="55451"/>
    <cellStyle name="40% - Accent5 2 5 2 2 2 3" xfId="38404"/>
    <cellStyle name="40% - Accent5 2 5 2 2 3" xfId="20612"/>
    <cellStyle name="40% - Accent5 2 5 2 2 3 2" xfId="49473"/>
    <cellStyle name="40% - Accent5 2 5 2 2 4" xfId="32363"/>
    <cellStyle name="40% - Accent5 2 5 2 3" xfId="6657"/>
    <cellStyle name="40% - Accent5 2 5 2 3 2" xfId="23704"/>
    <cellStyle name="40% - Accent5 2 5 2 3 2 2" xfId="52565"/>
    <cellStyle name="40% - Accent5 2 5 2 3 3" xfId="35518"/>
    <cellStyle name="40% - Accent5 2 5 2 4" xfId="12850"/>
    <cellStyle name="40% - Accent5 2 5 2 4 2" xfId="17932"/>
    <cellStyle name="40% - Accent5 2 5 2 4 2 2" xfId="46793"/>
    <cellStyle name="40% - Accent5 2 5 2 4 3" xfId="41711"/>
    <cellStyle name="40% - Accent5 2 5 2 5" xfId="15252"/>
    <cellStyle name="40% - Accent5 2 5 2 5 2" xfId="44113"/>
    <cellStyle name="40% - Accent5 2 5 2 6" xfId="29477"/>
    <cellStyle name="40% - Accent5 2 5 3" xfId="2160"/>
    <cellStyle name="40% - Accent5 2 5 3 2" xfId="5047"/>
    <cellStyle name="40% - Accent5 2 5 3 2 2" xfId="11088"/>
    <cellStyle name="40% - Accent5 2 5 3 2 2 2" xfId="28135"/>
    <cellStyle name="40% - Accent5 2 5 3 2 2 2 2" xfId="56996"/>
    <cellStyle name="40% - Accent5 2 5 3 2 2 3" xfId="39949"/>
    <cellStyle name="40% - Accent5 2 5 3 2 3" xfId="22157"/>
    <cellStyle name="40% - Accent5 2 5 3 2 3 2" xfId="51018"/>
    <cellStyle name="40% - Accent5 2 5 3 2 4" xfId="33908"/>
    <cellStyle name="40% - Accent5 2 5 3 3" xfId="8202"/>
    <cellStyle name="40% - Accent5 2 5 3 3 2" xfId="25249"/>
    <cellStyle name="40% - Accent5 2 5 3 3 2 2" xfId="54110"/>
    <cellStyle name="40% - Accent5 2 5 3 3 3" xfId="37063"/>
    <cellStyle name="40% - Accent5 2 5 3 4" xfId="14401"/>
    <cellStyle name="40% - Accent5 2 5 3 4 2" xfId="19477"/>
    <cellStyle name="40% - Accent5 2 5 3 4 2 2" xfId="48338"/>
    <cellStyle name="40% - Accent5 2 5 3 4 3" xfId="43262"/>
    <cellStyle name="40% - Accent5 2 5 3 5" xfId="16797"/>
    <cellStyle name="40% - Accent5 2 5 3 5 2" xfId="45658"/>
    <cellStyle name="40% - Accent5 2 5 3 6" xfId="31022"/>
    <cellStyle name="40% - Accent5 2 5 4" xfId="3090"/>
    <cellStyle name="40% - Accent5 2 5 4 2" xfId="9131"/>
    <cellStyle name="40% - Accent5 2 5 4 2 2" xfId="26178"/>
    <cellStyle name="40% - Accent5 2 5 4 2 2 2" xfId="55039"/>
    <cellStyle name="40% - Accent5 2 5 4 2 3" xfId="37992"/>
    <cellStyle name="40% - Accent5 2 5 4 3" xfId="20200"/>
    <cellStyle name="40% - Accent5 2 5 4 3 2" xfId="49061"/>
    <cellStyle name="40% - Accent5 2 5 4 4" xfId="31951"/>
    <cellStyle name="40% - Accent5 2 5 5" xfId="6245"/>
    <cellStyle name="40% - Accent5 2 5 5 2" xfId="23292"/>
    <cellStyle name="40% - Accent5 2 5 5 2 2" xfId="52153"/>
    <cellStyle name="40% - Accent5 2 5 5 3" xfId="35106"/>
    <cellStyle name="40% - Accent5 2 5 6" xfId="13595"/>
    <cellStyle name="40% - Accent5 2 5 6 2" xfId="17623"/>
    <cellStyle name="40% - Accent5 2 5 6 2 2" xfId="46484"/>
    <cellStyle name="40% - Accent5 2 5 6 3" xfId="42456"/>
    <cellStyle name="40% - Accent5 2 5 7" xfId="14840"/>
    <cellStyle name="40% - Accent5 2 5 7 2" xfId="43701"/>
    <cellStyle name="40% - Accent5 2 5 8" xfId="29065"/>
    <cellStyle name="40% - Accent5 2 6" xfId="409"/>
    <cellStyle name="40% - Accent5 2 6 2" xfId="3296"/>
    <cellStyle name="40% - Accent5 2 6 2 2" xfId="9337"/>
    <cellStyle name="40% - Accent5 2 6 2 2 2" xfId="26384"/>
    <cellStyle name="40% - Accent5 2 6 2 2 2 2" xfId="55245"/>
    <cellStyle name="40% - Accent5 2 6 2 2 3" xfId="38198"/>
    <cellStyle name="40% - Accent5 2 6 2 3" xfId="20406"/>
    <cellStyle name="40% - Accent5 2 6 2 3 2" xfId="49267"/>
    <cellStyle name="40% - Accent5 2 6 2 4" xfId="32157"/>
    <cellStyle name="40% - Accent5 2 6 3" xfId="6451"/>
    <cellStyle name="40% - Accent5 2 6 3 2" xfId="23498"/>
    <cellStyle name="40% - Accent5 2 6 3 2 2" xfId="52359"/>
    <cellStyle name="40% - Accent5 2 6 3 3" xfId="35312"/>
    <cellStyle name="40% - Accent5 2 6 4" xfId="12713"/>
    <cellStyle name="40% - Accent5 2 6 4 2" xfId="17726"/>
    <cellStyle name="40% - Accent5 2 6 4 2 2" xfId="46587"/>
    <cellStyle name="40% - Accent5 2 6 4 3" xfId="41574"/>
    <cellStyle name="40% - Accent5 2 6 5" xfId="15046"/>
    <cellStyle name="40% - Accent5 2 6 5 2" xfId="43907"/>
    <cellStyle name="40% - Accent5 2 6 6" xfId="29271"/>
    <cellStyle name="40% - Accent5 2 7" xfId="718"/>
    <cellStyle name="40% - Accent5 2 7 2" xfId="3605"/>
    <cellStyle name="40% - Accent5 2 7 2 2" xfId="9646"/>
    <cellStyle name="40% - Accent5 2 7 2 2 2" xfId="26693"/>
    <cellStyle name="40% - Accent5 2 7 2 2 2 2" xfId="55554"/>
    <cellStyle name="40% - Accent5 2 7 2 2 3" xfId="38507"/>
    <cellStyle name="40% - Accent5 2 7 2 3" xfId="20715"/>
    <cellStyle name="40% - Accent5 2 7 2 3 2" xfId="49576"/>
    <cellStyle name="40% - Accent5 2 7 2 4" xfId="32466"/>
    <cellStyle name="40% - Accent5 2 7 3" xfId="6760"/>
    <cellStyle name="40% - Accent5 2 7 3 2" xfId="23807"/>
    <cellStyle name="40% - Accent5 2 7 3 2 2" xfId="52668"/>
    <cellStyle name="40% - Accent5 2 7 3 3" xfId="35621"/>
    <cellStyle name="40% - Accent5 2 7 4" xfId="12800"/>
    <cellStyle name="40% - Accent5 2 7 4 2" xfId="18035"/>
    <cellStyle name="40% - Accent5 2 7 4 2 2" xfId="46896"/>
    <cellStyle name="40% - Accent5 2 7 4 3" xfId="41661"/>
    <cellStyle name="40% - Accent5 2 7 5" xfId="15355"/>
    <cellStyle name="40% - Accent5 2 7 5 2" xfId="44216"/>
    <cellStyle name="40% - Accent5 2 7 6" xfId="29580"/>
    <cellStyle name="40% - Accent5 2 8" xfId="924"/>
    <cellStyle name="40% - Accent5 2 8 2" xfId="3811"/>
    <cellStyle name="40% - Accent5 2 8 2 2" xfId="9852"/>
    <cellStyle name="40% - Accent5 2 8 2 2 2" xfId="26899"/>
    <cellStyle name="40% - Accent5 2 8 2 2 2 2" xfId="55760"/>
    <cellStyle name="40% - Accent5 2 8 2 2 3" xfId="38713"/>
    <cellStyle name="40% - Accent5 2 8 2 3" xfId="20921"/>
    <cellStyle name="40% - Accent5 2 8 2 3 2" xfId="49782"/>
    <cellStyle name="40% - Accent5 2 8 2 4" xfId="32672"/>
    <cellStyle name="40% - Accent5 2 8 3" xfId="6966"/>
    <cellStyle name="40% - Accent5 2 8 3 2" xfId="24013"/>
    <cellStyle name="40% - Accent5 2 8 3 2 2" xfId="52874"/>
    <cellStyle name="40% - Accent5 2 8 3 3" xfId="35827"/>
    <cellStyle name="40% - Accent5 2 8 4" xfId="12535"/>
    <cellStyle name="40% - Accent5 2 8 4 2" xfId="18241"/>
    <cellStyle name="40% - Accent5 2 8 4 2 2" xfId="47102"/>
    <cellStyle name="40% - Accent5 2 8 4 3" xfId="41396"/>
    <cellStyle name="40% - Accent5 2 8 5" xfId="15561"/>
    <cellStyle name="40% - Accent5 2 8 5 2" xfId="44422"/>
    <cellStyle name="40% - Accent5 2 8 6" xfId="29786"/>
    <cellStyle name="40% - Accent5 2 9" xfId="1130"/>
    <cellStyle name="40% - Accent5 2 9 2" xfId="4017"/>
    <cellStyle name="40% - Accent5 2 9 2 2" xfId="10058"/>
    <cellStyle name="40% - Accent5 2 9 2 2 2" xfId="27105"/>
    <cellStyle name="40% - Accent5 2 9 2 2 2 2" xfId="55966"/>
    <cellStyle name="40% - Accent5 2 9 2 2 3" xfId="38919"/>
    <cellStyle name="40% - Accent5 2 9 2 3" xfId="21127"/>
    <cellStyle name="40% - Accent5 2 9 2 3 2" xfId="49988"/>
    <cellStyle name="40% - Accent5 2 9 2 4" xfId="32878"/>
    <cellStyle name="40% - Accent5 2 9 3" xfId="7172"/>
    <cellStyle name="40% - Accent5 2 9 3 2" xfId="24219"/>
    <cellStyle name="40% - Accent5 2 9 3 2 2" xfId="53080"/>
    <cellStyle name="40% - Accent5 2 9 3 3" xfId="36033"/>
    <cellStyle name="40% - Accent5 2 9 4" xfId="13200"/>
    <cellStyle name="40% - Accent5 2 9 4 2" xfId="18447"/>
    <cellStyle name="40% - Accent5 2 9 4 2 2" xfId="47308"/>
    <cellStyle name="40% - Accent5 2 9 4 3" xfId="42061"/>
    <cellStyle name="40% - Accent5 2 9 5" xfId="15767"/>
    <cellStyle name="40% - Accent5 2 9 5 2" xfId="44628"/>
    <cellStyle name="40% - Accent5 2 9 6" xfId="29992"/>
    <cellStyle name="40% - Accent5 20" xfId="5870"/>
    <cellStyle name="40% - Accent5 20 2" xfId="22969"/>
    <cellStyle name="40% - Accent5 20 2 2" xfId="51830"/>
    <cellStyle name="40% - Accent5 20 3" xfId="34731"/>
    <cellStyle name="40% - Accent5 21" xfId="6128"/>
    <cellStyle name="40% - Accent5 21 2" xfId="23175"/>
    <cellStyle name="40% - Accent5 21 2 2" xfId="52036"/>
    <cellStyle name="40% - Accent5 21 3" xfId="34989"/>
    <cellStyle name="40% - Accent5 22" xfId="14517"/>
    <cellStyle name="40% - Accent5 22 2" xfId="43378"/>
    <cellStyle name="40% - Accent5 23" xfId="28948"/>
    <cellStyle name="40% - Accent5 3" xfId="113"/>
    <cellStyle name="40% - Accent5 3 10" xfId="1761"/>
    <cellStyle name="40% - Accent5 3 10 2" xfId="4648"/>
    <cellStyle name="40% - Accent5 3 10 2 2" xfId="10689"/>
    <cellStyle name="40% - Accent5 3 10 2 2 2" xfId="27736"/>
    <cellStyle name="40% - Accent5 3 10 2 2 2 2" xfId="56597"/>
    <cellStyle name="40% - Accent5 3 10 2 2 3" xfId="39550"/>
    <cellStyle name="40% - Accent5 3 10 2 3" xfId="21758"/>
    <cellStyle name="40% - Accent5 3 10 2 3 2" xfId="50619"/>
    <cellStyle name="40% - Accent5 3 10 2 4" xfId="33509"/>
    <cellStyle name="40% - Accent5 3 10 3" xfId="7803"/>
    <cellStyle name="40% - Accent5 3 10 3 2" xfId="24850"/>
    <cellStyle name="40% - Accent5 3 10 3 2 2" xfId="53711"/>
    <cellStyle name="40% - Accent5 3 10 3 3" xfId="36664"/>
    <cellStyle name="40% - Accent5 3 10 4" xfId="14174"/>
    <cellStyle name="40% - Accent5 3 10 4 2" xfId="19078"/>
    <cellStyle name="40% - Accent5 3 10 4 2 2" xfId="47939"/>
    <cellStyle name="40% - Accent5 3 10 4 3" xfId="43035"/>
    <cellStyle name="40% - Accent5 3 10 5" xfId="16398"/>
    <cellStyle name="40% - Accent5 3 10 5 2" xfId="45259"/>
    <cellStyle name="40% - Accent5 3 10 6" xfId="30623"/>
    <cellStyle name="40% - Accent5 3 11" xfId="1967"/>
    <cellStyle name="40% - Accent5 3 11 2" xfId="4854"/>
    <cellStyle name="40% - Accent5 3 11 2 2" xfId="10895"/>
    <cellStyle name="40% - Accent5 3 11 2 2 2" xfId="27942"/>
    <cellStyle name="40% - Accent5 3 11 2 2 2 2" xfId="56803"/>
    <cellStyle name="40% - Accent5 3 11 2 2 3" xfId="39756"/>
    <cellStyle name="40% - Accent5 3 11 2 3" xfId="21964"/>
    <cellStyle name="40% - Accent5 3 11 2 3 2" xfId="50825"/>
    <cellStyle name="40% - Accent5 3 11 2 4" xfId="33715"/>
    <cellStyle name="40% - Accent5 3 11 3" xfId="8009"/>
    <cellStyle name="40% - Accent5 3 11 3 2" xfId="25056"/>
    <cellStyle name="40% - Accent5 3 11 3 2 2" xfId="53917"/>
    <cellStyle name="40% - Accent5 3 11 3 3" xfId="36870"/>
    <cellStyle name="40% - Accent5 3 11 4" xfId="14278"/>
    <cellStyle name="40% - Accent5 3 11 4 2" xfId="19284"/>
    <cellStyle name="40% - Accent5 3 11 4 2 2" xfId="48145"/>
    <cellStyle name="40% - Accent5 3 11 4 3" xfId="43139"/>
    <cellStyle name="40% - Accent5 3 11 5" xfId="16604"/>
    <cellStyle name="40% - Accent5 3 11 5 2" xfId="45465"/>
    <cellStyle name="40% - Accent5 3 11 6" xfId="30829"/>
    <cellStyle name="40% - Accent5 3 12" xfId="2379"/>
    <cellStyle name="40% - Accent5 3 12 2" xfId="5266"/>
    <cellStyle name="40% - Accent5 3 12 2 2" xfId="11307"/>
    <cellStyle name="40% - Accent5 3 12 2 2 2" xfId="28354"/>
    <cellStyle name="40% - Accent5 3 12 2 2 2 2" xfId="57215"/>
    <cellStyle name="40% - Accent5 3 12 2 2 3" xfId="40168"/>
    <cellStyle name="40% - Accent5 3 12 2 3" xfId="22376"/>
    <cellStyle name="40% - Accent5 3 12 2 3 2" xfId="51237"/>
    <cellStyle name="40% - Accent5 3 12 2 4" xfId="34127"/>
    <cellStyle name="40% - Accent5 3 12 3" xfId="8421"/>
    <cellStyle name="40% - Accent5 3 12 3 2" xfId="25468"/>
    <cellStyle name="40% - Accent5 3 12 3 2 2" xfId="54329"/>
    <cellStyle name="40% - Accent5 3 12 3 3" xfId="37282"/>
    <cellStyle name="40% - Accent5 3 12 4" xfId="13222"/>
    <cellStyle name="40% - Accent5 3 12 4 2" xfId="19696"/>
    <cellStyle name="40% - Accent5 3 12 4 2 2" xfId="48557"/>
    <cellStyle name="40% - Accent5 3 12 4 3" xfId="42083"/>
    <cellStyle name="40% - Accent5 3 12 5" xfId="17016"/>
    <cellStyle name="40% - Accent5 3 12 5 2" xfId="45877"/>
    <cellStyle name="40% - Accent5 3 12 6" xfId="31241"/>
    <cellStyle name="40% - Accent5 3 13" xfId="2588"/>
    <cellStyle name="40% - Accent5 3 13 2" xfId="5474"/>
    <cellStyle name="40% - Accent5 3 13 2 2" xfId="11515"/>
    <cellStyle name="40% - Accent5 3 13 2 2 2" xfId="28562"/>
    <cellStyle name="40% - Accent5 3 13 2 2 2 2" xfId="57423"/>
    <cellStyle name="40% - Accent5 3 13 2 2 3" xfId="40376"/>
    <cellStyle name="40% - Accent5 3 13 2 3" xfId="22584"/>
    <cellStyle name="40% - Accent5 3 13 2 3 2" xfId="51445"/>
    <cellStyle name="40% - Accent5 3 13 2 4" xfId="34335"/>
    <cellStyle name="40% - Accent5 3 13 3" xfId="8629"/>
    <cellStyle name="40% - Accent5 3 13 3 2" xfId="25676"/>
    <cellStyle name="40% - Accent5 3 13 3 2 2" xfId="54537"/>
    <cellStyle name="40% - Accent5 3 13 3 3" xfId="37490"/>
    <cellStyle name="40% - Accent5 3 13 4" xfId="14451"/>
    <cellStyle name="40% - Accent5 3 13 4 2" xfId="19904"/>
    <cellStyle name="40% - Accent5 3 13 4 2 2" xfId="48765"/>
    <cellStyle name="40% - Accent5 3 13 4 3" xfId="43312"/>
    <cellStyle name="40% - Accent5 3 13 5" xfId="17224"/>
    <cellStyle name="40% - Accent5 3 13 5 2" xfId="46085"/>
    <cellStyle name="40% - Accent5 3 13 6" xfId="31449"/>
    <cellStyle name="40% - Accent5 3 14" xfId="3000"/>
    <cellStyle name="40% - Accent5 3 14 2" xfId="9041"/>
    <cellStyle name="40% - Accent5 3 14 2 2" xfId="26088"/>
    <cellStyle name="40% - Accent5 3 14 2 2 2" xfId="54949"/>
    <cellStyle name="40% - Accent5 3 14 2 3" xfId="37902"/>
    <cellStyle name="40% - Accent5 3 14 3" xfId="14402"/>
    <cellStyle name="40% - Accent5 3 14 3 2" xfId="20110"/>
    <cellStyle name="40% - Accent5 3 14 3 2 2" xfId="48971"/>
    <cellStyle name="40% - Accent5 3 14 3 3" xfId="43263"/>
    <cellStyle name="40% - Accent5 3 14 4" xfId="14750"/>
    <cellStyle name="40% - Accent5 3 14 4 2" xfId="43611"/>
    <cellStyle name="40% - Accent5 3 14 5" xfId="31861"/>
    <cellStyle name="40% - Accent5 3 15" xfId="2794"/>
    <cellStyle name="40% - Accent5 3 15 2" xfId="8835"/>
    <cellStyle name="40% - Accent5 3 15 2 2" xfId="25882"/>
    <cellStyle name="40% - Accent5 3 15 2 2 2" xfId="54743"/>
    <cellStyle name="40% - Accent5 3 15 2 3" xfId="37696"/>
    <cellStyle name="40% - Accent5 3 15 3" xfId="17430"/>
    <cellStyle name="40% - Accent5 3 15 3 2" xfId="46291"/>
    <cellStyle name="40% - Accent5 3 15 4" xfId="31655"/>
    <cellStyle name="40% - Accent5 3 16" xfId="5680"/>
    <cellStyle name="40% - Accent5 3 16 2" xfId="11721"/>
    <cellStyle name="40% - Accent5 3 16 2 2" xfId="28768"/>
    <cellStyle name="40% - Accent5 3 16 2 2 2" xfId="57629"/>
    <cellStyle name="40% - Accent5 3 16 2 3" xfId="40582"/>
    <cellStyle name="40% - Accent5 3 16 3" xfId="22790"/>
    <cellStyle name="40% - Accent5 3 16 3 2" xfId="51651"/>
    <cellStyle name="40% - Accent5 3 16 4" xfId="34541"/>
    <cellStyle name="40% - Accent5 3 17" xfId="5897"/>
    <cellStyle name="40% - Accent5 3 17 2" xfId="22996"/>
    <cellStyle name="40% - Accent5 3 17 2 2" xfId="51857"/>
    <cellStyle name="40% - Accent5 3 17 3" xfId="34758"/>
    <cellStyle name="40% - Accent5 3 18" xfId="6155"/>
    <cellStyle name="40% - Accent5 3 18 2" xfId="23202"/>
    <cellStyle name="40% - Accent5 3 18 2 2" xfId="52063"/>
    <cellStyle name="40% - Accent5 3 18 3" xfId="35016"/>
    <cellStyle name="40% - Accent5 3 19" xfId="14544"/>
    <cellStyle name="40% - Accent5 3 19 2" xfId="43405"/>
    <cellStyle name="40% - Accent5 3 2" xfId="319"/>
    <cellStyle name="40% - Accent5 3 2 10" xfId="2482"/>
    <cellStyle name="40% - Accent5 3 2 10 2" xfId="5369"/>
    <cellStyle name="40% - Accent5 3 2 10 2 2" xfId="11410"/>
    <cellStyle name="40% - Accent5 3 2 10 2 2 2" xfId="28457"/>
    <cellStyle name="40% - Accent5 3 2 10 2 2 2 2" xfId="57318"/>
    <cellStyle name="40% - Accent5 3 2 10 2 2 3" xfId="40271"/>
    <cellStyle name="40% - Accent5 3 2 10 2 3" xfId="22479"/>
    <cellStyle name="40% - Accent5 3 2 10 2 3 2" xfId="51340"/>
    <cellStyle name="40% - Accent5 3 2 10 2 4" xfId="34230"/>
    <cellStyle name="40% - Accent5 3 2 10 3" xfId="8524"/>
    <cellStyle name="40% - Accent5 3 2 10 3 2" xfId="25571"/>
    <cellStyle name="40% - Accent5 3 2 10 3 2 2" xfId="54432"/>
    <cellStyle name="40% - Accent5 3 2 10 3 3" xfId="37385"/>
    <cellStyle name="40% - Accent5 3 2 10 4" xfId="12260"/>
    <cellStyle name="40% - Accent5 3 2 10 4 2" xfId="19799"/>
    <cellStyle name="40% - Accent5 3 2 10 4 2 2" xfId="48660"/>
    <cellStyle name="40% - Accent5 3 2 10 4 3" xfId="41121"/>
    <cellStyle name="40% - Accent5 3 2 10 5" xfId="17119"/>
    <cellStyle name="40% - Accent5 3 2 10 5 2" xfId="45980"/>
    <cellStyle name="40% - Accent5 3 2 10 6" xfId="31344"/>
    <cellStyle name="40% - Accent5 3 2 11" xfId="2691"/>
    <cellStyle name="40% - Accent5 3 2 11 2" xfId="5577"/>
    <cellStyle name="40% - Accent5 3 2 11 2 2" xfId="11618"/>
    <cellStyle name="40% - Accent5 3 2 11 2 2 2" xfId="28665"/>
    <cellStyle name="40% - Accent5 3 2 11 2 2 2 2" xfId="57526"/>
    <cellStyle name="40% - Accent5 3 2 11 2 2 3" xfId="40479"/>
    <cellStyle name="40% - Accent5 3 2 11 2 3" xfId="22687"/>
    <cellStyle name="40% - Accent5 3 2 11 2 3 2" xfId="51548"/>
    <cellStyle name="40% - Accent5 3 2 11 2 4" xfId="34438"/>
    <cellStyle name="40% - Accent5 3 2 11 3" xfId="8732"/>
    <cellStyle name="40% - Accent5 3 2 11 3 2" xfId="25779"/>
    <cellStyle name="40% - Accent5 3 2 11 3 2 2" xfId="54640"/>
    <cellStyle name="40% - Accent5 3 2 11 3 3" xfId="37593"/>
    <cellStyle name="40% - Accent5 3 2 11 4" xfId="13959"/>
    <cellStyle name="40% - Accent5 3 2 11 4 2" xfId="20007"/>
    <cellStyle name="40% - Accent5 3 2 11 4 2 2" xfId="48868"/>
    <cellStyle name="40% - Accent5 3 2 11 4 3" xfId="42820"/>
    <cellStyle name="40% - Accent5 3 2 11 5" xfId="17327"/>
    <cellStyle name="40% - Accent5 3 2 11 5 2" xfId="46188"/>
    <cellStyle name="40% - Accent5 3 2 11 6" xfId="31552"/>
    <cellStyle name="40% - Accent5 3 2 12" xfId="3206"/>
    <cellStyle name="40% - Accent5 3 2 12 2" xfId="9247"/>
    <cellStyle name="40% - Accent5 3 2 12 2 2" xfId="26294"/>
    <cellStyle name="40% - Accent5 3 2 12 2 2 2" xfId="55155"/>
    <cellStyle name="40% - Accent5 3 2 12 2 3" xfId="38108"/>
    <cellStyle name="40% - Accent5 3 2 12 3" xfId="6090"/>
    <cellStyle name="40% - Accent5 3 2 12 3 2" xfId="20316"/>
    <cellStyle name="40% - Accent5 3 2 12 3 2 2" xfId="49177"/>
    <cellStyle name="40% - Accent5 3 2 12 3 3" xfId="34951"/>
    <cellStyle name="40% - Accent5 3 2 12 4" xfId="14956"/>
    <cellStyle name="40% - Accent5 3 2 12 4 2" xfId="43817"/>
    <cellStyle name="40% - Accent5 3 2 12 5" xfId="32067"/>
    <cellStyle name="40% - Accent5 3 2 13" xfId="2897"/>
    <cellStyle name="40% - Accent5 3 2 13 2" xfId="8938"/>
    <cellStyle name="40% - Accent5 3 2 13 2 2" xfId="25985"/>
    <cellStyle name="40% - Accent5 3 2 13 2 2 2" xfId="54846"/>
    <cellStyle name="40% - Accent5 3 2 13 2 3" xfId="37799"/>
    <cellStyle name="40% - Accent5 3 2 13 3" xfId="17533"/>
    <cellStyle name="40% - Accent5 3 2 13 3 2" xfId="46394"/>
    <cellStyle name="40% - Accent5 3 2 13 4" xfId="31758"/>
    <cellStyle name="40% - Accent5 3 2 14" xfId="5783"/>
    <cellStyle name="40% - Accent5 3 2 14 2" xfId="11824"/>
    <cellStyle name="40% - Accent5 3 2 14 2 2" xfId="28871"/>
    <cellStyle name="40% - Accent5 3 2 14 2 2 2" xfId="57732"/>
    <cellStyle name="40% - Accent5 3 2 14 2 3" xfId="40685"/>
    <cellStyle name="40% - Accent5 3 2 14 3" xfId="22893"/>
    <cellStyle name="40% - Accent5 3 2 14 3 2" xfId="51754"/>
    <cellStyle name="40% - Accent5 3 2 14 4" xfId="34644"/>
    <cellStyle name="40% - Accent5 3 2 15" xfId="6000"/>
    <cellStyle name="40% - Accent5 3 2 15 2" xfId="23099"/>
    <cellStyle name="40% - Accent5 3 2 15 2 2" xfId="51960"/>
    <cellStyle name="40% - Accent5 3 2 15 3" xfId="34861"/>
    <cellStyle name="40% - Accent5 3 2 16" xfId="6361"/>
    <cellStyle name="40% - Accent5 3 2 16 2" xfId="23408"/>
    <cellStyle name="40% - Accent5 3 2 16 2 2" xfId="52269"/>
    <cellStyle name="40% - Accent5 3 2 16 3" xfId="35222"/>
    <cellStyle name="40% - Accent5 3 2 17" xfId="14647"/>
    <cellStyle name="40% - Accent5 3 2 17 2" xfId="43508"/>
    <cellStyle name="40% - Accent5 3 2 18" xfId="29181"/>
    <cellStyle name="40% - Accent5 3 2 2" xfId="525"/>
    <cellStyle name="40% - Accent5 3 2 2 2" xfId="2276"/>
    <cellStyle name="40% - Accent5 3 2 2 2 2" xfId="5163"/>
    <cellStyle name="40% - Accent5 3 2 2 2 2 2" xfId="11204"/>
    <cellStyle name="40% - Accent5 3 2 2 2 2 2 2" xfId="28251"/>
    <cellStyle name="40% - Accent5 3 2 2 2 2 2 2 2" xfId="57112"/>
    <cellStyle name="40% - Accent5 3 2 2 2 2 2 3" xfId="40065"/>
    <cellStyle name="40% - Accent5 3 2 2 2 2 3" xfId="22273"/>
    <cellStyle name="40% - Accent5 3 2 2 2 2 3 2" xfId="51134"/>
    <cellStyle name="40% - Accent5 3 2 2 2 2 4" xfId="34024"/>
    <cellStyle name="40% - Accent5 3 2 2 2 3" xfId="8318"/>
    <cellStyle name="40% - Accent5 3 2 2 2 3 2" xfId="25365"/>
    <cellStyle name="40% - Accent5 3 2 2 2 3 2 2" xfId="54226"/>
    <cellStyle name="40% - Accent5 3 2 2 2 3 3" xfId="37179"/>
    <cellStyle name="40% - Accent5 3 2 2 2 4" xfId="13421"/>
    <cellStyle name="40% - Accent5 3 2 2 2 4 2" xfId="19593"/>
    <cellStyle name="40% - Accent5 3 2 2 2 4 2 2" xfId="48454"/>
    <cellStyle name="40% - Accent5 3 2 2 2 4 3" xfId="42282"/>
    <cellStyle name="40% - Accent5 3 2 2 2 5" xfId="16913"/>
    <cellStyle name="40% - Accent5 3 2 2 2 5 2" xfId="45774"/>
    <cellStyle name="40% - Accent5 3 2 2 2 6" xfId="31138"/>
    <cellStyle name="40% - Accent5 3 2 2 3" xfId="3412"/>
    <cellStyle name="40% - Accent5 3 2 2 3 2" xfId="9453"/>
    <cellStyle name="40% - Accent5 3 2 2 3 2 2" xfId="26500"/>
    <cellStyle name="40% - Accent5 3 2 2 3 2 2 2" xfId="55361"/>
    <cellStyle name="40% - Accent5 3 2 2 3 2 3" xfId="38314"/>
    <cellStyle name="40% - Accent5 3 2 2 3 3" xfId="20522"/>
    <cellStyle name="40% - Accent5 3 2 2 3 3 2" xfId="49383"/>
    <cellStyle name="40% - Accent5 3 2 2 3 4" xfId="32273"/>
    <cellStyle name="40% - Accent5 3 2 2 4" xfId="6567"/>
    <cellStyle name="40% - Accent5 3 2 2 4 2" xfId="23614"/>
    <cellStyle name="40% - Accent5 3 2 2 4 2 2" xfId="52475"/>
    <cellStyle name="40% - Accent5 3 2 2 4 3" xfId="35428"/>
    <cellStyle name="40% - Accent5 3 2 2 5" xfId="12353"/>
    <cellStyle name="40% - Accent5 3 2 2 5 2" xfId="17842"/>
    <cellStyle name="40% - Accent5 3 2 2 5 2 2" xfId="46703"/>
    <cellStyle name="40% - Accent5 3 2 2 5 3" xfId="41214"/>
    <cellStyle name="40% - Accent5 3 2 2 6" xfId="15162"/>
    <cellStyle name="40% - Accent5 3 2 2 6 2" xfId="44023"/>
    <cellStyle name="40% - Accent5 3 2 2 7" xfId="29387"/>
    <cellStyle name="40% - Accent5 3 2 3" xfId="834"/>
    <cellStyle name="40% - Accent5 3 2 3 2" xfId="3721"/>
    <cellStyle name="40% - Accent5 3 2 3 2 2" xfId="9762"/>
    <cellStyle name="40% - Accent5 3 2 3 2 2 2" xfId="26809"/>
    <cellStyle name="40% - Accent5 3 2 3 2 2 2 2" xfId="55670"/>
    <cellStyle name="40% - Accent5 3 2 3 2 2 3" xfId="38623"/>
    <cellStyle name="40% - Accent5 3 2 3 2 3" xfId="20831"/>
    <cellStyle name="40% - Accent5 3 2 3 2 3 2" xfId="49692"/>
    <cellStyle name="40% - Accent5 3 2 3 2 4" xfId="32582"/>
    <cellStyle name="40% - Accent5 3 2 3 3" xfId="6876"/>
    <cellStyle name="40% - Accent5 3 2 3 3 2" xfId="23923"/>
    <cellStyle name="40% - Accent5 3 2 3 3 2 2" xfId="52784"/>
    <cellStyle name="40% - Accent5 3 2 3 3 3" xfId="35737"/>
    <cellStyle name="40% - Accent5 3 2 3 4" xfId="14487"/>
    <cellStyle name="40% - Accent5 3 2 3 4 2" xfId="18151"/>
    <cellStyle name="40% - Accent5 3 2 3 4 2 2" xfId="47012"/>
    <cellStyle name="40% - Accent5 3 2 3 4 3" xfId="43348"/>
    <cellStyle name="40% - Accent5 3 2 3 5" xfId="15471"/>
    <cellStyle name="40% - Accent5 3 2 3 5 2" xfId="44332"/>
    <cellStyle name="40% - Accent5 3 2 3 6" xfId="29696"/>
    <cellStyle name="40% - Accent5 3 2 4" xfId="1040"/>
    <cellStyle name="40% - Accent5 3 2 4 2" xfId="3927"/>
    <cellStyle name="40% - Accent5 3 2 4 2 2" xfId="9968"/>
    <cellStyle name="40% - Accent5 3 2 4 2 2 2" xfId="27015"/>
    <cellStyle name="40% - Accent5 3 2 4 2 2 2 2" xfId="55876"/>
    <cellStyle name="40% - Accent5 3 2 4 2 2 3" xfId="38829"/>
    <cellStyle name="40% - Accent5 3 2 4 2 3" xfId="21037"/>
    <cellStyle name="40% - Accent5 3 2 4 2 3 2" xfId="49898"/>
    <cellStyle name="40% - Accent5 3 2 4 2 4" xfId="32788"/>
    <cellStyle name="40% - Accent5 3 2 4 3" xfId="7082"/>
    <cellStyle name="40% - Accent5 3 2 4 3 2" xfId="24129"/>
    <cellStyle name="40% - Accent5 3 2 4 3 2 2" xfId="52990"/>
    <cellStyle name="40% - Accent5 3 2 4 3 3" xfId="35943"/>
    <cellStyle name="40% - Accent5 3 2 4 4" xfId="12253"/>
    <cellStyle name="40% - Accent5 3 2 4 4 2" xfId="18357"/>
    <cellStyle name="40% - Accent5 3 2 4 4 2 2" xfId="47218"/>
    <cellStyle name="40% - Accent5 3 2 4 4 3" xfId="41114"/>
    <cellStyle name="40% - Accent5 3 2 4 5" xfId="15677"/>
    <cellStyle name="40% - Accent5 3 2 4 5 2" xfId="44538"/>
    <cellStyle name="40% - Accent5 3 2 4 6" xfId="29902"/>
    <cellStyle name="40% - Accent5 3 2 5" xfId="1246"/>
    <cellStyle name="40% - Accent5 3 2 5 2" xfId="4133"/>
    <cellStyle name="40% - Accent5 3 2 5 2 2" xfId="10174"/>
    <cellStyle name="40% - Accent5 3 2 5 2 2 2" xfId="27221"/>
    <cellStyle name="40% - Accent5 3 2 5 2 2 2 2" xfId="56082"/>
    <cellStyle name="40% - Accent5 3 2 5 2 2 3" xfId="39035"/>
    <cellStyle name="40% - Accent5 3 2 5 2 3" xfId="21243"/>
    <cellStyle name="40% - Accent5 3 2 5 2 3 2" xfId="50104"/>
    <cellStyle name="40% - Accent5 3 2 5 2 4" xfId="32994"/>
    <cellStyle name="40% - Accent5 3 2 5 3" xfId="7288"/>
    <cellStyle name="40% - Accent5 3 2 5 3 2" xfId="24335"/>
    <cellStyle name="40% - Accent5 3 2 5 3 2 2" xfId="53196"/>
    <cellStyle name="40% - Accent5 3 2 5 3 3" xfId="36149"/>
    <cellStyle name="40% - Accent5 3 2 5 4" xfId="12020"/>
    <cellStyle name="40% - Accent5 3 2 5 4 2" xfId="18563"/>
    <cellStyle name="40% - Accent5 3 2 5 4 2 2" xfId="47424"/>
    <cellStyle name="40% - Accent5 3 2 5 4 3" xfId="40881"/>
    <cellStyle name="40% - Accent5 3 2 5 5" xfId="15883"/>
    <cellStyle name="40% - Accent5 3 2 5 5 2" xfId="44744"/>
    <cellStyle name="40% - Accent5 3 2 5 6" xfId="30108"/>
    <cellStyle name="40% - Accent5 3 2 6" xfId="1452"/>
    <cellStyle name="40% - Accent5 3 2 6 2" xfId="4339"/>
    <cellStyle name="40% - Accent5 3 2 6 2 2" xfId="10380"/>
    <cellStyle name="40% - Accent5 3 2 6 2 2 2" xfId="27427"/>
    <cellStyle name="40% - Accent5 3 2 6 2 2 2 2" xfId="56288"/>
    <cellStyle name="40% - Accent5 3 2 6 2 2 3" xfId="39241"/>
    <cellStyle name="40% - Accent5 3 2 6 2 3" xfId="21449"/>
    <cellStyle name="40% - Accent5 3 2 6 2 3 2" xfId="50310"/>
    <cellStyle name="40% - Accent5 3 2 6 2 4" xfId="33200"/>
    <cellStyle name="40% - Accent5 3 2 6 3" xfId="7494"/>
    <cellStyle name="40% - Accent5 3 2 6 3 2" xfId="24541"/>
    <cellStyle name="40% - Accent5 3 2 6 3 2 2" xfId="53402"/>
    <cellStyle name="40% - Accent5 3 2 6 3 3" xfId="36355"/>
    <cellStyle name="40% - Accent5 3 2 6 4" xfId="12203"/>
    <cellStyle name="40% - Accent5 3 2 6 4 2" xfId="18769"/>
    <cellStyle name="40% - Accent5 3 2 6 4 2 2" xfId="47630"/>
    <cellStyle name="40% - Accent5 3 2 6 4 3" xfId="41064"/>
    <cellStyle name="40% - Accent5 3 2 6 5" xfId="16089"/>
    <cellStyle name="40% - Accent5 3 2 6 5 2" xfId="44950"/>
    <cellStyle name="40% - Accent5 3 2 6 6" xfId="30314"/>
    <cellStyle name="40% - Accent5 3 2 7" xfId="1658"/>
    <cellStyle name="40% - Accent5 3 2 7 2" xfId="4545"/>
    <cellStyle name="40% - Accent5 3 2 7 2 2" xfId="10586"/>
    <cellStyle name="40% - Accent5 3 2 7 2 2 2" xfId="27633"/>
    <cellStyle name="40% - Accent5 3 2 7 2 2 2 2" xfId="56494"/>
    <cellStyle name="40% - Accent5 3 2 7 2 2 3" xfId="39447"/>
    <cellStyle name="40% - Accent5 3 2 7 2 3" xfId="21655"/>
    <cellStyle name="40% - Accent5 3 2 7 2 3 2" xfId="50516"/>
    <cellStyle name="40% - Accent5 3 2 7 2 4" xfId="33406"/>
    <cellStyle name="40% - Accent5 3 2 7 3" xfId="7700"/>
    <cellStyle name="40% - Accent5 3 2 7 3 2" xfId="24747"/>
    <cellStyle name="40% - Accent5 3 2 7 3 2 2" xfId="53608"/>
    <cellStyle name="40% - Accent5 3 2 7 3 3" xfId="36561"/>
    <cellStyle name="40% - Accent5 3 2 7 4" xfId="12059"/>
    <cellStyle name="40% - Accent5 3 2 7 4 2" xfId="18975"/>
    <cellStyle name="40% - Accent5 3 2 7 4 2 2" xfId="47836"/>
    <cellStyle name="40% - Accent5 3 2 7 4 3" xfId="40920"/>
    <cellStyle name="40% - Accent5 3 2 7 5" xfId="16295"/>
    <cellStyle name="40% - Accent5 3 2 7 5 2" xfId="45156"/>
    <cellStyle name="40% - Accent5 3 2 7 6" xfId="30520"/>
    <cellStyle name="40% - Accent5 3 2 8" xfId="1864"/>
    <cellStyle name="40% - Accent5 3 2 8 2" xfId="4751"/>
    <cellStyle name="40% - Accent5 3 2 8 2 2" xfId="10792"/>
    <cellStyle name="40% - Accent5 3 2 8 2 2 2" xfId="27839"/>
    <cellStyle name="40% - Accent5 3 2 8 2 2 2 2" xfId="56700"/>
    <cellStyle name="40% - Accent5 3 2 8 2 2 3" xfId="39653"/>
    <cellStyle name="40% - Accent5 3 2 8 2 3" xfId="21861"/>
    <cellStyle name="40% - Accent5 3 2 8 2 3 2" xfId="50722"/>
    <cellStyle name="40% - Accent5 3 2 8 2 4" xfId="33612"/>
    <cellStyle name="40% - Accent5 3 2 8 3" xfId="7906"/>
    <cellStyle name="40% - Accent5 3 2 8 3 2" xfId="24953"/>
    <cellStyle name="40% - Accent5 3 2 8 3 2 2" xfId="53814"/>
    <cellStyle name="40% - Accent5 3 2 8 3 3" xfId="36767"/>
    <cellStyle name="40% - Accent5 3 2 8 4" xfId="14312"/>
    <cellStyle name="40% - Accent5 3 2 8 4 2" xfId="19181"/>
    <cellStyle name="40% - Accent5 3 2 8 4 2 2" xfId="48042"/>
    <cellStyle name="40% - Accent5 3 2 8 4 3" xfId="43173"/>
    <cellStyle name="40% - Accent5 3 2 8 5" xfId="16501"/>
    <cellStyle name="40% - Accent5 3 2 8 5 2" xfId="45362"/>
    <cellStyle name="40% - Accent5 3 2 8 6" xfId="30726"/>
    <cellStyle name="40% - Accent5 3 2 9" xfId="2070"/>
    <cellStyle name="40% - Accent5 3 2 9 2" xfId="4957"/>
    <cellStyle name="40% - Accent5 3 2 9 2 2" xfId="10998"/>
    <cellStyle name="40% - Accent5 3 2 9 2 2 2" xfId="28045"/>
    <cellStyle name="40% - Accent5 3 2 9 2 2 2 2" xfId="56906"/>
    <cellStyle name="40% - Accent5 3 2 9 2 2 3" xfId="39859"/>
    <cellStyle name="40% - Accent5 3 2 9 2 3" xfId="22067"/>
    <cellStyle name="40% - Accent5 3 2 9 2 3 2" xfId="50928"/>
    <cellStyle name="40% - Accent5 3 2 9 2 4" xfId="33818"/>
    <cellStyle name="40% - Accent5 3 2 9 3" xfId="8112"/>
    <cellStyle name="40% - Accent5 3 2 9 3 2" xfId="25159"/>
    <cellStyle name="40% - Accent5 3 2 9 3 2 2" xfId="54020"/>
    <cellStyle name="40% - Accent5 3 2 9 3 3" xfId="36973"/>
    <cellStyle name="40% - Accent5 3 2 9 4" xfId="12089"/>
    <cellStyle name="40% - Accent5 3 2 9 4 2" xfId="19387"/>
    <cellStyle name="40% - Accent5 3 2 9 4 2 2" xfId="48248"/>
    <cellStyle name="40% - Accent5 3 2 9 4 3" xfId="40950"/>
    <cellStyle name="40% - Accent5 3 2 9 5" xfId="16707"/>
    <cellStyle name="40% - Accent5 3 2 9 5 2" xfId="45568"/>
    <cellStyle name="40% - Accent5 3 2 9 6" xfId="30932"/>
    <cellStyle name="40% - Accent5 3 20" xfId="28975"/>
    <cellStyle name="40% - Accent5 3 3" xfId="216"/>
    <cellStyle name="40% - Accent5 3 3 2" xfId="628"/>
    <cellStyle name="40% - Accent5 3 3 2 2" xfId="3515"/>
    <cellStyle name="40% - Accent5 3 3 2 2 2" xfId="9556"/>
    <cellStyle name="40% - Accent5 3 3 2 2 2 2" xfId="26603"/>
    <cellStyle name="40% - Accent5 3 3 2 2 2 2 2" xfId="55464"/>
    <cellStyle name="40% - Accent5 3 3 2 2 2 3" xfId="38417"/>
    <cellStyle name="40% - Accent5 3 3 2 2 3" xfId="20625"/>
    <cellStyle name="40% - Accent5 3 3 2 2 3 2" xfId="49486"/>
    <cellStyle name="40% - Accent5 3 3 2 2 4" xfId="32376"/>
    <cellStyle name="40% - Accent5 3 3 2 3" xfId="6670"/>
    <cellStyle name="40% - Accent5 3 3 2 3 2" xfId="23717"/>
    <cellStyle name="40% - Accent5 3 3 2 3 2 2" xfId="52578"/>
    <cellStyle name="40% - Accent5 3 3 2 3 3" xfId="35531"/>
    <cellStyle name="40% - Accent5 3 3 2 4" xfId="13798"/>
    <cellStyle name="40% - Accent5 3 3 2 4 2" xfId="17945"/>
    <cellStyle name="40% - Accent5 3 3 2 4 2 2" xfId="46806"/>
    <cellStyle name="40% - Accent5 3 3 2 4 3" xfId="42659"/>
    <cellStyle name="40% - Accent5 3 3 2 5" xfId="15265"/>
    <cellStyle name="40% - Accent5 3 3 2 5 2" xfId="44126"/>
    <cellStyle name="40% - Accent5 3 3 2 6" xfId="29490"/>
    <cellStyle name="40% - Accent5 3 3 3" xfId="2173"/>
    <cellStyle name="40% - Accent5 3 3 3 2" xfId="5060"/>
    <cellStyle name="40% - Accent5 3 3 3 2 2" xfId="11101"/>
    <cellStyle name="40% - Accent5 3 3 3 2 2 2" xfId="28148"/>
    <cellStyle name="40% - Accent5 3 3 3 2 2 2 2" xfId="57009"/>
    <cellStyle name="40% - Accent5 3 3 3 2 2 3" xfId="39962"/>
    <cellStyle name="40% - Accent5 3 3 3 2 3" xfId="22170"/>
    <cellStyle name="40% - Accent5 3 3 3 2 3 2" xfId="51031"/>
    <cellStyle name="40% - Accent5 3 3 3 2 4" xfId="33921"/>
    <cellStyle name="40% - Accent5 3 3 3 3" xfId="8215"/>
    <cellStyle name="40% - Accent5 3 3 3 3 2" xfId="25262"/>
    <cellStyle name="40% - Accent5 3 3 3 3 2 2" xfId="54123"/>
    <cellStyle name="40% - Accent5 3 3 3 3 3" xfId="37076"/>
    <cellStyle name="40% - Accent5 3 3 3 4" xfId="11928"/>
    <cellStyle name="40% - Accent5 3 3 3 4 2" xfId="19490"/>
    <cellStyle name="40% - Accent5 3 3 3 4 2 2" xfId="48351"/>
    <cellStyle name="40% - Accent5 3 3 3 4 3" xfId="40789"/>
    <cellStyle name="40% - Accent5 3 3 3 5" xfId="16810"/>
    <cellStyle name="40% - Accent5 3 3 3 5 2" xfId="45671"/>
    <cellStyle name="40% - Accent5 3 3 3 6" xfId="31035"/>
    <cellStyle name="40% - Accent5 3 3 4" xfId="3103"/>
    <cellStyle name="40% - Accent5 3 3 4 2" xfId="9144"/>
    <cellStyle name="40% - Accent5 3 3 4 2 2" xfId="26191"/>
    <cellStyle name="40% - Accent5 3 3 4 2 2 2" xfId="55052"/>
    <cellStyle name="40% - Accent5 3 3 4 2 3" xfId="38005"/>
    <cellStyle name="40% - Accent5 3 3 4 3" xfId="20213"/>
    <cellStyle name="40% - Accent5 3 3 4 3 2" xfId="49074"/>
    <cellStyle name="40% - Accent5 3 3 4 4" xfId="31964"/>
    <cellStyle name="40% - Accent5 3 3 5" xfId="6258"/>
    <cellStyle name="40% - Accent5 3 3 5 2" xfId="23305"/>
    <cellStyle name="40% - Accent5 3 3 5 2 2" xfId="52166"/>
    <cellStyle name="40% - Accent5 3 3 5 3" xfId="35119"/>
    <cellStyle name="40% - Accent5 3 3 6" xfId="13531"/>
    <cellStyle name="40% - Accent5 3 3 6 2" xfId="17636"/>
    <cellStyle name="40% - Accent5 3 3 6 2 2" xfId="46497"/>
    <cellStyle name="40% - Accent5 3 3 6 3" xfId="42392"/>
    <cellStyle name="40% - Accent5 3 3 7" xfId="14853"/>
    <cellStyle name="40% - Accent5 3 3 7 2" xfId="43714"/>
    <cellStyle name="40% - Accent5 3 3 8" xfId="29078"/>
    <cellStyle name="40% - Accent5 3 4" xfId="422"/>
    <cellStyle name="40% - Accent5 3 4 2" xfId="3309"/>
    <cellStyle name="40% - Accent5 3 4 2 2" xfId="9350"/>
    <cellStyle name="40% - Accent5 3 4 2 2 2" xfId="26397"/>
    <cellStyle name="40% - Accent5 3 4 2 2 2 2" xfId="55258"/>
    <cellStyle name="40% - Accent5 3 4 2 2 3" xfId="38211"/>
    <cellStyle name="40% - Accent5 3 4 2 3" xfId="20419"/>
    <cellStyle name="40% - Accent5 3 4 2 3 2" xfId="49280"/>
    <cellStyle name="40% - Accent5 3 4 2 4" xfId="32170"/>
    <cellStyle name="40% - Accent5 3 4 3" xfId="6464"/>
    <cellStyle name="40% - Accent5 3 4 3 2" xfId="23511"/>
    <cellStyle name="40% - Accent5 3 4 3 2 2" xfId="52372"/>
    <cellStyle name="40% - Accent5 3 4 3 3" xfId="35325"/>
    <cellStyle name="40% - Accent5 3 4 4" xfId="13898"/>
    <cellStyle name="40% - Accent5 3 4 4 2" xfId="17739"/>
    <cellStyle name="40% - Accent5 3 4 4 2 2" xfId="46600"/>
    <cellStyle name="40% - Accent5 3 4 4 3" xfId="42759"/>
    <cellStyle name="40% - Accent5 3 4 5" xfId="15059"/>
    <cellStyle name="40% - Accent5 3 4 5 2" xfId="43920"/>
    <cellStyle name="40% - Accent5 3 4 6" xfId="29284"/>
    <cellStyle name="40% - Accent5 3 5" xfId="731"/>
    <cellStyle name="40% - Accent5 3 5 2" xfId="3618"/>
    <cellStyle name="40% - Accent5 3 5 2 2" xfId="9659"/>
    <cellStyle name="40% - Accent5 3 5 2 2 2" xfId="26706"/>
    <cellStyle name="40% - Accent5 3 5 2 2 2 2" xfId="55567"/>
    <cellStyle name="40% - Accent5 3 5 2 2 3" xfId="38520"/>
    <cellStyle name="40% - Accent5 3 5 2 3" xfId="20728"/>
    <cellStyle name="40% - Accent5 3 5 2 3 2" xfId="49589"/>
    <cellStyle name="40% - Accent5 3 5 2 4" xfId="32479"/>
    <cellStyle name="40% - Accent5 3 5 3" xfId="6773"/>
    <cellStyle name="40% - Accent5 3 5 3 2" xfId="23820"/>
    <cellStyle name="40% - Accent5 3 5 3 2 2" xfId="52681"/>
    <cellStyle name="40% - Accent5 3 5 3 3" xfId="35634"/>
    <cellStyle name="40% - Accent5 3 5 4" xfId="11979"/>
    <cellStyle name="40% - Accent5 3 5 4 2" xfId="18048"/>
    <cellStyle name="40% - Accent5 3 5 4 2 2" xfId="46909"/>
    <cellStyle name="40% - Accent5 3 5 4 3" xfId="40840"/>
    <cellStyle name="40% - Accent5 3 5 5" xfId="15368"/>
    <cellStyle name="40% - Accent5 3 5 5 2" xfId="44229"/>
    <cellStyle name="40% - Accent5 3 5 6" xfId="29593"/>
    <cellStyle name="40% - Accent5 3 6" xfId="937"/>
    <cellStyle name="40% - Accent5 3 6 2" xfId="3824"/>
    <cellStyle name="40% - Accent5 3 6 2 2" xfId="9865"/>
    <cellStyle name="40% - Accent5 3 6 2 2 2" xfId="26912"/>
    <cellStyle name="40% - Accent5 3 6 2 2 2 2" xfId="55773"/>
    <cellStyle name="40% - Accent5 3 6 2 2 3" xfId="38726"/>
    <cellStyle name="40% - Accent5 3 6 2 3" xfId="20934"/>
    <cellStyle name="40% - Accent5 3 6 2 3 2" xfId="49795"/>
    <cellStyle name="40% - Accent5 3 6 2 4" xfId="32685"/>
    <cellStyle name="40% - Accent5 3 6 3" xfId="6979"/>
    <cellStyle name="40% - Accent5 3 6 3 2" xfId="24026"/>
    <cellStyle name="40% - Accent5 3 6 3 2 2" xfId="52887"/>
    <cellStyle name="40% - Accent5 3 6 3 3" xfId="35840"/>
    <cellStyle name="40% - Accent5 3 6 4" xfId="13126"/>
    <cellStyle name="40% - Accent5 3 6 4 2" xfId="18254"/>
    <cellStyle name="40% - Accent5 3 6 4 2 2" xfId="47115"/>
    <cellStyle name="40% - Accent5 3 6 4 3" xfId="41987"/>
    <cellStyle name="40% - Accent5 3 6 5" xfId="15574"/>
    <cellStyle name="40% - Accent5 3 6 5 2" xfId="44435"/>
    <cellStyle name="40% - Accent5 3 6 6" xfId="29799"/>
    <cellStyle name="40% - Accent5 3 7" xfId="1143"/>
    <cellStyle name="40% - Accent5 3 7 2" xfId="4030"/>
    <cellStyle name="40% - Accent5 3 7 2 2" xfId="10071"/>
    <cellStyle name="40% - Accent5 3 7 2 2 2" xfId="27118"/>
    <cellStyle name="40% - Accent5 3 7 2 2 2 2" xfId="55979"/>
    <cellStyle name="40% - Accent5 3 7 2 2 3" xfId="38932"/>
    <cellStyle name="40% - Accent5 3 7 2 3" xfId="21140"/>
    <cellStyle name="40% - Accent5 3 7 2 3 2" xfId="50001"/>
    <cellStyle name="40% - Accent5 3 7 2 4" xfId="32891"/>
    <cellStyle name="40% - Accent5 3 7 3" xfId="7185"/>
    <cellStyle name="40% - Accent5 3 7 3 2" xfId="24232"/>
    <cellStyle name="40% - Accent5 3 7 3 2 2" xfId="53093"/>
    <cellStyle name="40% - Accent5 3 7 3 3" xfId="36046"/>
    <cellStyle name="40% - Accent5 3 7 4" xfId="14334"/>
    <cellStyle name="40% - Accent5 3 7 4 2" xfId="18460"/>
    <cellStyle name="40% - Accent5 3 7 4 2 2" xfId="47321"/>
    <cellStyle name="40% - Accent5 3 7 4 3" xfId="43195"/>
    <cellStyle name="40% - Accent5 3 7 5" xfId="15780"/>
    <cellStyle name="40% - Accent5 3 7 5 2" xfId="44641"/>
    <cellStyle name="40% - Accent5 3 7 6" xfId="30005"/>
    <cellStyle name="40% - Accent5 3 8" xfId="1349"/>
    <cellStyle name="40% - Accent5 3 8 2" xfId="4236"/>
    <cellStyle name="40% - Accent5 3 8 2 2" xfId="10277"/>
    <cellStyle name="40% - Accent5 3 8 2 2 2" xfId="27324"/>
    <cellStyle name="40% - Accent5 3 8 2 2 2 2" xfId="56185"/>
    <cellStyle name="40% - Accent5 3 8 2 2 3" xfId="39138"/>
    <cellStyle name="40% - Accent5 3 8 2 3" xfId="21346"/>
    <cellStyle name="40% - Accent5 3 8 2 3 2" xfId="50207"/>
    <cellStyle name="40% - Accent5 3 8 2 4" xfId="33097"/>
    <cellStyle name="40% - Accent5 3 8 3" xfId="7391"/>
    <cellStyle name="40% - Accent5 3 8 3 2" xfId="24438"/>
    <cellStyle name="40% - Accent5 3 8 3 2 2" xfId="53299"/>
    <cellStyle name="40% - Accent5 3 8 3 3" xfId="36252"/>
    <cellStyle name="40% - Accent5 3 8 4" xfId="14410"/>
    <cellStyle name="40% - Accent5 3 8 4 2" xfId="18666"/>
    <cellStyle name="40% - Accent5 3 8 4 2 2" xfId="47527"/>
    <cellStyle name="40% - Accent5 3 8 4 3" xfId="43271"/>
    <cellStyle name="40% - Accent5 3 8 5" xfId="15986"/>
    <cellStyle name="40% - Accent5 3 8 5 2" xfId="44847"/>
    <cellStyle name="40% - Accent5 3 8 6" xfId="30211"/>
    <cellStyle name="40% - Accent5 3 9" xfId="1555"/>
    <cellStyle name="40% - Accent5 3 9 2" xfId="4442"/>
    <cellStyle name="40% - Accent5 3 9 2 2" xfId="10483"/>
    <cellStyle name="40% - Accent5 3 9 2 2 2" xfId="27530"/>
    <cellStyle name="40% - Accent5 3 9 2 2 2 2" xfId="56391"/>
    <cellStyle name="40% - Accent5 3 9 2 2 3" xfId="39344"/>
    <cellStyle name="40% - Accent5 3 9 2 3" xfId="21552"/>
    <cellStyle name="40% - Accent5 3 9 2 3 2" xfId="50413"/>
    <cellStyle name="40% - Accent5 3 9 2 4" xfId="33303"/>
    <cellStyle name="40% - Accent5 3 9 3" xfId="7597"/>
    <cellStyle name="40% - Accent5 3 9 3 2" xfId="24644"/>
    <cellStyle name="40% - Accent5 3 9 3 2 2" xfId="53505"/>
    <cellStyle name="40% - Accent5 3 9 3 3" xfId="36458"/>
    <cellStyle name="40% - Accent5 3 9 4" xfId="14219"/>
    <cellStyle name="40% - Accent5 3 9 4 2" xfId="18872"/>
    <cellStyle name="40% - Accent5 3 9 4 2 2" xfId="47733"/>
    <cellStyle name="40% - Accent5 3 9 4 3" xfId="43080"/>
    <cellStyle name="40% - Accent5 3 9 5" xfId="16192"/>
    <cellStyle name="40% - Accent5 3 9 5 2" xfId="45053"/>
    <cellStyle name="40% - Accent5 3 9 6" xfId="30417"/>
    <cellStyle name="40% - Accent5 4" xfId="139"/>
    <cellStyle name="40% - Accent5 4 10" xfId="1787"/>
    <cellStyle name="40% - Accent5 4 10 2" xfId="4674"/>
    <cellStyle name="40% - Accent5 4 10 2 2" xfId="10715"/>
    <cellStyle name="40% - Accent5 4 10 2 2 2" xfId="27762"/>
    <cellStyle name="40% - Accent5 4 10 2 2 2 2" xfId="56623"/>
    <cellStyle name="40% - Accent5 4 10 2 2 3" xfId="39576"/>
    <cellStyle name="40% - Accent5 4 10 2 3" xfId="21784"/>
    <cellStyle name="40% - Accent5 4 10 2 3 2" xfId="50645"/>
    <cellStyle name="40% - Accent5 4 10 2 4" xfId="33535"/>
    <cellStyle name="40% - Accent5 4 10 3" xfId="7829"/>
    <cellStyle name="40% - Accent5 4 10 3 2" xfId="24876"/>
    <cellStyle name="40% - Accent5 4 10 3 2 2" xfId="53737"/>
    <cellStyle name="40% - Accent5 4 10 3 3" xfId="36690"/>
    <cellStyle name="40% - Accent5 4 10 4" xfId="11938"/>
    <cellStyle name="40% - Accent5 4 10 4 2" xfId="19104"/>
    <cellStyle name="40% - Accent5 4 10 4 2 2" xfId="47965"/>
    <cellStyle name="40% - Accent5 4 10 4 3" xfId="40799"/>
    <cellStyle name="40% - Accent5 4 10 5" xfId="16424"/>
    <cellStyle name="40% - Accent5 4 10 5 2" xfId="45285"/>
    <cellStyle name="40% - Accent5 4 10 6" xfId="30649"/>
    <cellStyle name="40% - Accent5 4 11" xfId="1993"/>
    <cellStyle name="40% - Accent5 4 11 2" xfId="4880"/>
    <cellStyle name="40% - Accent5 4 11 2 2" xfId="10921"/>
    <cellStyle name="40% - Accent5 4 11 2 2 2" xfId="27968"/>
    <cellStyle name="40% - Accent5 4 11 2 2 2 2" xfId="56829"/>
    <cellStyle name="40% - Accent5 4 11 2 2 3" xfId="39782"/>
    <cellStyle name="40% - Accent5 4 11 2 3" xfId="21990"/>
    <cellStyle name="40% - Accent5 4 11 2 3 2" xfId="50851"/>
    <cellStyle name="40% - Accent5 4 11 2 4" xfId="33741"/>
    <cellStyle name="40% - Accent5 4 11 3" xfId="8035"/>
    <cellStyle name="40% - Accent5 4 11 3 2" xfId="25082"/>
    <cellStyle name="40% - Accent5 4 11 3 2 2" xfId="53943"/>
    <cellStyle name="40% - Accent5 4 11 3 3" xfId="36896"/>
    <cellStyle name="40% - Accent5 4 11 4" xfId="14308"/>
    <cellStyle name="40% - Accent5 4 11 4 2" xfId="19310"/>
    <cellStyle name="40% - Accent5 4 11 4 2 2" xfId="48171"/>
    <cellStyle name="40% - Accent5 4 11 4 3" xfId="43169"/>
    <cellStyle name="40% - Accent5 4 11 5" xfId="16630"/>
    <cellStyle name="40% - Accent5 4 11 5 2" xfId="45491"/>
    <cellStyle name="40% - Accent5 4 11 6" xfId="30855"/>
    <cellStyle name="40% - Accent5 4 12" xfId="2405"/>
    <cellStyle name="40% - Accent5 4 12 2" xfId="5292"/>
    <cellStyle name="40% - Accent5 4 12 2 2" xfId="11333"/>
    <cellStyle name="40% - Accent5 4 12 2 2 2" xfId="28380"/>
    <cellStyle name="40% - Accent5 4 12 2 2 2 2" xfId="57241"/>
    <cellStyle name="40% - Accent5 4 12 2 2 3" xfId="40194"/>
    <cellStyle name="40% - Accent5 4 12 2 3" xfId="22402"/>
    <cellStyle name="40% - Accent5 4 12 2 3 2" xfId="51263"/>
    <cellStyle name="40% - Accent5 4 12 2 4" xfId="34153"/>
    <cellStyle name="40% - Accent5 4 12 3" xfId="8447"/>
    <cellStyle name="40% - Accent5 4 12 3 2" xfId="25494"/>
    <cellStyle name="40% - Accent5 4 12 3 2 2" xfId="54355"/>
    <cellStyle name="40% - Accent5 4 12 3 3" xfId="37308"/>
    <cellStyle name="40% - Accent5 4 12 4" xfId="13259"/>
    <cellStyle name="40% - Accent5 4 12 4 2" xfId="19722"/>
    <cellStyle name="40% - Accent5 4 12 4 2 2" xfId="48583"/>
    <cellStyle name="40% - Accent5 4 12 4 3" xfId="42120"/>
    <cellStyle name="40% - Accent5 4 12 5" xfId="17042"/>
    <cellStyle name="40% - Accent5 4 12 5 2" xfId="45903"/>
    <cellStyle name="40% - Accent5 4 12 6" xfId="31267"/>
    <cellStyle name="40% - Accent5 4 13" xfId="2614"/>
    <cellStyle name="40% - Accent5 4 13 2" xfId="5500"/>
    <cellStyle name="40% - Accent5 4 13 2 2" xfId="11541"/>
    <cellStyle name="40% - Accent5 4 13 2 2 2" xfId="28588"/>
    <cellStyle name="40% - Accent5 4 13 2 2 2 2" xfId="57449"/>
    <cellStyle name="40% - Accent5 4 13 2 2 3" xfId="40402"/>
    <cellStyle name="40% - Accent5 4 13 2 3" xfId="22610"/>
    <cellStyle name="40% - Accent5 4 13 2 3 2" xfId="51471"/>
    <cellStyle name="40% - Accent5 4 13 2 4" xfId="34361"/>
    <cellStyle name="40% - Accent5 4 13 3" xfId="8655"/>
    <cellStyle name="40% - Accent5 4 13 3 2" xfId="25702"/>
    <cellStyle name="40% - Accent5 4 13 3 2 2" xfId="54563"/>
    <cellStyle name="40% - Accent5 4 13 3 3" xfId="37516"/>
    <cellStyle name="40% - Accent5 4 13 4" xfId="12281"/>
    <cellStyle name="40% - Accent5 4 13 4 2" xfId="19930"/>
    <cellStyle name="40% - Accent5 4 13 4 2 2" xfId="48791"/>
    <cellStyle name="40% - Accent5 4 13 4 3" xfId="41142"/>
    <cellStyle name="40% - Accent5 4 13 5" xfId="17250"/>
    <cellStyle name="40% - Accent5 4 13 5 2" xfId="46111"/>
    <cellStyle name="40% - Accent5 4 13 6" xfId="31475"/>
    <cellStyle name="40% - Accent5 4 14" xfId="3026"/>
    <cellStyle name="40% - Accent5 4 14 2" xfId="9067"/>
    <cellStyle name="40% - Accent5 4 14 2 2" xfId="26114"/>
    <cellStyle name="40% - Accent5 4 14 2 2 2" xfId="54975"/>
    <cellStyle name="40% - Accent5 4 14 2 3" xfId="37928"/>
    <cellStyle name="40% - Accent5 4 14 3" xfId="12978"/>
    <cellStyle name="40% - Accent5 4 14 3 2" xfId="20136"/>
    <cellStyle name="40% - Accent5 4 14 3 2 2" xfId="48997"/>
    <cellStyle name="40% - Accent5 4 14 3 3" xfId="41839"/>
    <cellStyle name="40% - Accent5 4 14 4" xfId="14776"/>
    <cellStyle name="40% - Accent5 4 14 4 2" xfId="43637"/>
    <cellStyle name="40% - Accent5 4 14 5" xfId="31887"/>
    <cellStyle name="40% - Accent5 4 15" xfId="2820"/>
    <cellStyle name="40% - Accent5 4 15 2" xfId="8861"/>
    <cellStyle name="40% - Accent5 4 15 2 2" xfId="25908"/>
    <cellStyle name="40% - Accent5 4 15 2 2 2" xfId="54769"/>
    <cellStyle name="40% - Accent5 4 15 2 3" xfId="37722"/>
    <cellStyle name="40% - Accent5 4 15 3" xfId="17456"/>
    <cellStyle name="40% - Accent5 4 15 3 2" xfId="46317"/>
    <cellStyle name="40% - Accent5 4 15 4" xfId="31681"/>
    <cellStyle name="40% - Accent5 4 16" xfId="5706"/>
    <cellStyle name="40% - Accent5 4 16 2" xfId="11747"/>
    <cellStyle name="40% - Accent5 4 16 2 2" xfId="28794"/>
    <cellStyle name="40% - Accent5 4 16 2 2 2" xfId="57655"/>
    <cellStyle name="40% - Accent5 4 16 2 3" xfId="40608"/>
    <cellStyle name="40% - Accent5 4 16 3" xfId="22816"/>
    <cellStyle name="40% - Accent5 4 16 3 2" xfId="51677"/>
    <cellStyle name="40% - Accent5 4 16 4" xfId="34567"/>
    <cellStyle name="40% - Accent5 4 17" xfId="5923"/>
    <cellStyle name="40% - Accent5 4 17 2" xfId="23022"/>
    <cellStyle name="40% - Accent5 4 17 2 2" xfId="51883"/>
    <cellStyle name="40% - Accent5 4 17 3" xfId="34784"/>
    <cellStyle name="40% - Accent5 4 18" xfId="6181"/>
    <cellStyle name="40% - Accent5 4 18 2" xfId="23228"/>
    <cellStyle name="40% - Accent5 4 18 2 2" xfId="52089"/>
    <cellStyle name="40% - Accent5 4 18 3" xfId="35042"/>
    <cellStyle name="40% - Accent5 4 19" xfId="14570"/>
    <cellStyle name="40% - Accent5 4 19 2" xfId="43431"/>
    <cellStyle name="40% - Accent5 4 2" xfId="345"/>
    <cellStyle name="40% - Accent5 4 2 10" xfId="2508"/>
    <cellStyle name="40% - Accent5 4 2 10 2" xfId="5395"/>
    <cellStyle name="40% - Accent5 4 2 10 2 2" xfId="11436"/>
    <cellStyle name="40% - Accent5 4 2 10 2 2 2" xfId="28483"/>
    <cellStyle name="40% - Accent5 4 2 10 2 2 2 2" xfId="57344"/>
    <cellStyle name="40% - Accent5 4 2 10 2 2 3" xfId="40297"/>
    <cellStyle name="40% - Accent5 4 2 10 2 3" xfId="22505"/>
    <cellStyle name="40% - Accent5 4 2 10 2 3 2" xfId="51366"/>
    <cellStyle name="40% - Accent5 4 2 10 2 4" xfId="34256"/>
    <cellStyle name="40% - Accent5 4 2 10 3" xfId="8550"/>
    <cellStyle name="40% - Accent5 4 2 10 3 2" xfId="25597"/>
    <cellStyle name="40% - Accent5 4 2 10 3 2 2" xfId="54458"/>
    <cellStyle name="40% - Accent5 4 2 10 3 3" xfId="37411"/>
    <cellStyle name="40% - Accent5 4 2 10 4" xfId="14013"/>
    <cellStyle name="40% - Accent5 4 2 10 4 2" xfId="19825"/>
    <cellStyle name="40% - Accent5 4 2 10 4 2 2" xfId="48686"/>
    <cellStyle name="40% - Accent5 4 2 10 4 3" xfId="42874"/>
    <cellStyle name="40% - Accent5 4 2 10 5" xfId="17145"/>
    <cellStyle name="40% - Accent5 4 2 10 5 2" xfId="46006"/>
    <cellStyle name="40% - Accent5 4 2 10 6" xfId="31370"/>
    <cellStyle name="40% - Accent5 4 2 11" xfId="2717"/>
    <cellStyle name="40% - Accent5 4 2 11 2" xfId="5603"/>
    <cellStyle name="40% - Accent5 4 2 11 2 2" xfId="11644"/>
    <cellStyle name="40% - Accent5 4 2 11 2 2 2" xfId="28691"/>
    <cellStyle name="40% - Accent5 4 2 11 2 2 2 2" xfId="57552"/>
    <cellStyle name="40% - Accent5 4 2 11 2 2 3" xfId="40505"/>
    <cellStyle name="40% - Accent5 4 2 11 2 3" xfId="22713"/>
    <cellStyle name="40% - Accent5 4 2 11 2 3 2" xfId="51574"/>
    <cellStyle name="40% - Accent5 4 2 11 2 4" xfId="34464"/>
    <cellStyle name="40% - Accent5 4 2 11 3" xfId="8758"/>
    <cellStyle name="40% - Accent5 4 2 11 3 2" xfId="25805"/>
    <cellStyle name="40% - Accent5 4 2 11 3 2 2" xfId="54666"/>
    <cellStyle name="40% - Accent5 4 2 11 3 3" xfId="37619"/>
    <cellStyle name="40% - Accent5 4 2 11 4" xfId="13961"/>
    <cellStyle name="40% - Accent5 4 2 11 4 2" xfId="20033"/>
    <cellStyle name="40% - Accent5 4 2 11 4 2 2" xfId="48894"/>
    <cellStyle name="40% - Accent5 4 2 11 4 3" xfId="42822"/>
    <cellStyle name="40% - Accent5 4 2 11 5" xfId="17353"/>
    <cellStyle name="40% - Accent5 4 2 11 5 2" xfId="46214"/>
    <cellStyle name="40% - Accent5 4 2 11 6" xfId="31578"/>
    <cellStyle name="40% - Accent5 4 2 12" xfId="3232"/>
    <cellStyle name="40% - Accent5 4 2 12 2" xfId="9273"/>
    <cellStyle name="40% - Accent5 4 2 12 2 2" xfId="26320"/>
    <cellStyle name="40% - Accent5 4 2 12 2 2 2" xfId="55181"/>
    <cellStyle name="40% - Accent5 4 2 12 2 3" xfId="38134"/>
    <cellStyle name="40% - Accent5 4 2 12 3" xfId="12092"/>
    <cellStyle name="40% - Accent5 4 2 12 3 2" xfId="20342"/>
    <cellStyle name="40% - Accent5 4 2 12 3 2 2" xfId="49203"/>
    <cellStyle name="40% - Accent5 4 2 12 3 3" xfId="40953"/>
    <cellStyle name="40% - Accent5 4 2 12 4" xfId="14982"/>
    <cellStyle name="40% - Accent5 4 2 12 4 2" xfId="43843"/>
    <cellStyle name="40% - Accent5 4 2 12 5" xfId="32093"/>
    <cellStyle name="40% - Accent5 4 2 13" xfId="2923"/>
    <cellStyle name="40% - Accent5 4 2 13 2" xfId="8964"/>
    <cellStyle name="40% - Accent5 4 2 13 2 2" xfId="26011"/>
    <cellStyle name="40% - Accent5 4 2 13 2 2 2" xfId="54872"/>
    <cellStyle name="40% - Accent5 4 2 13 2 3" xfId="37825"/>
    <cellStyle name="40% - Accent5 4 2 13 3" xfId="17559"/>
    <cellStyle name="40% - Accent5 4 2 13 3 2" xfId="46420"/>
    <cellStyle name="40% - Accent5 4 2 13 4" xfId="31784"/>
    <cellStyle name="40% - Accent5 4 2 14" xfId="5809"/>
    <cellStyle name="40% - Accent5 4 2 14 2" xfId="11850"/>
    <cellStyle name="40% - Accent5 4 2 14 2 2" xfId="28897"/>
    <cellStyle name="40% - Accent5 4 2 14 2 2 2" xfId="57758"/>
    <cellStyle name="40% - Accent5 4 2 14 2 3" xfId="40711"/>
    <cellStyle name="40% - Accent5 4 2 14 3" xfId="22919"/>
    <cellStyle name="40% - Accent5 4 2 14 3 2" xfId="51780"/>
    <cellStyle name="40% - Accent5 4 2 14 4" xfId="34670"/>
    <cellStyle name="40% - Accent5 4 2 15" xfId="6026"/>
    <cellStyle name="40% - Accent5 4 2 15 2" xfId="23125"/>
    <cellStyle name="40% - Accent5 4 2 15 2 2" xfId="51986"/>
    <cellStyle name="40% - Accent5 4 2 15 3" xfId="34887"/>
    <cellStyle name="40% - Accent5 4 2 16" xfId="6387"/>
    <cellStyle name="40% - Accent5 4 2 16 2" xfId="23434"/>
    <cellStyle name="40% - Accent5 4 2 16 2 2" xfId="52295"/>
    <cellStyle name="40% - Accent5 4 2 16 3" xfId="35248"/>
    <cellStyle name="40% - Accent5 4 2 17" xfId="14673"/>
    <cellStyle name="40% - Accent5 4 2 17 2" xfId="43534"/>
    <cellStyle name="40% - Accent5 4 2 18" xfId="29207"/>
    <cellStyle name="40% - Accent5 4 2 2" xfId="551"/>
    <cellStyle name="40% - Accent5 4 2 2 2" xfId="2302"/>
    <cellStyle name="40% - Accent5 4 2 2 2 2" xfId="5189"/>
    <cellStyle name="40% - Accent5 4 2 2 2 2 2" xfId="11230"/>
    <cellStyle name="40% - Accent5 4 2 2 2 2 2 2" xfId="28277"/>
    <cellStyle name="40% - Accent5 4 2 2 2 2 2 2 2" xfId="57138"/>
    <cellStyle name="40% - Accent5 4 2 2 2 2 2 3" xfId="40091"/>
    <cellStyle name="40% - Accent5 4 2 2 2 2 3" xfId="22299"/>
    <cellStyle name="40% - Accent5 4 2 2 2 2 3 2" xfId="51160"/>
    <cellStyle name="40% - Accent5 4 2 2 2 2 4" xfId="34050"/>
    <cellStyle name="40% - Accent5 4 2 2 2 3" xfId="8344"/>
    <cellStyle name="40% - Accent5 4 2 2 2 3 2" xfId="25391"/>
    <cellStyle name="40% - Accent5 4 2 2 2 3 2 2" xfId="54252"/>
    <cellStyle name="40% - Accent5 4 2 2 2 3 3" xfId="37205"/>
    <cellStyle name="40% - Accent5 4 2 2 2 4" xfId="13176"/>
    <cellStyle name="40% - Accent5 4 2 2 2 4 2" xfId="19619"/>
    <cellStyle name="40% - Accent5 4 2 2 2 4 2 2" xfId="48480"/>
    <cellStyle name="40% - Accent5 4 2 2 2 4 3" xfId="42037"/>
    <cellStyle name="40% - Accent5 4 2 2 2 5" xfId="16939"/>
    <cellStyle name="40% - Accent5 4 2 2 2 5 2" xfId="45800"/>
    <cellStyle name="40% - Accent5 4 2 2 2 6" xfId="31164"/>
    <cellStyle name="40% - Accent5 4 2 2 3" xfId="3438"/>
    <cellStyle name="40% - Accent5 4 2 2 3 2" xfId="9479"/>
    <cellStyle name="40% - Accent5 4 2 2 3 2 2" xfId="26526"/>
    <cellStyle name="40% - Accent5 4 2 2 3 2 2 2" xfId="55387"/>
    <cellStyle name="40% - Accent5 4 2 2 3 2 3" xfId="38340"/>
    <cellStyle name="40% - Accent5 4 2 2 3 3" xfId="20548"/>
    <cellStyle name="40% - Accent5 4 2 2 3 3 2" xfId="49409"/>
    <cellStyle name="40% - Accent5 4 2 2 3 4" xfId="32299"/>
    <cellStyle name="40% - Accent5 4 2 2 4" xfId="6593"/>
    <cellStyle name="40% - Accent5 4 2 2 4 2" xfId="23640"/>
    <cellStyle name="40% - Accent5 4 2 2 4 2 2" xfId="52501"/>
    <cellStyle name="40% - Accent5 4 2 2 4 3" xfId="35454"/>
    <cellStyle name="40% - Accent5 4 2 2 5" xfId="14395"/>
    <cellStyle name="40% - Accent5 4 2 2 5 2" xfId="17868"/>
    <cellStyle name="40% - Accent5 4 2 2 5 2 2" xfId="46729"/>
    <cellStyle name="40% - Accent5 4 2 2 5 3" xfId="43256"/>
    <cellStyle name="40% - Accent5 4 2 2 6" xfId="15188"/>
    <cellStyle name="40% - Accent5 4 2 2 6 2" xfId="44049"/>
    <cellStyle name="40% - Accent5 4 2 2 7" xfId="29413"/>
    <cellStyle name="40% - Accent5 4 2 3" xfId="860"/>
    <cellStyle name="40% - Accent5 4 2 3 2" xfId="3747"/>
    <cellStyle name="40% - Accent5 4 2 3 2 2" xfId="9788"/>
    <cellStyle name="40% - Accent5 4 2 3 2 2 2" xfId="26835"/>
    <cellStyle name="40% - Accent5 4 2 3 2 2 2 2" xfId="55696"/>
    <cellStyle name="40% - Accent5 4 2 3 2 2 3" xfId="38649"/>
    <cellStyle name="40% - Accent5 4 2 3 2 3" xfId="20857"/>
    <cellStyle name="40% - Accent5 4 2 3 2 3 2" xfId="49718"/>
    <cellStyle name="40% - Accent5 4 2 3 2 4" xfId="32608"/>
    <cellStyle name="40% - Accent5 4 2 3 3" xfId="6902"/>
    <cellStyle name="40% - Accent5 4 2 3 3 2" xfId="23949"/>
    <cellStyle name="40% - Accent5 4 2 3 3 2 2" xfId="52810"/>
    <cellStyle name="40% - Accent5 4 2 3 3 3" xfId="35763"/>
    <cellStyle name="40% - Accent5 4 2 3 4" xfId="12748"/>
    <cellStyle name="40% - Accent5 4 2 3 4 2" xfId="18177"/>
    <cellStyle name="40% - Accent5 4 2 3 4 2 2" xfId="47038"/>
    <cellStyle name="40% - Accent5 4 2 3 4 3" xfId="41609"/>
    <cellStyle name="40% - Accent5 4 2 3 5" xfId="15497"/>
    <cellStyle name="40% - Accent5 4 2 3 5 2" xfId="44358"/>
    <cellStyle name="40% - Accent5 4 2 3 6" xfId="29722"/>
    <cellStyle name="40% - Accent5 4 2 4" xfId="1066"/>
    <cellStyle name="40% - Accent5 4 2 4 2" xfId="3953"/>
    <cellStyle name="40% - Accent5 4 2 4 2 2" xfId="9994"/>
    <cellStyle name="40% - Accent5 4 2 4 2 2 2" xfId="27041"/>
    <cellStyle name="40% - Accent5 4 2 4 2 2 2 2" xfId="55902"/>
    <cellStyle name="40% - Accent5 4 2 4 2 2 3" xfId="38855"/>
    <cellStyle name="40% - Accent5 4 2 4 2 3" xfId="21063"/>
    <cellStyle name="40% - Accent5 4 2 4 2 3 2" xfId="49924"/>
    <cellStyle name="40% - Accent5 4 2 4 2 4" xfId="32814"/>
    <cellStyle name="40% - Accent5 4 2 4 3" xfId="7108"/>
    <cellStyle name="40% - Accent5 4 2 4 3 2" xfId="24155"/>
    <cellStyle name="40% - Accent5 4 2 4 3 2 2" xfId="53016"/>
    <cellStyle name="40% - Accent5 4 2 4 3 3" xfId="35969"/>
    <cellStyle name="40% - Accent5 4 2 4 4" xfId="14365"/>
    <cellStyle name="40% - Accent5 4 2 4 4 2" xfId="18383"/>
    <cellStyle name="40% - Accent5 4 2 4 4 2 2" xfId="47244"/>
    <cellStyle name="40% - Accent5 4 2 4 4 3" xfId="43226"/>
    <cellStyle name="40% - Accent5 4 2 4 5" xfId="15703"/>
    <cellStyle name="40% - Accent5 4 2 4 5 2" xfId="44564"/>
    <cellStyle name="40% - Accent5 4 2 4 6" xfId="29928"/>
    <cellStyle name="40% - Accent5 4 2 5" xfId="1272"/>
    <cellStyle name="40% - Accent5 4 2 5 2" xfId="4159"/>
    <cellStyle name="40% - Accent5 4 2 5 2 2" xfId="10200"/>
    <cellStyle name="40% - Accent5 4 2 5 2 2 2" xfId="27247"/>
    <cellStyle name="40% - Accent5 4 2 5 2 2 2 2" xfId="56108"/>
    <cellStyle name="40% - Accent5 4 2 5 2 2 3" xfId="39061"/>
    <cellStyle name="40% - Accent5 4 2 5 2 3" xfId="21269"/>
    <cellStyle name="40% - Accent5 4 2 5 2 3 2" xfId="50130"/>
    <cellStyle name="40% - Accent5 4 2 5 2 4" xfId="33020"/>
    <cellStyle name="40% - Accent5 4 2 5 3" xfId="7314"/>
    <cellStyle name="40% - Accent5 4 2 5 3 2" xfId="24361"/>
    <cellStyle name="40% - Accent5 4 2 5 3 2 2" xfId="53222"/>
    <cellStyle name="40% - Accent5 4 2 5 3 3" xfId="36175"/>
    <cellStyle name="40% - Accent5 4 2 5 4" xfId="13141"/>
    <cellStyle name="40% - Accent5 4 2 5 4 2" xfId="18589"/>
    <cellStyle name="40% - Accent5 4 2 5 4 2 2" xfId="47450"/>
    <cellStyle name="40% - Accent5 4 2 5 4 3" xfId="42002"/>
    <cellStyle name="40% - Accent5 4 2 5 5" xfId="15909"/>
    <cellStyle name="40% - Accent5 4 2 5 5 2" xfId="44770"/>
    <cellStyle name="40% - Accent5 4 2 5 6" xfId="30134"/>
    <cellStyle name="40% - Accent5 4 2 6" xfId="1478"/>
    <cellStyle name="40% - Accent5 4 2 6 2" xfId="4365"/>
    <cellStyle name="40% - Accent5 4 2 6 2 2" xfId="10406"/>
    <cellStyle name="40% - Accent5 4 2 6 2 2 2" xfId="27453"/>
    <cellStyle name="40% - Accent5 4 2 6 2 2 2 2" xfId="56314"/>
    <cellStyle name="40% - Accent5 4 2 6 2 2 3" xfId="39267"/>
    <cellStyle name="40% - Accent5 4 2 6 2 3" xfId="21475"/>
    <cellStyle name="40% - Accent5 4 2 6 2 3 2" xfId="50336"/>
    <cellStyle name="40% - Accent5 4 2 6 2 4" xfId="33226"/>
    <cellStyle name="40% - Accent5 4 2 6 3" xfId="7520"/>
    <cellStyle name="40% - Accent5 4 2 6 3 2" xfId="24567"/>
    <cellStyle name="40% - Accent5 4 2 6 3 2 2" xfId="53428"/>
    <cellStyle name="40% - Accent5 4 2 6 3 3" xfId="36381"/>
    <cellStyle name="40% - Accent5 4 2 6 4" xfId="14161"/>
    <cellStyle name="40% - Accent5 4 2 6 4 2" xfId="18795"/>
    <cellStyle name="40% - Accent5 4 2 6 4 2 2" xfId="47656"/>
    <cellStyle name="40% - Accent5 4 2 6 4 3" xfId="43022"/>
    <cellStyle name="40% - Accent5 4 2 6 5" xfId="16115"/>
    <cellStyle name="40% - Accent5 4 2 6 5 2" xfId="44976"/>
    <cellStyle name="40% - Accent5 4 2 6 6" xfId="30340"/>
    <cellStyle name="40% - Accent5 4 2 7" xfId="1684"/>
    <cellStyle name="40% - Accent5 4 2 7 2" xfId="4571"/>
    <cellStyle name="40% - Accent5 4 2 7 2 2" xfId="10612"/>
    <cellStyle name="40% - Accent5 4 2 7 2 2 2" xfId="27659"/>
    <cellStyle name="40% - Accent5 4 2 7 2 2 2 2" xfId="56520"/>
    <cellStyle name="40% - Accent5 4 2 7 2 2 3" xfId="39473"/>
    <cellStyle name="40% - Accent5 4 2 7 2 3" xfId="21681"/>
    <cellStyle name="40% - Accent5 4 2 7 2 3 2" xfId="50542"/>
    <cellStyle name="40% - Accent5 4 2 7 2 4" xfId="33432"/>
    <cellStyle name="40% - Accent5 4 2 7 3" xfId="7726"/>
    <cellStyle name="40% - Accent5 4 2 7 3 2" xfId="24773"/>
    <cellStyle name="40% - Accent5 4 2 7 3 2 2" xfId="53634"/>
    <cellStyle name="40% - Accent5 4 2 7 3 3" xfId="36587"/>
    <cellStyle name="40% - Accent5 4 2 7 4" xfId="12677"/>
    <cellStyle name="40% - Accent5 4 2 7 4 2" xfId="19001"/>
    <cellStyle name="40% - Accent5 4 2 7 4 2 2" xfId="47862"/>
    <cellStyle name="40% - Accent5 4 2 7 4 3" xfId="41538"/>
    <cellStyle name="40% - Accent5 4 2 7 5" xfId="16321"/>
    <cellStyle name="40% - Accent5 4 2 7 5 2" xfId="45182"/>
    <cellStyle name="40% - Accent5 4 2 7 6" xfId="30546"/>
    <cellStyle name="40% - Accent5 4 2 8" xfId="1890"/>
    <cellStyle name="40% - Accent5 4 2 8 2" xfId="4777"/>
    <cellStyle name="40% - Accent5 4 2 8 2 2" xfId="10818"/>
    <cellStyle name="40% - Accent5 4 2 8 2 2 2" xfId="27865"/>
    <cellStyle name="40% - Accent5 4 2 8 2 2 2 2" xfId="56726"/>
    <cellStyle name="40% - Accent5 4 2 8 2 2 3" xfId="39679"/>
    <cellStyle name="40% - Accent5 4 2 8 2 3" xfId="21887"/>
    <cellStyle name="40% - Accent5 4 2 8 2 3 2" xfId="50748"/>
    <cellStyle name="40% - Accent5 4 2 8 2 4" xfId="33638"/>
    <cellStyle name="40% - Accent5 4 2 8 3" xfId="7932"/>
    <cellStyle name="40% - Accent5 4 2 8 3 2" xfId="24979"/>
    <cellStyle name="40% - Accent5 4 2 8 3 2 2" xfId="53840"/>
    <cellStyle name="40% - Accent5 4 2 8 3 3" xfId="36793"/>
    <cellStyle name="40% - Accent5 4 2 8 4" xfId="14177"/>
    <cellStyle name="40% - Accent5 4 2 8 4 2" xfId="19207"/>
    <cellStyle name="40% - Accent5 4 2 8 4 2 2" xfId="48068"/>
    <cellStyle name="40% - Accent5 4 2 8 4 3" xfId="43038"/>
    <cellStyle name="40% - Accent5 4 2 8 5" xfId="16527"/>
    <cellStyle name="40% - Accent5 4 2 8 5 2" xfId="45388"/>
    <cellStyle name="40% - Accent5 4 2 8 6" xfId="30752"/>
    <cellStyle name="40% - Accent5 4 2 9" xfId="2096"/>
    <cellStyle name="40% - Accent5 4 2 9 2" xfId="4983"/>
    <cellStyle name="40% - Accent5 4 2 9 2 2" xfId="11024"/>
    <cellStyle name="40% - Accent5 4 2 9 2 2 2" xfId="28071"/>
    <cellStyle name="40% - Accent5 4 2 9 2 2 2 2" xfId="56932"/>
    <cellStyle name="40% - Accent5 4 2 9 2 2 3" xfId="39885"/>
    <cellStyle name="40% - Accent5 4 2 9 2 3" xfId="22093"/>
    <cellStyle name="40% - Accent5 4 2 9 2 3 2" xfId="50954"/>
    <cellStyle name="40% - Accent5 4 2 9 2 4" xfId="33844"/>
    <cellStyle name="40% - Accent5 4 2 9 3" xfId="8138"/>
    <cellStyle name="40% - Accent5 4 2 9 3 2" xfId="25185"/>
    <cellStyle name="40% - Accent5 4 2 9 3 2 2" xfId="54046"/>
    <cellStyle name="40% - Accent5 4 2 9 3 3" xfId="36999"/>
    <cellStyle name="40% - Accent5 4 2 9 4" xfId="12898"/>
    <cellStyle name="40% - Accent5 4 2 9 4 2" xfId="19413"/>
    <cellStyle name="40% - Accent5 4 2 9 4 2 2" xfId="48274"/>
    <cellStyle name="40% - Accent5 4 2 9 4 3" xfId="41759"/>
    <cellStyle name="40% - Accent5 4 2 9 5" xfId="16733"/>
    <cellStyle name="40% - Accent5 4 2 9 5 2" xfId="45594"/>
    <cellStyle name="40% - Accent5 4 2 9 6" xfId="30958"/>
    <cellStyle name="40% - Accent5 4 20" xfId="29001"/>
    <cellStyle name="40% - Accent5 4 3" xfId="242"/>
    <cellStyle name="40% - Accent5 4 3 2" xfId="654"/>
    <cellStyle name="40% - Accent5 4 3 2 2" xfId="3541"/>
    <cellStyle name="40% - Accent5 4 3 2 2 2" xfId="9582"/>
    <cellStyle name="40% - Accent5 4 3 2 2 2 2" xfId="26629"/>
    <cellStyle name="40% - Accent5 4 3 2 2 2 2 2" xfId="55490"/>
    <cellStyle name="40% - Accent5 4 3 2 2 2 3" xfId="38443"/>
    <cellStyle name="40% - Accent5 4 3 2 2 3" xfId="20651"/>
    <cellStyle name="40% - Accent5 4 3 2 2 3 2" xfId="49512"/>
    <cellStyle name="40% - Accent5 4 3 2 2 4" xfId="32402"/>
    <cellStyle name="40% - Accent5 4 3 2 3" xfId="6696"/>
    <cellStyle name="40% - Accent5 4 3 2 3 2" xfId="23743"/>
    <cellStyle name="40% - Accent5 4 3 2 3 2 2" xfId="52604"/>
    <cellStyle name="40% - Accent5 4 3 2 3 3" xfId="35557"/>
    <cellStyle name="40% - Accent5 4 3 2 4" xfId="12197"/>
    <cellStyle name="40% - Accent5 4 3 2 4 2" xfId="17971"/>
    <cellStyle name="40% - Accent5 4 3 2 4 2 2" xfId="46832"/>
    <cellStyle name="40% - Accent5 4 3 2 4 3" xfId="41058"/>
    <cellStyle name="40% - Accent5 4 3 2 5" xfId="15291"/>
    <cellStyle name="40% - Accent5 4 3 2 5 2" xfId="44152"/>
    <cellStyle name="40% - Accent5 4 3 2 6" xfId="29516"/>
    <cellStyle name="40% - Accent5 4 3 3" xfId="2199"/>
    <cellStyle name="40% - Accent5 4 3 3 2" xfId="5086"/>
    <cellStyle name="40% - Accent5 4 3 3 2 2" xfId="11127"/>
    <cellStyle name="40% - Accent5 4 3 3 2 2 2" xfId="28174"/>
    <cellStyle name="40% - Accent5 4 3 3 2 2 2 2" xfId="57035"/>
    <cellStyle name="40% - Accent5 4 3 3 2 2 3" xfId="39988"/>
    <cellStyle name="40% - Accent5 4 3 3 2 3" xfId="22196"/>
    <cellStyle name="40% - Accent5 4 3 3 2 3 2" xfId="51057"/>
    <cellStyle name="40% - Accent5 4 3 3 2 4" xfId="33947"/>
    <cellStyle name="40% - Accent5 4 3 3 3" xfId="8241"/>
    <cellStyle name="40% - Accent5 4 3 3 3 2" xfId="25288"/>
    <cellStyle name="40% - Accent5 4 3 3 3 2 2" xfId="54149"/>
    <cellStyle name="40% - Accent5 4 3 3 3 3" xfId="37102"/>
    <cellStyle name="40% - Accent5 4 3 3 4" xfId="12735"/>
    <cellStyle name="40% - Accent5 4 3 3 4 2" xfId="19516"/>
    <cellStyle name="40% - Accent5 4 3 3 4 2 2" xfId="48377"/>
    <cellStyle name="40% - Accent5 4 3 3 4 3" xfId="41596"/>
    <cellStyle name="40% - Accent5 4 3 3 5" xfId="16836"/>
    <cellStyle name="40% - Accent5 4 3 3 5 2" xfId="45697"/>
    <cellStyle name="40% - Accent5 4 3 3 6" xfId="31061"/>
    <cellStyle name="40% - Accent5 4 3 4" xfId="3129"/>
    <cellStyle name="40% - Accent5 4 3 4 2" xfId="9170"/>
    <cellStyle name="40% - Accent5 4 3 4 2 2" xfId="26217"/>
    <cellStyle name="40% - Accent5 4 3 4 2 2 2" xfId="55078"/>
    <cellStyle name="40% - Accent5 4 3 4 2 3" xfId="38031"/>
    <cellStyle name="40% - Accent5 4 3 4 3" xfId="20239"/>
    <cellStyle name="40% - Accent5 4 3 4 3 2" xfId="49100"/>
    <cellStyle name="40% - Accent5 4 3 4 4" xfId="31990"/>
    <cellStyle name="40% - Accent5 4 3 5" xfId="6284"/>
    <cellStyle name="40% - Accent5 4 3 5 2" xfId="23331"/>
    <cellStyle name="40% - Accent5 4 3 5 2 2" xfId="52192"/>
    <cellStyle name="40% - Accent5 4 3 5 3" xfId="35145"/>
    <cellStyle name="40% - Accent5 4 3 6" xfId="6075"/>
    <cellStyle name="40% - Accent5 4 3 6 2" xfId="17662"/>
    <cellStyle name="40% - Accent5 4 3 6 2 2" xfId="46523"/>
    <cellStyle name="40% - Accent5 4 3 6 3" xfId="34936"/>
    <cellStyle name="40% - Accent5 4 3 7" xfId="14879"/>
    <cellStyle name="40% - Accent5 4 3 7 2" xfId="43740"/>
    <cellStyle name="40% - Accent5 4 3 8" xfId="29104"/>
    <cellStyle name="40% - Accent5 4 4" xfId="448"/>
    <cellStyle name="40% - Accent5 4 4 2" xfId="3335"/>
    <cellStyle name="40% - Accent5 4 4 2 2" xfId="9376"/>
    <cellStyle name="40% - Accent5 4 4 2 2 2" xfId="26423"/>
    <cellStyle name="40% - Accent5 4 4 2 2 2 2" xfId="55284"/>
    <cellStyle name="40% - Accent5 4 4 2 2 3" xfId="38237"/>
    <cellStyle name="40% - Accent5 4 4 2 3" xfId="20445"/>
    <cellStyle name="40% - Accent5 4 4 2 3 2" xfId="49306"/>
    <cellStyle name="40% - Accent5 4 4 2 4" xfId="32196"/>
    <cellStyle name="40% - Accent5 4 4 3" xfId="6490"/>
    <cellStyle name="40% - Accent5 4 4 3 2" xfId="23537"/>
    <cellStyle name="40% - Accent5 4 4 3 2 2" xfId="52398"/>
    <cellStyle name="40% - Accent5 4 4 3 3" xfId="35351"/>
    <cellStyle name="40% - Accent5 4 4 4" xfId="13197"/>
    <cellStyle name="40% - Accent5 4 4 4 2" xfId="17765"/>
    <cellStyle name="40% - Accent5 4 4 4 2 2" xfId="46626"/>
    <cellStyle name="40% - Accent5 4 4 4 3" xfId="42058"/>
    <cellStyle name="40% - Accent5 4 4 5" xfId="15085"/>
    <cellStyle name="40% - Accent5 4 4 5 2" xfId="43946"/>
    <cellStyle name="40% - Accent5 4 4 6" xfId="29310"/>
    <cellStyle name="40% - Accent5 4 5" xfId="757"/>
    <cellStyle name="40% - Accent5 4 5 2" xfId="3644"/>
    <cellStyle name="40% - Accent5 4 5 2 2" xfId="9685"/>
    <cellStyle name="40% - Accent5 4 5 2 2 2" xfId="26732"/>
    <cellStyle name="40% - Accent5 4 5 2 2 2 2" xfId="55593"/>
    <cellStyle name="40% - Accent5 4 5 2 2 3" xfId="38546"/>
    <cellStyle name="40% - Accent5 4 5 2 3" xfId="20754"/>
    <cellStyle name="40% - Accent5 4 5 2 3 2" xfId="49615"/>
    <cellStyle name="40% - Accent5 4 5 2 4" xfId="32505"/>
    <cellStyle name="40% - Accent5 4 5 3" xfId="6799"/>
    <cellStyle name="40% - Accent5 4 5 3 2" xfId="23846"/>
    <cellStyle name="40% - Accent5 4 5 3 2 2" xfId="52707"/>
    <cellStyle name="40% - Accent5 4 5 3 3" xfId="35660"/>
    <cellStyle name="40% - Accent5 4 5 4" xfId="6052"/>
    <cellStyle name="40% - Accent5 4 5 4 2" xfId="18074"/>
    <cellStyle name="40% - Accent5 4 5 4 2 2" xfId="46935"/>
    <cellStyle name="40% - Accent5 4 5 4 3" xfId="34913"/>
    <cellStyle name="40% - Accent5 4 5 5" xfId="15394"/>
    <cellStyle name="40% - Accent5 4 5 5 2" xfId="44255"/>
    <cellStyle name="40% - Accent5 4 5 6" xfId="29619"/>
    <cellStyle name="40% - Accent5 4 6" xfId="963"/>
    <cellStyle name="40% - Accent5 4 6 2" xfId="3850"/>
    <cellStyle name="40% - Accent5 4 6 2 2" xfId="9891"/>
    <cellStyle name="40% - Accent5 4 6 2 2 2" xfId="26938"/>
    <cellStyle name="40% - Accent5 4 6 2 2 2 2" xfId="55799"/>
    <cellStyle name="40% - Accent5 4 6 2 2 3" xfId="38752"/>
    <cellStyle name="40% - Accent5 4 6 2 3" xfId="20960"/>
    <cellStyle name="40% - Accent5 4 6 2 3 2" xfId="49821"/>
    <cellStyle name="40% - Accent5 4 6 2 4" xfId="32711"/>
    <cellStyle name="40% - Accent5 4 6 3" xfId="7005"/>
    <cellStyle name="40% - Accent5 4 6 3 2" xfId="24052"/>
    <cellStyle name="40% - Accent5 4 6 3 2 2" xfId="52913"/>
    <cellStyle name="40% - Accent5 4 6 3 3" xfId="35866"/>
    <cellStyle name="40% - Accent5 4 6 4" xfId="13283"/>
    <cellStyle name="40% - Accent5 4 6 4 2" xfId="18280"/>
    <cellStyle name="40% - Accent5 4 6 4 2 2" xfId="47141"/>
    <cellStyle name="40% - Accent5 4 6 4 3" xfId="42144"/>
    <cellStyle name="40% - Accent5 4 6 5" xfId="15600"/>
    <cellStyle name="40% - Accent5 4 6 5 2" xfId="44461"/>
    <cellStyle name="40% - Accent5 4 6 6" xfId="29825"/>
    <cellStyle name="40% - Accent5 4 7" xfId="1169"/>
    <cellStyle name="40% - Accent5 4 7 2" xfId="4056"/>
    <cellStyle name="40% - Accent5 4 7 2 2" xfId="10097"/>
    <cellStyle name="40% - Accent5 4 7 2 2 2" xfId="27144"/>
    <cellStyle name="40% - Accent5 4 7 2 2 2 2" xfId="56005"/>
    <cellStyle name="40% - Accent5 4 7 2 2 3" xfId="38958"/>
    <cellStyle name="40% - Accent5 4 7 2 3" xfId="21166"/>
    <cellStyle name="40% - Accent5 4 7 2 3 2" xfId="50027"/>
    <cellStyle name="40% - Accent5 4 7 2 4" xfId="32917"/>
    <cellStyle name="40% - Accent5 4 7 3" xfId="7211"/>
    <cellStyle name="40% - Accent5 4 7 3 2" xfId="24258"/>
    <cellStyle name="40% - Accent5 4 7 3 2 2" xfId="53119"/>
    <cellStyle name="40% - Accent5 4 7 3 3" xfId="36072"/>
    <cellStyle name="40% - Accent5 4 7 4" xfId="13852"/>
    <cellStyle name="40% - Accent5 4 7 4 2" xfId="18486"/>
    <cellStyle name="40% - Accent5 4 7 4 2 2" xfId="47347"/>
    <cellStyle name="40% - Accent5 4 7 4 3" xfId="42713"/>
    <cellStyle name="40% - Accent5 4 7 5" xfId="15806"/>
    <cellStyle name="40% - Accent5 4 7 5 2" xfId="44667"/>
    <cellStyle name="40% - Accent5 4 7 6" xfId="30031"/>
    <cellStyle name="40% - Accent5 4 8" xfId="1375"/>
    <cellStyle name="40% - Accent5 4 8 2" xfId="4262"/>
    <cellStyle name="40% - Accent5 4 8 2 2" xfId="10303"/>
    <cellStyle name="40% - Accent5 4 8 2 2 2" xfId="27350"/>
    <cellStyle name="40% - Accent5 4 8 2 2 2 2" xfId="56211"/>
    <cellStyle name="40% - Accent5 4 8 2 2 3" xfId="39164"/>
    <cellStyle name="40% - Accent5 4 8 2 3" xfId="21372"/>
    <cellStyle name="40% - Accent5 4 8 2 3 2" xfId="50233"/>
    <cellStyle name="40% - Accent5 4 8 2 4" xfId="33123"/>
    <cellStyle name="40% - Accent5 4 8 3" xfId="7417"/>
    <cellStyle name="40% - Accent5 4 8 3 2" xfId="24464"/>
    <cellStyle name="40% - Accent5 4 8 3 2 2" xfId="53325"/>
    <cellStyle name="40% - Accent5 4 8 3 3" xfId="36278"/>
    <cellStyle name="40% - Accent5 4 8 4" xfId="13363"/>
    <cellStyle name="40% - Accent5 4 8 4 2" xfId="18692"/>
    <cellStyle name="40% - Accent5 4 8 4 2 2" xfId="47553"/>
    <cellStyle name="40% - Accent5 4 8 4 3" xfId="42224"/>
    <cellStyle name="40% - Accent5 4 8 5" xfId="16012"/>
    <cellStyle name="40% - Accent5 4 8 5 2" xfId="44873"/>
    <cellStyle name="40% - Accent5 4 8 6" xfId="30237"/>
    <cellStyle name="40% - Accent5 4 9" xfId="1581"/>
    <cellStyle name="40% - Accent5 4 9 2" xfId="4468"/>
    <cellStyle name="40% - Accent5 4 9 2 2" xfId="10509"/>
    <cellStyle name="40% - Accent5 4 9 2 2 2" xfId="27556"/>
    <cellStyle name="40% - Accent5 4 9 2 2 2 2" xfId="56417"/>
    <cellStyle name="40% - Accent5 4 9 2 2 3" xfId="39370"/>
    <cellStyle name="40% - Accent5 4 9 2 3" xfId="21578"/>
    <cellStyle name="40% - Accent5 4 9 2 3 2" xfId="50439"/>
    <cellStyle name="40% - Accent5 4 9 2 4" xfId="33329"/>
    <cellStyle name="40% - Accent5 4 9 3" xfId="7623"/>
    <cellStyle name="40% - Accent5 4 9 3 2" xfId="24670"/>
    <cellStyle name="40% - Accent5 4 9 3 2 2" xfId="53531"/>
    <cellStyle name="40% - Accent5 4 9 3 3" xfId="36484"/>
    <cellStyle name="40% - Accent5 4 9 4" xfId="12451"/>
    <cellStyle name="40% - Accent5 4 9 4 2" xfId="18898"/>
    <cellStyle name="40% - Accent5 4 9 4 2 2" xfId="47759"/>
    <cellStyle name="40% - Accent5 4 9 4 3" xfId="41312"/>
    <cellStyle name="40% - Accent5 4 9 5" xfId="16218"/>
    <cellStyle name="40% - Accent5 4 9 5 2" xfId="45079"/>
    <cellStyle name="40% - Accent5 4 9 6" xfId="30443"/>
    <cellStyle name="40% - Accent5 5" xfId="292"/>
    <cellStyle name="40% - Accent5 5 10" xfId="2455"/>
    <cellStyle name="40% - Accent5 5 10 2" xfId="5342"/>
    <cellStyle name="40% - Accent5 5 10 2 2" xfId="11383"/>
    <cellStyle name="40% - Accent5 5 10 2 2 2" xfId="28430"/>
    <cellStyle name="40% - Accent5 5 10 2 2 2 2" xfId="57291"/>
    <cellStyle name="40% - Accent5 5 10 2 2 3" xfId="40244"/>
    <cellStyle name="40% - Accent5 5 10 2 3" xfId="22452"/>
    <cellStyle name="40% - Accent5 5 10 2 3 2" xfId="51313"/>
    <cellStyle name="40% - Accent5 5 10 2 4" xfId="34203"/>
    <cellStyle name="40% - Accent5 5 10 3" xfId="8497"/>
    <cellStyle name="40% - Accent5 5 10 3 2" xfId="25544"/>
    <cellStyle name="40% - Accent5 5 10 3 2 2" xfId="54405"/>
    <cellStyle name="40% - Accent5 5 10 3 3" xfId="37358"/>
    <cellStyle name="40% - Accent5 5 10 4" xfId="13995"/>
    <cellStyle name="40% - Accent5 5 10 4 2" xfId="19772"/>
    <cellStyle name="40% - Accent5 5 10 4 2 2" xfId="48633"/>
    <cellStyle name="40% - Accent5 5 10 4 3" xfId="42856"/>
    <cellStyle name="40% - Accent5 5 10 5" xfId="17092"/>
    <cellStyle name="40% - Accent5 5 10 5 2" xfId="45953"/>
    <cellStyle name="40% - Accent5 5 10 6" xfId="31317"/>
    <cellStyle name="40% - Accent5 5 11" xfId="2664"/>
    <cellStyle name="40% - Accent5 5 11 2" xfId="5550"/>
    <cellStyle name="40% - Accent5 5 11 2 2" xfId="11591"/>
    <cellStyle name="40% - Accent5 5 11 2 2 2" xfId="28638"/>
    <cellStyle name="40% - Accent5 5 11 2 2 2 2" xfId="57499"/>
    <cellStyle name="40% - Accent5 5 11 2 2 3" xfId="40452"/>
    <cellStyle name="40% - Accent5 5 11 2 3" xfId="22660"/>
    <cellStyle name="40% - Accent5 5 11 2 3 2" xfId="51521"/>
    <cellStyle name="40% - Accent5 5 11 2 4" xfId="34411"/>
    <cellStyle name="40% - Accent5 5 11 3" xfId="8705"/>
    <cellStyle name="40% - Accent5 5 11 3 2" xfId="25752"/>
    <cellStyle name="40% - Accent5 5 11 3 2 2" xfId="54613"/>
    <cellStyle name="40% - Accent5 5 11 3 3" xfId="37566"/>
    <cellStyle name="40% - Accent5 5 11 4" xfId="13729"/>
    <cellStyle name="40% - Accent5 5 11 4 2" xfId="19980"/>
    <cellStyle name="40% - Accent5 5 11 4 2 2" xfId="48841"/>
    <cellStyle name="40% - Accent5 5 11 4 3" xfId="42590"/>
    <cellStyle name="40% - Accent5 5 11 5" xfId="17300"/>
    <cellStyle name="40% - Accent5 5 11 5 2" xfId="46161"/>
    <cellStyle name="40% - Accent5 5 11 6" xfId="31525"/>
    <cellStyle name="40% - Accent5 5 12" xfId="3179"/>
    <cellStyle name="40% - Accent5 5 12 2" xfId="9220"/>
    <cellStyle name="40% - Accent5 5 12 2 2" xfId="26267"/>
    <cellStyle name="40% - Accent5 5 12 2 2 2" xfId="55128"/>
    <cellStyle name="40% - Accent5 5 12 2 3" xfId="38081"/>
    <cellStyle name="40% - Accent5 5 12 3" xfId="13611"/>
    <cellStyle name="40% - Accent5 5 12 3 2" xfId="20289"/>
    <cellStyle name="40% - Accent5 5 12 3 2 2" xfId="49150"/>
    <cellStyle name="40% - Accent5 5 12 3 3" xfId="42472"/>
    <cellStyle name="40% - Accent5 5 12 4" xfId="14929"/>
    <cellStyle name="40% - Accent5 5 12 4 2" xfId="43790"/>
    <cellStyle name="40% - Accent5 5 12 5" xfId="32040"/>
    <cellStyle name="40% - Accent5 5 13" xfId="2870"/>
    <cellStyle name="40% - Accent5 5 13 2" xfId="8911"/>
    <cellStyle name="40% - Accent5 5 13 2 2" xfId="25958"/>
    <cellStyle name="40% - Accent5 5 13 2 2 2" xfId="54819"/>
    <cellStyle name="40% - Accent5 5 13 2 3" xfId="37772"/>
    <cellStyle name="40% - Accent5 5 13 3" xfId="17506"/>
    <cellStyle name="40% - Accent5 5 13 3 2" xfId="46367"/>
    <cellStyle name="40% - Accent5 5 13 4" xfId="31731"/>
    <cellStyle name="40% - Accent5 5 14" xfId="5756"/>
    <cellStyle name="40% - Accent5 5 14 2" xfId="11797"/>
    <cellStyle name="40% - Accent5 5 14 2 2" xfId="28844"/>
    <cellStyle name="40% - Accent5 5 14 2 2 2" xfId="57705"/>
    <cellStyle name="40% - Accent5 5 14 2 3" xfId="40658"/>
    <cellStyle name="40% - Accent5 5 14 3" xfId="22866"/>
    <cellStyle name="40% - Accent5 5 14 3 2" xfId="51727"/>
    <cellStyle name="40% - Accent5 5 14 4" xfId="34617"/>
    <cellStyle name="40% - Accent5 5 15" xfId="5973"/>
    <cellStyle name="40% - Accent5 5 15 2" xfId="23072"/>
    <cellStyle name="40% - Accent5 5 15 2 2" xfId="51933"/>
    <cellStyle name="40% - Accent5 5 15 3" xfId="34834"/>
    <cellStyle name="40% - Accent5 5 16" xfId="6334"/>
    <cellStyle name="40% - Accent5 5 16 2" xfId="23381"/>
    <cellStyle name="40% - Accent5 5 16 2 2" xfId="52242"/>
    <cellStyle name="40% - Accent5 5 16 3" xfId="35195"/>
    <cellStyle name="40% - Accent5 5 17" xfId="14620"/>
    <cellStyle name="40% - Accent5 5 17 2" xfId="43481"/>
    <cellStyle name="40% - Accent5 5 18" xfId="29154"/>
    <cellStyle name="40% - Accent5 5 2" xfId="498"/>
    <cellStyle name="40% - Accent5 5 2 2" xfId="2249"/>
    <cellStyle name="40% - Accent5 5 2 2 2" xfId="5136"/>
    <cellStyle name="40% - Accent5 5 2 2 2 2" xfId="11177"/>
    <cellStyle name="40% - Accent5 5 2 2 2 2 2" xfId="28224"/>
    <cellStyle name="40% - Accent5 5 2 2 2 2 2 2" xfId="57085"/>
    <cellStyle name="40% - Accent5 5 2 2 2 2 3" xfId="40038"/>
    <cellStyle name="40% - Accent5 5 2 2 2 3" xfId="22246"/>
    <cellStyle name="40% - Accent5 5 2 2 2 3 2" xfId="51107"/>
    <cellStyle name="40% - Accent5 5 2 2 2 4" xfId="33997"/>
    <cellStyle name="40% - Accent5 5 2 2 3" xfId="8291"/>
    <cellStyle name="40% - Accent5 5 2 2 3 2" xfId="25338"/>
    <cellStyle name="40% - Accent5 5 2 2 3 2 2" xfId="54199"/>
    <cellStyle name="40% - Accent5 5 2 2 3 3" xfId="37152"/>
    <cellStyle name="40% - Accent5 5 2 2 4" xfId="13046"/>
    <cellStyle name="40% - Accent5 5 2 2 4 2" xfId="19566"/>
    <cellStyle name="40% - Accent5 5 2 2 4 2 2" xfId="48427"/>
    <cellStyle name="40% - Accent5 5 2 2 4 3" xfId="41907"/>
    <cellStyle name="40% - Accent5 5 2 2 5" xfId="16886"/>
    <cellStyle name="40% - Accent5 5 2 2 5 2" xfId="45747"/>
    <cellStyle name="40% - Accent5 5 2 2 6" xfId="31111"/>
    <cellStyle name="40% - Accent5 5 2 3" xfId="3385"/>
    <cellStyle name="40% - Accent5 5 2 3 2" xfId="9426"/>
    <cellStyle name="40% - Accent5 5 2 3 2 2" xfId="26473"/>
    <cellStyle name="40% - Accent5 5 2 3 2 2 2" xfId="55334"/>
    <cellStyle name="40% - Accent5 5 2 3 2 3" xfId="38287"/>
    <cellStyle name="40% - Accent5 5 2 3 3" xfId="20495"/>
    <cellStyle name="40% - Accent5 5 2 3 3 2" xfId="49356"/>
    <cellStyle name="40% - Accent5 5 2 3 4" xfId="32246"/>
    <cellStyle name="40% - Accent5 5 2 4" xfId="6540"/>
    <cellStyle name="40% - Accent5 5 2 4 2" xfId="23587"/>
    <cellStyle name="40% - Accent5 5 2 4 2 2" xfId="52448"/>
    <cellStyle name="40% - Accent5 5 2 4 3" xfId="35401"/>
    <cellStyle name="40% - Accent5 5 2 5" xfId="12183"/>
    <cellStyle name="40% - Accent5 5 2 5 2" xfId="17815"/>
    <cellStyle name="40% - Accent5 5 2 5 2 2" xfId="46676"/>
    <cellStyle name="40% - Accent5 5 2 5 3" xfId="41044"/>
    <cellStyle name="40% - Accent5 5 2 6" xfId="15135"/>
    <cellStyle name="40% - Accent5 5 2 6 2" xfId="43996"/>
    <cellStyle name="40% - Accent5 5 2 7" xfId="29360"/>
    <cellStyle name="40% - Accent5 5 3" xfId="807"/>
    <cellStyle name="40% - Accent5 5 3 2" xfId="3694"/>
    <cellStyle name="40% - Accent5 5 3 2 2" xfId="9735"/>
    <cellStyle name="40% - Accent5 5 3 2 2 2" xfId="26782"/>
    <cellStyle name="40% - Accent5 5 3 2 2 2 2" xfId="55643"/>
    <cellStyle name="40% - Accent5 5 3 2 2 3" xfId="38596"/>
    <cellStyle name="40% - Accent5 5 3 2 3" xfId="20804"/>
    <cellStyle name="40% - Accent5 5 3 2 3 2" xfId="49665"/>
    <cellStyle name="40% - Accent5 5 3 2 4" xfId="32555"/>
    <cellStyle name="40% - Accent5 5 3 3" xfId="6849"/>
    <cellStyle name="40% - Accent5 5 3 3 2" xfId="23896"/>
    <cellStyle name="40% - Accent5 5 3 3 2 2" xfId="52757"/>
    <cellStyle name="40% - Accent5 5 3 3 3" xfId="35710"/>
    <cellStyle name="40% - Accent5 5 3 4" xfId="13893"/>
    <cellStyle name="40% - Accent5 5 3 4 2" xfId="18124"/>
    <cellStyle name="40% - Accent5 5 3 4 2 2" xfId="46985"/>
    <cellStyle name="40% - Accent5 5 3 4 3" xfId="42754"/>
    <cellStyle name="40% - Accent5 5 3 5" xfId="15444"/>
    <cellStyle name="40% - Accent5 5 3 5 2" xfId="44305"/>
    <cellStyle name="40% - Accent5 5 3 6" xfId="29669"/>
    <cellStyle name="40% - Accent5 5 4" xfId="1013"/>
    <cellStyle name="40% - Accent5 5 4 2" xfId="3900"/>
    <cellStyle name="40% - Accent5 5 4 2 2" xfId="9941"/>
    <cellStyle name="40% - Accent5 5 4 2 2 2" xfId="26988"/>
    <cellStyle name="40% - Accent5 5 4 2 2 2 2" xfId="55849"/>
    <cellStyle name="40% - Accent5 5 4 2 2 3" xfId="38802"/>
    <cellStyle name="40% - Accent5 5 4 2 3" xfId="21010"/>
    <cellStyle name="40% - Accent5 5 4 2 3 2" xfId="49871"/>
    <cellStyle name="40% - Accent5 5 4 2 4" xfId="32761"/>
    <cellStyle name="40% - Accent5 5 4 3" xfId="7055"/>
    <cellStyle name="40% - Accent5 5 4 3 2" xfId="24102"/>
    <cellStyle name="40% - Accent5 5 4 3 2 2" xfId="52963"/>
    <cellStyle name="40% - Accent5 5 4 3 3" xfId="35916"/>
    <cellStyle name="40% - Accent5 5 4 4" xfId="13233"/>
    <cellStyle name="40% - Accent5 5 4 4 2" xfId="18330"/>
    <cellStyle name="40% - Accent5 5 4 4 2 2" xfId="47191"/>
    <cellStyle name="40% - Accent5 5 4 4 3" xfId="42094"/>
    <cellStyle name="40% - Accent5 5 4 5" xfId="15650"/>
    <cellStyle name="40% - Accent5 5 4 5 2" xfId="44511"/>
    <cellStyle name="40% - Accent5 5 4 6" xfId="29875"/>
    <cellStyle name="40% - Accent5 5 5" xfId="1219"/>
    <cellStyle name="40% - Accent5 5 5 2" xfId="4106"/>
    <cellStyle name="40% - Accent5 5 5 2 2" xfId="10147"/>
    <cellStyle name="40% - Accent5 5 5 2 2 2" xfId="27194"/>
    <cellStyle name="40% - Accent5 5 5 2 2 2 2" xfId="56055"/>
    <cellStyle name="40% - Accent5 5 5 2 2 3" xfId="39008"/>
    <cellStyle name="40% - Accent5 5 5 2 3" xfId="21216"/>
    <cellStyle name="40% - Accent5 5 5 2 3 2" xfId="50077"/>
    <cellStyle name="40% - Accent5 5 5 2 4" xfId="32967"/>
    <cellStyle name="40% - Accent5 5 5 3" xfId="7261"/>
    <cellStyle name="40% - Accent5 5 5 3 2" xfId="24308"/>
    <cellStyle name="40% - Accent5 5 5 3 2 2" xfId="53169"/>
    <cellStyle name="40% - Accent5 5 5 3 3" xfId="36122"/>
    <cellStyle name="40% - Accent5 5 5 4" xfId="13227"/>
    <cellStyle name="40% - Accent5 5 5 4 2" xfId="18536"/>
    <cellStyle name="40% - Accent5 5 5 4 2 2" xfId="47397"/>
    <cellStyle name="40% - Accent5 5 5 4 3" xfId="42088"/>
    <cellStyle name="40% - Accent5 5 5 5" xfId="15856"/>
    <cellStyle name="40% - Accent5 5 5 5 2" xfId="44717"/>
    <cellStyle name="40% - Accent5 5 5 6" xfId="30081"/>
    <cellStyle name="40% - Accent5 5 6" xfId="1425"/>
    <cellStyle name="40% - Accent5 5 6 2" xfId="4312"/>
    <cellStyle name="40% - Accent5 5 6 2 2" xfId="10353"/>
    <cellStyle name="40% - Accent5 5 6 2 2 2" xfId="27400"/>
    <cellStyle name="40% - Accent5 5 6 2 2 2 2" xfId="56261"/>
    <cellStyle name="40% - Accent5 5 6 2 2 3" xfId="39214"/>
    <cellStyle name="40% - Accent5 5 6 2 3" xfId="21422"/>
    <cellStyle name="40% - Accent5 5 6 2 3 2" xfId="50283"/>
    <cellStyle name="40% - Accent5 5 6 2 4" xfId="33173"/>
    <cellStyle name="40% - Accent5 5 6 3" xfId="7467"/>
    <cellStyle name="40% - Accent5 5 6 3 2" xfId="24514"/>
    <cellStyle name="40% - Accent5 5 6 3 2 2" xfId="53375"/>
    <cellStyle name="40% - Accent5 5 6 3 3" xfId="36328"/>
    <cellStyle name="40% - Accent5 5 6 4" xfId="14057"/>
    <cellStyle name="40% - Accent5 5 6 4 2" xfId="18742"/>
    <cellStyle name="40% - Accent5 5 6 4 2 2" xfId="47603"/>
    <cellStyle name="40% - Accent5 5 6 4 3" xfId="42918"/>
    <cellStyle name="40% - Accent5 5 6 5" xfId="16062"/>
    <cellStyle name="40% - Accent5 5 6 5 2" xfId="44923"/>
    <cellStyle name="40% - Accent5 5 6 6" xfId="30287"/>
    <cellStyle name="40% - Accent5 5 7" xfId="1631"/>
    <cellStyle name="40% - Accent5 5 7 2" xfId="4518"/>
    <cellStyle name="40% - Accent5 5 7 2 2" xfId="10559"/>
    <cellStyle name="40% - Accent5 5 7 2 2 2" xfId="27606"/>
    <cellStyle name="40% - Accent5 5 7 2 2 2 2" xfId="56467"/>
    <cellStyle name="40% - Accent5 5 7 2 2 3" xfId="39420"/>
    <cellStyle name="40% - Accent5 5 7 2 3" xfId="21628"/>
    <cellStyle name="40% - Accent5 5 7 2 3 2" xfId="50489"/>
    <cellStyle name="40% - Accent5 5 7 2 4" xfId="33379"/>
    <cellStyle name="40% - Accent5 5 7 3" xfId="7673"/>
    <cellStyle name="40% - Accent5 5 7 3 2" xfId="24720"/>
    <cellStyle name="40% - Accent5 5 7 3 2 2" xfId="53581"/>
    <cellStyle name="40% - Accent5 5 7 3 3" xfId="36534"/>
    <cellStyle name="40% - Accent5 5 7 4" xfId="11998"/>
    <cellStyle name="40% - Accent5 5 7 4 2" xfId="18948"/>
    <cellStyle name="40% - Accent5 5 7 4 2 2" xfId="47809"/>
    <cellStyle name="40% - Accent5 5 7 4 3" xfId="40859"/>
    <cellStyle name="40% - Accent5 5 7 5" xfId="16268"/>
    <cellStyle name="40% - Accent5 5 7 5 2" xfId="45129"/>
    <cellStyle name="40% - Accent5 5 7 6" xfId="30493"/>
    <cellStyle name="40% - Accent5 5 8" xfId="1837"/>
    <cellStyle name="40% - Accent5 5 8 2" xfId="4724"/>
    <cellStyle name="40% - Accent5 5 8 2 2" xfId="10765"/>
    <cellStyle name="40% - Accent5 5 8 2 2 2" xfId="27812"/>
    <cellStyle name="40% - Accent5 5 8 2 2 2 2" xfId="56673"/>
    <cellStyle name="40% - Accent5 5 8 2 2 3" xfId="39626"/>
    <cellStyle name="40% - Accent5 5 8 2 3" xfId="21834"/>
    <cellStyle name="40% - Accent5 5 8 2 3 2" xfId="50695"/>
    <cellStyle name="40% - Accent5 5 8 2 4" xfId="33585"/>
    <cellStyle name="40% - Accent5 5 8 3" xfId="7879"/>
    <cellStyle name="40% - Accent5 5 8 3 2" xfId="24926"/>
    <cellStyle name="40% - Accent5 5 8 3 2 2" xfId="53787"/>
    <cellStyle name="40% - Accent5 5 8 3 3" xfId="36740"/>
    <cellStyle name="40% - Accent5 5 8 4" xfId="13021"/>
    <cellStyle name="40% - Accent5 5 8 4 2" xfId="19154"/>
    <cellStyle name="40% - Accent5 5 8 4 2 2" xfId="48015"/>
    <cellStyle name="40% - Accent5 5 8 4 3" xfId="41882"/>
    <cellStyle name="40% - Accent5 5 8 5" xfId="16474"/>
    <cellStyle name="40% - Accent5 5 8 5 2" xfId="45335"/>
    <cellStyle name="40% - Accent5 5 8 6" xfId="30699"/>
    <cellStyle name="40% - Accent5 5 9" xfId="2043"/>
    <cellStyle name="40% - Accent5 5 9 2" xfId="4930"/>
    <cellStyle name="40% - Accent5 5 9 2 2" xfId="10971"/>
    <cellStyle name="40% - Accent5 5 9 2 2 2" xfId="28018"/>
    <cellStyle name="40% - Accent5 5 9 2 2 2 2" xfId="56879"/>
    <cellStyle name="40% - Accent5 5 9 2 2 3" xfId="39832"/>
    <cellStyle name="40% - Accent5 5 9 2 3" xfId="22040"/>
    <cellStyle name="40% - Accent5 5 9 2 3 2" xfId="50901"/>
    <cellStyle name="40% - Accent5 5 9 2 4" xfId="33791"/>
    <cellStyle name="40% - Accent5 5 9 3" xfId="8085"/>
    <cellStyle name="40% - Accent5 5 9 3 2" xfId="25132"/>
    <cellStyle name="40% - Accent5 5 9 3 2 2" xfId="53993"/>
    <cellStyle name="40% - Accent5 5 9 3 3" xfId="36946"/>
    <cellStyle name="40% - Accent5 5 9 4" xfId="12013"/>
    <cellStyle name="40% - Accent5 5 9 4 2" xfId="19360"/>
    <cellStyle name="40% - Accent5 5 9 4 2 2" xfId="48221"/>
    <cellStyle name="40% - Accent5 5 9 4 3" xfId="40874"/>
    <cellStyle name="40% - Accent5 5 9 5" xfId="16680"/>
    <cellStyle name="40% - Accent5 5 9 5 2" xfId="45541"/>
    <cellStyle name="40% - Accent5 5 9 6" xfId="30905"/>
    <cellStyle name="40% - Accent5 6" xfId="189"/>
    <cellStyle name="40% - Accent5 6 2" xfId="601"/>
    <cellStyle name="40% - Accent5 6 2 2" xfId="3488"/>
    <cellStyle name="40% - Accent5 6 2 2 2" xfId="9529"/>
    <cellStyle name="40% - Accent5 6 2 2 2 2" xfId="26576"/>
    <cellStyle name="40% - Accent5 6 2 2 2 2 2" xfId="55437"/>
    <cellStyle name="40% - Accent5 6 2 2 2 3" xfId="38390"/>
    <cellStyle name="40% - Accent5 6 2 2 3" xfId="20598"/>
    <cellStyle name="40% - Accent5 6 2 2 3 2" xfId="49459"/>
    <cellStyle name="40% - Accent5 6 2 2 4" xfId="32349"/>
    <cellStyle name="40% - Accent5 6 2 3" xfId="6643"/>
    <cellStyle name="40% - Accent5 6 2 3 2" xfId="23690"/>
    <cellStyle name="40% - Accent5 6 2 3 2 2" xfId="52551"/>
    <cellStyle name="40% - Accent5 6 2 3 3" xfId="35504"/>
    <cellStyle name="40% - Accent5 6 2 4" xfId="6084"/>
    <cellStyle name="40% - Accent5 6 2 4 2" xfId="17918"/>
    <cellStyle name="40% - Accent5 6 2 4 2 2" xfId="46779"/>
    <cellStyle name="40% - Accent5 6 2 4 3" xfId="34945"/>
    <cellStyle name="40% - Accent5 6 2 5" xfId="15238"/>
    <cellStyle name="40% - Accent5 6 2 5 2" xfId="44099"/>
    <cellStyle name="40% - Accent5 6 2 6" xfId="29463"/>
    <cellStyle name="40% - Accent5 6 3" xfId="2146"/>
    <cellStyle name="40% - Accent5 6 3 2" xfId="5033"/>
    <cellStyle name="40% - Accent5 6 3 2 2" xfId="11074"/>
    <cellStyle name="40% - Accent5 6 3 2 2 2" xfId="28121"/>
    <cellStyle name="40% - Accent5 6 3 2 2 2 2" xfId="56982"/>
    <cellStyle name="40% - Accent5 6 3 2 2 3" xfId="39935"/>
    <cellStyle name="40% - Accent5 6 3 2 3" xfId="22143"/>
    <cellStyle name="40% - Accent5 6 3 2 3 2" xfId="51004"/>
    <cellStyle name="40% - Accent5 6 3 2 4" xfId="33894"/>
    <cellStyle name="40% - Accent5 6 3 3" xfId="8188"/>
    <cellStyle name="40% - Accent5 6 3 3 2" xfId="25235"/>
    <cellStyle name="40% - Accent5 6 3 3 2 2" xfId="54096"/>
    <cellStyle name="40% - Accent5 6 3 3 3" xfId="37049"/>
    <cellStyle name="40% - Accent5 6 3 4" xfId="13818"/>
    <cellStyle name="40% - Accent5 6 3 4 2" xfId="19463"/>
    <cellStyle name="40% - Accent5 6 3 4 2 2" xfId="48324"/>
    <cellStyle name="40% - Accent5 6 3 4 3" xfId="42679"/>
    <cellStyle name="40% - Accent5 6 3 5" xfId="16783"/>
    <cellStyle name="40% - Accent5 6 3 5 2" xfId="45644"/>
    <cellStyle name="40% - Accent5 6 3 6" xfId="31008"/>
    <cellStyle name="40% - Accent5 6 4" xfId="3076"/>
    <cellStyle name="40% - Accent5 6 4 2" xfId="9117"/>
    <cellStyle name="40% - Accent5 6 4 2 2" xfId="26164"/>
    <cellStyle name="40% - Accent5 6 4 2 2 2" xfId="55025"/>
    <cellStyle name="40% - Accent5 6 4 2 3" xfId="37978"/>
    <cellStyle name="40% - Accent5 6 4 3" xfId="20186"/>
    <cellStyle name="40% - Accent5 6 4 3 2" xfId="49047"/>
    <cellStyle name="40% - Accent5 6 4 4" xfId="31937"/>
    <cellStyle name="40% - Accent5 6 5" xfId="6231"/>
    <cellStyle name="40% - Accent5 6 5 2" xfId="23278"/>
    <cellStyle name="40% - Accent5 6 5 2 2" xfId="52139"/>
    <cellStyle name="40% - Accent5 6 5 3" xfId="35092"/>
    <cellStyle name="40% - Accent5 6 6" xfId="13193"/>
    <cellStyle name="40% - Accent5 6 6 2" xfId="17609"/>
    <cellStyle name="40% - Accent5 6 6 2 2" xfId="46470"/>
    <cellStyle name="40% - Accent5 6 6 3" xfId="42054"/>
    <cellStyle name="40% - Accent5 6 7" xfId="14826"/>
    <cellStyle name="40% - Accent5 6 7 2" xfId="43687"/>
    <cellStyle name="40% - Accent5 6 8" xfId="29051"/>
    <cellStyle name="40% - Accent5 7" xfId="395"/>
    <cellStyle name="40% - Accent5 7 2" xfId="3282"/>
    <cellStyle name="40% - Accent5 7 2 2" xfId="9323"/>
    <cellStyle name="40% - Accent5 7 2 2 2" xfId="26370"/>
    <cellStyle name="40% - Accent5 7 2 2 2 2" xfId="55231"/>
    <cellStyle name="40% - Accent5 7 2 2 3" xfId="38184"/>
    <cellStyle name="40% - Accent5 7 2 3" xfId="20392"/>
    <cellStyle name="40% - Accent5 7 2 3 2" xfId="49253"/>
    <cellStyle name="40% - Accent5 7 2 4" xfId="32143"/>
    <cellStyle name="40% - Accent5 7 3" xfId="6437"/>
    <cellStyle name="40% - Accent5 7 3 2" xfId="23484"/>
    <cellStyle name="40% - Accent5 7 3 2 2" xfId="52345"/>
    <cellStyle name="40% - Accent5 7 3 3" xfId="35298"/>
    <cellStyle name="40% - Accent5 7 4" xfId="14067"/>
    <cellStyle name="40% - Accent5 7 4 2" xfId="17712"/>
    <cellStyle name="40% - Accent5 7 4 2 2" xfId="46573"/>
    <cellStyle name="40% - Accent5 7 4 3" xfId="42928"/>
    <cellStyle name="40% - Accent5 7 5" xfId="15032"/>
    <cellStyle name="40% - Accent5 7 5 2" xfId="43893"/>
    <cellStyle name="40% - Accent5 7 6" xfId="29257"/>
    <cellStyle name="40% - Accent5 8" xfId="704"/>
    <cellStyle name="40% - Accent5 8 2" xfId="3591"/>
    <cellStyle name="40% - Accent5 8 2 2" xfId="9632"/>
    <cellStyle name="40% - Accent5 8 2 2 2" xfId="26679"/>
    <cellStyle name="40% - Accent5 8 2 2 2 2" xfId="55540"/>
    <cellStyle name="40% - Accent5 8 2 2 3" xfId="38493"/>
    <cellStyle name="40% - Accent5 8 2 3" xfId="20701"/>
    <cellStyle name="40% - Accent5 8 2 3 2" xfId="49562"/>
    <cellStyle name="40% - Accent5 8 2 4" xfId="32452"/>
    <cellStyle name="40% - Accent5 8 3" xfId="6746"/>
    <cellStyle name="40% - Accent5 8 3 2" xfId="23793"/>
    <cellStyle name="40% - Accent5 8 3 2 2" xfId="52654"/>
    <cellStyle name="40% - Accent5 8 3 3" xfId="35607"/>
    <cellStyle name="40% - Accent5 8 4" xfId="13931"/>
    <cellStyle name="40% - Accent5 8 4 2" xfId="18021"/>
    <cellStyle name="40% - Accent5 8 4 2 2" xfId="46882"/>
    <cellStyle name="40% - Accent5 8 4 3" xfId="42792"/>
    <cellStyle name="40% - Accent5 8 5" xfId="15341"/>
    <cellStyle name="40% - Accent5 8 5 2" xfId="44202"/>
    <cellStyle name="40% - Accent5 8 6" xfId="29566"/>
    <cellStyle name="40% - Accent5 9" xfId="910"/>
    <cellStyle name="40% - Accent5 9 2" xfId="3797"/>
    <cellStyle name="40% - Accent5 9 2 2" xfId="9838"/>
    <cellStyle name="40% - Accent5 9 2 2 2" xfId="26885"/>
    <cellStyle name="40% - Accent5 9 2 2 2 2" xfId="55746"/>
    <cellStyle name="40% - Accent5 9 2 2 3" xfId="38699"/>
    <cellStyle name="40% - Accent5 9 2 3" xfId="20907"/>
    <cellStyle name="40% - Accent5 9 2 3 2" xfId="49768"/>
    <cellStyle name="40% - Accent5 9 2 4" xfId="32658"/>
    <cellStyle name="40% - Accent5 9 3" xfId="6952"/>
    <cellStyle name="40% - Accent5 9 3 2" xfId="23999"/>
    <cellStyle name="40% - Accent5 9 3 2 2" xfId="52860"/>
    <cellStyle name="40% - Accent5 9 3 3" xfId="35813"/>
    <cellStyle name="40% - Accent5 9 4" xfId="13911"/>
    <cellStyle name="40% - Accent5 9 4 2" xfId="18227"/>
    <cellStyle name="40% - Accent5 9 4 2 2" xfId="47088"/>
    <cellStyle name="40% - Accent5 9 4 3" xfId="42772"/>
    <cellStyle name="40% - Accent5 9 5" xfId="15547"/>
    <cellStyle name="40% - Accent5 9 5 2" xfId="44408"/>
    <cellStyle name="40% - Accent5 9 6" xfId="29772"/>
    <cellStyle name="40% - Accent6" xfId="87" builtinId="51" customBuiltin="1"/>
    <cellStyle name="40% - Accent6 10" xfId="1118"/>
    <cellStyle name="40% - Accent6 10 2" xfId="4005"/>
    <cellStyle name="40% - Accent6 10 2 2" xfId="10046"/>
    <cellStyle name="40% - Accent6 10 2 2 2" xfId="27093"/>
    <cellStyle name="40% - Accent6 10 2 2 2 2" xfId="55954"/>
    <cellStyle name="40% - Accent6 10 2 2 3" xfId="38907"/>
    <cellStyle name="40% - Accent6 10 2 3" xfId="21115"/>
    <cellStyle name="40% - Accent6 10 2 3 2" xfId="49976"/>
    <cellStyle name="40% - Accent6 10 2 4" xfId="32866"/>
    <cellStyle name="40% - Accent6 10 3" xfId="7160"/>
    <cellStyle name="40% - Accent6 10 3 2" xfId="24207"/>
    <cellStyle name="40% - Accent6 10 3 2 2" xfId="53068"/>
    <cellStyle name="40% - Accent6 10 3 3" xfId="36021"/>
    <cellStyle name="40% - Accent6 10 4" xfId="13136"/>
    <cellStyle name="40% - Accent6 10 4 2" xfId="18435"/>
    <cellStyle name="40% - Accent6 10 4 2 2" xfId="47296"/>
    <cellStyle name="40% - Accent6 10 4 3" xfId="41997"/>
    <cellStyle name="40% - Accent6 10 5" xfId="15755"/>
    <cellStyle name="40% - Accent6 10 5 2" xfId="44616"/>
    <cellStyle name="40% - Accent6 10 6" xfId="29980"/>
    <cellStyle name="40% - Accent6 11" xfId="1324"/>
    <cellStyle name="40% - Accent6 11 2" xfId="4211"/>
    <cellStyle name="40% - Accent6 11 2 2" xfId="10252"/>
    <cellStyle name="40% - Accent6 11 2 2 2" xfId="27299"/>
    <cellStyle name="40% - Accent6 11 2 2 2 2" xfId="56160"/>
    <cellStyle name="40% - Accent6 11 2 2 3" xfId="39113"/>
    <cellStyle name="40% - Accent6 11 2 3" xfId="21321"/>
    <cellStyle name="40% - Accent6 11 2 3 2" xfId="50182"/>
    <cellStyle name="40% - Accent6 11 2 4" xfId="33072"/>
    <cellStyle name="40% - Accent6 11 3" xfId="7366"/>
    <cellStyle name="40% - Accent6 11 3 2" xfId="24413"/>
    <cellStyle name="40% - Accent6 11 3 2 2" xfId="53274"/>
    <cellStyle name="40% - Accent6 11 3 3" xfId="36227"/>
    <cellStyle name="40% - Accent6 11 4" xfId="12707"/>
    <cellStyle name="40% - Accent6 11 4 2" xfId="18641"/>
    <cellStyle name="40% - Accent6 11 4 2 2" xfId="47502"/>
    <cellStyle name="40% - Accent6 11 4 3" xfId="41568"/>
    <cellStyle name="40% - Accent6 11 5" xfId="15961"/>
    <cellStyle name="40% - Accent6 11 5 2" xfId="44822"/>
    <cellStyle name="40% - Accent6 11 6" xfId="30186"/>
    <cellStyle name="40% - Accent6 12" xfId="1530"/>
    <cellStyle name="40% - Accent6 12 2" xfId="4417"/>
    <cellStyle name="40% - Accent6 12 2 2" xfId="10458"/>
    <cellStyle name="40% - Accent6 12 2 2 2" xfId="27505"/>
    <cellStyle name="40% - Accent6 12 2 2 2 2" xfId="56366"/>
    <cellStyle name="40% - Accent6 12 2 2 3" xfId="39319"/>
    <cellStyle name="40% - Accent6 12 2 3" xfId="21527"/>
    <cellStyle name="40% - Accent6 12 2 3 2" xfId="50388"/>
    <cellStyle name="40% - Accent6 12 2 4" xfId="33278"/>
    <cellStyle name="40% - Accent6 12 3" xfId="7572"/>
    <cellStyle name="40% - Accent6 12 3 2" xfId="24619"/>
    <cellStyle name="40% - Accent6 12 3 2 2" xfId="53480"/>
    <cellStyle name="40% - Accent6 12 3 3" xfId="36433"/>
    <cellStyle name="40% - Accent6 12 4" xfId="12194"/>
    <cellStyle name="40% - Accent6 12 4 2" xfId="18847"/>
    <cellStyle name="40% - Accent6 12 4 2 2" xfId="47708"/>
    <cellStyle name="40% - Accent6 12 4 3" xfId="41055"/>
    <cellStyle name="40% - Accent6 12 5" xfId="16167"/>
    <cellStyle name="40% - Accent6 12 5 2" xfId="45028"/>
    <cellStyle name="40% - Accent6 12 6" xfId="30392"/>
    <cellStyle name="40% - Accent6 13" xfId="1736"/>
    <cellStyle name="40% - Accent6 13 2" xfId="4623"/>
    <cellStyle name="40% - Accent6 13 2 2" xfId="10664"/>
    <cellStyle name="40% - Accent6 13 2 2 2" xfId="27711"/>
    <cellStyle name="40% - Accent6 13 2 2 2 2" xfId="56572"/>
    <cellStyle name="40% - Accent6 13 2 2 3" xfId="39525"/>
    <cellStyle name="40% - Accent6 13 2 3" xfId="21733"/>
    <cellStyle name="40% - Accent6 13 2 3 2" xfId="50594"/>
    <cellStyle name="40% - Accent6 13 2 4" xfId="33484"/>
    <cellStyle name="40% - Accent6 13 3" xfId="7778"/>
    <cellStyle name="40% - Accent6 13 3 2" xfId="24825"/>
    <cellStyle name="40% - Accent6 13 3 2 2" xfId="53686"/>
    <cellStyle name="40% - Accent6 13 3 3" xfId="36639"/>
    <cellStyle name="40% - Accent6 13 4" xfId="12430"/>
    <cellStyle name="40% - Accent6 13 4 2" xfId="19053"/>
    <cellStyle name="40% - Accent6 13 4 2 2" xfId="47914"/>
    <cellStyle name="40% - Accent6 13 4 3" xfId="41291"/>
    <cellStyle name="40% - Accent6 13 5" xfId="16373"/>
    <cellStyle name="40% - Accent6 13 5 2" xfId="45234"/>
    <cellStyle name="40% - Accent6 13 6" xfId="30598"/>
    <cellStyle name="40% - Accent6 14" xfId="1942"/>
    <cellStyle name="40% - Accent6 14 2" xfId="4829"/>
    <cellStyle name="40% - Accent6 14 2 2" xfId="10870"/>
    <cellStyle name="40% - Accent6 14 2 2 2" xfId="27917"/>
    <cellStyle name="40% - Accent6 14 2 2 2 2" xfId="56778"/>
    <cellStyle name="40% - Accent6 14 2 2 3" xfId="39731"/>
    <cellStyle name="40% - Accent6 14 2 3" xfId="21939"/>
    <cellStyle name="40% - Accent6 14 2 3 2" xfId="50800"/>
    <cellStyle name="40% - Accent6 14 2 4" xfId="33690"/>
    <cellStyle name="40% - Accent6 14 3" xfId="7984"/>
    <cellStyle name="40% - Accent6 14 3 2" xfId="25031"/>
    <cellStyle name="40% - Accent6 14 3 2 2" xfId="53892"/>
    <cellStyle name="40% - Accent6 14 3 3" xfId="36845"/>
    <cellStyle name="40% - Accent6 14 4" xfId="12539"/>
    <cellStyle name="40% - Accent6 14 4 2" xfId="19259"/>
    <cellStyle name="40% - Accent6 14 4 2 2" xfId="48120"/>
    <cellStyle name="40% - Accent6 14 4 3" xfId="41400"/>
    <cellStyle name="40% - Accent6 14 5" xfId="16579"/>
    <cellStyle name="40% - Accent6 14 5 2" xfId="45440"/>
    <cellStyle name="40% - Accent6 14 6" xfId="30804"/>
    <cellStyle name="40% - Accent6 15" xfId="2354"/>
    <cellStyle name="40% - Accent6 15 2" xfId="5241"/>
    <cellStyle name="40% - Accent6 15 2 2" xfId="11282"/>
    <cellStyle name="40% - Accent6 15 2 2 2" xfId="28329"/>
    <cellStyle name="40% - Accent6 15 2 2 2 2" xfId="57190"/>
    <cellStyle name="40% - Accent6 15 2 2 3" xfId="40143"/>
    <cellStyle name="40% - Accent6 15 2 3" xfId="22351"/>
    <cellStyle name="40% - Accent6 15 2 3 2" xfId="51212"/>
    <cellStyle name="40% - Accent6 15 2 4" xfId="34102"/>
    <cellStyle name="40% - Accent6 15 3" xfId="8396"/>
    <cellStyle name="40% - Accent6 15 3 2" xfId="25443"/>
    <cellStyle name="40% - Accent6 15 3 2 2" xfId="54304"/>
    <cellStyle name="40% - Accent6 15 3 3" xfId="37257"/>
    <cellStyle name="40% - Accent6 15 4" xfId="12586"/>
    <cellStyle name="40% - Accent6 15 4 2" xfId="19671"/>
    <cellStyle name="40% - Accent6 15 4 2 2" xfId="48532"/>
    <cellStyle name="40% - Accent6 15 4 3" xfId="41447"/>
    <cellStyle name="40% - Accent6 15 5" xfId="16991"/>
    <cellStyle name="40% - Accent6 15 5 2" xfId="45852"/>
    <cellStyle name="40% - Accent6 15 6" xfId="31216"/>
    <cellStyle name="40% - Accent6 16" xfId="2563"/>
    <cellStyle name="40% - Accent6 16 2" xfId="5449"/>
    <cellStyle name="40% - Accent6 16 2 2" xfId="11490"/>
    <cellStyle name="40% - Accent6 16 2 2 2" xfId="28537"/>
    <cellStyle name="40% - Accent6 16 2 2 2 2" xfId="57398"/>
    <cellStyle name="40% - Accent6 16 2 2 3" xfId="40351"/>
    <cellStyle name="40% - Accent6 16 2 3" xfId="22559"/>
    <cellStyle name="40% - Accent6 16 2 3 2" xfId="51420"/>
    <cellStyle name="40% - Accent6 16 2 4" xfId="34310"/>
    <cellStyle name="40% - Accent6 16 3" xfId="8604"/>
    <cellStyle name="40% - Accent6 16 3 2" xfId="25651"/>
    <cellStyle name="40% - Accent6 16 3 2 2" xfId="54512"/>
    <cellStyle name="40% - Accent6 16 3 3" xfId="37465"/>
    <cellStyle name="40% - Accent6 16 4" xfId="12998"/>
    <cellStyle name="40% - Accent6 16 4 2" xfId="19879"/>
    <cellStyle name="40% - Accent6 16 4 2 2" xfId="48740"/>
    <cellStyle name="40% - Accent6 16 4 3" xfId="41859"/>
    <cellStyle name="40% - Accent6 16 5" xfId="17199"/>
    <cellStyle name="40% - Accent6 16 5 2" xfId="46060"/>
    <cellStyle name="40% - Accent6 16 6" xfId="31424"/>
    <cellStyle name="40% - Accent6 17" xfId="2975"/>
    <cellStyle name="40% - Accent6 17 2" xfId="9016"/>
    <cellStyle name="40% - Accent6 17 2 2" xfId="26063"/>
    <cellStyle name="40% - Accent6 17 2 2 2" xfId="54924"/>
    <cellStyle name="40% - Accent6 17 2 3" xfId="37877"/>
    <cellStyle name="40% - Accent6 17 3" xfId="12779"/>
    <cellStyle name="40% - Accent6 17 3 2" xfId="20085"/>
    <cellStyle name="40% - Accent6 17 3 2 2" xfId="48946"/>
    <cellStyle name="40% - Accent6 17 3 3" xfId="41640"/>
    <cellStyle name="40% - Accent6 17 4" xfId="14725"/>
    <cellStyle name="40% - Accent6 17 4 2" xfId="43586"/>
    <cellStyle name="40% - Accent6 17 5" xfId="31836"/>
    <cellStyle name="40% - Accent6 18" xfId="2769"/>
    <cellStyle name="40% - Accent6 18 2" xfId="8810"/>
    <cellStyle name="40% - Accent6 18 2 2" xfId="25857"/>
    <cellStyle name="40% - Accent6 18 2 2 2" xfId="54718"/>
    <cellStyle name="40% - Accent6 18 2 3" xfId="37671"/>
    <cellStyle name="40% - Accent6 18 3" xfId="17405"/>
    <cellStyle name="40% - Accent6 18 3 2" xfId="46266"/>
    <cellStyle name="40% - Accent6 18 4" xfId="31630"/>
    <cellStyle name="40% - Accent6 19" xfId="5655"/>
    <cellStyle name="40% - Accent6 19 2" xfId="11696"/>
    <cellStyle name="40% - Accent6 19 2 2" xfId="28743"/>
    <cellStyle name="40% - Accent6 19 2 2 2" xfId="57604"/>
    <cellStyle name="40% - Accent6 19 2 3" xfId="40557"/>
    <cellStyle name="40% - Accent6 19 3" xfId="22765"/>
    <cellStyle name="40% - Accent6 19 3 2" xfId="51626"/>
    <cellStyle name="40% - Accent6 19 4" xfId="34516"/>
    <cellStyle name="40% - Accent6 2" xfId="102"/>
    <cellStyle name="40% - Accent6 2 10" xfId="1338"/>
    <cellStyle name="40% - Accent6 2 10 2" xfId="4225"/>
    <cellStyle name="40% - Accent6 2 10 2 2" xfId="10266"/>
    <cellStyle name="40% - Accent6 2 10 2 2 2" xfId="27313"/>
    <cellStyle name="40% - Accent6 2 10 2 2 2 2" xfId="56174"/>
    <cellStyle name="40% - Accent6 2 10 2 2 3" xfId="39127"/>
    <cellStyle name="40% - Accent6 2 10 2 3" xfId="21335"/>
    <cellStyle name="40% - Accent6 2 10 2 3 2" xfId="50196"/>
    <cellStyle name="40% - Accent6 2 10 2 4" xfId="33086"/>
    <cellStyle name="40% - Accent6 2 10 3" xfId="7380"/>
    <cellStyle name="40% - Accent6 2 10 3 2" xfId="24427"/>
    <cellStyle name="40% - Accent6 2 10 3 2 2" xfId="53288"/>
    <cellStyle name="40% - Accent6 2 10 3 3" xfId="36241"/>
    <cellStyle name="40% - Accent6 2 10 4" xfId="14343"/>
    <cellStyle name="40% - Accent6 2 10 4 2" xfId="18655"/>
    <cellStyle name="40% - Accent6 2 10 4 2 2" xfId="47516"/>
    <cellStyle name="40% - Accent6 2 10 4 3" xfId="43204"/>
    <cellStyle name="40% - Accent6 2 10 5" xfId="15975"/>
    <cellStyle name="40% - Accent6 2 10 5 2" xfId="44836"/>
    <cellStyle name="40% - Accent6 2 10 6" xfId="30200"/>
    <cellStyle name="40% - Accent6 2 11" xfId="1544"/>
    <cellStyle name="40% - Accent6 2 11 2" xfId="4431"/>
    <cellStyle name="40% - Accent6 2 11 2 2" xfId="10472"/>
    <cellStyle name="40% - Accent6 2 11 2 2 2" xfId="27519"/>
    <cellStyle name="40% - Accent6 2 11 2 2 2 2" xfId="56380"/>
    <cellStyle name="40% - Accent6 2 11 2 2 3" xfId="39333"/>
    <cellStyle name="40% - Accent6 2 11 2 3" xfId="21541"/>
    <cellStyle name="40% - Accent6 2 11 2 3 2" xfId="50402"/>
    <cellStyle name="40% - Accent6 2 11 2 4" xfId="33292"/>
    <cellStyle name="40% - Accent6 2 11 3" xfId="7586"/>
    <cellStyle name="40% - Accent6 2 11 3 2" xfId="24633"/>
    <cellStyle name="40% - Accent6 2 11 3 2 2" xfId="53494"/>
    <cellStyle name="40% - Accent6 2 11 3 3" xfId="36447"/>
    <cellStyle name="40% - Accent6 2 11 4" xfId="13710"/>
    <cellStyle name="40% - Accent6 2 11 4 2" xfId="18861"/>
    <cellStyle name="40% - Accent6 2 11 4 2 2" xfId="47722"/>
    <cellStyle name="40% - Accent6 2 11 4 3" xfId="42571"/>
    <cellStyle name="40% - Accent6 2 11 5" xfId="16181"/>
    <cellStyle name="40% - Accent6 2 11 5 2" xfId="45042"/>
    <cellStyle name="40% - Accent6 2 11 6" xfId="30406"/>
    <cellStyle name="40% - Accent6 2 12" xfId="1750"/>
    <cellStyle name="40% - Accent6 2 12 2" xfId="4637"/>
    <cellStyle name="40% - Accent6 2 12 2 2" xfId="10678"/>
    <cellStyle name="40% - Accent6 2 12 2 2 2" xfId="27725"/>
    <cellStyle name="40% - Accent6 2 12 2 2 2 2" xfId="56586"/>
    <cellStyle name="40% - Accent6 2 12 2 2 3" xfId="39539"/>
    <cellStyle name="40% - Accent6 2 12 2 3" xfId="21747"/>
    <cellStyle name="40% - Accent6 2 12 2 3 2" xfId="50608"/>
    <cellStyle name="40% - Accent6 2 12 2 4" xfId="33498"/>
    <cellStyle name="40% - Accent6 2 12 3" xfId="7792"/>
    <cellStyle name="40% - Accent6 2 12 3 2" xfId="24839"/>
    <cellStyle name="40% - Accent6 2 12 3 2 2" xfId="53700"/>
    <cellStyle name="40% - Accent6 2 12 3 3" xfId="36653"/>
    <cellStyle name="40% - Accent6 2 12 4" xfId="12398"/>
    <cellStyle name="40% - Accent6 2 12 4 2" xfId="19067"/>
    <cellStyle name="40% - Accent6 2 12 4 2 2" xfId="47928"/>
    <cellStyle name="40% - Accent6 2 12 4 3" xfId="41259"/>
    <cellStyle name="40% - Accent6 2 12 5" xfId="16387"/>
    <cellStyle name="40% - Accent6 2 12 5 2" xfId="45248"/>
    <cellStyle name="40% - Accent6 2 12 6" xfId="30612"/>
    <cellStyle name="40% - Accent6 2 13" xfId="1956"/>
    <cellStyle name="40% - Accent6 2 13 2" xfId="4843"/>
    <cellStyle name="40% - Accent6 2 13 2 2" xfId="10884"/>
    <cellStyle name="40% - Accent6 2 13 2 2 2" xfId="27931"/>
    <cellStyle name="40% - Accent6 2 13 2 2 2 2" xfId="56792"/>
    <cellStyle name="40% - Accent6 2 13 2 2 3" xfId="39745"/>
    <cellStyle name="40% - Accent6 2 13 2 3" xfId="21953"/>
    <cellStyle name="40% - Accent6 2 13 2 3 2" xfId="50814"/>
    <cellStyle name="40% - Accent6 2 13 2 4" xfId="33704"/>
    <cellStyle name="40% - Accent6 2 13 3" xfId="7998"/>
    <cellStyle name="40% - Accent6 2 13 3 2" xfId="25045"/>
    <cellStyle name="40% - Accent6 2 13 3 2 2" xfId="53906"/>
    <cellStyle name="40% - Accent6 2 13 3 3" xfId="36859"/>
    <cellStyle name="40% - Accent6 2 13 4" xfId="13647"/>
    <cellStyle name="40% - Accent6 2 13 4 2" xfId="19273"/>
    <cellStyle name="40% - Accent6 2 13 4 2 2" xfId="48134"/>
    <cellStyle name="40% - Accent6 2 13 4 3" xfId="42508"/>
    <cellStyle name="40% - Accent6 2 13 5" xfId="16593"/>
    <cellStyle name="40% - Accent6 2 13 5 2" xfId="45454"/>
    <cellStyle name="40% - Accent6 2 13 6" xfId="30818"/>
    <cellStyle name="40% - Accent6 2 14" xfId="2368"/>
    <cellStyle name="40% - Accent6 2 14 2" xfId="5255"/>
    <cellStyle name="40% - Accent6 2 14 2 2" xfId="11296"/>
    <cellStyle name="40% - Accent6 2 14 2 2 2" xfId="28343"/>
    <cellStyle name="40% - Accent6 2 14 2 2 2 2" xfId="57204"/>
    <cellStyle name="40% - Accent6 2 14 2 2 3" xfId="40157"/>
    <cellStyle name="40% - Accent6 2 14 2 3" xfId="22365"/>
    <cellStyle name="40% - Accent6 2 14 2 3 2" xfId="51226"/>
    <cellStyle name="40% - Accent6 2 14 2 4" xfId="34116"/>
    <cellStyle name="40% - Accent6 2 14 3" xfId="8410"/>
    <cellStyle name="40% - Accent6 2 14 3 2" xfId="25457"/>
    <cellStyle name="40% - Accent6 2 14 3 2 2" xfId="54318"/>
    <cellStyle name="40% - Accent6 2 14 3 3" xfId="37271"/>
    <cellStyle name="40% - Accent6 2 14 4" xfId="14014"/>
    <cellStyle name="40% - Accent6 2 14 4 2" xfId="19685"/>
    <cellStyle name="40% - Accent6 2 14 4 2 2" xfId="48546"/>
    <cellStyle name="40% - Accent6 2 14 4 3" xfId="42875"/>
    <cellStyle name="40% - Accent6 2 14 5" xfId="17005"/>
    <cellStyle name="40% - Accent6 2 14 5 2" xfId="45866"/>
    <cellStyle name="40% - Accent6 2 14 6" xfId="31230"/>
    <cellStyle name="40% - Accent6 2 15" xfId="2577"/>
    <cellStyle name="40% - Accent6 2 15 2" xfId="5463"/>
    <cellStyle name="40% - Accent6 2 15 2 2" xfId="11504"/>
    <cellStyle name="40% - Accent6 2 15 2 2 2" xfId="28551"/>
    <cellStyle name="40% - Accent6 2 15 2 2 2 2" xfId="57412"/>
    <cellStyle name="40% - Accent6 2 15 2 2 3" xfId="40365"/>
    <cellStyle name="40% - Accent6 2 15 2 3" xfId="22573"/>
    <cellStyle name="40% - Accent6 2 15 2 3 2" xfId="51434"/>
    <cellStyle name="40% - Accent6 2 15 2 4" xfId="34324"/>
    <cellStyle name="40% - Accent6 2 15 3" xfId="8618"/>
    <cellStyle name="40% - Accent6 2 15 3 2" xfId="25665"/>
    <cellStyle name="40% - Accent6 2 15 3 2 2" xfId="54526"/>
    <cellStyle name="40% - Accent6 2 15 3 3" xfId="37479"/>
    <cellStyle name="40% - Accent6 2 15 4" xfId="12778"/>
    <cellStyle name="40% - Accent6 2 15 4 2" xfId="19893"/>
    <cellStyle name="40% - Accent6 2 15 4 2 2" xfId="48754"/>
    <cellStyle name="40% - Accent6 2 15 4 3" xfId="41639"/>
    <cellStyle name="40% - Accent6 2 15 5" xfId="17213"/>
    <cellStyle name="40% - Accent6 2 15 5 2" xfId="46074"/>
    <cellStyle name="40% - Accent6 2 15 6" xfId="31438"/>
    <cellStyle name="40% - Accent6 2 16" xfId="2989"/>
    <cellStyle name="40% - Accent6 2 16 2" xfId="9030"/>
    <cellStyle name="40% - Accent6 2 16 2 2" xfId="26077"/>
    <cellStyle name="40% - Accent6 2 16 2 2 2" xfId="54938"/>
    <cellStyle name="40% - Accent6 2 16 2 3" xfId="37891"/>
    <cellStyle name="40% - Accent6 2 16 3" xfId="12764"/>
    <cellStyle name="40% - Accent6 2 16 3 2" xfId="20099"/>
    <cellStyle name="40% - Accent6 2 16 3 2 2" xfId="48960"/>
    <cellStyle name="40% - Accent6 2 16 3 3" xfId="41625"/>
    <cellStyle name="40% - Accent6 2 16 4" xfId="14739"/>
    <cellStyle name="40% - Accent6 2 16 4 2" xfId="43600"/>
    <cellStyle name="40% - Accent6 2 16 5" xfId="31850"/>
    <cellStyle name="40% - Accent6 2 17" xfId="2783"/>
    <cellStyle name="40% - Accent6 2 17 2" xfId="8824"/>
    <cellStyle name="40% - Accent6 2 17 2 2" xfId="25871"/>
    <cellStyle name="40% - Accent6 2 17 2 2 2" xfId="54732"/>
    <cellStyle name="40% - Accent6 2 17 2 3" xfId="37685"/>
    <cellStyle name="40% - Accent6 2 17 3" xfId="17419"/>
    <cellStyle name="40% - Accent6 2 17 3 2" xfId="46280"/>
    <cellStyle name="40% - Accent6 2 17 4" xfId="31644"/>
    <cellStyle name="40% - Accent6 2 18" xfId="5669"/>
    <cellStyle name="40% - Accent6 2 18 2" xfId="11710"/>
    <cellStyle name="40% - Accent6 2 18 2 2" xfId="28757"/>
    <cellStyle name="40% - Accent6 2 18 2 2 2" xfId="57618"/>
    <cellStyle name="40% - Accent6 2 18 2 3" xfId="40571"/>
    <cellStyle name="40% - Accent6 2 18 3" xfId="22779"/>
    <cellStyle name="40% - Accent6 2 18 3 2" xfId="51640"/>
    <cellStyle name="40% - Accent6 2 18 4" xfId="34530"/>
    <cellStyle name="40% - Accent6 2 19" xfId="5886"/>
    <cellStyle name="40% - Accent6 2 19 2" xfId="22985"/>
    <cellStyle name="40% - Accent6 2 19 2 2" xfId="51846"/>
    <cellStyle name="40% - Accent6 2 19 3" xfId="34747"/>
    <cellStyle name="40% - Accent6 2 2" xfId="128"/>
    <cellStyle name="40% - Accent6 2 2 10" xfId="1776"/>
    <cellStyle name="40% - Accent6 2 2 10 2" xfId="4663"/>
    <cellStyle name="40% - Accent6 2 2 10 2 2" xfId="10704"/>
    <cellStyle name="40% - Accent6 2 2 10 2 2 2" xfId="27751"/>
    <cellStyle name="40% - Accent6 2 2 10 2 2 2 2" xfId="56612"/>
    <cellStyle name="40% - Accent6 2 2 10 2 2 3" xfId="39565"/>
    <cellStyle name="40% - Accent6 2 2 10 2 3" xfId="21773"/>
    <cellStyle name="40% - Accent6 2 2 10 2 3 2" xfId="50634"/>
    <cellStyle name="40% - Accent6 2 2 10 2 4" xfId="33524"/>
    <cellStyle name="40% - Accent6 2 2 10 3" xfId="7818"/>
    <cellStyle name="40% - Accent6 2 2 10 3 2" xfId="24865"/>
    <cellStyle name="40% - Accent6 2 2 10 3 2 2" xfId="53726"/>
    <cellStyle name="40% - Accent6 2 2 10 3 3" xfId="36679"/>
    <cellStyle name="40% - Accent6 2 2 10 4" xfId="13396"/>
    <cellStyle name="40% - Accent6 2 2 10 4 2" xfId="19093"/>
    <cellStyle name="40% - Accent6 2 2 10 4 2 2" xfId="47954"/>
    <cellStyle name="40% - Accent6 2 2 10 4 3" xfId="42257"/>
    <cellStyle name="40% - Accent6 2 2 10 5" xfId="16413"/>
    <cellStyle name="40% - Accent6 2 2 10 5 2" xfId="45274"/>
    <cellStyle name="40% - Accent6 2 2 10 6" xfId="30638"/>
    <cellStyle name="40% - Accent6 2 2 11" xfId="1982"/>
    <cellStyle name="40% - Accent6 2 2 11 2" xfId="4869"/>
    <cellStyle name="40% - Accent6 2 2 11 2 2" xfId="10910"/>
    <cellStyle name="40% - Accent6 2 2 11 2 2 2" xfId="27957"/>
    <cellStyle name="40% - Accent6 2 2 11 2 2 2 2" xfId="56818"/>
    <cellStyle name="40% - Accent6 2 2 11 2 2 3" xfId="39771"/>
    <cellStyle name="40% - Accent6 2 2 11 2 3" xfId="21979"/>
    <cellStyle name="40% - Accent6 2 2 11 2 3 2" xfId="50840"/>
    <cellStyle name="40% - Accent6 2 2 11 2 4" xfId="33730"/>
    <cellStyle name="40% - Accent6 2 2 11 3" xfId="8024"/>
    <cellStyle name="40% - Accent6 2 2 11 3 2" xfId="25071"/>
    <cellStyle name="40% - Accent6 2 2 11 3 2 2" xfId="53932"/>
    <cellStyle name="40% - Accent6 2 2 11 3 3" xfId="36885"/>
    <cellStyle name="40% - Accent6 2 2 11 4" xfId="13543"/>
    <cellStyle name="40% - Accent6 2 2 11 4 2" xfId="19299"/>
    <cellStyle name="40% - Accent6 2 2 11 4 2 2" xfId="48160"/>
    <cellStyle name="40% - Accent6 2 2 11 4 3" xfId="42404"/>
    <cellStyle name="40% - Accent6 2 2 11 5" xfId="16619"/>
    <cellStyle name="40% - Accent6 2 2 11 5 2" xfId="45480"/>
    <cellStyle name="40% - Accent6 2 2 11 6" xfId="30844"/>
    <cellStyle name="40% - Accent6 2 2 12" xfId="2394"/>
    <cellStyle name="40% - Accent6 2 2 12 2" xfId="5281"/>
    <cellStyle name="40% - Accent6 2 2 12 2 2" xfId="11322"/>
    <cellStyle name="40% - Accent6 2 2 12 2 2 2" xfId="28369"/>
    <cellStyle name="40% - Accent6 2 2 12 2 2 2 2" xfId="57230"/>
    <cellStyle name="40% - Accent6 2 2 12 2 2 3" xfId="40183"/>
    <cellStyle name="40% - Accent6 2 2 12 2 3" xfId="22391"/>
    <cellStyle name="40% - Accent6 2 2 12 2 3 2" xfId="51252"/>
    <cellStyle name="40% - Accent6 2 2 12 2 4" xfId="34142"/>
    <cellStyle name="40% - Accent6 2 2 12 3" xfId="8436"/>
    <cellStyle name="40% - Accent6 2 2 12 3 2" xfId="25483"/>
    <cellStyle name="40% - Accent6 2 2 12 3 2 2" xfId="54344"/>
    <cellStyle name="40% - Accent6 2 2 12 3 3" xfId="37297"/>
    <cellStyle name="40% - Accent6 2 2 12 4" xfId="12175"/>
    <cellStyle name="40% - Accent6 2 2 12 4 2" xfId="19711"/>
    <cellStyle name="40% - Accent6 2 2 12 4 2 2" xfId="48572"/>
    <cellStyle name="40% - Accent6 2 2 12 4 3" xfId="41036"/>
    <cellStyle name="40% - Accent6 2 2 12 5" xfId="17031"/>
    <cellStyle name="40% - Accent6 2 2 12 5 2" xfId="45892"/>
    <cellStyle name="40% - Accent6 2 2 12 6" xfId="31256"/>
    <cellStyle name="40% - Accent6 2 2 13" xfId="2603"/>
    <cellStyle name="40% - Accent6 2 2 13 2" xfId="5489"/>
    <cellStyle name="40% - Accent6 2 2 13 2 2" xfId="11530"/>
    <cellStyle name="40% - Accent6 2 2 13 2 2 2" xfId="28577"/>
    <cellStyle name="40% - Accent6 2 2 13 2 2 2 2" xfId="57438"/>
    <cellStyle name="40% - Accent6 2 2 13 2 2 3" xfId="40391"/>
    <cellStyle name="40% - Accent6 2 2 13 2 3" xfId="22599"/>
    <cellStyle name="40% - Accent6 2 2 13 2 3 2" xfId="51460"/>
    <cellStyle name="40% - Accent6 2 2 13 2 4" xfId="34350"/>
    <cellStyle name="40% - Accent6 2 2 13 3" xfId="8644"/>
    <cellStyle name="40% - Accent6 2 2 13 3 2" xfId="25691"/>
    <cellStyle name="40% - Accent6 2 2 13 3 2 2" xfId="54552"/>
    <cellStyle name="40% - Accent6 2 2 13 3 3" xfId="37505"/>
    <cellStyle name="40% - Accent6 2 2 13 4" xfId="13642"/>
    <cellStyle name="40% - Accent6 2 2 13 4 2" xfId="19919"/>
    <cellStyle name="40% - Accent6 2 2 13 4 2 2" xfId="48780"/>
    <cellStyle name="40% - Accent6 2 2 13 4 3" xfId="42503"/>
    <cellStyle name="40% - Accent6 2 2 13 5" xfId="17239"/>
    <cellStyle name="40% - Accent6 2 2 13 5 2" xfId="46100"/>
    <cellStyle name="40% - Accent6 2 2 13 6" xfId="31464"/>
    <cellStyle name="40% - Accent6 2 2 14" xfId="3015"/>
    <cellStyle name="40% - Accent6 2 2 14 2" xfId="9056"/>
    <cellStyle name="40% - Accent6 2 2 14 2 2" xfId="26103"/>
    <cellStyle name="40% - Accent6 2 2 14 2 2 2" xfId="54964"/>
    <cellStyle name="40% - Accent6 2 2 14 2 3" xfId="37917"/>
    <cellStyle name="40% - Accent6 2 2 14 3" xfId="13915"/>
    <cellStyle name="40% - Accent6 2 2 14 3 2" xfId="20125"/>
    <cellStyle name="40% - Accent6 2 2 14 3 2 2" xfId="48986"/>
    <cellStyle name="40% - Accent6 2 2 14 3 3" xfId="42776"/>
    <cellStyle name="40% - Accent6 2 2 14 4" xfId="14765"/>
    <cellStyle name="40% - Accent6 2 2 14 4 2" xfId="43626"/>
    <cellStyle name="40% - Accent6 2 2 14 5" xfId="31876"/>
    <cellStyle name="40% - Accent6 2 2 15" xfId="2809"/>
    <cellStyle name="40% - Accent6 2 2 15 2" xfId="8850"/>
    <cellStyle name="40% - Accent6 2 2 15 2 2" xfId="25897"/>
    <cellStyle name="40% - Accent6 2 2 15 2 2 2" xfId="54758"/>
    <cellStyle name="40% - Accent6 2 2 15 2 3" xfId="37711"/>
    <cellStyle name="40% - Accent6 2 2 15 3" xfId="17445"/>
    <cellStyle name="40% - Accent6 2 2 15 3 2" xfId="46306"/>
    <cellStyle name="40% - Accent6 2 2 15 4" xfId="31670"/>
    <cellStyle name="40% - Accent6 2 2 16" xfId="5695"/>
    <cellStyle name="40% - Accent6 2 2 16 2" xfId="11736"/>
    <cellStyle name="40% - Accent6 2 2 16 2 2" xfId="28783"/>
    <cellStyle name="40% - Accent6 2 2 16 2 2 2" xfId="57644"/>
    <cellStyle name="40% - Accent6 2 2 16 2 3" xfId="40597"/>
    <cellStyle name="40% - Accent6 2 2 16 3" xfId="22805"/>
    <cellStyle name="40% - Accent6 2 2 16 3 2" xfId="51666"/>
    <cellStyle name="40% - Accent6 2 2 16 4" xfId="34556"/>
    <cellStyle name="40% - Accent6 2 2 17" xfId="5912"/>
    <cellStyle name="40% - Accent6 2 2 17 2" xfId="23011"/>
    <cellStyle name="40% - Accent6 2 2 17 2 2" xfId="51872"/>
    <cellStyle name="40% - Accent6 2 2 17 3" xfId="34773"/>
    <cellStyle name="40% - Accent6 2 2 18" xfId="6170"/>
    <cellStyle name="40% - Accent6 2 2 18 2" xfId="23217"/>
    <cellStyle name="40% - Accent6 2 2 18 2 2" xfId="52078"/>
    <cellStyle name="40% - Accent6 2 2 18 3" xfId="35031"/>
    <cellStyle name="40% - Accent6 2 2 19" xfId="14559"/>
    <cellStyle name="40% - Accent6 2 2 19 2" xfId="43420"/>
    <cellStyle name="40% - Accent6 2 2 2" xfId="334"/>
    <cellStyle name="40% - Accent6 2 2 2 10" xfId="2497"/>
    <cellStyle name="40% - Accent6 2 2 2 10 2" xfId="5384"/>
    <cellStyle name="40% - Accent6 2 2 2 10 2 2" xfId="11425"/>
    <cellStyle name="40% - Accent6 2 2 2 10 2 2 2" xfId="28472"/>
    <cellStyle name="40% - Accent6 2 2 2 10 2 2 2 2" xfId="57333"/>
    <cellStyle name="40% - Accent6 2 2 2 10 2 2 3" xfId="40286"/>
    <cellStyle name="40% - Accent6 2 2 2 10 2 3" xfId="22494"/>
    <cellStyle name="40% - Accent6 2 2 2 10 2 3 2" xfId="51355"/>
    <cellStyle name="40% - Accent6 2 2 2 10 2 4" xfId="34245"/>
    <cellStyle name="40% - Accent6 2 2 2 10 3" xfId="8539"/>
    <cellStyle name="40% - Accent6 2 2 2 10 3 2" xfId="25586"/>
    <cellStyle name="40% - Accent6 2 2 2 10 3 2 2" xfId="54447"/>
    <cellStyle name="40% - Accent6 2 2 2 10 3 3" xfId="37400"/>
    <cellStyle name="40% - Accent6 2 2 2 10 4" xfId="13386"/>
    <cellStyle name="40% - Accent6 2 2 2 10 4 2" xfId="19814"/>
    <cellStyle name="40% - Accent6 2 2 2 10 4 2 2" xfId="48675"/>
    <cellStyle name="40% - Accent6 2 2 2 10 4 3" xfId="42247"/>
    <cellStyle name="40% - Accent6 2 2 2 10 5" xfId="17134"/>
    <cellStyle name="40% - Accent6 2 2 2 10 5 2" xfId="45995"/>
    <cellStyle name="40% - Accent6 2 2 2 10 6" xfId="31359"/>
    <cellStyle name="40% - Accent6 2 2 2 11" xfId="2706"/>
    <cellStyle name="40% - Accent6 2 2 2 11 2" xfId="5592"/>
    <cellStyle name="40% - Accent6 2 2 2 11 2 2" xfId="11633"/>
    <cellStyle name="40% - Accent6 2 2 2 11 2 2 2" xfId="28680"/>
    <cellStyle name="40% - Accent6 2 2 2 11 2 2 2 2" xfId="57541"/>
    <cellStyle name="40% - Accent6 2 2 2 11 2 2 3" xfId="40494"/>
    <cellStyle name="40% - Accent6 2 2 2 11 2 3" xfId="22702"/>
    <cellStyle name="40% - Accent6 2 2 2 11 2 3 2" xfId="51563"/>
    <cellStyle name="40% - Accent6 2 2 2 11 2 4" xfId="34453"/>
    <cellStyle name="40% - Accent6 2 2 2 11 3" xfId="8747"/>
    <cellStyle name="40% - Accent6 2 2 2 11 3 2" xfId="25794"/>
    <cellStyle name="40% - Accent6 2 2 2 11 3 2 2" xfId="54655"/>
    <cellStyle name="40% - Accent6 2 2 2 11 3 3" xfId="37608"/>
    <cellStyle name="40% - Accent6 2 2 2 11 4" xfId="13690"/>
    <cellStyle name="40% - Accent6 2 2 2 11 4 2" xfId="20022"/>
    <cellStyle name="40% - Accent6 2 2 2 11 4 2 2" xfId="48883"/>
    <cellStyle name="40% - Accent6 2 2 2 11 4 3" xfId="42551"/>
    <cellStyle name="40% - Accent6 2 2 2 11 5" xfId="17342"/>
    <cellStyle name="40% - Accent6 2 2 2 11 5 2" xfId="46203"/>
    <cellStyle name="40% - Accent6 2 2 2 11 6" xfId="31567"/>
    <cellStyle name="40% - Accent6 2 2 2 12" xfId="3221"/>
    <cellStyle name="40% - Accent6 2 2 2 12 2" xfId="9262"/>
    <cellStyle name="40% - Accent6 2 2 2 12 2 2" xfId="26309"/>
    <cellStyle name="40% - Accent6 2 2 2 12 2 2 2" xfId="55170"/>
    <cellStyle name="40% - Accent6 2 2 2 12 2 3" xfId="38123"/>
    <cellStyle name="40% - Accent6 2 2 2 12 3" xfId="6063"/>
    <cellStyle name="40% - Accent6 2 2 2 12 3 2" xfId="20331"/>
    <cellStyle name="40% - Accent6 2 2 2 12 3 2 2" xfId="49192"/>
    <cellStyle name="40% - Accent6 2 2 2 12 3 3" xfId="34924"/>
    <cellStyle name="40% - Accent6 2 2 2 12 4" xfId="14971"/>
    <cellStyle name="40% - Accent6 2 2 2 12 4 2" xfId="43832"/>
    <cellStyle name="40% - Accent6 2 2 2 12 5" xfId="32082"/>
    <cellStyle name="40% - Accent6 2 2 2 13" xfId="2912"/>
    <cellStyle name="40% - Accent6 2 2 2 13 2" xfId="8953"/>
    <cellStyle name="40% - Accent6 2 2 2 13 2 2" xfId="26000"/>
    <cellStyle name="40% - Accent6 2 2 2 13 2 2 2" xfId="54861"/>
    <cellStyle name="40% - Accent6 2 2 2 13 2 3" xfId="37814"/>
    <cellStyle name="40% - Accent6 2 2 2 13 3" xfId="17548"/>
    <cellStyle name="40% - Accent6 2 2 2 13 3 2" xfId="46409"/>
    <cellStyle name="40% - Accent6 2 2 2 13 4" xfId="31773"/>
    <cellStyle name="40% - Accent6 2 2 2 14" xfId="5798"/>
    <cellStyle name="40% - Accent6 2 2 2 14 2" xfId="11839"/>
    <cellStyle name="40% - Accent6 2 2 2 14 2 2" xfId="28886"/>
    <cellStyle name="40% - Accent6 2 2 2 14 2 2 2" xfId="57747"/>
    <cellStyle name="40% - Accent6 2 2 2 14 2 3" xfId="40700"/>
    <cellStyle name="40% - Accent6 2 2 2 14 3" xfId="22908"/>
    <cellStyle name="40% - Accent6 2 2 2 14 3 2" xfId="51769"/>
    <cellStyle name="40% - Accent6 2 2 2 14 4" xfId="34659"/>
    <cellStyle name="40% - Accent6 2 2 2 15" xfId="6015"/>
    <cellStyle name="40% - Accent6 2 2 2 15 2" xfId="23114"/>
    <cellStyle name="40% - Accent6 2 2 2 15 2 2" xfId="51975"/>
    <cellStyle name="40% - Accent6 2 2 2 15 3" xfId="34876"/>
    <cellStyle name="40% - Accent6 2 2 2 16" xfId="6376"/>
    <cellStyle name="40% - Accent6 2 2 2 16 2" xfId="23423"/>
    <cellStyle name="40% - Accent6 2 2 2 16 2 2" xfId="52284"/>
    <cellStyle name="40% - Accent6 2 2 2 16 3" xfId="35237"/>
    <cellStyle name="40% - Accent6 2 2 2 17" xfId="14662"/>
    <cellStyle name="40% - Accent6 2 2 2 17 2" xfId="43523"/>
    <cellStyle name="40% - Accent6 2 2 2 18" xfId="29196"/>
    <cellStyle name="40% - Accent6 2 2 2 2" xfId="540"/>
    <cellStyle name="40% - Accent6 2 2 2 2 2" xfId="2291"/>
    <cellStyle name="40% - Accent6 2 2 2 2 2 2" xfId="5178"/>
    <cellStyle name="40% - Accent6 2 2 2 2 2 2 2" xfId="11219"/>
    <cellStyle name="40% - Accent6 2 2 2 2 2 2 2 2" xfId="28266"/>
    <cellStyle name="40% - Accent6 2 2 2 2 2 2 2 2 2" xfId="57127"/>
    <cellStyle name="40% - Accent6 2 2 2 2 2 2 2 3" xfId="40080"/>
    <cellStyle name="40% - Accent6 2 2 2 2 2 2 3" xfId="22288"/>
    <cellStyle name="40% - Accent6 2 2 2 2 2 2 3 2" xfId="51149"/>
    <cellStyle name="40% - Accent6 2 2 2 2 2 2 4" xfId="34039"/>
    <cellStyle name="40% - Accent6 2 2 2 2 2 3" xfId="8333"/>
    <cellStyle name="40% - Accent6 2 2 2 2 2 3 2" xfId="25380"/>
    <cellStyle name="40% - Accent6 2 2 2 2 2 3 2 2" xfId="54241"/>
    <cellStyle name="40% - Accent6 2 2 2 2 2 3 3" xfId="37194"/>
    <cellStyle name="40% - Accent6 2 2 2 2 2 4" xfId="12732"/>
    <cellStyle name="40% - Accent6 2 2 2 2 2 4 2" xfId="19608"/>
    <cellStyle name="40% - Accent6 2 2 2 2 2 4 2 2" xfId="48469"/>
    <cellStyle name="40% - Accent6 2 2 2 2 2 4 3" xfId="41593"/>
    <cellStyle name="40% - Accent6 2 2 2 2 2 5" xfId="16928"/>
    <cellStyle name="40% - Accent6 2 2 2 2 2 5 2" xfId="45789"/>
    <cellStyle name="40% - Accent6 2 2 2 2 2 6" xfId="31153"/>
    <cellStyle name="40% - Accent6 2 2 2 2 3" xfId="3427"/>
    <cellStyle name="40% - Accent6 2 2 2 2 3 2" xfId="9468"/>
    <cellStyle name="40% - Accent6 2 2 2 2 3 2 2" xfId="26515"/>
    <cellStyle name="40% - Accent6 2 2 2 2 3 2 2 2" xfId="55376"/>
    <cellStyle name="40% - Accent6 2 2 2 2 3 2 3" xfId="38329"/>
    <cellStyle name="40% - Accent6 2 2 2 2 3 3" xfId="20537"/>
    <cellStyle name="40% - Accent6 2 2 2 2 3 3 2" xfId="49398"/>
    <cellStyle name="40% - Accent6 2 2 2 2 3 4" xfId="32288"/>
    <cellStyle name="40% - Accent6 2 2 2 2 4" xfId="6582"/>
    <cellStyle name="40% - Accent6 2 2 2 2 4 2" xfId="23629"/>
    <cellStyle name="40% - Accent6 2 2 2 2 4 2 2" xfId="52490"/>
    <cellStyle name="40% - Accent6 2 2 2 2 4 3" xfId="35443"/>
    <cellStyle name="40% - Accent6 2 2 2 2 5" xfId="13760"/>
    <cellStyle name="40% - Accent6 2 2 2 2 5 2" xfId="17857"/>
    <cellStyle name="40% - Accent6 2 2 2 2 5 2 2" xfId="46718"/>
    <cellStyle name="40% - Accent6 2 2 2 2 5 3" xfId="42621"/>
    <cellStyle name="40% - Accent6 2 2 2 2 6" xfId="15177"/>
    <cellStyle name="40% - Accent6 2 2 2 2 6 2" xfId="44038"/>
    <cellStyle name="40% - Accent6 2 2 2 2 7" xfId="29402"/>
    <cellStyle name="40% - Accent6 2 2 2 3" xfId="849"/>
    <cellStyle name="40% - Accent6 2 2 2 3 2" xfId="3736"/>
    <cellStyle name="40% - Accent6 2 2 2 3 2 2" xfId="9777"/>
    <cellStyle name="40% - Accent6 2 2 2 3 2 2 2" xfId="26824"/>
    <cellStyle name="40% - Accent6 2 2 2 3 2 2 2 2" xfId="55685"/>
    <cellStyle name="40% - Accent6 2 2 2 3 2 2 3" xfId="38638"/>
    <cellStyle name="40% - Accent6 2 2 2 3 2 3" xfId="20846"/>
    <cellStyle name="40% - Accent6 2 2 2 3 2 3 2" xfId="49707"/>
    <cellStyle name="40% - Accent6 2 2 2 3 2 4" xfId="32597"/>
    <cellStyle name="40% - Accent6 2 2 2 3 3" xfId="6891"/>
    <cellStyle name="40% - Accent6 2 2 2 3 3 2" xfId="23938"/>
    <cellStyle name="40% - Accent6 2 2 2 3 3 2 2" xfId="52799"/>
    <cellStyle name="40% - Accent6 2 2 2 3 3 3" xfId="35752"/>
    <cellStyle name="40% - Accent6 2 2 2 3 4" xfId="14371"/>
    <cellStyle name="40% - Accent6 2 2 2 3 4 2" xfId="18166"/>
    <cellStyle name="40% - Accent6 2 2 2 3 4 2 2" xfId="47027"/>
    <cellStyle name="40% - Accent6 2 2 2 3 4 3" xfId="43232"/>
    <cellStyle name="40% - Accent6 2 2 2 3 5" xfId="15486"/>
    <cellStyle name="40% - Accent6 2 2 2 3 5 2" xfId="44347"/>
    <cellStyle name="40% - Accent6 2 2 2 3 6" xfId="29711"/>
    <cellStyle name="40% - Accent6 2 2 2 4" xfId="1055"/>
    <cellStyle name="40% - Accent6 2 2 2 4 2" xfId="3942"/>
    <cellStyle name="40% - Accent6 2 2 2 4 2 2" xfId="9983"/>
    <cellStyle name="40% - Accent6 2 2 2 4 2 2 2" xfId="27030"/>
    <cellStyle name="40% - Accent6 2 2 2 4 2 2 2 2" xfId="55891"/>
    <cellStyle name="40% - Accent6 2 2 2 4 2 2 3" xfId="38844"/>
    <cellStyle name="40% - Accent6 2 2 2 4 2 3" xfId="21052"/>
    <cellStyle name="40% - Accent6 2 2 2 4 2 3 2" xfId="49913"/>
    <cellStyle name="40% - Accent6 2 2 2 4 2 4" xfId="32803"/>
    <cellStyle name="40% - Accent6 2 2 2 4 3" xfId="7097"/>
    <cellStyle name="40% - Accent6 2 2 2 4 3 2" xfId="24144"/>
    <cellStyle name="40% - Accent6 2 2 2 4 3 2 2" xfId="53005"/>
    <cellStyle name="40% - Accent6 2 2 2 4 3 3" xfId="35958"/>
    <cellStyle name="40% - Accent6 2 2 2 4 4" xfId="12247"/>
    <cellStyle name="40% - Accent6 2 2 2 4 4 2" xfId="18372"/>
    <cellStyle name="40% - Accent6 2 2 2 4 4 2 2" xfId="47233"/>
    <cellStyle name="40% - Accent6 2 2 2 4 4 3" xfId="41108"/>
    <cellStyle name="40% - Accent6 2 2 2 4 5" xfId="15692"/>
    <cellStyle name="40% - Accent6 2 2 2 4 5 2" xfId="44553"/>
    <cellStyle name="40% - Accent6 2 2 2 4 6" xfId="29917"/>
    <cellStyle name="40% - Accent6 2 2 2 5" xfId="1261"/>
    <cellStyle name="40% - Accent6 2 2 2 5 2" xfId="4148"/>
    <cellStyle name="40% - Accent6 2 2 2 5 2 2" xfId="10189"/>
    <cellStyle name="40% - Accent6 2 2 2 5 2 2 2" xfId="27236"/>
    <cellStyle name="40% - Accent6 2 2 2 5 2 2 2 2" xfId="56097"/>
    <cellStyle name="40% - Accent6 2 2 2 5 2 2 3" xfId="39050"/>
    <cellStyle name="40% - Accent6 2 2 2 5 2 3" xfId="21258"/>
    <cellStyle name="40% - Accent6 2 2 2 5 2 3 2" xfId="50119"/>
    <cellStyle name="40% - Accent6 2 2 2 5 2 4" xfId="33009"/>
    <cellStyle name="40% - Accent6 2 2 2 5 3" xfId="7303"/>
    <cellStyle name="40% - Accent6 2 2 2 5 3 2" xfId="24350"/>
    <cellStyle name="40% - Accent6 2 2 2 5 3 2 2" xfId="53211"/>
    <cellStyle name="40% - Accent6 2 2 2 5 3 3" xfId="36164"/>
    <cellStyle name="40% - Accent6 2 2 2 5 4" xfId="14426"/>
    <cellStyle name="40% - Accent6 2 2 2 5 4 2" xfId="18578"/>
    <cellStyle name="40% - Accent6 2 2 2 5 4 2 2" xfId="47439"/>
    <cellStyle name="40% - Accent6 2 2 2 5 4 3" xfId="43287"/>
    <cellStyle name="40% - Accent6 2 2 2 5 5" xfId="15898"/>
    <cellStyle name="40% - Accent6 2 2 2 5 5 2" xfId="44759"/>
    <cellStyle name="40% - Accent6 2 2 2 5 6" xfId="30123"/>
    <cellStyle name="40% - Accent6 2 2 2 6" xfId="1467"/>
    <cellStyle name="40% - Accent6 2 2 2 6 2" xfId="4354"/>
    <cellStyle name="40% - Accent6 2 2 2 6 2 2" xfId="10395"/>
    <cellStyle name="40% - Accent6 2 2 2 6 2 2 2" xfId="27442"/>
    <cellStyle name="40% - Accent6 2 2 2 6 2 2 2 2" xfId="56303"/>
    <cellStyle name="40% - Accent6 2 2 2 6 2 2 3" xfId="39256"/>
    <cellStyle name="40% - Accent6 2 2 2 6 2 3" xfId="21464"/>
    <cellStyle name="40% - Accent6 2 2 2 6 2 3 2" xfId="50325"/>
    <cellStyle name="40% - Accent6 2 2 2 6 2 4" xfId="33215"/>
    <cellStyle name="40% - Accent6 2 2 2 6 3" xfId="7509"/>
    <cellStyle name="40% - Accent6 2 2 2 6 3 2" xfId="24556"/>
    <cellStyle name="40% - Accent6 2 2 2 6 3 2 2" xfId="53417"/>
    <cellStyle name="40% - Accent6 2 2 2 6 3 3" xfId="36370"/>
    <cellStyle name="40% - Accent6 2 2 2 6 4" xfId="14452"/>
    <cellStyle name="40% - Accent6 2 2 2 6 4 2" xfId="18784"/>
    <cellStyle name="40% - Accent6 2 2 2 6 4 2 2" xfId="47645"/>
    <cellStyle name="40% - Accent6 2 2 2 6 4 3" xfId="43313"/>
    <cellStyle name="40% - Accent6 2 2 2 6 5" xfId="16104"/>
    <cellStyle name="40% - Accent6 2 2 2 6 5 2" xfId="44965"/>
    <cellStyle name="40% - Accent6 2 2 2 6 6" xfId="30329"/>
    <cellStyle name="40% - Accent6 2 2 2 7" xfId="1673"/>
    <cellStyle name="40% - Accent6 2 2 2 7 2" xfId="4560"/>
    <cellStyle name="40% - Accent6 2 2 2 7 2 2" xfId="10601"/>
    <cellStyle name="40% - Accent6 2 2 2 7 2 2 2" xfId="27648"/>
    <cellStyle name="40% - Accent6 2 2 2 7 2 2 2 2" xfId="56509"/>
    <cellStyle name="40% - Accent6 2 2 2 7 2 2 3" xfId="39462"/>
    <cellStyle name="40% - Accent6 2 2 2 7 2 3" xfId="21670"/>
    <cellStyle name="40% - Accent6 2 2 2 7 2 3 2" xfId="50531"/>
    <cellStyle name="40% - Accent6 2 2 2 7 2 4" xfId="33421"/>
    <cellStyle name="40% - Accent6 2 2 2 7 3" xfId="7715"/>
    <cellStyle name="40% - Accent6 2 2 2 7 3 2" xfId="24762"/>
    <cellStyle name="40% - Accent6 2 2 2 7 3 2 2" xfId="53623"/>
    <cellStyle name="40% - Accent6 2 2 2 7 3 3" xfId="36576"/>
    <cellStyle name="40% - Accent6 2 2 2 7 4" xfId="13826"/>
    <cellStyle name="40% - Accent6 2 2 2 7 4 2" xfId="18990"/>
    <cellStyle name="40% - Accent6 2 2 2 7 4 2 2" xfId="47851"/>
    <cellStyle name="40% - Accent6 2 2 2 7 4 3" xfId="42687"/>
    <cellStyle name="40% - Accent6 2 2 2 7 5" xfId="16310"/>
    <cellStyle name="40% - Accent6 2 2 2 7 5 2" xfId="45171"/>
    <cellStyle name="40% - Accent6 2 2 2 7 6" xfId="30535"/>
    <cellStyle name="40% - Accent6 2 2 2 8" xfId="1879"/>
    <cellStyle name="40% - Accent6 2 2 2 8 2" xfId="4766"/>
    <cellStyle name="40% - Accent6 2 2 2 8 2 2" xfId="10807"/>
    <cellStyle name="40% - Accent6 2 2 2 8 2 2 2" xfId="27854"/>
    <cellStyle name="40% - Accent6 2 2 2 8 2 2 2 2" xfId="56715"/>
    <cellStyle name="40% - Accent6 2 2 2 8 2 2 3" xfId="39668"/>
    <cellStyle name="40% - Accent6 2 2 2 8 2 3" xfId="21876"/>
    <cellStyle name="40% - Accent6 2 2 2 8 2 3 2" xfId="50737"/>
    <cellStyle name="40% - Accent6 2 2 2 8 2 4" xfId="33627"/>
    <cellStyle name="40% - Accent6 2 2 2 8 3" xfId="7921"/>
    <cellStyle name="40% - Accent6 2 2 2 8 3 2" xfId="24968"/>
    <cellStyle name="40% - Accent6 2 2 2 8 3 2 2" xfId="53829"/>
    <cellStyle name="40% - Accent6 2 2 2 8 3 3" xfId="36782"/>
    <cellStyle name="40% - Accent6 2 2 2 8 4" xfId="14347"/>
    <cellStyle name="40% - Accent6 2 2 2 8 4 2" xfId="19196"/>
    <cellStyle name="40% - Accent6 2 2 2 8 4 2 2" xfId="48057"/>
    <cellStyle name="40% - Accent6 2 2 2 8 4 3" xfId="43208"/>
    <cellStyle name="40% - Accent6 2 2 2 8 5" xfId="16516"/>
    <cellStyle name="40% - Accent6 2 2 2 8 5 2" xfId="45377"/>
    <cellStyle name="40% - Accent6 2 2 2 8 6" xfId="30741"/>
    <cellStyle name="40% - Accent6 2 2 2 9" xfId="2085"/>
    <cellStyle name="40% - Accent6 2 2 2 9 2" xfId="4972"/>
    <cellStyle name="40% - Accent6 2 2 2 9 2 2" xfId="11013"/>
    <cellStyle name="40% - Accent6 2 2 2 9 2 2 2" xfId="28060"/>
    <cellStyle name="40% - Accent6 2 2 2 9 2 2 2 2" xfId="56921"/>
    <cellStyle name="40% - Accent6 2 2 2 9 2 2 3" xfId="39874"/>
    <cellStyle name="40% - Accent6 2 2 2 9 2 3" xfId="22082"/>
    <cellStyle name="40% - Accent6 2 2 2 9 2 3 2" xfId="50943"/>
    <cellStyle name="40% - Accent6 2 2 2 9 2 4" xfId="33833"/>
    <cellStyle name="40% - Accent6 2 2 2 9 3" xfId="8127"/>
    <cellStyle name="40% - Accent6 2 2 2 9 3 2" xfId="25174"/>
    <cellStyle name="40% - Accent6 2 2 2 9 3 2 2" xfId="54035"/>
    <cellStyle name="40% - Accent6 2 2 2 9 3 3" xfId="36988"/>
    <cellStyle name="40% - Accent6 2 2 2 9 4" xfId="12921"/>
    <cellStyle name="40% - Accent6 2 2 2 9 4 2" xfId="19402"/>
    <cellStyle name="40% - Accent6 2 2 2 9 4 2 2" xfId="48263"/>
    <cellStyle name="40% - Accent6 2 2 2 9 4 3" xfId="41782"/>
    <cellStyle name="40% - Accent6 2 2 2 9 5" xfId="16722"/>
    <cellStyle name="40% - Accent6 2 2 2 9 5 2" xfId="45583"/>
    <cellStyle name="40% - Accent6 2 2 2 9 6" xfId="30947"/>
    <cellStyle name="40% - Accent6 2 2 20" xfId="28990"/>
    <cellStyle name="40% - Accent6 2 2 3" xfId="231"/>
    <cellStyle name="40% - Accent6 2 2 3 2" xfId="643"/>
    <cellStyle name="40% - Accent6 2 2 3 2 2" xfId="3530"/>
    <cellStyle name="40% - Accent6 2 2 3 2 2 2" xfId="9571"/>
    <cellStyle name="40% - Accent6 2 2 3 2 2 2 2" xfId="26618"/>
    <cellStyle name="40% - Accent6 2 2 3 2 2 2 2 2" xfId="55479"/>
    <cellStyle name="40% - Accent6 2 2 3 2 2 2 3" xfId="38432"/>
    <cellStyle name="40% - Accent6 2 2 3 2 2 3" xfId="20640"/>
    <cellStyle name="40% - Accent6 2 2 3 2 2 3 2" xfId="49501"/>
    <cellStyle name="40% - Accent6 2 2 3 2 2 4" xfId="32391"/>
    <cellStyle name="40% - Accent6 2 2 3 2 3" xfId="6685"/>
    <cellStyle name="40% - Accent6 2 2 3 2 3 2" xfId="23732"/>
    <cellStyle name="40% - Accent6 2 2 3 2 3 2 2" xfId="52593"/>
    <cellStyle name="40% - Accent6 2 2 3 2 3 3" xfId="35546"/>
    <cellStyle name="40% - Accent6 2 2 3 2 4" xfId="11931"/>
    <cellStyle name="40% - Accent6 2 2 3 2 4 2" xfId="17960"/>
    <cellStyle name="40% - Accent6 2 2 3 2 4 2 2" xfId="46821"/>
    <cellStyle name="40% - Accent6 2 2 3 2 4 3" xfId="40792"/>
    <cellStyle name="40% - Accent6 2 2 3 2 5" xfId="15280"/>
    <cellStyle name="40% - Accent6 2 2 3 2 5 2" xfId="44141"/>
    <cellStyle name="40% - Accent6 2 2 3 2 6" xfId="29505"/>
    <cellStyle name="40% - Accent6 2 2 3 3" xfId="2188"/>
    <cellStyle name="40% - Accent6 2 2 3 3 2" xfId="5075"/>
    <cellStyle name="40% - Accent6 2 2 3 3 2 2" xfId="11116"/>
    <cellStyle name="40% - Accent6 2 2 3 3 2 2 2" xfId="28163"/>
    <cellStyle name="40% - Accent6 2 2 3 3 2 2 2 2" xfId="57024"/>
    <cellStyle name="40% - Accent6 2 2 3 3 2 2 3" xfId="39977"/>
    <cellStyle name="40% - Accent6 2 2 3 3 2 3" xfId="22185"/>
    <cellStyle name="40% - Accent6 2 2 3 3 2 3 2" xfId="51046"/>
    <cellStyle name="40% - Accent6 2 2 3 3 2 4" xfId="33936"/>
    <cellStyle name="40% - Accent6 2 2 3 3 3" xfId="8230"/>
    <cellStyle name="40% - Accent6 2 2 3 3 3 2" xfId="25277"/>
    <cellStyle name="40% - Accent6 2 2 3 3 3 2 2" xfId="54138"/>
    <cellStyle name="40% - Accent6 2 2 3 3 3 3" xfId="37091"/>
    <cellStyle name="40% - Accent6 2 2 3 3 4" xfId="12763"/>
    <cellStyle name="40% - Accent6 2 2 3 3 4 2" xfId="19505"/>
    <cellStyle name="40% - Accent6 2 2 3 3 4 2 2" xfId="48366"/>
    <cellStyle name="40% - Accent6 2 2 3 3 4 3" xfId="41624"/>
    <cellStyle name="40% - Accent6 2 2 3 3 5" xfId="16825"/>
    <cellStyle name="40% - Accent6 2 2 3 3 5 2" xfId="45686"/>
    <cellStyle name="40% - Accent6 2 2 3 3 6" xfId="31050"/>
    <cellStyle name="40% - Accent6 2 2 3 4" xfId="3118"/>
    <cellStyle name="40% - Accent6 2 2 3 4 2" xfId="9159"/>
    <cellStyle name="40% - Accent6 2 2 3 4 2 2" xfId="26206"/>
    <cellStyle name="40% - Accent6 2 2 3 4 2 2 2" xfId="55067"/>
    <cellStyle name="40% - Accent6 2 2 3 4 2 3" xfId="38020"/>
    <cellStyle name="40% - Accent6 2 2 3 4 3" xfId="20228"/>
    <cellStyle name="40% - Accent6 2 2 3 4 3 2" xfId="49089"/>
    <cellStyle name="40% - Accent6 2 2 3 4 4" xfId="31979"/>
    <cellStyle name="40% - Accent6 2 2 3 5" xfId="6273"/>
    <cellStyle name="40% - Accent6 2 2 3 5 2" xfId="23320"/>
    <cellStyle name="40% - Accent6 2 2 3 5 2 2" xfId="52181"/>
    <cellStyle name="40% - Accent6 2 2 3 5 3" xfId="35134"/>
    <cellStyle name="40% - Accent6 2 2 3 6" xfId="12863"/>
    <cellStyle name="40% - Accent6 2 2 3 6 2" xfId="17651"/>
    <cellStyle name="40% - Accent6 2 2 3 6 2 2" xfId="46512"/>
    <cellStyle name="40% - Accent6 2 2 3 6 3" xfId="41724"/>
    <cellStyle name="40% - Accent6 2 2 3 7" xfId="14868"/>
    <cellStyle name="40% - Accent6 2 2 3 7 2" xfId="43729"/>
    <cellStyle name="40% - Accent6 2 2 3 8" xfId="29093"/>
    <cellStyle name="40% - Accent6 2 2 4" xfId="437"/>
    <cellStyle name="40% - Accent6 2 2 4 2" xfId="3324"/>
    <cellStyle name="40% - Accent6 2 2 4 2 2" xfId="9365"/>
    <cellStyle name="40% - Accent6 2 2 4 2 2 2" xfId="26412"/>
    <cellStyle name="40% - Accent6 2 2 4 2 2 2 2" xfId="55273"/>
    <cellStyle name="40% - Accent6 2 2 4 2 2 3" xfId="38226"/>
    <cellStyle name="40% - Accent6 2 2 4 2 3" xfId="20434"/>
    <cellStyle name="40% - Accent6 2 2 4 2 3 2" xfId="49295"/>
    <cellStyle name="40% - Accent6 2 2 4 2 4" xfId="32185"/>
    <cellStyle name="40% - Accent6 2 2 4 3" xfId="6479"/>
    <cellStyle name="40% - Accent6 2 2 4 3 2" xfId="23526"/>
    <cellStyle name="40% - Accent6 2 2 4 3 2 2" xfId="52387"/>
    <cellStyle name="40% - Accent6 2 2 4 3 3" xfId="35340"/>
    <cellStyle name="40% - Accent6 2 2 4 4" xfId="14036"/>
    <cellStyle name="40% - Accent6 2 2 4 4 2" xfId="17754"/>
    <cellStyle name="40% - Accent6 2 2 4 4 2 2" xfId="46615"/>
    <cellStyle name="40% - Accent6 2 2 4 4 3" xfId="42897"/>
    <cellStyle name="40% - Accent6 2 2 4 5" xfId="15074"/>
    <cellStyle name="40% - Accent6 2 2 4 5 2" xfId="43935"/>
    <cellStyle name="40% - Accent6 2 2 4 6" xfId="29299"/>
    <cellStyle name="40% - Accent6 2 2 5" xfId="746"/>
    <cellStyle name="40% - Accent6 2 2 5 2" xfId="3633"/>
    <cellStyle name="40% - Accent6 2 2 5 2 2" xfId="9674"/>
    <cellStyle name="40% - Accent6 2 2 5 2 2 2" xfId="26721"/>
    <cellStyle name="40% - Accent6 2 2 5 2 2 2 2" xfId="55582"/>
    <cellStyle name="40% - Accent6 2 2 5 2 2 3" xfId="38535"/>
    <cellStyle name="40% - Accent6 2 2 5 2 3" xfId="20743"/>
    <cellStyle name="40% - Accent6 2 2 5 2 3 2" xfId="49604"/>
    <cellStyle name="40% - Accent6 2 2 5 2 4" xfId="32494"/>
    <cellStyle name="40% - Accent6 2 2 5 3" xfId="6788"/>
    <cellStyle name="40% - Accent6 2 2 5 3 2" xfId="23835"/>
    <cellStyle name="40% - Accent6 2 2 5 3 2 2" xfId="52696"/>
    <cellStyle name="40% - Accent6 2 2 5 3 3" xfId="35649"/>
    <cellStyle name="40% - Accent6 2 2 5 4" xfId="12036"/>
    <cellStyle name="40% - Accent6 2 2 5 4 2" xfId="18063"/>
    <cellStyle name="40% - Accent6 2 2 5 4 2 2" xfId="46924"/>
    <cellStyle name="40% - Accent6 2 2 5 4 3" xfId="40897"/>
    <cellStyle name="40% - Accent6 2 2 5 5" xfId="15383"/>
    <cellStyle name="40% - Accent6 2 2 5 5 2" xfId="44244"/>
    <cellStyle name="40% - Accent6 2 2 5 6" xfId="29608"/>
    <cellStyle name="40% - Accent6 2 2 6" xfId="952"/>
    <cellStyle name="40% - Accent6 2 2 6 2" xfId="3839"/>
    <cellStyle name="40% - Accent6 2 2 6 2 2" xfId="9880"/>
    <cellStyle name="40% - Accent6 2 2 6 2 2 2" xfId="26927"/>
    <cellStyle name="40% - Accent6 2 2 6 2 2 2 2" xfId="55788"/>
    <cellStyle name="40% - Accent6 2 2 6 2 2 3" xfId="38741"/>
    <cellStyle name="40% - Accent6 2 2 6 2 3" xfId="20949"/>
    <cellStyle name="40% - Accent6 2 2 6 2 3 2" xfId="49810"/>
    <cellStyle name="40% - Accent6 2 2 6 2 4" xfId="32700"/>
    <cellStyle name="40% - Accent6 2 2 6 3" xfId="6994"/>
    <cellStyle name="40% - Accent6 2 2 6 3 2" xfId="24041"/>
    <cellStyle name="40% - Accent6 2 2 6 3 2 2" xfId="52902"/>
    <cellStyle name="40% - Accent6 2 2 6 3 3" xfId="35855"/>
    <cellStyle name="40% - Accent6 2 2 6 4" xfId="13891"/>
    <cellStyle name="40% - Accent6 2 2 6 4 2" xfId="18269"/>
    <cellStyle name="40% - Accent6 2 2 6 4 2 2" xfId="47130"/>
    <cellStyle name="40% - Accent6 2 2 6 4 3" xfId="42752"/>
    <cellStyle name="40% - Accent6 2 2 6 5" xfId="15589"/>
    <cellStyle name="40% - Accent6 2 2 6 5 2" xfId="44450"/>
    <cellStyle name="40% - Accent6 2 2 6 6" xfId="29814"/>
    <cellStyle name="40% - Accent6 2 2 7" xfId="1158"/>
    <cellStyle name="40% - Accent6 2 2 7 2" xfId="4045"/>
    <cellStyle name="40% - Accent6 2 2 7 2 2" xfId="10086"/>
    <cellStyle name="40% - Accent6 2 2 7 2 2 2" xfId="27133"/>
    <cellStyle name="40% - Accent6 2 2 7 2 2 2 2" xfId="55994"/>
    <cellStyle name="40% - Accent6 2 2 7 2 2 3" xfId="38947"/>
    <cellStyle name="40% - Accent6 2 2 7 2 3" xfId="21155"/>
    <cellStyle name="40% - Accent6 2 2 7 2 3 2" xfId="50016"/>
    <cellStyle name="40% - Accent6 2 2 7 2 4" xfId="32906"/>
    <cellStyle name="40% - Accent6 2 2 7 3" xfId="7200"/>
    <cellStyle name="40% - Accent6 2 2 7 3 2" xfId="24247"/>
    <cellStyle name="40% - Accent6 2 2 7 3 2 2" xfId="53108"/>
    <cellStyle name="40% - Accent6 2 2 7 3 3" xfId="36061"/>
    <cellStyle name="40% - Accent6 2 2 7 4" xfId="14431"/>
    <cellStyle name="40% - Accent6 2 2 7 4 2" xfId="18475"/>
    <cellStyle name="40% - Accent6 2 2 7 4 2 2" xfId="47336"/>
    <cellStyle name="40% - Accent6 2 2 7 4 3" xfId="43292"/>
    <cellStyle name="40% - Accent6 2 2 7 5" xfId="15795"/>
    <cellStyle name="40% - Accent6 2 2 7 5 2" xfId="44656"/>
    <cellStyle name="40% - Accent6 2 2 7 6" xfId="30020"/>
    <cellStyle name="40% - Accent6 2 2 8" xfId="1364"/>
    <cellStyle name="40% - Accent6 2 2 8 2" xfId="4251"/>
    <cellStyle name="40% - Accent6 2 2 8 2 2" xfId="10292"/>
    <cellStyle name="40% - Accent6 2 2 8 2 2 2" xfId="27339"/>
    <cellStyle name="40% - Accent6 2 2 8 2 2 2 2" xfId="56200"/>
    <cellStyle name="40% - Accent6 2 2 8 2 2 3" xfId="39153"/>
    <cellStyle name="40% - Accent6 2 2 8 2 3" xfId="21361"/>
    <cellStyle name="40% - Accent6 2 2 8 2 3 2" xfId="50222"/>
    <cellStyle name="40% - Accent6 2 2 8 2 4" xfId="33112"/>
    <cellStyle name="40% - Accent6 2 2 8 3" xfId="7406"/>
    <cellStyle name="40% - Accent6 2 2 8 3 2" xfId="24453"/>
    <cellStyle name="40% - Accent6 2 2 8 3 2 2" xfId="53314"/>
    <cellStyle name="40% - Accent6 2 2 8 3 3" xfId="36267"/>
    <cellStyle name="40% - Accent6 2 2 8 4" xfId="12616"/>
    <cellStyle name="40% - Accent6 2 2 8 4 2" xfId="18681"/>
    <cellStyle name="40% - Accent6 2 2 8 4 2 2" xfId="47542"/>
    <cellStyle name="40% - Accent6 2 2 8 4 3" xfId="41477"/>
    <cellStyle name="40% - Accent6 2 2 8 5" xfId="16001"/>
    <cellStyle name="40% - Accent6 2 2 8 5 2" xfId="44862"/>
    <cellStyle name="40% - Accent6 2 2 8 6" xfId="30226"/>
    <cellStyle name="40% - Accent6 2 2 9" xfId="1570"/>
    <cellStyle name="40% - Accent6 2 2 9 2" xfId="4457"/>
    <cellStyle name="40% - Accent6 2 2 9 2 2" xfId="10498"/>
    <cellStyle name="40% - Accent6 2 2 9 2 2 2" xfId="27545"/>
    <cellStyle name="40% - Accent6 2 2 9 2 2 2 2" xfId="56406"/>
    <cellStyle name="40% - Accent6 2 2 9 2 2 3" xfId="39359"/>
    <cellStyle name="40% - Accent6 2 2 9 2 3" xfId="21567"/>
    <cellStyle name="40% - Accent6 2 2 9 2 3 2" xfId="50428"/>
    <cellStyle name="40% - Accent6 2 2 9 2 4" xfId="33318"/>
    <cellStyle name="40% - Accent6 2 2 9 3" xfId="7612"/>
    <cellStyle name="40% - Accent6 2 2 9 3 2" xfId="24659"/>
    <cellStyle name="40% - Accent6 2 2 9 3 2 2" xfId="53520"/>
    <cellStyle name="40% - Accent6 2 2 9 3 3" xfId="36473"/>
    <cellStyle name="40% - Accent6 2 2 9 4" xfId="13209"/>
    <cellStyle name="40% - Accent6 2 2 9 4 2" xfId="18887"/>
    <cellStyle name="40% - Accent6 2 2 9 4 2 2" xfId="47748"/>
    <cellStyle name="40% - Accent6 2 2 9 4 3" xfId="42070"/>
    <cellStyle name="40% - Accent6 2 2 9 5" xfId="16207"/>
    <cellStyle name="40% - Accent6 2 2 9 5 2" xfId="45068"/>
    <cellStyle name="40% - Accent6 2 2 9 6" xfId="30432"/>
    <cellStyle name="40% - Accent6 2 20" xfId="6144"/>
    <cellStyle name="40% - Accent6 2 20 2" xfId="23191"/>
    <cellStyle name="40% - Accent6 2 20 2 2" xfId="52052"/>
    <cellStyle name="40% - Accent6 2 20 3" xfId="35005"/>
    <cellStyle name="40% - Accent6 2 21" xfId="14533"/>
    <cellStyle name="40% - Accent6 2 21 2" xfId="43394"/>
    <cellStyle name="40% - Accent6 2 22" xfId="28964"/>
    <cellStyle name="40% - Accent6 2 3" xfId="154"/>
    <cellStyle name="40% - Accent6 2 3 10" xfId="1802"/>
    <cellStyle name="40% - Accent6 2 3 10 2" xfId="4689"/>
    <cellStyle name="40% - Accent6 2 3 10 2 2" xfId="10730"/>
    <cellStyle name="40% - Accent6 2 3 10 2 2 2" xfId="27777"/>
    <cellStyle name="40% - Accent6 2 3 10 2 2 2 2" xfId="56638"/>
    <cellStyle name="40% - Accent6 2 3 10 2 2 3" xfId="39591"/>
    <cellStyle name="40% - Accent6 2 3 10 2 3" xfId="21799"/>
    <cellStyle name="40% - Accent6 2 3 10 2 3 2" xfId="50660"/>
    <cellStyle name="40% - Accent6 2 3 10 2 4" xfId="33550"/>
    <cellStyle name="40% - Accent6 2 3 10 3" xfId="7844"/>
    <cellStyle name="40% - Accent6 2 3 10 3 2" xfId="24891"/>
    <cellStyle name="40% - Accent6 2 3 10 3 2 2" xfId="53752"/>
    <cellStyle name="40% - Accent6 2 3 10 3 3" xfId="36705"/>
    <cellStyle name="40% - Accent6 2 3 10 4" xfId="12270"/>
    <cellStyle name="40% - Accent6 2 3 10 4 2" xfId="19119"/>
    <cellStyle name="40% - Accent6 2 3 10 4 2 2" xfId="47980"/>
    <cellStyle name="40% - Accent6 2 3 10 4 3" xfId="41131"/>
    <cellStyle name="40% - Accent6 2 3 10 5" xfId="16439"/>
    <cellStyle name="40% - Accent6 2 3 10 5 2" xfId="45300"/>
    <cellStyle name="40% - Accent6 2 3 10 6" xfId="30664"/>
    <cellStyle name="40% - Accent6 2 3 11" xfId="2008"/>
    <cellStyle name="40% - Accent6 2 3 11 2" xfId="4895"/>
    <cellStyle name="40% - Accent6 2 3 11 2 2" xfId="10936"/>
    <cellStyle name="40% - Accent6 2 3 11 2 2 2" xfId="27983"/>
    <cellStyle name="40% - Accent6 2 3 11 2 2 2 2" xfId="56844"/>
    <cellStyle name="40% - Accent6 2 3 11 2 2 3" xfId="39797"/>
    <cellStyle name="40% - Accent6 2 3 11 2 3" xfId="22005"/>
    <cellStyle name="40% - Accent6 2 3 11 2 3 2" xfId="50866"/>
    <cellStyle name="40% - Accent6 2 3 11 2 4" xfId="33756"/>
    <cellStyle name="40% - Accent6 2 3 11 3" xfId="8050"/>
    <cellStyle name="40% - Accent6 2 3 11 3 2" xfId="25097"/>
    <cellStyle name="40% - Accent6 2 3 11 3 2 2" xfId="53958"/>
    <cellStyle name="40% - Accent6 2 3 11 3 3" xfId="36911"/>
    <cellStyle name="40% - Accent6 2 3 11 4" xfId="13101"/>
    <cellStyle name="40% - Accent6 2 3 11 4 2" xfId="19325"/>
    <cellStyle name="40% - Accent6 2 3 11 4 2 2" xfId="48186"/>
    <cellStyle name="40% - Accent6 2 3 11 4 3" xfId="41962"/>
    <cellStyle name="40% - Accent6 2 3 11 5" xfId="16645"/>
    <cellStyle name="40% - Accent6 2 3 11 5 2" xfId="45506"/>
    <cellStyle name="40% - Accent6 2 3 11 6" xfId="30870"/>
    <cellStyle name="40% - Accent6 2 3 12" xfId="2420"/>
    <cellStyle name="40% - Accent6 2 3 12 2" xfId="5307"/>
    <cellStyle name="40% - Accent6 2 3 12 2 2" xfId="11348"/>
    <cellStyle name="40% - Accent6 2 3 12 2 2 2" xfId="28395"/>
    <cellStyle name="40% - Accent6 2 3 12 2 2 2 2" xfId="57256"/>
    <cellStyle name="40% - Accent6 2 3 12 2 2 3" xfId="40209"/>
    <cellStyle name="40% - Accent6 2 3 12 2 3" xfId="22417"/>
    <cellStyle name="40% - Accent6 2 3 12 2 3 2" xfId="51278"/>
    <cellStyle name="40% - Accent6 2 3 12 2 4" xfId="34168"/>
    <cellStyle name="40% - Accent6 2 3 12 3" xfId="8462"/>
    <cellStyle name="40% - Accent6 2 3 12 3 2" xfId="25509"/>
    <cellStyle name="40% - Accent6 2 3 12 3 2 2" xfId="54370"/>
    <cellStyle name="40% - Accent6 2 3 12 3 3" xfId="37323"/>
    <cellStyle name="40% - Accent6 2 3 12 4" xfId="12709"/>
    <cellStyle name="40% - Accent6 2 3 12 4 2" xfId="19737"/>
    <cellStyle name="40% - Accent6 2 3 12 4 2 2" xfId="48598"/>
    <cellStyle name="40% - Accent6 2 3 12 4 3" xfId="41570"/>
    <cellStyle name="40% - Accent6 2 3 12 5" xfId="17057"/>
    <cellStyle name="40% - Accent6 2 3 12 5 2" xfId="45918"/>
    <cellStyle name="40% - Accent6 2 3 12 6" xfId="31282"/>
    <cellStyle name="40% - Accent6 2 3 13" xfId="2629"/>
    <cellStyle name="40% - Accent6 2 3 13 2" xfId="5515"/>
    <cellStyle name="40% - Accent6 2 3 13 2 2" xfId="11556"/>
    <cellStyle name="40% - Accent6 2 3 13 2 2 2" xfId="28603"/>
    <cellStyle name="40% - Accent6 2 3 13 2 2 2 2" xfId="57464"/>
    <cellStyle name="40% - Accent6 2 3 13 2 2 3" xfId="40417"/>
    <cellStyle name="40% - Accent6 2 3 13 2 3" xfId="22625"/>
    <cellStyle name="40% - Accent6 2 3 13 2 3 2" xfId="51486"/>
    <cellStyle name="40% - Accent6 2 3 13 2 4" xfId="34376"/>
    <cellStyle name="40% - Accent6 2 3 13 3" xfId="8670"/>
    <cellStyle name="40% - Accent6 2 3 13 3 2" xfId="25717"/>
    <cellStyle name="40% - Accent6 2 3 13 3 2 2" xfId="54578"/>
    <cellStyle name="40% - Accent6 2 3 13 3 3" xfId="37531"/>
    <cellStyle name="40% - Accent6 2 3 13 4" xfId="13330"/>
    <cellStyle name="40% - Accent6 2 3 13 4 2" xfId="19945"/>
    <cellStyle name="40% - Accent6 2 3 13 4 2 2" xfId="48806"/>
    <cellStyle name="40% - Accent6 2 3 13 4 3" xfId="42191"/>
    <cellStyle name="40% - Accent6 2 3 13 5" xfId="17265"/>
    <cellStyle name="40% - Accent6 2 3 13 5 2" xfId="46126"/>
    <cellStyle name="40% - Accent6 2 3 13 6" xfId="31490"/>
    <cellStyle name="40% - Accent6 2 3 14" xfId="3041"/>
    <cellStyle name="40% - Accent6 2 3 14 2" xfId="9082"/>
    <cellStyle name="40% - Accent6 2 3 14 2 2" xfId="26129"/>
    <cellStyle name="40% - Accent6 2 3 14 2 2 2" xfId="54990"/>
    <cellStyle name="40% - Accent6 2 3 14 2 3" xfId="37943"/>
    <cellStyle name="40% - Accent6 2 3 14 3" xfId="13230"/>
    <cellStyle name="40% - Accent6 2 3 14 3 2" xfId="20151"/>
    <cellStyle name="40% - Accent6 2 3 14 3 2 2" xfId="49012"/>
    <cellStyle name="40% - Accent6 2 3 14 3 3" xfId="42091"/>
    <cellStyle name="40% - Accent6 2 3 14 4" xfId="14791"/>
    <cellStyle name="40% - Accent6 2 3 14 4 2" xfId="43652"/>
    <cellStyle name="40% - Accent6 2 3 14 5" xfId="31902"/>
    <cellStyle name="40% - Accent6 2 3 15" xfId="2835"/>
    <cellStyle name="40% - Accent6 2 3 15 2" xfId="8876"/>
    <cellStyle name="40% - Accent6 2 3 15 2 2" xfId="25923"/>
    <cellStyle name="40% - Accent6 2 3 15 2 2 2" xfId="54784"/>
    <cellStyle name="40% - Accent6 2 3 15 2 3" xfId="37737"/>
    <cellStyle name="40% - Accent6 2 3 15 3" xfId="17471"/>
    <cellStyle name="40% - Accent6 2 3 15 3 2" xfId="46332"/>
    <cellStyle name="40% - Accent6 2 3 15 4" xfId="31696"/>
    <cellStyle name="40% - Accent6 2 3 16" xfId="5721"/>
    <cellStyle name="40% - Accent6 2 3 16 2" xfId="11762"/>
    <cellStyle name="40% - Accent6 2 3 16 2 2" xfId="28809"/>
    <cellStyle name="40% - Accent6 2 3 16 2 2 2" xfId="57670"/>
    <cellStyle name="40% - Accent6 2 3 16 2 3" xfId="40623"/>
    <cellStyle name="40% - Accent6 2 3 16 3" xfId="22831"/>
    <cellStyle name="40% - Accent6 2 3 16 3 2" xfId="51692"/>
    <cellStyle name="40% - Accent6 2 3 16 4" xfId="34582"/>
    <cellStyle name="40% - Accent6 2 3 17" xfId="5938"/>
    <cellStyle name="40% - Accent6 2 3 17 2" xfId="23037"/>
    <cellStyle name="40% - Accent6 2 3 17 2 2" xfId="51898"/>
    <cellStyle name="40% - Accent6 2 3 17 3" xfId="34799"/>
    <cellStyle name="40% - Accent6 2 3 18" xfId="6196"/>
    <cellStyle name="40% - Accent6 2 3 18 2" xfId="23243"/>
    <cellStyle name="40% - Accent6 2 3 18 2 2" xfId="52104"/>
    <cellStyle name="40% - Accent6 2 3 18 3" xfId="35057"/>
    <cellStyle name="40% - Accent6 2 3 19" xfId="14585"/>
    <cellStyle name="40% - Accent6 2 3 19 2" xfId="43446"/>
    <cellStyle name="40% - Accent6 2 3 2" xfId="360"/>
    <cellStyle name="40% - Accent6 2 3 2 10" xfId="2523"/>
    <cellStyle name="40% - Accent6 2 3 2 10 2" xfId="5410"/>
    <cellStyle name="40% - Accent6 2 3 2 10 2 2" xfId="11451"/>
    <cellStyle name="40% - Accent6 2 3 2 10 2 2 2" xfId="28498"/>
    <cellStyle name="40% - Accent6 2 3 2 10 2 2 2 2" xfId="57359"/>
    <cellStyle name="40% - Accent6 2 3 2 10 2 2 3" xfId="40312"/>
    <cellStyle name="40% - Accent6 2 3 2 10 2 3" xfId="22520"/>
    <cellStyle name="40% - Accent6 2 3 2 10 2 3 2" xfId="51381"/>
    <cellStyle name="40% - Accent6 2 3 2 10 2 4" xfId="34271"/>
    <cellStyle name="40% - Accent6 2 3 2 10 3" xfId="8565"/>
    <cellStyle name="40% - Accent6 2 3 2 10 3 2" xfId="25612"/>
    <cellStyle name="40% - Accent6 2 3 2 10 3 2 2" xfId="54473"/>
    <cellStyle name="40% - Accent6 2 3 2 10 3 3" xfId="37426"/>
    <cellStyle name="40% - Accent6 2 3 2 10 4" xfId="12984"/>
    <cellStyle name="40% - Accent6 2 3 2 10 4 2" xfId="19840"/>
    <cellStyle name="40% - Accent6 2 3 2 10 4 2 2" xfId="48701"/>
    <cellStyle name="40% - Accent6 2 3 2 10 4 3" xfId="41845"/>
    <cellStyle name="40% - Accent6 2 3 2 10 5" xfId="17160"/>
    <cellStyle name="40% - Accent6 2 3 2 10 5 2" xfId="46021"/>
    <cellStyle name="40% - Accent6 2 3 2 10 6" xfId="31385"/>
    <cellStyle name="40% - Accent6 2 3 2 11" xfId="2732"/>
    <cellStyle name="40% - Accent6 2 3 2 11 2" xfId="5618"/>
    <cellStyle name="40% - Accent6 2 3 2 11 2 2" xfId="11659"/>
    <cellStyle name="40% - Accent6 2 3 2 11 2 2 2" xfId="28706"/>
    <cellStyle name="40% - Accent6 2 3 2 11 2 2 2 2" xfId="57567"/>
    <cellStyle name="40% - Accent6 2 3 2 11 2 2 3" xfId="40520"/>
    <cellStyle name="40% - Accent6 2 3 2 11 2 3" xfId="22728"/>
    <cellStyle name="40% - Accent6 2 3 2 11 2 3 2" xfId="51589"/>
    <cellStyle name="40% - Accent6 2 3 2 11 2 4" xfId="34479"/>
    <cellStyle name="40% - Accent6 2 3 2 11 3" xfId="8773"/>
    <cellStyle name="40% - Accent6 2 3 2 11 3 2" xfId="25820"/>
    <cellStyle name="40% - Accent6 2 3 2 11 3 2 2" xfId="54681"/>
    <cellStyle name="40% - Accent6 2 3 2 11 3 3" xfId="37634"/>
    <cellStyle name="40% - Accent6 2 3 2 11 4" xfId="13535"/>
    <cellStyle name="40% - Accent6 2 3 2 11 4 2" xfId="20048"/>
    <cellStyle name="40% - Accent6 2 3 2 11 4 2 2" xfId="48909"/>
    <cellStyle name="40% - Accent6 2 3 2 11 4 3" xfId="42396"/>
    <cellStyle name="40% - Accent6 2 3 2 11 5" xfId="17368"/>
    <cellStyle name="40% - Accent6 2 3 2 11 5 2" xfId="46229"/>
    <cellStyle name="40% - Accent6 2 3 2 11 6" xfId="31593"/>
    <cellStyle name="40% - Accent6 2 3 2 12" xfId="3247"/>
    <cellStyle name="40% - Accent6 2 3 2 12 2" xfId="9288"/>
    <cellStyle name="40% - Accent6 2 3 2 12 2 2" xfId="26335"/>
    <cellStyle name="40% - Accent6 2 3 2 12 2 2 2" xfId="55196"/>
    <cellStyle name="40% - Accent6 2 3 2 12 2 3" xfId="38149"/>
    <cellStyle name="40% - Accent6 2 3 2 12 3" xfId="12950"/>
    <cellStyle name="40% - Accent6 2 3 2 12 3 2" xfId="20357"/>
    <cellStyle name="40% - Accent6 2 3 2 12 3 2 2" xfId="49218"/>
    <cellStyle name="40% - Accent6 2 3 2 12 3 3" xfId="41811"/>
    <cellStyle name="40% - Accent6 2 3 2 12 4" xfId="14997"/>
    <cellStyle name="40% - Accent6 2 3 2 12 4 2" xfId="43858"/>
    <cellStyle name="40% - Accent6 2 3 2 12 5" xfId="32108"/>
    <cellStyle name="40% - Accent6 2 3 2 13" xfId="2938"/>
    <cellStyle name="40% - Accent6 2 3 2 13 2" xfId="8979"/>
    <cellStyle name="40% - Accent6 2 3 2 13 2 2" xfId="26026"/>
    <cellStyle name="40% - Accent6 2 3 2 13 2 2 2" xfId="54887"/>
    <cellStyle name="40% - Accent6 2 3 2 13 2 3" xfId="37840"/>
    <cellStyle name="40% - Accent6 2 3 2 13 3" xfId="17574"/>
    <cellStyle name="40% - Accent6 2 3 2 13 3 2" xfId="46435"/>
    <cellStyle name="40% - Accent6 2 3 2 13 4" xfId="31799"/>
    <cellStyle name="40% - Accent6 2 3 2 14" xfId="5824"/>
    <cellStyle name="40% - Accent6 2 3 2 14 2" xfId="11865"/>
    <cellStyle name="40% - Accent6 2 3 2 14 2 2" xfId="28912"/>
    <cellStyle name="40% - Accent6 2 3 2 14 2 2 2" xfId="57773"/>
    <cellStyle name="40% - Accent6 2 3 2 14 2 3" xfId="40726"/>
    <cellStyle name="40% - Accent6 2 3 2 14 3" xfId="22934"/>
    <cellStyle name="40% - Accent6 2 3 2 14 3 2" xfId="51795"/>
    <cellStyle name="40% - Accent6 2 3 2 14 4" xfId="34685"/>
    <cellStyle name="40% - Accent6 2 3 2 15" xfId="6041"/>
    <cellStyle name="40% - Accent6 2 3 2 15 2" xfId="23140"/>
    <cellStyle name="40% - Accent6 2 3 2 15 2 2" xfId="52001"/>
    <cellStyle name="40% - Accent6 2 3 2 15 3" xfId="34902"/>
    <cellStyle name="40% - Accent6 2 3 2 16" xfId="6402"/>
    <cellStyle name="40% - Accent6 2 3 2 16 2" xfId="23449"/>
    <cellStyle name="40% - Accent6 2 3 2 16 2 2" xfId="52310"/>
    <cellStyle name="40% - Accent6 2 3 2 16 3" xfId="35263"/>
    <cellStyle name="40% - Accent6 2 3 2 17" xfId="14688"/>
    <cellStyle name="40% - Accent6 2 3 2 17 2" xfId="43549"/>
    <cellStyle name="40% - Accent6 2 3 2 18" xfId="29222"/>
    <cellStyle name="40% - Accent6 2 3 2 2" xfId="566"/>
    <cellStyle name="40% - Accent6 2 3 2 2 2" xfId="2317"/>
    <cellStyle name="40% - Accent6 2 3 2 2 2 2" xfId="5204"/>
    <cellStyle name="40% - Accent6 2 3 2 2 2 2 2" xfId="11245"/>
    <cellStyle name="40% - Accent6 2 3 2 2 2 2 2 2" xfId="28292"/>
    <cellStyle name="40% - Accent6 2 3 2 2 2 2 2 2 2" xfId="57153"/>
    <cellStyle name="40% - Accent6 2 3 2 2 2 2 2 3" xfId="40106"/>
    <cellStyle name="40% - Accent6 2 3 2 2 2 2 3" xfId="22314"/>
    <cellStyle name="40% - Accent6 2 3 2 2 2 2 3 2" xfId="51175"/>
    <cellStyle name="40% - Accent6 2 3 2 2 2 2 4" xfId="34065"/>
    <cellStyle name="40% - Accent6 2 3 2 2 2 3" xfId="8359"/>
    <cellStyle name="40% - Accent6 2 3 2 2 2 3 2" xfId="25406"/>
    <cellStyle name="40% - Accent6 2 3 2 2 2 3 2 2" xfId="54267"/>
    <cellStyle name="40% - Accent6 2 3 2 2 2 3 3" xfId="37220"/>
    <cellStyle name="40% - Accent6 2 3 2 2 2 4" xfId="14113"/>
    <cellStyle name="40% - Accent6 2 3 2 2 2 4 2" xfId="19634"/>
    <cellStyle name="40% - Accent6 2 3 2 2 2 4 2 2" xfId="48495"/>
    <cellStyle name="40% - Accent6 2 3 2 2 2 4 3" xfId="42974"/>
    <cellStyle name="40% - Accent6 2 3 2 2 2 5" xfId="16954"/>
    <cellStyle name="40% - Accent6 2 3 2 2 2 5 2" xfId="45815"/>
    <cellStyle name="40% - Accent6 2 3 2 2 2 6" xfId="31179"/>
    <cellStyle name="40% - Accent6 2 3 2 2 3" xfId="3453"/>
    <cellStyle name="40% - Accent6 2 3 2 2 3 2" xfId="9494"/>
    <cellStyle name="40% - Accent6 2 3 2 2 3 2 2" xfId="26541"/>
    <cellStyle name="40% - Accent6 2 3 2 2 3 2 2 2" xfId="55402"/>
    <cellStyle name="40% - Accent6 2 3 2 2 3 2 3" xfId="38355"/>
    <cellStyle name="40% - Accent6 2 3 2 2 3 3" xfId="20563"/>
    <cellStyle name="40% - Accent6 2 3 2 2 3 3 2" xfId="49424"/>
    <cellStyle name="40% - Accent6 2 3 2 2 3 4" xfId="32314"/>
    <cellStyle name="40% - Accent6 2 3 2 2 4" xfId="6608"/>
    <cellStyle name="40% - Accent6 2 3 2 2 4 2" xfId="23655"/>
    <cellStyle name="40% - Accent6 2 3 2 2 4 2 2" xfId="52516"/>
    <cellStyle name="40% - Accent6 2 3 2 2 4 3" xfId="35469"/>
    <cellStyle name="40% - Accent6 2 3 2 2 5" xfId="14338"/>
    <cellStyle name="40% - Accent6 2 3 2 2 5 2" xfId="17883"/>
    <cellStyle name="40% - Accent6 2 3 2 2 5 2 2" xfId="46744"/>
    <cellStyle name="40% - Accent6 2 3 2 2 5 3" xfId="43199"/>
    <cellStyle name="40% - Accent6 2 3 2 2 6" xfId="15203"/>
    <cellStyle name="40% - Accent6 2 3 2 2 6 2" xfId="44064"/>
    <cellStyle name="40% - Accent6 2 3 2 2 7" xfId="29428"/>
    <cellStyle name="40% - Accent6 2 3 2 3" xfId="875"/>
    <cellStyle name="40% - Accent6 2 3 2 3 2" xfId="3762"/>
    <cellStyle name="40% - Accent6 2 3 2 3 2 2" xfId="9803"/>
    <cellStyle name="40% - Accent6 2 3 2 3 2 2 2" xfId="26850"/>
    <cellStyle name="40% - Accent6 2 3 2 3 2 2 2 2" xfId="55711"/>
    <cellStyle name="40% - Accent6 2 3 2 3 2 2 3" xfId="38664"/>
    <cellStyle name="40% - Accent6 2 3 2 3 2 3" xfId="20872"/>
    <cellStyle name="40% - Accent6 2 3 2 3 2 3 2" xfId="49733"/>
    <cellStyle name="40% - Accent6 2 3 2 3 2 4" xfId="32623"/>
    <cellStyle name="40% - Accent6 2 3 2 3 3" xfId="6917"/>
    <cellStyle name="40% - Accent6 2 3 2 3 3 2" xfId="23964"/>
    <cellStyle name="40% - Accent6 2 3 2 3 3 2 2" xfId="52825"/>
    <cellStyle name="40% - Accent6 2 3 2 3 3 3" xfId="35778"/>
    <cellStyle name="40% - Accent6 2 3 2 3 4" xfId="14172"/>
    <cellStyle name="40% - Accent6 2 3 2 3 4 2" xfId="18192"/>
    <cellStyle name="40% - Accent6 2 3 2 3 4 2 2" xfId="47053"/>
    <cellStyle name="40% - Accent6 2 3 2 3 4 3" xfId="43033"/>
    <cellStyle name="40% - Accent6 2 3 2 3 5" xfId="15512"/>
    <cellStyle name="40% - Accent6 2 3 2 3 5 2" xfId="44373"/>
    <cellStyle name="40% - Accent6 2 3 2 3 6" xfId="29737"/>
    <cellStyle name="40% - Accent6 2 3 2 4" xfId="1081"/>
    <cellStyle name="40% - Accent6 2 3 2 4 2" xfId="3968"/>
    <cellStyle name="40% - Accent6 2 3 2 4 2 2" xfId="10009"/>
    <cellStyle name="40% - Accent6 2 3 2 4 2 2 2" xfId="27056"/>
    <cellStyle name="40% - Accent6 2 3 2 4 2 2 2 2" xfId="55917"/>
    <cellStyle name="40% - Accent6 2 3 2 4 2 2 3" xfId="38870"/>
    <cellStyle name="40% - Accent6 2 3 2 4 2 3" xfId="21078"/>
    <cellStyle name="40% - Accent6 2 3 2 4 2 3 2" xfId="49939"/>
    <cellStyle name="40% - Accent6 2 3 2 4 2 4" xfId="32829"/>
    <cellStyle name="40% - Accent6 2 3 2 4 3" xfId="7123"/>
    <cellStyle name="40% - Accent6 2 3 2 4 3 2" xfId="24170"/>
    <cellStyle name="40% - Accent6 2 3 2 4 3 2 2" xfId="53031"/>
    <cellStyle name="40% - Accent6 2 3 2 4 3 3" xfId="35984"/>
    <cellStyle name="40% - Accent6 2 3 2 4 4" xfId="12117"/>
    <cellStyle name="40% - Accent6 2 3 2 4 4 2" xfId="18398"/>
    <cellStyle name="40% - Accent6 2 3 2 4 4 2 2" xfId="47259"/>
    <cellStyle name="40% - Accent6 2 3 2 4 4 3" xfId="40978"/>
    <cellStyle name="40% - Accent6 2 3 2 4 5" xfId="15718"/>
    <cellStyle name="40% - Accent6 2 3 2 4 5 2" xfId="44579"/>
    <cellStyle name="40% - Accent6 2 3 2 4 6" xfId="29943"/>
    <cellStyle name="40% - Accent6 2 3 2 5" xfId="1287"/>
    <cellStyle name="40% - Accent6 2 3 2 5 2" xfId="4174"/>
    <cellStyle name="40% - Accent6 2 3 2 5 2 2" xfId="10215"/>
    <cellStyle name="40% - Accent6 2 3 2 5 2 2 2" xfId="27262"/>
    <cellStyle name="40% - Accent6 2 3 2 5 2 2 2 2" xfId="56123"/>
    <cellStyle name="40% - Accent6 2 3 2 5 2 2 3" xfId="39076"/>
    <cellStyle name="40% - Accent6 2 3 2 5 2 3" xfId="21284"/>
    <cellStyle name="40% - Accent6 2 3 2 5 2 3 2" xfId="50145"/>
    <cellStyle name="40% - Accent6 2 3 2 5 2 4" xfId="33035"/>
    <cellStyle name="40% - Accent6 2 3 2 5 3" xfId="7329"/>
    <cellStyle name="40% - Accent6 2 3 2 5 3 2" xfId="24376"/>
    <cellStyle name="40% - Accent6 2 3 2 5 3 2 2" xfId="53237"/>
    <cellStyle name="40% - Accent6 2 3 2 5 3 3" xfId="36190"/>
    <cellStyle name="40% - Accent6 2 3 2 5 4" xfId="13382"/>
    <cellStyle name="40% - Accent6 2 3 2 5 4 2" xfId="18604"/>
    <cellStyle name="40% - Accent6 2 3 2 5 4 2 2" xfId="47465"/>
    <cellStyle name="40% - Accent6 2 3 2 5 4 3" xfId="42243"/>
    <cellStyle name="40% - Accent6 2 3 2 5 5" xfId="15924"/>
    <cellStyle name="40% - Accent6 2 3 2 5 5 2" xfId="44785"/>
    <cellStyle name="40% - Accent6 2 3 2 5 6" xfId="30149"/>
    <cellStyle name="40% - Accent6 2 3 2 6" xfId="1493"/>
    <cellStyle name="40% - Accent6 2 3 2 6 2" xfId="4380"/>
    <cellStyle name="40% - Accent6 2 3 2 6 2 2" xfId="10421"/>
    <cellStyle name="40% - Accent6 2 3 2 6 2 2 2" xfId="27468"/>
    <cellStyle name="40% - Accent6 2 3 2 6 2 2 2 2" xfId="56329"/>
    <cellStyle name="40% - Accent6 2 3 2 6 2 2 3" xfId="39282"/>
    <cellStyle name="40% - Accent6 2 3 2 6 2 3" xfId="21490"/>
    <cellStyle name="40% - Accent6 2 3 2 6 2 3 2" xfId="50351"/>
    <cellStyle name="40% - Accent6 2 3 2 6 2 4" xfId="33241"/>
    <cellStyle name="40% - Accent6 2 3 2 6 3" xfId="7535"/>
    <cellStyle name="40% - Accent6 2 3 2 6 3 2" xfId="24582"/>
    <cellStyle name="40% - Accent6 2 3 2 6 3 2 2" xfId="53443"/>
    <cellStyle name="40% - Accent6 2 3 2 6 3 3" xfId="36396"/>
    <cellStyle name="40% - Accent6 2 3 2 6 4" xfId="13174"/>
    <cellStyle name="40% - Accent6 2 3 2 6 4 2" xfId="18810"/>
    <cellStyle name="40% - Accent6 2 3 2 6 4 2 2" xfId="47671"/>
    <cellStyle name="40% - Accent6 2 3 2 6 4 3" xfId="42035"/>
    <cellStyle name="40% - Accent6 2 3 2 6 5" xfId="16130"/>
    <cellStyle name="40% - Accent6 2 3 2 6 5 2" xfId="44991"/>
    <cellStyle name="40% - Accent6 2 3 2 6 6" xfId="30355"/>
    <cellStyle name="40% - Accent6 2 3 2 7" xfId="1699"/>
    <cellStyle name="40% - Accent6 2 3 2 7 2" xfId="4586"/>
    <cellStyle name="40% - Accent6 2 3 2 7 2 2" xfId="10627"/>
    <cellStyle name="40% - Accent6 2 3 2 7 2 2 2" xfId="27674"/>
    <cellStyle name="40% - Accent6 2 3 2 7 2 2 2 2" xfId="56535"/>
    <cellStyle name="40% - Accent6 2 3 2 7 2 2 3" xfId="39488"/>
    <cellStyle name="40% - Accent6 2 3 2 7 2 3" xfId="21696"/>
    <cellStyle name="40% - Accent6 2 3 2 7 2 3 2" xfId="50557"/>
    <cellStyle name="40% - Accent6 2 3 2 7 2 4" xfId="33447"/>
    <cellStyle name="40% - Accent6 2 3 2 7 3" xfId="7741"/>
    <cellStyle name="40% - Accent6 2 3 2 7 3 2" xfId="24788"/>
    <cellStyle name="40% - Accent6 2 3 2 7 3 2 2" xfId="53649"/>
    <cellStyle name="40% - Accent6 2 3 2 7 3 3" xfId="36602"/>
    <cellStyle name="40% - Accent6 2 3 2 7 4" xfId="13582"/>
    <cellStyle name="40% - Accent6 2 3 2 7 4 2" xfId="19016"/>
    <cellStyle name="40% - Accent6 2 3 2 7 4 2 2" xfId="47877"/>
    <cellStyle name="40% - Accent6 2 3 2 7 4 3" xfId="42443"/>
    <cellStyle name="40% - Accent6 2 3 2 7 5" xfId="16336"/>
    <cellStyle name="40% - Accent6 2 3 2 7 5 2" xfId="45197"/>
    <cellStyle name="40% - Accent6 2 3 2 7 6" xfId="30561"/>
    <cellStyle name="40% - Accent6 2 3 2 8" xfId="1905"/>
    <cellStyle name="40% - Accent6 2 3 2 8 2" xfId="4792"/>
    <cellStyle name="40% - Accent6 2 3 2 8 2 2" xfId="10833"/>
    <cellStyle name="40% - Accent6 2 3 2 8 2 2 2" xfId="27880"/>
    <cellStyle name="40% - Accent6 2 3 2 8 2 2 2 2" xfId="56741"/>
    <cellStyle name="40% - Accent6 2 3 2 8 2 2 3" xfId="39694"/>
    <cellStyle name="40% - Accent6 2 3 2 8 2 3" xfId="21902"/>
    <cellStyle name="40% - Accent6 2 3 2 8 2 3 2" xfId="50763"/>
    <cellStyle name="40% - Accent6 2 3 2 8 2 4" xfId="33653"/>
    <cellStyle name="40% - Accent6 2 3 2 8 3" xfId="7947"/>
    <cellStyle name="40% - Accent6 2 3 2 8 3 2" xfId="24994"/>
    <cellStyle name="40% - Accent6 2 3 2 8 3 2 2" xfId="53855"/>
    <cellStyle name="40% - Accent6 2 3 2 8 3 3" xfId="36808"/>
    <cellStyle name="40% - Accent6 2 3 2 8 4" xfId="14116"/>
    <cellStyle name="40% - Accent6 2 3 2 8 4 2" xfId="19222"/>
    <cellStyle name="40% - Accent6 2 3 2 8 4 2 2" xfId="48083"/>
    <cellStyle name="40% - Accent6 2 3 2 8 4 3" xfId="42977"/>
    <cellStyle name="40% - Accent6 2 3 2 8 5" xfId="16542"/>
    <cellStyle name="40% - Accent6 2 3 2 8 5 2" xfId="45403"/>
    <cellStyle name="40% - Accent6 2 3 2 8 6" xfId="30767"/>
    <cellStyle name="40% - Accent6 2 3 2 9" xfId="2111"/>
    <cellStyle name="40% - Accent6 2 3 2 9 2" xfId="4998"/>
    <cellStyle name="40% - Accent6 2 3 2 9 2 2" xfId="11039"/>
    <cellStyle name="40% - Accent6 2 3 2 9 2 2 2" xfId="28086"/>
    <cellStyle name="40% - Accent6 2 3 2 9 2 2 2 2" xfId="56947"/>
    <cellStyle name="40% - Accent6 2 3 2 9 2 2 3" xfId="39900"/>
    <cellStyle name="40% - Accent6 2 3 2 9 2 3" xfId="22108"/>
    <cellStyle name="40% - Accent6 2 3 2 9 2 3 2" xfId="50969"/>
    <cellStyle name="40% - Accent6 2 3 2 9 2 4" xfId="33859"/>
    <cellStyle name="40% - Accent6 2 3 2 9 3" xfId="8153"/>
    <cellStyle name="40% - Accent6 2 3 2 9 3 2" xfId="25200"/>
    <cellStyle name="40% - Accent6 2 3 2 9 3 2 2" xfId="54061"/>
    <cellStyle name="40% - Accent6 2 3 2 9 3 3" xfId="37014"/>
    <cellStyle name="40% - Accent6 2 3 2 9 4" xfId="12872"/>
    <cellStyle name="40% - Accent6 2 3 2 9 4 2" xfId="19428"/>
    <cellStyle name="40% - Accent6 2 3 2 9 4 2 2" xfId="48289"/>
    <cellStyle name="40% - Accent6 2 3 2 9 4 3" xfId="41733"/>
    <cellStyle name="40% - Accent6 2 3 2 9 5" xfId="16748"/>
    <cellStyle name="40% - Accent6 2 3 2 9 5 2" xfId="45609"/>
    <cellStyle name="40% - Accent6 2 3 2 9 6" xfId="30973"/>
    <cellStyle name="40% - Accent6 2 3 20" xfId="29016"/>
    <cellStyle name="40% - Accent6 2 3 3" xfId="257"/>
    <cellStyle name="40% - Accent6 2 3 3 2" xfId="669"/>
    <cellStyle name="40% - Accent6 2 3 3 2 2" xfId="3556"/>
    <cellStyle name="40% - Accent6 2 3 3 2 2 2" xfId="9597"/>
    <cellStyle name="40% - Accent6 2 3 3 2 2 2 2" xfId="26644"/>
    <cellStyle name="40% - Accent6 2 3 3 2 2 2 2 2" xfId="55505"/>
    <cellStyle name="40% - Accent6 2 3 3 2 2 2 3" xfId="38458"/>
    <cellStyle name="40% - Accent6 2 3 3 2 2 3" xfId="20666"/>
    <cellStyle name="40% - Accent6 2 3 3 2 2 3 2" xfId="49527"/>
    <cellStyle name="40% - Accent6 2 3 3 2 2 4" xfId="32417"/>
    <cellStyle name="40% - Accent6 2 3 3 2 3" xfId="6711"/>
    <cellStyle name="40% - Accent6 2 3 3 2 3 2" xfId="23758"/>
    <cellStyle name="40% - Accent6 2 3 3 2 3 2 2" xfId="52619"/>
    <cellStyle name="40% - Accent6 2 3 3 2 3 3" xfId="35572"/>
    <cellStyle name="40% - Accent6 2 3 3 2 4" xfId="13660"/>
    <cellStyle name="40% - Accent6 2 3 3 2 4 2" xfId="17986"/>
    <cellStyle name="40% - Accent6 2 3 3 2 4 2 2" xfId="46847"/>
    <cellStyle name="40% - Accent6 2 3 3 2 4 3" xfId="42521"/>
    <cellStyle name="40% - Accent6 2 3 3 2 5" xfId="15306"/>
    <cellStyle name="40% - Accent6 2 3 3 2 5 2" xfId="44167"/>
    <cellStyle name="40% - Accent6 2 3 3 2 6" xfId="29531"/>
    <cellStyle name="40% - Accent6 2 3 3 3" xfId="2214"/>
    <cellStyle name="40% - Accent6 2 3 3 3 2" xfId="5101"/>
    <cellStyle name="40% - Accent6 2 3 3 3 2 2" xfId="11142"/>
    <cellStyle name="40% - Accent6 2 3 3 3 2 2 2" xfId="28189"/>
    <cellStyle name="40% - Accent6 2 3 3 3 2 2 2 2" xfId="57050"/>
    <cellStyle name="40% - Accent6 2 3 3 3 2 2 3" xfId="40003"/>
    <cellStyle name="40% - Accent6 2 3 3 3 2 3" xfId="22211"/>
    <cellStyle name="40% - Accent6 2 3 3 3 2 3 2" xfId="51072"/>
    <cellStyle name="40% - Accent6 2 3 3 3 2 4" xfId="33962"/>
    <cellStyle name="40% - Accent6 2 3 3 3 3" xfId="8256"/>
    <cellStyle name="40% - Accent6 2 3 3 3 3 2" xfId="25303"/>
    <cellStyle name="40% - Accent6 2 3 3 3 3 2 2" xfId="54164"/>
    <cellStyle name="40% - Accent6 2 3 3 3 3 3" xfId="37117"/>
    <cellStyle name="40% - Accent6 2 3 3 3 4" xfId="14204"/>
    <cellStyle name="40% - Accent6 2 3 3 3 4 2" xfId="19531"/>
    <cellStyle name="40% - Accent6 2 3 3 3 4 2 2" xfId="48392"/>
    <cellStyle name="40% - Accent6 2 3 3 3 4 3" xfId="43065"/>
    <cellStyle name="40% - Accent6 2 3 3 3 5" xfId="16851"/>
    <cellStyle name="40% - Accent6 2 3 3 3 5 2" xfId="45712"/>
    <cellStyle name="40% - Accent6 2 3 3 3 6" xfId="31076"/>
    <cellStyle name="40% - Accent6 2 3 3 4" xfId="3144"/>
    <cellStyle name="40% - Accent6 2 3 3 4 2" xfId="9185"/>
    <cellStyle name="40% - Accent6 2 3 3 4 2 2" xfId="26232"/>
    <cellStyle name="40% - Accent6 2 3 3 4 2 2 2" xfId="55093"/>
    <cellStyle name="40% - Accent6 2 3 3 4 2 3" xfId="38046"/>
    <cellStyle name="40% - Accent6 2 3 3 4 3" xfId="20254"/>
    <cellStyle name="40% - Accent6 2 3 3 4 3 2" xfId="49115"/>
    <cellStyle name="40% - Accent6 2 3 3 4 4" xfId="32005"/>
    <cellStyle name="40% - Accent6 2 3 3 5" xfId="6299"/>
    <cellStyle name="40% - Accent6 2 3 3 5 2" xfId="23346"/>
    <cellStyle name="40% - Accent6 2 3 3 5 2 2" xfId="52207"/>
    <cellStyle name="40% - Accent6 2 3 3 5 3" xfId="35160"/>
    <cellStyle name="40% - Accent6 2 3 3 6" xfId="12295"/>
    <cellStyle name="40% - Accent6 2 3 3 6 2" xfId="17677"/>
    <cellStyle name="40% - Accent6 2 3 3 6 2 2" xfId="46538"/>
    <cellStyle name="40% - Accent6 2 3 3 6 3" xfId="41156"/>
    <cellStyle name="40% - Accent6 2 3 3 7" xfId="14894"/>
    <cellStyle name="40% - Accent6 2 3 3 7 2" xfId="43755"/>
    <cellStyle name="40% - Accent6 2 3 3 8" xfId="29119"/>
    <cellStyle name="40% - Accent6 2 3 4" xfId="463"/>
    <cellStyle name="40% - Accent6 2 3 4 2" xfId="3350"/>
    <cellStyle name="40% - Accent6 2 3 4 2 2" xfId="9391"/>
    <cellStyle name="40% - Accent6 2 3 4 2 2 2" xfId="26438"/>
    <cellStyle name="40% - Accent6 2 3 4 2 2 2 2" xfId="55299"/>
    <cellStyle name="40% - Accent6 2 3 4 2 2 3" xfId="38252"/>
    <cellStyle name="40% - Accent6 2 3 4 2 3" xfId="20460"/>
    <cellStyle name="40% - Accent6 2 3 4 2 3 2" xfId="49321"/>
    <cellStyle name="40% - Accent6 2 3 4 2 4" xfId="32211"/>
    <cellStyle name="40% - Accent6 2 3 4 3" xfId="6505"/>
    <cellStyle name="40% - Accent6 2 3 4 3 2" xfId="23552"/>
    <cellStyle name="40% - Accent6 2 3 4 3 2 2" xfId="52413"/>
    <cellStyle name="40% - Accent6 2 3 4 3 3" xfId="35366"/>
    <cellStyle name="40% - Accent6 2 3 4 4" xfId="12388"/>
    <cellStyle name="40% - Accent6 2 3 4 4 2" xfId="17780"/>
    <cellStyle name="40% - Accent6 2 3 4 4 2 2" xfId="46641"/>
    <cellStyle name="40% - Accent6 2 3 4 4 3" xfId="41249"/>
    <cellStyle name="40% - Accent6 2 3 4 5" xfId="15100"/>
    <cellStyle name="40% - Accent6 2 3 4 5 2" xfId="43961"/>
    <cellStyle name="40% - Accent6 2 3 4 6" xfId="29325"/>
    <cellStyle name="40% - Accent6 2 3 5" xfId="772"/>
    <cellStyle name="40% - Accent6 2 3 5 2" xfId="3659"/>
    <cellStyle name="40% - Accent6 2 3 5 2 2" xfId="9700"/>
    <cellStyle name="40% - Accent6 2 3 5 2 2 2" xfId="26747"/>
    <cellStyle name="40% - Accent6 2 3 5 2 2 2 2" xfId="55608"/>
    <cellStyle name="40% - Accent6 2 3 5 2 2 3" xfId="38561"/>
    <cellStyle name="40% - Accent6 2 3 5 2 3" xfId="20769"/>
    <cellStyle name="40% - Accent6 2 3 5 2 3 2" xfId="49630"/>
    <cellStyle name="40% - Accent6 2 3 5 2 4" xfId="32520"/>
    <cellStyle name="40% - Accent6 2 3 5 3" xfId="6814"/>
    <cellStyle name="40% - Accent6 2 3 5 3 2" xfId="23861"/>
    <cellStyle name="40% - Accent6 2 3 5 3 2 2" xfId="52722"/>
    <cellStyle name="40% - Accent6 2 3 5 3 3" xfId="35675"/>
    <cellStyle name="40% - Accent6 2 3 5 4" xfId="12530"/>
    <cellStyle name="40% - Accent6 2 3 5 4 2" xfId="18089"/>
    <cellStyle name="40% - Accent6 2 3 5 4 2 2" xfId="46950"/>
    <cellStyle name="40% - Accent6 2 3 5 4 3" xfId="41391"/>
    <cellStyle name="40% - Accent6 2 3 5 5" xfId="15409"/>
    <cellStyle name="40% - Accent6 2 3 5 5 2" xfId="44270"/>
    <cellStyle name="40% - Accent6 2 3 5 6" xfId="29634"/>
    <cellStyle name="40% - Accent6 2 3 6" xfId="978"/>
    <cellStyle name="40% - Accent6 2 3 6 2" xfId="3865"/>
    <cellStyle name="40% - Accent6 2 3 6 2 2" xfId="9906"/>
    <cellStyle name="40% - Accent6 2 3 6 2 2 2" xfId="26953"/>
    <cellStyle name="40% - Accent6 2 3 6 2 2 2 2" xfId="55814"/>
    <cellStyle name="40% - Accent6 2 3 6 2 2 3" xfId="38767"/>
    <cellStyle name="40% - Accent6 2 3 6 2 3" xfId="20975"/>
    <cellStyle name="40% - Accent6 2 3 6 2 3 2" xfId="49836"/>
    <cellStyle name="40% - Accent6 2 3 6 2 4" xfId="32726"/>
    <cellStyle name="40% - Accent6 2 3 6 3" xfId="7020"/>
    <cellStyle name="40% - Accent6 2 3 6 3 2" xfId="24067"/>
    <cellStyle name="40% - Accent6 2 3 6 3 2 2" xfId="52928"/>
    <cellStyle name="40% - Accent6 2 3 6 3 3" xfId="35881"/>
    <cellStyle name="40% - Accent6 2 3 6 4" xfId="12624"/>
    <cellStyle name="40% - Accent6 2 3 6 4 2" xfId="18295"/>
    <cellStyle name="40% - Accent6 2 3 6 4 2 2" xfId="47156"/>
    <cellStyle name="40% - Accent6 2 3 6 4 3" xfId="41485"/>
    <cellStyle name="40% - Accent6 2 3 6 5" xfId="15615"/>
    <cellStyle name="40% - Accent6 2 3 6 5 2" xfId="44476"/>
    <cellStyle name="40% - Accent6 2 3 6 6" xfId="29840"/>
    <cellStyle name="40% - Accent6 2 3 7" xfId="1184"/>
    <cellStyle name="40% - Accent6 2 3 7 2" xfId="4071"/>
    <cellStyle name="40% - Accent6 2 3 7 2 2" xfId="10112"/>
    <cellStyle name="40% - Accent6 2 3 7 2 2 2" xfId="27159"/>
    <cellStyle name="40% - Accent6 2 3 7 2 2 2 2" xfId="56020"/>
    <cellStyle name="40% - Accent6 2 3 7 2 2 3" xfId="38973"/>
    <cellStyle name="40% - Accent6 2 3 7 2 3" xfId="21181"/>
    <cellStyle name="40% - Accent6 2 3 7 2 3 2" xfId="50042"/>
    <cellStyle name="40% - Accent6 2 3 7 2 4" xfId="32932"/>
    <cellStyle name="40% - Accent6 2 3 7 3" xfId="7226"/>
    <cellStyle name="40% - Accent6 2 3 7 3 2" xfId="24273"/>
    <cellStyle name="40% - Accent6 2 3 7 3 2 2" xfId="53134"/>
    <cellStyle name="40% - Accent6 2 3 7 3 3" xfId="36087"/>
    <cellStyle name="40% - Accent6 2 3 7 4" xfId="13673"/>
    <cellStyle name="40% - Accent6 2 3 7 4 2" xfId="18501"/>
    <cellStyle name="40% - Accent6 2 3 7 4 2 2" xfId="47362"/>
    <cellStyle name="40% - Accent6 2 3 7 4 3" xfId="42534"/>
    <cellStyle name="40% - Accent6 2 3 7 5" xfId="15821"/>
    <cellStyle name="40% - Accent6 2 3 7 5 2" xfId="44682"/>
    <cellStyle name="40% - Accent6 2 3 7 6" xfId="30046"/>
    <cellStyle name="40% - Accent6 2 3 8" xfId="1390"/>
    <cellStyle name="40% - Accent6 2 3 8 2" xfId="4277"/>
    <cellStyle name="40% - Accent6 2 3 8 2 2" xfId="10318"/>
    <cellStyle name="40% - Accent6 2 3 8 2 2 2" xfId="27365"/>
    <cellStyle name="40% - Accent6 2 3 8 2 2 2 2" xfId="56226"/>
    <cellStyle name="40% - Accent6 2 3 8 2 2 3" xfId="39179"/>
    <cellStyle name="40% - Accent6 2 3 8 2 3" xfId="21387"/>
    <cellStyle name="40% - Accent6 2 3 8 2 3 2" xfId="50248"/>
    <cellStyle name="40% - Accent6 2 3 8 2 4" xfId="33138"/>
    <cellStyle name="40% - Accent6 2 3 8 3" xfId="7432"/>
    <cellStyle name="40% - Accent6 2 3 8 3 2" xfId="24479"/>
    <cellStyle name="40% - Accent6 2 3 8 3 2 2" xfId="53340"/>
    <cellStyle name="40% - Accent6 2 3 8 3 3" xfId="36293"/>
    <cellStyle name="40% - Accent6 2 3 8 4" xfId="13511"/>
    <cellStyle name="40% - Accent6 2 3 8 4 2" xfId="18707"/>
    <cellStyle name="40% - Accent6 2 3 8 4 2 2" xfId="47568"/>
    <cellStyle name="40% - Accent6 2 3 8 4 3" xfId="42372"/>
    <cellStyle name="40% - Accent6 2 3 8 5" xfId="16027"/>
    <cellStyle name="40% - Accent6 2 3 8 5 2" xfId="44888"/>
    <cellStyle name="40% - Accent6 2 3 8 6" xfId="30252"/>
    <cellStyle name="40% - Accent6 2 3 9" xfId="1596"/>
    <cellStyle name="40% - Accent6 2 3 9 2" xfId="4483"/>
    <cellStyle name="40% - Accent6 2 3 9 2 2" xfId="10524"/>
    <cellStyle name="40% - Accent6 2 3 9 2 2 2" xfId="27571"/>
    <cellStyle name="40% - Accent6 2 3 9 2 2 2 2" xfId="56432"/>
    <cellStyle name="40% - Accent6 2 3 9 2 2 3" xfId="39385"/>
    <cellStyle name="40% - Accent6 2 3 9 2 3" xfId="21593"/>
    <cellStyle name="40% - Accent6 2 3 9 2 3 2" xfId="50454"/>
    <cellStyle name="40% - Accent6 2 3 9 2 4" xfId="33344"/>
    <cellStyle name="40% - Accent6 2 3 9 3" xfId="7638"/>
    <cellStyle name="40% - Accent6 2 3 9 3 2" xfId="24685"/>
    <cellStyle name="40% - Accent6 2 3 9 3 2 2" xfId="53546"/>
    <cellStyle name="40% - Accent6 2 3 9 3 3" xfId="36499"/>
    <cellStyle name="40% - Accent6 2 3 9 4" xfId="6055"/>
    <cellStyle name="40% - Accent6 2 3 9 4 2" xfId="18913"/>
    <cellStyle name="40% - Accent6 2 3 9 4 2 2" xfId="47774"/>
    <cellStyle name="40% - Accent6 2 3 9 4 3" xfId="34916"/>
    <cellStyle name="40% - Accent6 2 3 9 5" xfId="16233"/>
    <cellStyle name="40% - Accent6 2 3 9 5 2" xfId="45094"/>
    <cellStyle name="40% - Accent6 2 3 9 6" xfId="30458"/>
    <cellStyle name="40% - Accent6 2 4" xfId="308"/>
    <cellStyle name="40% - Accent6 2 4 10" xfId="2471"/>
    <cellStyle name="40% - Accent6 2 4 10 2" xfId="5358"/>
    <cellStyle name="40% - Accent6 2 4 10 2 2" xfId="11399"/>
    <cellStyle name="40% - Accent6 2 4 10 2 2 2" xfId="28446"/>
    <cellStyle name="40% - Accent6 2 4 10 2 2 2 2" xfId="57307"/>
    <cellStyle name="40% - Accent6 2 4 10 2 2 3" xfId="40260"/>
    <cellStyle name="40% - Accent6 2 4 10 2 3" xfId="22468"/>
    <cellStyle name="40% - Accent6 2 4 10 2 3 2" xfId="51329"/>
    <cellStyle name="40% - Accent6 2 4 10 2 4" xfId="34219"/>
    <cellStyle name="40% - Accent6 2 4 10 3" xfId="8513"/>
    <cellStyle name="40% - Accent6 2 4 10 3 2" xfId="25560"/>
    <cellStyle name="40% - Accent6 2 4 10 3 2 2" xfId="54421"/>
    <cellStyle name="40% - Accent6 2 4 10 3 3" xfId="37374"/>
    <cellStyle name="40% - Accent6 2 4 10 4" xfId="14471"/>
    <cellStyle name="40% - Accent6 2 4 10 4 2" xfId="19788"/>
    <cellStyle name="40% - Accent6 2 4 10 4 2 2" xfId="48649"/>
    <cellStyle name="40% - Accent6 2 4 10 4 3" xfId="43332"/>
    <cellStyle name="40% - Accent6 2 4 10 5" xfId="17108"/>
    <cellStyle name="40% - Accent6 2 4 10 5 2" xfId="45969"/>
    <cellStyle name="40% - Accent6 2 4 10 6" xfId="31333"/>
    <cellStyle name="40% - Accent6 2 4 11" xfId="2680"/>
    <cellStyle name="40% - Accent6 2 4 11 2" xfId="5566"/>
    <cellStyle name="40% - Accent6 2 4 11 2 2" xfId="11607"/>
    <cellStyle name="40% - Accent6 2 4 11 2 2 2" xfId="28654"/>
    <cellStyle name="40% - Accent6 2 4 11 2 2 2 2" xfId="57515"/>
    <cellStyle name="40% - Accent6 2 4 11 2 2 3" xfId="40468"/>
    <cellStyle name="40% - Accent6 2 4 11 2 3" xfId="22676"/>
    <cellStyle name="40% - Accent6 2 4 11 2 3 2" xfId="51537"/>
    <cellStyle name="40% - Accent6 2 4 11 2 4" xfId="34427"/>
    <cellStyle name="40% - Accent6 2 4 11 3" xfId="8721"/>
    <cellStyle name="40% - Accent6 2 4 11 3 2" xfId="25768"/>
    <cellStyle name="40% - Accent6 2 4 11 3 2 2" xfId="54629"/>
    <cellStyle name="40% - Accent6 2 4 11 3 3" xfId="37582"/>
    <cellStyle name="40% - Accent6 2 4 11 4" xfId="13844"/>
    <cellStyle name="40% - Accent6 2 4 11 4 2" xfId="19996"/>
    <cellStyle name="40% - Accent6 2 4 11 4 2 2" xfId="48857"/>
    <cellStyle name="40% - Accent6 2 4 11 4 3" xfId="42705"/>
    <cellStyle name="40% - Accent6 2 4 11 5" xfId="17316"/>
    <cellStyle name="40% - Accent6 2 4 11 5 2" xfId="46177"/>
    <cellStyle name="40% - Accent6 2 4 11 6" xfId="31541"/>
    <cellStyle name="40% - Accent6 2 4 12" xfId="3195"/>
    <cellStyle name="40% - Accent6 2 4 12 2" xfId="9236"/>
    <cellStyle name="40% - Accent6 2 4 12 2 2" xfId="26283"/>
    <cellStyle name="40% - Accent6 2 4 12 2 2 2" xfId="55144"/>
    <cellStyle name="40% - Accent6 2 4 12 2 3" xfId="38097"/>
    <cellStyle name="40% - Accent6 2 4 12 3" xfId="12837"/>
    <cellStyle name="40% - Accent6 2 4 12 3 2" xfId="20305"/>
    <cellStyle name="40% - Accent6 2 4 12 3 2 2" xfId="49166"/>
    <cellStyle name="40% - Accent6 2 4 12 3 3" xfId="41698"/>
    <cellStyle name="40% - Accent6 2 4 12 4" xfId="14945"/>
    <cellStyle name="40% - Accent6 2 4 12 4 2" xfId="43806"/>
    <cellStyle name="40% - Accent6 2 4 12 5" xfId="32056"/>
    <cellStyle name="40% - Accent6 2 4 13" xfId="2886"/>
    <cellStyle name="40% - Accent6 2 4 13 2" xfId="8927"/>
    <cellStyle name="40% - Accent6 2 4 13 2 2" xfId="25974"/>
    <cellStyle name="40% - Accent6 2 4 13 2 2 2" xfId="54835"/>
    <cellStyle name="40% - Accent6 2 4 13 2 3" xfId="37788"/>
    <cellStyle name="40% - Accent6 2 4 13 3" xfId="17522"/>
    <cellStyle name="40% - Accent6 2 4 13 3 2" xfId="46383"/>
    <cellStyle name="40% - Accent6 2 4 13 4" xfId="31747"/>
    <cellStyle name="40% - Accent6 2 4 14" xfId="5772"/>
    <cellStyle name="40% - Accent6 2 4 14 2" xfId="11813"/>
    <cellStyle name="40% - Accent6 2 4 14 2 2" xfId="28860"/>
    <cellStyle name="40% - Accent6 2 4 14 2 2 2" xfId="57721"/>
    <cellStyle name="40% - Accent6 2 4 14 2 3" xfId="40674"/>
    <cellStyle name="40% - Accent6 2 4 14 3" xfId="22882"/>
    <cellStyle name="40% - Accent6 2 4 14 3 2" xfId="51743"/>
    <cellStyle name="40% - Accent6 2 4 14 4" xfId="34633"/>
    <cellStyle name="40% - Accent6 2 4 15" xfId="5989"/>
    <cellStyle name="40% - Accent6 2 4 15 2" xfId="23088"/>
    <cellStyle name="40% - Accent6 2 4 15 2 2" xfId="51949"/>
    <cellStyle name="40% - Accent6 2 4 15 3" xfId="34850"/>
    <cellStyle name="40% - Accent6 2 4 16" xfId="6350"/>
    <cellStyle name="40% - Accent6 2 4 16 2" xfId="23397"/>
    <cellStyle name="40% - Accent6 2 4 16 2 2" xfId="52258"/>
    <cellStyle name="40% - Accent6 2 4 16 3" xfId="35211"/>
    <cellStyle name="40% - Accent6 2 4 17" xfId="14636"/>
    <cellStyle name="40% - Accent6 2 4 17 2" xfId="43497"/>
    <cellStyle name="40% - Accent6 2 4 18" xfId="29170"/>
    <cellStyle name="40% - Accent6 2 4 2" xfId="514"/>
    <cellStyle name="40% - Accent6 2 4 2 2" xfId="2265"/>
    <cellStyle name="40% - Accent6 2 4 2 2 2" xfId="5152"/>
    <cellStyle name="40% - Accent6 2 4 2 2 2 2" xfId="11193"/>
    <cellStyle name="40% - Accent6 2 4 2 2 2 2 2" xfId="28240"/>
    <cellStyle name="40% - Accent6 2 4 2 2 2 2 2 2" xfId="57101"/>
    <cellStyle name="40% - Accent6 2 4 2 2 2 2 3" xfId="40054"/>
    <cellStyle name="40% - Accent6 2 4 2 2 2 3" xfId="22262"/>
    <cellStyle name="40% - Accent6 2 4 2 2 2 3 2" xfId="51123"/>
    <cellStyle name="40% - Accent6 2 4 2 2 2 4" xfId="34013"/>
    <cellStyle name="40% - Accent6 2 4 2 2 3" xfId="8307"/>
    <cellStyle name="40% - Accent6 2 4 2 2 3 2" xfId="25354"/>
    <cellStyle name="40% - Accent6 2 4 2 2 3 2 2" xfId="54215"/>
    <cellStyle name="40% - Accent6 2 4 2 2 3 3" xfId="37168"/>
    <cellStyle name="40% - Accent6 2 4 2 2 4" xfId="12893"/>
    <cellStyle name="40% - Accent6 2 4 2 2 4 2" xfId="19582"/>
    <cellStyle name="40% - Accent6 2 4 2 2 4 2 2" xfId="48443"/>
    <cellStyle name="40% - Accent6 2 4 2 2 4 3" xfId="41754"/>
    <cellStyle name="40% - Accent6 2 4 2 2 5" xfId="16902"/>
    <cellStyle name="40% - Accent6 2 4 2 2 5 2" xfId="45763"/>
    <cellStyle name="40% - Accent6 2 4 2 2 6" xfId="31127"/>
    <cellStyle name="40% - Accent6 2 4 2 3" xfId="3401"/>
    <cellStyle name="40% - Accent6 2 4 2 3 2" xfId="9442"/>
    <cellStyle name="40% - Accent6 2 4 2 3 2 2" xfId="26489"/>
    <cellStyle name="40% - Accent6 2 4 2 3 2 2 2" xfId="55350"/>
    <cellStyle name="40% - Accent6 2 4 2 3 2 3" xfId="38303"/>
    <cellStyle name="40% - Accent6 2 4 2 3 3" xfId="20511"/>
    <cellStyle name="40% - Accent6 2 4 2 3 3 2" xfId="49372"/>
    <cellStyle name="40% - Accent6 2 4 2 3 4" xfId="32262"/>
    <cellStyle name="40% - Accent6 2 4 2 4" xfId="6556"/>
    <cellStyle name="40% - Accent6 2 4 2 4 2" xfId="23603"/>
    <cellStyle name="40% - Accent6 2 4 2 4 2 2" xfId="52464"/>
    <cellStyle name="40% - Accent6 2 4 2 4 3" xfId="35417"/>
    <cellStyle name="40% - Accent6 2 4 2 5" xfId="13477"/>
    <cellStyle name="40% - Accent6 2 4 2 5 2" xfId="17831"/>
    <cellStyle name="40% - Accent6 2 4 2 5 2 2" xfId="46692"/>
    <cellStyle name="40% - Accent6 2 4 2 5 3" xfId="42338"/>
    <cellStyle name="40% - Accent6 2 4 2 6" xfId="15151"/>
    <cellStyle name="40% - Accent6 2 4 2 6 2" xfId="44012"/>
    <cellStyle name="40% - Accent6 2 4 2 7" xfId="29376"/>
    <cellStyle name="40% - Accent6 2 4 3" xfId="823"/>
    <cellStyle name="40% - Accent6 2 4 3 2" xfId="3710"/>
    <cellStyle name="40% - Accent6 2 4 3 2 2" xfId="9751"/>
    <cellStyle name="40% - Accent6 2 4 3 2 2 2" xfId="26798"/>
    <cellStyle name="40% - Accent6 2 4 3 2 2 2 2" xfId="55659"/>
    <cellStyle name="40% - Accent6 2 4 3 2 2 3" xfId="38612"/>
    <cellStyle name="40% - Accent6 2 4 3 2 3" xfId="20820"/>
    <cellStyle name="40% - Accent6 2 4 3 2 3 2" xfId="49681"/>
    <cellStyle name="40% - Accent6 2 4 3 2 4" xfId="32571"/>
    <cellStyle name="40% - Accent6 2 4 3 3" xfId="6865"/>
    <cellStyle name="40% - Accent6 2 4 3 3 2" xfId="23912"/>
    <cellStyle name="40% - Accent6 2 4 3 3 2 2" xfId="52773"/>
    <cellStyle name="40% - Accent6 2 4 3 3 3" xfId="35726"/>
    <cellStyle name="40% - Accent6 2 4 3 4" xfId="13577"/>
    <cellStyle name="40% - Accent6 2 4 3 4 2" xfId="18140"/>
    <cellStyle name="40% - Accent6 2 4 3 4 2 2" xfId="47001"/>
    <cellStyle name="40% - Accent6 2 4 3 4 3" xfId="42438"/>
    <cellStyle name="40% - Accent6 2 4 3 5" xfId="15460"/>
    <cellStyle name="40% - Accent6 2 4 3 5 2" xfId="44321"/>
    <cellStyle name="40% - Accent6 2 4 3 6" xfId="29685"/>
    <cellStyle name="40% - Accent6 2 4 4" xfId="1029"/>
    <cellStyle name="40% - Accent6 2 4 4 2" xfId="3916"/>
    <cellStyle name="40% - Accent6 2 4 4 2 2" xfId="9957"/>
    <cellStyle name="40% - Accent6 2 4 4 2 2 2" xfId="27004"/>
    <cellStyle name="40% - Accent6 2 4 4 2 2 2 2" xfId="55865"/>
    <cellStyle name="40% - Accent6 2 4 4 2 2 3" xfId="38818"/>
    <cellStyle name="40% - Accent6 2 4 4 2 3" xfId="21026"/>
    <cellStyle name="40% - Accent6 2 4 4 2 3 2" xfId="49887"/>
    <cellStyle name="40% - Accent6 2 4 4 2 4" xfId="32777"/>
    <cellStyle name="40% - Accent6 2 4 4 3" xfId="7071"/>
    <cellStyle name="40% - Accent6 2 4 4 3 2" xfId="24118"/>
    <cellStyle name="40% - Accent6 2 4 4 3 2 2" xfId="52979"/>
    <cellStyle name="40% - Accent6 2 4 4 3 3" xfId="35932"/>
    <cellStyle name="40% - Accent6 2 4 4 4" xfId="12168"/>
    <cellStyle name="40% - Accent6 2 4 4 4 2" xfId="18346"/>
    <cellStyle name="40% - Accent6 2 4 4 4 2 2" xfId="47207"/>
    <cellStyle name="40% - Accent6 2 4 4 4 3" xfId="41029"/>
    <cellStyle name="40% - Accent6 2 4 4 5" xfId="15666"/>
    <cellStyle name="40% - Accent6 2 4 4 5 2" xfId="44527"/>
    <cellStyle name="40% - Accent6 2 4 4 6" xfId="29891"/>
    <cellStyle name="40% - Accent6 2 4 5" xfId="1235"/>
    <cellStyle name="40% - Accent6 2 4 5 2" xfId="4122"/>
    <cellStyle name="40% - Accent6 2 4 5 2 2" xfId="10163"/>
    <cellStyle name="40% - Accent6 2 4 5 2 2 2" xfId="27210"/>
    <cellStyle name="40% - Accent6 2 4 5 2 2 2 2" xfId="56071"/>
    <cellStyle name="40% - Accent6 2 4 5 2 2 3" xfId="39024"/>
    <cellStyle name="40% - Accent6 2 4 5 2 3" xfId="21232"/>
    <cellStyle name="40% - Accent6 2 4 5 2 3 2" xfId="50093"/>
    <cellStyle name="40% - Accent6 2 4 5 2 4" xfId="32983"/>
    <cellStyle name="40% - Accent6 2 4 5 3" xfId="7277"/>
    <cellStyle name="40% - Accent6 2 4 5 3 2" xfId="24324"/>
    <cellStyle name="40% - Accent6 2 4 5 3 2 2" xfId="53185"/>
    <cellStyle name="40% - Accent6 2 4 5 3 3" xfId="36138"/>
    <cellStyle name="40% - Accent6 2 4 5 4" xfId="13135"/>
    <cellStyle name="40% - Accent6 2 4 5 4 2" xfId="18552"/>
    <cellStyle name="40% - Accent6 2 4 5 4 2 2" xfId="47413"/>
    <cellStyle name="40% - Accent6 2 4 5 4 3" xfId="41996"/>
    <cellStyle name="40% - Accent6 2 4 5 5" xfId="15872"/>
    <cellStyle name="40% - Accent6 2 4 5 5 2" xfId="44733"/>
    <cellStyle name="40% - Accent6 2 4 5 6" xfId="30097"/>
    <cellStyle name="40% - Accent6 2 4 6" xfId="1441"/>
    <cellStyle name="40% - Accent6 2 4 6 2" xfId="4328"/>
    <cellStyle name="40% - Accent6 2 4 6 2 2" xfId="10369"/>
    <cellStyle name="40% - Accent6 2 4 6 2 2 2" xfId="27416"/>
    <cellStyle name="40% - Accent6 2 4 6 2 2 2 2" xfId="56277"/>
    <cellStyle name="40% - Accent6 2 4 6 2 2 3" xfId="39230"/>
    <cellStyle name="40% - Accent6 2 4 6 2 3" xfId="21438"/>
    <cellStyle name="40% - Accent6 2 4 6 2 3 2" xfId="50299"/>
    <cellStyle name="40% - Accent6 2 4 6 2 4" xfId="33189"/>
    <cellStyle name="40% - Accent6 2 4 6 3" xfId="7483"/>
    <cellStyle name="40% - Accent6 2 4 6 3 2" xfId="24530"/>
    <cellStyle name="40% - Accent6 2 4 6 3 2 2" xfId="53391"/>
    <cellStyle name="40% - Accent6 2 4 6 3 3" xfId="36344"/>
    <cellStyle name="40% - Accent6 2 4 6 4" xfId="12932"/>
    <cellStyle name="40% - Accent6 2 4 6 4 2" xfId="18758"/>
    <cellStyle name="40% - Accent6 2 4 6 4 2 2" xfId="47619"/>
    <cellStyle name="40% - Accent6 2 4 6 4 3" xfId="41793"/>
    <cellStyle name="40% - Accent6 2 4 6 5" xfId="16078"/>
    <cellStyle name="40% - Accent6 2 4 6 5 2" xfId="44939"/>
    <cellStyle name="40% - Accent6 2 4 6 6" xfId="30303"/>
    <cellStyle name="40% - Accent6 2 4 7" xfId="1647"/>
    <cellStyle name="40% - Accent6 2 4 7 2" xfId="4534"/>
    <cellStyle name="40% - Accent6 2 4 7 2 2" xfId="10575"/>
    <cellStyle name="40% - Accent6 2 4 7 2 2 2" xfId="27622"/>
    <cellStyle name="40% - Accent6 2 4 7 2 2 2 2" xfId="56483"/>
    <cellStyle name="40% - Accent6 2 4 7 2 2 3" xfId="39436"/>
    <cellStyle name="40% - Accent6 2 4 7 2 3" xfId="21644"/>
    <cellStyle name="40% - Accent6 2 4 7 2 3 2" xfId="50505"/>
    <cellStyle name="40% - Accent6 2 4 7 2 4" xfId="33395"/>
    <cellStyle name="40% - Accent6 2 4 7 3" xfId="7689"/>
    <cellStyle name="40% - Accent6 2 4 7 3 2" xfId="24736"/>
    <cellStyle name="40% - Accent6 2 4 7 3 2 2" xfId="53597"/>
    <cellStyle name="40% - Accent6 2 4 7 3 3" xfId="36550"/>
    <cellStyle name="40% - Accent6 2 4 7 4" xfId="13249"/>
    <cellStyle name="40% - Accent6 2 4 7 4 2" xfId="18964"/>
    <cellStyle name="40% - Accent6 2 4 7 4 2 2" xfId="47825"/>
    <cellStyle name="40% - Accent6 2 4 7 4 3" xfId="42110"/>
    <cellStyle name="40% - Accent6 2 4 7 5" xfId="16284"/>
    <cellStyle name="40% - Accent6 2 4 7 5 2" xfId="45145"/>
    <cellStyle name="40% - Accent6 2 4 7 6" xfId="30509"/>
    <cellStyle name="40% - Accent6 2 4 8" xfId="1853"/>
    <cellStyle name="40% - Accent6 2 4 8 2" xfId="4740"/>
    <cellStyle name="40% - Accent6 2 4 8 2 2" xfId="10781"/>
    <cellStyle name="40% - Accent6 2 4 8 2 2 2" xfId="27828"/>
    <cellStyle name="40% - Accent6 2 4 8 2 2 2 2" xfId="56689"/>
    <cellStyle name="40% - Accent6 2 4 8 2 2 3" xfId="39642"/>
    <cellStyle name="40% - Accent6 2 4 8 2 3" xfId="21850"/>
    <cellStyle name="40% - Accent6 2 4 8 2 3 2" xfId="50711"/>
    <cellStyle name="40% - Accent6 2 4 8 2 4" xfId="33601"/>
    <cellStyle name="40% - Accent6 2 4 8 3" xfId="7895"/>
    <cellStyle name="40% - Accent6 2 4 8 3 2" xfId="24942"/>
    <cellStyle name="40% - Accent6 2 4 8 3 2 2" xfId="53803"/>
    <cellStyle name="40% - Accent6 2 4 8 3 3" xfId="36756"/>
    <cellStyle name="40% - Accent6 2 4 8 4" xfId="12246"/>
    <cellStyle name="40% - Accent6 2 4 8 4 2" xfId="19170"/>
    <cellStyle name="40% - Accent6 2 4 8 4 2 2" xfId="48031"/>
    <cellStyle name="40% - Accent6 2 4 8 4 3" xfId="41107"/>
    <cellStyle name="40% - Accent6 2 4 8 5" xfId="16490"/>
    <cellStyle name="40% - Accent6 2 4 8 5 2" xfId="45351"/>
    <cellStyle name="40% - Accent6 2 4 8 6" xfId="30715"/>
    <cellStyle name="40% - Accent6 2 4 9" xfId="2059"/>
    <cellStyle name="40% - Accent6 2 4 9 2" xfId="4946"/>
    <cellStyle name="40% - Accent6 2 4 9 2 2" xfId="10987"/>
    <cellStyle name="40% - Accent6 2 4 9 2 2 2" xfId="28034"/>
    <cellStyle name="40% - Accent6 2 4 9 2 2 2 2" xfId="56895"/>
    <cellStyle name="40% - Accent6 2 4 9 2 2 3" xfId="39848"/>
    <cellStyle name="40% - Accent6 2 4 9 2 3" xfId="22056"/>
    <cellStyle name="40% - Accent6 2 4 9 2 3 2" xfId="50917"/>
    <cellStyle name="40% - Accent6 2 4 9 2 4" xfId="33807"/>
    <cellStyle name="40% - Accent6 2 4 9 3" xfId="8101"/>
    <cellStyle name="40% - Accent6 2 4 9 3 2" xfId="25148"/>
    <cellStyle name="40% - Accent6 2 4 9 3 2 2" xfId="54009"/>
    <cellStyle name="40% - Accent6 2 4 9 3 3" xfId="36962"/>
    <cellStyle name="40% - Accent6 2 4 9 4" xfId="12967"/>
    <cellStyle name="40% - Accent6 2 4 9 4 2" xfId="19376"/>
    <cellStyle name="40% - Accent6 2 4 9 4 2 2" xfId="48237"/>
    <cellStyle name="40% - Accent6 2 4 9 4 3" xfId="41828"/>
    <cellStyle name="40% - Accent6 2 4 9 5" xfId="16696"/>
    <cellStyle name="40% - Accent6 2 4 9 5 2" xfId="45557"/>
    <cellStyle name="40% - Accent6 2 4 9 6" xfId="30921"/>
    <cellStyle name="40% - Accent6 2 5" xfId="205"/>
    <cellStyle name="40% - Accent6 2 5 2" xfId="617"/>
    <cellStyle name="40% - Accent6 2 5 2 2" xfId="3504"/>
    <cellStyle name="40% - Accent6 2 5 2 2 2" xfId="9545"/>
    <cellStyle name="40% - Accent6 2 5 2 2 2 2" xfId="26592"/>
    <cellStyle name="40% - Accent6 2 5 2 2 2 2 2" xfId="55453"/>
    <cellStyle name="40% - Accent6 2 5 2 2 2 3" xfId="38406"/>
    <cellStyle name="40% - Accent6 2 5 2 2 3" xfId="20614"/>
    <cellStyle name="40% - Accent6 2 5 2 2 3 2" xfId="49475"/>
    <cellStyle name="40% - Accent6 2 5 2 2 4" xfId="32365"/>
    <cellStyle name="40% - Accent6 2 5 2 3" xfId="6659"/>
    <cellStyle name="40% - Accent6 2 5 2 3 2" xfId="23706"/>
    <cellStyle name="40% - Accent6 2 5 2 3 2 2" xfId="52567"/>
    <cellStyle name="40% - Accent6 2 5 2 3 3" xfId="35520"/>
    <cellStyle name="40% - Accent6 2 5 2 4" xfId="13009"/>
    <cellStyle name="40% - Accent6 2 5 2 4 2" xfId="17934"/>
    <cellStyle name="40% - Accent6 2 5 2 4 2 2" xfId="46795"/>
    <cellStyle name="40% - Accent6 2 5 2 4 3" xfId="41870"/>
    <cellStyle name="40% - Accent6 2 5 2 5" xfId="15254"/>
    <cellStyle name="40% - Accent6 2 5 2 5 2" xfId="44115"/>
    <cellStyle name="40% - Accent6 2 5 2 6" xfId="29479"/>
    <cellStyle name="40% - Accent6 2 5 3" xfId="2162"/>
    <cellStyle name="40% - Accent6 2 5 3 2" xfId="5049"/>
    <cellStyle name="40% - Accent6 2 5 3 2 2" xfId="11090"/>
    <cellStyle name="40% - Accent6 2 5 3 2 2 2" xfId="28137"/>
    <cellStyle name="40% - Accent6 2 5 3 2 2 2 2" xfId="56998"/>
    <cellStyle name="40% - Accent6 2 5 3 2 2 3" xfId="39951"/>
    <cellStyle name="40% - Accent6 2 5 3 2 3" xfId="22159"/>
    <cellStyle name="40% - Accent6 2 5 3 2 3 2" xfId="51020"/>
    <cellStyle name="40% - Accent6 2 5 3 2 4" xfId="33910"/>
    <cellStyle name="40% - Accent6 2 5 3 3" xfId="8204"/>
    <cellStyle name="40% - Accent6 2 5 3 3 2" xfId="25251"/>
    <cellStyle name="40% - Accent6 2 5 3 3 2 2" xfId="54112"/>
    <cellStyle name="40% - Accent6 2 5 3 3 3" xfId="37065"/>
    <cellStyle name="40% - Accent6 2 5 3 4" xfId="13916"/>
    <cellStyle name="40% - Accent6 2 5 3 4 2" xfId="19479"/>
    <cellStyle name="40% - Accent6 2 5 3 4 2 2" xfId="48340"/>
    <cellStyle name="40% - Accent6 2 5 3 4 3" xfId="42777"/>
    <cellStyle name="40% - Accent6 2 5 3 5" xfId="16799"/>
    <cellStyle name="40% - Accent6 2 5 3 5 2" xfId="45660"/>
    <cellStyle name="40% - Accent6 2 5 3 6" xfId="31024"/>
    <cellStyle name="40% - Accent6 2 5 4" xfId="3092"/>
    <cellStyle name="40% - Accent6 2 5 4 2" xfId="9133"/>
    <cellStyle name="40% - Accent6 2 5 4 2 2" xfId="26180"/>
    <cellStyle name="40% - Accent6 2 5 4 2 2 2" xfId="55041"/>
    <cellStyle name="40% - Accent6 2 5 4 2 3" xfId="37994"/>
    <cellStyle name="40% - Accent6 2 5 4 3" xfId="20202"/>
    <cellStyle name="40% - Accent6 2 5 4 3 2" xfId="49063"/>
    <cellStyle name="40% - Accent6 2 5 4 4" xfId="31953"/>
    <cellStyle name="40% - Accent6 2 5 5" xfId="6247"/>
    <cellStyle name="40% - Accent6 2 5 5 2" xfId="23294"/>
    <cellStyle name="40% - Accent6 2 5 5 2 2" xfId="52155"/>
    <cellStyle name="40% - Accent6 2 5 5 3" xfId="35108"/>
    <cellStyle name="40% - Accent6 2 5 6" xfId="14473"/>
    <cellStyle name="40% - Accent6 2 5 6 2" xfId="17625"/>
    <cellStyle name="40% - Accent6 2 5 6 2 2" xfId="46486"/>
    <cellStyle name="40% - Accent6 2 5 6 3" xfId="43334"/>
    <cellStyle name="40% - Accent6 2 5 7" xfId="14842"/>
    <cellStyle name="40% - Accent6 2 5 7 2" xfId="43703"/>
    <cellStyle name="40% - Accent6 2 5 8" xfId="29067"/>
    <cellStyle name="40% - Accent6 2 6" xfId="411"/>
    <cellStyle name="40% - Accent6 2 6 2" xfId="3298"/>
    <cellStyle name="40% - Accent6 2 6 2 2" xfId="9339"/>
    <cellStyle name="40% - Accent6 2 6 2 2 2" xfId="26386"/>
    <cellStyle name="40% - Accent6 2 6 2 2 2 2" xfId="55247"/>
    <cellStyle name="40% - Accent6 2 6 2 2 3" xfId="38200"/>
    <cellStyle name="40% - Accent6 2 6 2 3" xfId="20408"/>
    <cellStyle name="40% - Accent6 2 6 2 3 2" xfId="49269"/>
    <cellStyle name="40% - Accent6 2 6 2 4" xfId="32159"/>
    <cellStyle name="40% - Accent6 2 6 3" xfId="6453"/>
    <cellStyle name="40% - Accent6 2 6 3 2" xfId="23500"/>
    <cellStyle name="40% - Accent6 2 6 3 2 2" xfId="52361"/>
    <cellStyle name="40% - Accent6 2 6 3 3" xfId="35314"/>
    <cellStyle name="40% - Accent6 2 6 4" xfId="14009"/>
    <cellStyle name="40% - Accent6 2 6 4 2" xfId="17728"/>
    <cellStyle name="40% - Accent6 2 6 4 2 2" xfId="46589"/>
    <cellStyle name="40% - Accent6 2 6 4 3" xfId="42870"/>
    <cellStyle name="40% - Accent6 2 6 5" xfId="15048"/>
    <cellStyle name="40% - Accent6 2 6 5 2" xfId="43909"/>
    <cellStyle name="40% - Accent6 2 6 6" xfId="29273"/>
    <cellStyle name="40% - Accent6 2 7" xfId="720"/>
    <cellStyle name="40% - Accent6 2 7 2" xfId="3607"/>
    <cellStyle name="40% - Accent6 2 7 2 2" xfId="9648"/>
    <cellStyle name="40% - Accent6 2 7 2 2 2" xfId="26695"/>
    <cellStyle name="40% - Accent6 2 7 2 2 2 2" xfId="55556"/>
    <cellStyle name="40% - Accent6 2 7 2 2 3" xfId="38509"/>
    <cellStyle name="40% - Accent6 2 7 2 3" xfId="20717"/>
    <cellStyle name="40% - Accent6 2 7 2 3 2" xfId="49578"/>
    <cellStyle name="40% - Accent6 2 7 2 4" xfId="32468"/>
    <cellStyle name="40% - Accent6 2 7 3" xfId="6762"/>
    <cellStyle name="40% - Accent6 2 7 3 2" xfId="23809"/>
    <cellStyle name="40% - Accent6 2 7 3 2 2" xfId="52670"/>
    <cellStyle name="40% - Accent6 2 7 3 3" xfId="35623"/>
    <cellStyle name="40% - Accent6 2 7 4" xfId="14205"/>
    <cellStyle name="40% - Accent6 2 7 4 2" xfId="18037"/>
    <cellStyle name="40% - Accent6 2 7 4 2 2" xfId="46898"/>
    <cellStyle name="40% - Accent6 2 7 4 3" xfId="43066"/>
    <cellStyle name="40% - Accent6 2 7 5" xfId="15357"/>
    <cellStyle name="40% - Accent6 2 7 5 2" xfId="44218"/>
    <cellStyle name="40% - Accent6 2 7 6" xfId="29582"/>
    <cellStyle name="40% - Accent6 2 8" xfId="926"/>
    <cellStyle name="40% - Accent6 2 8 2" xfId="3813"/>
    <cellStyle name="40% - Accent6 2 8 2 2" xfId="9854"/>
    <cellStyle name="40% - Accent6 2 8 2 2 2" xfId="26901"/>
    <cellStyle name="40% - Accent6 2 8 2 2 2 2" xfId="55762"/>
    <cellStyle name="40% - Accent6 2 8 2 2 3" xfId="38715"/>
    <cellStyle name="40% - Accent6 2 8 2 3" xfId="20923"/>
    <cellStyle name="40% - Accent6 2 8 2 3 2" xfId="49784"/>
    <cellStyle name="40% - Accent6 2 8 2 4" xfId="32674"/>
    <cellStyle name="40% - Accent6 2 8 3" xfId="6968"/>
    <cellStyle name="40% - Accent6 2 8 3 2" xfId="24015"/>
    <cellStyle name="40% - Accent6 2 8 3 2 2" xfId="52876"/>
    <cellStyle name="40% - Accent6 2 8 3 3" xfId="35829"/>
    <cellStyle name="40% - Accent6 2 8 4" xfId="12801"/>
    <cellStyle name="40% - Accent6 2 8 4 2" xfId="18243"/>
    <cellStyle name="40% - Accent6 2 8 4 2 2" xfId="47104"/>
    <cellStyle name="40% - Accent6 2 8 4 3" xfId="41662"/>
    <cellStyle name="40% - Accent6 2 8 5" xfId="15563"/>
    <cellStyle name="40% - Accent6 2 8 5 2" xfId="44424"/>
    <cellStyle name="40% - Accent6 2 8 6" xfId="29788"/>
    <cellStyle name="40% - Accent6 2 9" xfId="1132"/>
    <cellStyle name="40% - Accent6 2 9 2" xfId="4019"/>
    <cellStyle name="40% - Accent6 2 9 2 2" xfId="10060"/>
    <cellStyle name="40% - Accent6 2 9 2 2 2" xfId="27107"/>
    <cellStyle name="40% - Accent6 2 9 2 2 2 2" xfId="55968"/>
    <cellStyle name="40% - Accent6 2 9 2 2 3" xfId="38921"/>
    <cellStyle name="40% - Accent6 2 9 2 3" xfId="21129"/>
    <cellStyle name="40% - Accent6 2 9 2 3 2" xfId="49990"/>
    <cellStyle name="40% - Accent6 2 9 2 4" xfId="32880"/>
    <cellStyle name="40% - Accent6 2 9 3" xfId="7174"/>
    <cellStyle name="40% - Accent6 2 9 3 2" xfId="24221"/>
    <cellStyle name="40% - Accent6 2 9 3 2 2" xfId="53082"/>
    <cellStyle name="40% - Accent6 2 9 3 3" xfId="36035"/>
    <cellStyle name="40% - Accent6 2 9 4" xfId="12292"/>
    <cellStyle name="40% - Accent6 2 9 4 2" xfId="18449"/>
    <cellStyle name="40% - Accent6 2 9 4 2 2" xfId="47310"/>
    <cellStyle name="40% - Accent6 2 9 4 3" xfId="41153"/>
    <cellStyle name="40% - Accent6 2 9 5" xfId="15769"/>
    <cellStyle name="40% - Accent6 2 9 5 2" xfId="44630"/>
    <cellStyle name="40% - Accent6 2 9 6" xfId="29994"/>
    <cellStyle name="40% - Accent6 20" xfId="5872"/>
    <cellStyle name="40% - Accent6 20 2" xfId="22971"/>
    <cellStyle name="40% - Accent6 20 2 2" xfId="51832"/>
    <cellStyle name="40% - Accent6 20 3" xfId="34733"/>
    <cellStyle name="40% - Accent6 21" xfId="6130"/>
    <cellStyle name="40% - Accent6 21 2" xfId="23177"/>
    <cellStyle name="40% - Accent6 21 2 2" xfId="52038"/>
    <cellStyle name="40% - Accent6 21 3" xfId="34991"/>
    <cellStyle name="40% - Accent6 22" xfId="14519"/>
    <cellStyle name="40% - Accent6 22 2" xfId="43380"/>
    <cellStyle name="40% - Accent6 23" xfId="28950"/>
    <cellStyle name="40% - Accent6 3" xfId="115"/>
    <cellStyle name="40% - Accent6 3 10" xfId="1763"/>
    <cellStyle name="40% - Accent6 3 10 2" xfId="4650"/>
    <cellStyle name="40% - Accent6 3 10 2 2" xfId="10691"/>
    <cellStyle name="40% - Accent6 3 10 2 2 2" xfId="27738"/>
    <cellStyle name="40% - Accent6 3 10 2 2 2 2" xfId="56599"/>
    <cellStyle name="40% - Accent6 3 10 2 2 3" xfId="39552"/>
    <cellStyle name="40% - Accent6 3 10 2 3" xfId="21760"/>
    <cellStyle name="40% - Accent6 3 10 2 3 2" xfId="50621"/>
    <cellStyle name="40% - Accent6 3 10 2 4" xfId="33511"/>
    <cellStyle name="40% - Accent6 3 10 3" xfId="7805"/>
    <cellStyle name="40% - Accent6 3 10 3 2" xfId="24852"/>
    <cellStyle name="40% - Accent6 3 10 3 2 2" xfId="53713"/>
    <cellStyle name="40% - Accent6 3 10 3 3" xfId="36666"/>
    <cellStyle name="40% - Accent6 3 10 4" xfId="12100"/>
    <cellStyle name="40% - Accent6 3 10 4 2" xfId="19080"/>
    <cellStyle name="40% - Accent6 3 10 4 2 2" xfId="47941"/>
    <cellStyle name="40% - Accent6 3 10 4 3" xfId="40961"/>
    <cellStyle name="40% - Accent6 3 10 5" xfId="16400"/>
    <cellStyle name="40% - Accent6 3 10 5 2" xfId="45261"/>
    <cellStyle name="40% - Accent6 3 10 6" xfId="30625"/>
    <cellStyle name="40% - Accent6 3 11" xfId="1969"/>
    <cellStyle name="40% - Accent6 3 11 2" xfId="4856"/>
    <cellStyle name="40% - Accent6 3 11 2 2" xfId="10897"/>
    <cellStyle name="40% - Accent6 3 11 2 2 2" xfId="27944"/>
    <cellStyle name="40% - Accent6 3 11 2 2 2 2" xfId="56805"/>
    <cellStyle name="40% - Accent6 3 11 2 2 3" xfId="39758"/>
    <cellStyle name="40% - Accent6 3 11 2 3" xfId="21966"/>
    <cellStyle name="40% - Accent6 3 11 2 3 2" xfId="50827"/>
    <cellStyle name="40% - Accent6 3 11 2 4" xfId="33717"/>
    <cellStyle name="40% - Accent6 3 11 3" xfId="8011"/>
    <cellStyle name="40% - Accent6 3 11 3 2" xfId="25058"/>
    <cellStyle name="40% - Accent6 3 11 3 2 2" xfId="53919"/>
    <cellStyle name="40% - Accent6 3 11 3 3" xfId="36872"/>
    <cellStyle name="40% - Accent6 3 11 4" xfId="13507"/>
    <cellStyle name="40% - Accent6 3 11 4 2" xfId="19286"/>
    <cellStyle name="40% - Accent6 3 11 4 2 2" xfId="48147"/>
    <cellStyle name="40% - Accent6 3 11 4 3" xfId="42368"/>
    <cellStyle name="40% - Accent6 3 11 5" xfId="16606"/>
    <cellStyle name="40% - Accent6 3 11 5 2" xfId="45467"/>
    <cellStyle name="40% - Accent6 3 11 6" xfId="30831"/>
    <cellStyle name="40% - Accent6 3 12" xfId="2381"/>
    <cellStyle name="40% - Accent6 3 12 2" xfId="5268"/>
    <cellStyle name="40% - Accent6 3 12 2 2" xfId="11309"/>
    <cellStyle name="40% - Accent6 3 12 2 2 2" xfId="28356"/>
    <cellStyle name="40% - Accent6 3 12 2 2 2 2" xfId="57217"/>
    <cellStyle name="40% - Accent6 3 12 2 2 3" xfId="40170"/>
    <cellStyle name="40% - Accent6 3 12 2 3" xfId="22378"/>
    <cellStyle name="40% - Accent6 3 12 2 3 2" xfId="51239"/>
    <cellStyle name="40% - Accent6 3 12 2 4" xfId="34129"/>
    <cellStyle name="40% - Accent6 3 12 3" xfId="8423"/>
    <cellStyle name="40% - Accent6 3 12 3 2" xfId="25470"/>
    <cellStyle name="40% - Accent6 3 12 3 2 2" xfId="54331"/>
    <cellStyle name="40% - Accent6 3 12 3 3" xfId="37284"/>
    <cellStyle name="40% - Accent6 3 12 4" xfId="14447"/>
    <cellStyle name="40% - Accent6 3 12 4 2" xfId="19698"/>
    <cellStyle name="40% - Accent6 3 12 4 2 2" xfId="48559"/>
    <cellStyle name="40% - Accent6 3 12 4 3" xfId="43308"/>
    <cellStyle name="40% - Accent6 3 12 5" xfId="17018"/>
    <cellStyle name="40% - Accent6 3 12 5 2" xfId="45879"/>
    <cellStyle name="40% - Accent6 3 12 6" xfId="31243"/>
    <cellStyle name="40% - Accent6 3 13" xfId="2590"/>
    <cellStyle name="40% - Accent6 3 13 2" xfId="5476"/>
    <cellStyle name="40% - Accent6 3 13 2 2" xfId="11517"/>
    <cellStyle name="40% - Accent6 3 13 2 2 2" xfId="28564"/>
    <cellStyle name="40% - Accent6 3 13 2 2 2 2" xfId="57425"/>
    <cellStyle name="40% - Accent6 3 13 2 2 3" xfId="40378"/>
    <cellStyle name="40% - Accent6 3 13 2 3" xfId="22586"/>
    <cellStyle name="40% - Accent6 3 13 2 3 2" xfId="51447"/>
    <cellStyle name="40% - Accent6 3 13 2 4" xfId="34337"/>
    <cellStyle name="40% - Accent6 3 13 3" xfId="8631"/>
    <cellStyle name="40% - Accent6 3 13 3 2" xfId="25678"/>
    <cellStyle name="40% - Accent6 3 13 3 2 2" xfId="54539"/>
    <cellStyle name="40% - Accent6 3 13 3 3" xfId="37492"/>
    <cellStyle name="40% - Accent6 3 13 4" xfId="13747"/>
    <cellStyle name="40% - Accent6 3 13 4 2" xfId="19906"/>
    <cellStyle name="40% - Accent6 3 13 4 2 2" xfId="48767"/>
    <cellStyle name="40% - Accent6 3 13 4 3" xfId="42608"/>
    <cellStyle name="40% - Accent6 3 13 5" xfId="17226"/>
    <cellStyle name="40% - Accent6 3 13 5 2" xfId="46087"/>
    <cellStyle name="40% - Accent6 3 13 6" xfId="31451"/>
    <cellStyle name="40% - Accent6 3 14" xfId="3002"/>
    <cellStyle name="40% - Accent6 3 14 2" xfId="9043"/>
    <cellStyle name="40% - Accent6 3 14 2 2" xfId="26090"/>
    <cellStyle name="40% - Accent6 3 14 2 2 2" xfId="54951"/>
    <cellStyle name="40% - Accent6 3 14 2 3" xfId="37904"/>
    <cellStyle name="40% - Accent6 3 14 3" xfId="12216"/>
    <cellStyle name="40% - Accent6 3 14 3 2" xfId="20112"/>
    <cellStyle name="40% - Accent6 3 14 3 2 2" xfId="48973"/>
    <cellStyle name="40% - Accent6 3 14 3 3" xfId="41077"/>
    <cellStyle name="40% - Accent6 3 14 4" xfId="14752"/>
    <cellStyle name="40% - Accent6 3 14 4 2" xfId="43613"/>
    <cellStyle name="40% - Accent6 3 14 5" xfId="31863"/>
    <cellStyle name="40% - Accent6 3 15" xfId="2796"/>
    <cellStyle name="40% - Accent6 3 15 2" xfId="8837"/>
    <cellStyle name="40% - Accent6 3 15 2 2" xfId="25884"/>
    <cellStyle name="40% - Accent6 3 15 2 2 2" xfId="54745"/>
    <cellStyle name="40% - Accent6 3 15 2 3" xfId="37698"/>
    <cellStyle name="40% - Accent6 3 15 3" xfId="17432"/>
    <cellStyle name="40% - Accent6 3 15 3 2" xfId="46293"/>
    <cellStyle name="40% - Accent6 3 15 4" xfId="31657"/>
    <cellStyle name="40% - Accent6 3 16" xfId="5682"/>
    <cellStyle name="40% - Accent6 3 16 2" xfId="11723"/>
    <cellStyle name="40% - Accent6 3 16 2 2" xfId="28770"/>
    <cellStyle name="40% - Accent6 3 16 2 2 2" xfId="57631"/>
    <cellStyle name="40% - Accent6 3 16 2 3" xfId="40584"/>
    <cellStyle name="40% - Accent6 3 16 3" xfId="22792"/>
    <cellStyle name="40% - Accent6 3 16 3 2" xfId="51653"/>
    <cellStyle name="40% - Accent6 3 16 4" xfId="34543"/>
    <cellStyle name="40% - Accent6 3 17" xfId="5899"/>
    <cellStyle name="40% - Accent6 3 17 2" xfId="22998"/>
    <cellStyle name="40% - Accent6 3 17 2 2" xfId="51859"/>
    <cellStyle name="40% - Accent6 3 17 3" xfId="34760"/>
    <cellStyle name="40% - Accent6 3 18" xfId="6157"/>
    <cellStyle name="40% - Accent6 3 18 2" xfId="23204"/>
    <cellStyle name="40% - Accent6 3 18 2 2" xfId="52065"/>
    <cellStyle name="40% - Accent6 3 18 3" xfId="35018"/>
    <cellStyle name="40% - Accent6 3 19" xfId="14546"/>
    <cellStyle name="40% - Accent6 3 19 2" xfId="43407"/>
    <cellStyle name="40% - Accent6 3 2" xfId="321"/>
    <cellStyle name="40% - Accent6 3 2 10" xfId="2484"/>
    <cellStyle name="40% - Accent6 3 2 10 2" xfId="5371"/>
    <cellStyle name="40% - Accent6 3 2 10 2 2" xfId="11412"/>
    <cellStyle name="40% - Accent6 3 2 10 2 2 2" xfId="28459"/>
    <cellStyle name="40% - Accent6 3 2 10 2 2 2 2" xfId="57320"/>
    <cellStyle name="40% - Accent6 3 2 10 2 2 3" xfId="40273"/>
    <cellStyle name="40% - Accent6 3 2 10 2 3" xfId="22481"/>
    <cellStyle name="40% - Accent6 3 2 10 2 3 2" xfId="51342"/>
    <cellStyle name="40% - Accent6 3 2 10 2 4" xfId="34232"/>
    <cellStyle name="40% - Accent6 3 2 10 3" xfId="8526"/>
    <cellStyle name="40% - Accent6 3 2 10 3 2" xfId="25573"/>
    <cellStyle name="40% - Accent6 3 2 10 3 2 2" xfId="54434"/>
    <cellStyle name="40% - Accent6 3 2 10 3 3" xfId="37387"/>
    <cellStyle name="40% - Accent6 3 2 10 4" xfId="13969"/>
    <cellStyle name="40% - Accent6 3 2 10 4 2" xfId="19801"/>
    <cellStyle name="40% - Accent6 3 2 10 4 2 2" xfId="48662"/>
    <cellStyle name="40% - Accent6 3 2 10 4 3" xfId="42830"/>
    <cellStyle name="40% - Accent6 3 2 10 5" xfId="17121"/>
    <cellStyle name="40% - Accent6 3 2 10 5 2" xfId="45982"/>
    <cellStyle name="40% - Accent6 3 2 10 6" xfId="31346"/>
    <cellStyle name="40% - Accent6 3 2 11" xfId="2693"/>
    <cellStyle name="40% - Accent6 3 2 11 2" xfId="5579"/>
    <cellStyle name="40% - Accent6 3 2 11 2 2" xfId="11620"/>
    <cellStyle name="40% - Accent6 3 2 11 2 2 2" xfId="28667"/>
    <cellStyle name="40% - Accent6 3 2 11 2 2 2 2" xfId="57528"/>
    <cellStyle name="40% - Accent6 3 2 11 2 2 3" xfId="40481"/>
    <cellStyle name="40% - Accent6 3 2 11 2 3" xfId="22689"/>
    <cellStyle name="40% - Accent6 3 2 11 2 3 2" xfId="51550"/>
    <cellStyle name="40% - Accent6 3 2 11 2 4" xfId="34440"/>
    <cellStyle name="40% - Accent6 3 2 11 3" xfId="8734"/>
    <cellStyle name="40% - Accent6 3 2 11 3 2" xfId="25781"/>
    <cellStyle name="40% - Accent6 3 2 11 3 2 2" xfId="54642"/>
    <cellStyle name="40% - Accent6 3 2 11 3 3" xfId="37595"/>
    <cellStyle name="40% - Accent6 3 2 11 4" xfId="13360"/>
    <cellStyle name="40% - Accent6 3 2 11 4 2" xfId="20009"/>
    <cellStyle name="40% - Accent6 3 2 11 4 2 2" xfId="48870"/>
    <cellStyle name="40% - Accent6 3 2 11 4 3" xfId="42221"/>
    <cellStyle name="40% - Accent6 3 2 11 5" xfId="17329"/>
    <cellStyle name="40% - Accent6 3 2 11 5 2" xfId="46190"/>
    <cellStyle name="40% - Accent6 3 2 11 6" xfId="31554"/>
    <cellStyle name="40% - Accent6 3 2 12" xfId="3208"/>
    <cellStyle name="40% - Accent6 3 2 12 2" xfId="9249"/>
    <cellStyle name="40% - Accent6 3 2 12 2 2" xfId="26296"/>
    <cellStyle name="40% - Accent6 3 2 12 2 2 2" xfId="55157"/>
    <cellStyle name="40% - Accent6 3 2 12 2 3" xfId="38110"/>
    <cellStyle name="40% - Accent6 3 2 12 3" xfId="13815"/>
    <cellStyle name="40% - Accent6 3 2 12 3 2" xfId="20318"/>
    <cellStyle name="40% - Accent6 3 2 12 3 2 2" xfId="49179"/>
    <cellStyle name="40% - Accent6 3 2 12 3 3" xfId="42676"/>
    <cellStyle name="40% - Accent6 3 2 12 4" xfId="14958"/>
    <cellStyle name="40% - Accent6 3 2 12 4 2" xfId="43819"/>
    <cellStyle name="40% - Accent6 3 2 12 5" xfId="32069"/>
    <cellStyle name="40% - Accent6 3 2 13" xfId="2899"/>
    <cellStyle name="40% - Accent6 3 2 13 2" xfId="8940"/>
    <cellStyle name="40% - Accent6 3 2 13 2 2" xfId="25987"/>
    <cellStyle name="40% - Accent6 3 2 13 2 2 2" xfId="54848"/>
    <cellStyle name="40% - Accent6 3 2 13 2 3" xfId="37801"/>
    <cellStyle name="40% - Accent6 3 2 13 3" xfId="17535"/>
    <cellStyle name="40% - Accent6 3 2 13 3 2" xfId="46396"/>
    <cellStyle name="40% - Accent6 3 2 13 4" xfId="31760"/>
    <cellStyle name="40% - Accent6 3 2 14" xfId="5785"/>
    <cellStyle name="40% - Accent6 3 2 14 2" xfId="11826"/>
    <cellStyle name="40% - Accent6 3 2 14 2 2" xfId="28873"/>
    <cellStyle name="40% - Accent6 3 2 14 2 2 2" xfId="57734"/>
    <cellStyle name="40% - Accent6 3 2 14 2 3" xfId="40687"/>
    <cellStyle name="40% - Accent6 3 2 14 3" xfId="22895"/>
    <cellStyle name="40% - Accent6 3 2 14 3 2" xfId="51756"/>
    <cellStyle name="40% - Accent6 3 2 14 4" xfId="34646"/>
    <cellStyle name="40% - Accent6 3 2 15" xfId="6002"/>
    <cellStyle name="40% - Accent6 3 2 15 2" xfId="23101"/>
    <cellStyle name="40% - Accent6 3 2 15 2 2" xfId="51962"/>
    <cellStyle name="40% - Accent6 3 2 15 3" xfId="34863"/>
    <cellStyle name="40% - Accent6 3 2 16" xfId="6363"/>
    <cellStyle name="40% - Accent6 3 2 16 2" xfId="23410"/>
    <cellStyle name="40% - Accent6 3 2 16 2 2" xfId="52271"/>
    <cellStyle name="40% - Accent6 3 2 16 3" xfId="35224"/>
    <cellStyle name="40% - Accent6 3 2 17" xfId="14649"/>
    <cellStyle name="40% - Accent6 3 2 17 2" xfId="43510"/>
    <cellStyle name="40% - Accent6 3 2 18" xfId="29183"/>
    <cellStyle name="40% - Accent6 3 2 2" xfId="527"/>
    <cellStyle name="40% - Accent6 3 2 2 2" xfId="2278"/>
    <cellStyle name="40% - Accent6 3 2 2 2 2" xfId="5165"/>
    <cellStyle name="40% - Accent6 3 2 2 2 2 2" xfId="11206"/>
    <cellStyle name="40% - Accent6 3 2 2 2 2 2 2" xfId="28253"/>
    <cellStyle name="40% - Accent6 3 2 2 2 2 2 2 2" xfId="57114"/>
    <cellStyle name="40% - Accent6 3 2 2 2 2 2 3" xfId="40067"/>
    <cellStyle name="40% - Accent6 3 2 2 2 2 3" xfId="22275"/>
    <cellStyle name="40% - Accent6 3 2 2 2 2 3 2" xfId="51136"/>
    <cellStyle name="40% - Accent6 3 2 2 2 2 4" xfId="34026"/>
    <cellStyle name="40% - Accent6 3 2 2 2 3" xfId="8320"/>
    <cellStyle name="40% - Accent6 3 2 2 2 3 2" xfId="25367"/>
    <cellStyle name="40% - Accent6 3 2 2 2 3 2 2" xfId="54228"/>
    <cellStyle name="40% - Accent6 3 2 2 2 3 3" xfId="37181"/>
    <cellStyle name="40% - Accent6 3 2 2 2 4" xfId="13416"/>
    <cellStyle name="40% - Accent6 3 2 2 2 4 2" xfId="19595"/>
    <cellStyle name="40% - Accent6 3 2 2 2 4 2 2" xfId="48456"/>
    <cellStyle name="40% - Accent6 3 2 2 2 4 3" xfId="42277"/>
    <cellStyle name="40% - Accent6 3 2 2 2 5" xfId="16915"/>
    <cellStyle name="40% - Accent6 3 2 2 2 5 2" xfId="45776"/>
    <cellStyle name="40% - Accent6 3 2 2 2 6" xfId="31140"/>
    <cellStyle name="40% - Accent6 3 2 2 3" xfId="3414"/>
    <cellStyle name="40% - Accent6 3 2 2 3 2" xfId="9455"/>
    <cellStyle name="40% - Accent6 3 2 2 3 2 2" xfId="26502"/>
    <cellStyle name="40% - Accent6 3 2 2 3 2 2 2" xfId="55363"/>
    <cellStyle name="40% - Accent6 3 2 2 3 2 3" xfId="38316"/>
    <cellStyle name="40% - Accent6 3 2 2 3 3" xfId="20524"/>
    <cellStyle name="40% - Accent6 3 2 2 3 3 2" xfId="49385"/>
    <cellStyle name="40% - Accent6 3 2 2 3 4" xfId="32275"/>
    <cellStyle name="40% - Accent6 3 2 2 4" xfId="6569"/>
    <cellStyle name="40% - Accent6 3 2 2 4 2" xfId="23616"/>
    <cellStyle name="40% - Accent6 3 2 2 4 2 2" xfId="52477"/>
    <cellStyle name="40% - Accent6 3 2 2 4 3" xfId="35430"/>
    <cellStyle name="40% - Accent6 3 2 2 5" xfId="14151"/>
    <cellStyle name="40% - Accent6 3 2 2 5 2" xfId="17844"/>
    <cellStyle name="40% - Accent6 3 2 2 5 2 2" xfId="46705"/>
    <cellStyle name="40% - Accent6 3 2 2 5 3" xfId="43012"/>
    <cellStyle name="40% - Accent6 3 2 2 6" xfId="15164"/>
    <cellStyle name="40% - Accent6 3 2 2 6 2" xfId="44025"/>
    <cellStyle name="40% - Accent6 3 2 2 7" xfId="29389"/>
    <cellStyle name="40% - Accent6 3 2 3" xfId="836"/>
    <cellStyle name="40% - Accent6 3 2 3 2" xfId="3723"/>
    <cellStyle name="40% - Accent6 3 2 3 2 2" xfId="9764"/>
    <cellStyle name="40% - Accent6 3 2 3 2 2 2" xfId="26811"/>
    <cellStyle name="40% - Accent6 3 2 3 2 2 2 2" xfId="55672"/>
    <cellStyle name="40% - Accent6 3 2 3 2 2 3" xfId="38625"/>
    <cellStyle name="40% - Accent6 3 2 3 2 3" xfId="20833"/>
    <cellStyle name="40% - Accent6 3 2 3 2 3 2" xfId="49694"/>
    <cellStyle name="40% - Accent6 3 2 3 2 4" xfId="32584"/>
    <cellStyle name="40% - Accent6 3 2 3 3" xfId="6878"/>
    <cellStyle name="40% - Accent6 3 2 3 3 2" xfId="23925"/>
    <cellStyle name="40% - Accent6 3 2 3 3 2 2" xfId="52786"/>
    <cellStyle name="40% - Accent6 3 2 3 3 3" xfId="35739"/>
    <cellStyle name="40% - Accent6 3 2 3 4" xfId="12979"/>
    <cellStyle name="40% - Accent6 3 2 3 4 2" xfId="18153"/>
    <cellStyle name="40% - Accent6 3 2 3 4 2 2" xfId="47014"/>
    <cellStyle name="40% - Accent6 3 2 3 4 3" xfId="41840"/>
    <cellStyle name="40% - Accent6 3 2 3 5" xfId="15473"/>
    <cellStyle name="40% - Accent6 3 2 3 5 2" xfId="44334"/>
    <cellStyle name="40% - Accent6 3 2 3 6" xfId="29698"/>
    <cellStyle name="40% - Accent6 3 2 4" xfId="1042"/>
    <cellStyle name="40% - Accent6 3 2 4 2" xfId="3929"/>
    <cellStyle name="40% - Accent6 3 2 4 2 2" xfId="9970"/>
    <cellStyle name="40% - Accent6 3 2 4 2 2 2" xfId="27017"/>
    <cellStyle name="40% - Accent6 3 2 4 2 2 2 2" xfId="55878"/>
    <cellStyle name="40% - Accent6 3 2 4 2 2 3" xfId="38831"/>
    <cellStyle name="40% - Accent6 3 2 4 2 3" xfId="21039"/>
    <cellStyle name="40% - Accent6 3 2 4 2 3 2" xfId="49900"/>
    <cellStyle name="40% - Accent6 3 2 4 2 4" xfId="32790"/>
    <cellStyle name="40% - Accent6 3 2 4 3" xfId="7084"/>
    <cellStyle name="40% - Accent6 3 2 4 3 2" xfId="24131"/>
    <cellStyle name="40% - Accent6 3 2 4 3 2 2" xfId="52992"/>
    <cellStyle name="40% - Accent6 3 2 4 3 3" xfId="35945"/>
    <cellStyle name="40% - Accent6 3 2 4 4" xfId="13392"/>
    <cellStyle name="40% - Accent6 3 2 4 4 2" xfId="18359"/>
    <cellStyle name="40% - Accent6 3 2 4 4 2 2" xfId="47220"/>
    <cellStyle name="40% - Accent6 3 2 4 4 3" xfId="42253"/>
    <cellStyle name="40% - Accent6 3 2 4 5" xfId="15679"/>
    <cellStyle name="40% - Accent6 3 2 4 5 2" xfId="44540"/>
    <cellStyle name="40% - Accent6 3 2 4 6" xfId="29904"/>
    <cellStyle name="40% - Accent6 3 2 5" xfId="1248"/>
    <cellStyle name="40% - Accent6 3 2 5 2" xfId="4135"/>
    <cellStyle name="40% - Accent6 3 2 5 2 2" xfId="10176"/>
    <cellStyle name="40% - Accent6 3 2 5 2 2 2" xfId="27223"/>
    <cellStyle name="40% - Accent6 3 2 5 2 2 2 2" xfId="56084"/>
    <cellStyle name="40% - Accent6 3 2 5 2 2 3" xfId="39037"/>
    <cellStyle name="40% - Accent6 3 2 5 2 3" xfId="21245"/>
    <cellStyle name="40% - Accent6 3 2 5 2 3 2" xfId="50106"/>
    <cellStyle name="40% - Accent6 3 2 5 2 4" xfId="32996"/>
    <cellStyle name="40% - Accent6 3 2 5 3" xfId="7290"/>
    <cellStyle name="40% - Accent6 3 2 5 3 2" xfId="24337"/>
    <cellStyle name="40% - Accent6 3 2 5 3 2 2" xfId="53198"/>
    <cellStyle name="40% - Accent6 3 2 5 3 3" xfId="36151"/>
    <cellStyle name="40% - Accent6 3 2 5 4" xfId="12968"/>
    <cellStyle name="40% - Accent6 3 2 5 4 2" xfId="18565"/>
    <cellStyle name="40% - Accent6 3 2 5 4 2 2" xfId="47426"/>
    <cellStyle name="40% - Accent6 3 2 5 4 3" xfId="41829"/>
    <cellStyle name="40% - Accent6 3 2 5 5" xfId="15885"/>
    <cellStyle name="40% - Accent6 3 2 5 5 2" xfId="44746"/>
    <cellStyle name="40% - Accent6 3 2 5 6" xfId="30110"/>
    <cellStyle name="40% - Accent6 3 2 6" xfId="1454"/>
    <cellStyle name="40% - Accent6 3 2 6 2" xfId="4341"/>
    <cellStyle name="40% - Accent6 3 2 6 2 2" xfId="10382"/>
    <cellStyle name="40% - Accent6 3 2 6 2 2 2" xfId="27429"/>
    <cellStyle name="40% - Accent6 3 2 6 2 2 2 2" xfId="56290"/>
    <cellStyle name="40% - Accent6 3 2 6 2 2 3" xfId="39243"/>
    <cellStyle name="40% - Accent6 3 2 6 2 3" xfId="21451"/>
    <cellStyle name="40% - Accent6 3 2 6 2 3 2" xfId="50312"/>
    <cellStyle name="40% - Accent6 3 2 6 2 4" xfId="33202"/>
    <cellStyle name="40% - Accent6 3 2 6 3" xfId="7496"/>
    <cellStyle name="40% - Accent6 3 2 6 3 2" xfId="24543"/>
    <cellStyle name="40% - Accent6 3 2 6 3 2 2" xfId="53404"/>
    <cellStyle name="40% - Accent6 3 2 6 3 3" xfId="36357"/>
    <cellStyle name="40% - Accent6 3 2 6 4" xfId="12608"/>
    <cellStyle name="40% - Accent6 3 2 6 4 2" xfId="18771"/>
    <cellStyle name="40% - Accent6 3 2 6 4 2 2" xfId="47632"/>
    <cellStyle name="40% - Accent6 3 2 6 4 3" xfId="41469"/>
    <cellStyle name="40% - Accent6 3 2 6 5" xfId="16091"/>
    <cellStyle name="40% - Accent6 3 2 6 5 2" xfId="44952"/>
    <cellStyle name="40% - Accent6 3 2 6 6" xfId="30316"/>
    <cellStyle name="40% - Accent6 3 2 7" xfId="1660"/>
    <cellStyle name="40% - Accent6 3 2 7 2" xfId="4547"/>
    <cellStyle name="40% - Accent6 3 2 7 2 2" xfId="10588"/>
    <cellStyle name="40% - Accent6 3 2 7 2 2 2" xfId="27635"/>
    <cellStyle name="40% - Accent6 3 2 7 2 2 2 2" xfId="56496"/>
    <cellStyle name="40% - Accent6 3 2 7 2 2 3" xfId="39449"/>
    <cellStyle name="40% - Accent6 3 2 7 2 3" xfId="21657"/>
    <cellStyle name="40% - Accent6 3 2 7 2 3 2" xfId="50518"/>
    <cellStyle name="40% - Accent6 3 2 7 2 4" xfId="33408"/>
    <cellStyle name="40% - Accent6 3 2 7 3" xfId="7702"/>
    <cellStyle name="40% - Accent6 3 2 7 3 2" xfId="24749"/>
    <cellStyle name="40% - Accent6 3 2 7 3 2 2" xfId="53610"/>
    <cellStyle name="40% - Accent6 3 2 7 3 3" xfId="36563"/>
    <cellStyle name="40% - Accent6 3 2 7 4" xfId="13874"/>
    <cellStyle name="40% - Accent6 3 2 7 4 2" xfId="18977"/>
    <cellStyle name="40% - Accent6 3 2 7 4 2 2" xfId="47838"/>
    <cellStyle name="40% - Accent6 3 2 7 4 3" xfId="42735"/>
    <cellStyle name="40% - Accent6 3 2 7 5" xfId="16297"/>
    <cellStyle name="40% - Accent6 3 2 7 5 2" xfId="45158"/>
    <cellStyle name="40% - Accent6 3 2 7 6" xfId="30522"/>
    <cellStyle name="40% - Accent6 3 2 8" xfId="1866"/>
    <cellStyle name="40% - Accent6 3 2 8 2" xfId="4753"/>
    <cellStyle name="40% - Accent6 3 2 8 2 2" xfId="10794"/>
    <cellStyle name="40% - Accent6 3 2 8 2 2 2" xfId="27841"/>
    <cellStyle name="40% - Accent6 3 2 8 2 2 2 2" xfId="56702"/>
    <cellStyle name="40% - Accent6 3 2 8 2 2 3" xfId="39655"/>
    <cellStyle name="40% - Accent6 3 2 8 2 3" xfId="21863"/>
    <cellStyle name="40% - Accent6 3 2 8 2 3 2" xfId="50724"/>
    <cellStyle name="40% - Accent6 3 2 8 2 4" xfId="33614"/>
    <cellStyle name="40% - Accent6 3 2 8 3" xfId="7908"/>
    <cellStyle name="40% - Accent6 3 2 8 3 2" xfId="24955"/>
    <cellStyle name="40% - Accent6 3 2 8 3 2 2" xfId="53816"/>
    <cellStyle name="40% - Accent6 3 2 8 3 3" xfId="36769"/>
    <cellStyle name="40% - Accent6 3 2 8 4" xfId="13464"/>
    <cellStyle name="40% - Accent6 3 2 8 4 2" xfId="19183"/>
    <cellStyle name="40% - Accent6 3 2 8 4 2 2" xfId="48044"/>
    <cellStyle name="40% - Accent6 3 2 8 4 3" xfId="42325"/>
    <cellStyle name="40% - Accent6 3 2 8 5" xfId="16503"/>
    <cellStyle name="40% - Accent6 3 2 8 5 2" xfId="45364"/>
    <cellStyle name="40% - Accent6 3 2 8 6" xfId="30728"/>
    <cellStyle name="40% - Accent6 3 2 9" xfId="2072"/>
    <cellStyle name="40% - Accent6 3 2 9 2" xfId="4959"/>
    <cellStyle name="40% - Accent6 3 2 9 2 2" xfId="11000"/>
    <cellStyle name="40% - Accent6 3 2 9 2 2 2" xfId="28047"/>
    <cellStyle name="40% - Accent6 3 2 9 2 2 2 2" xfId="56908"/>
    <cellStyle name="40% - Accent6 3 2 9 2 2 3" xfId="39861"/>
    <cellStyle name="40% - Accent6 3 2 9 2 3" xfId="22069"/>
    <cellStyle name="40% - Accent6 3 2 9 2 3 2" xfId="50930"/>
    <cellStyle name="40% - Accent6 3 2 9 2 4" xfId="33820"/>
    <cellStyle name="40% - Accent6 3 2 9 3" xfId="8114"/>
    <cellStyle name="40% - Accent6 3 2 9 3 2" xfId="25161"/>
    <cellStyle name="40% - Accent6 3 2 9 3 2 2" xfId="54022"/>
    <cellStyle name="40% - Accent6 3 2 9 3 3" xfId="36975"/>
    <cellStyle name="40% - Accent6 3 2 9 4" xfId="12299"/>
    <cellStyle name="40% - Accent6 3 2 9 4 2" xfId="19389"/>
    <cellStyle name="40% - Accent6 3 2 9 4 2 2" xfId="48250"/>
    <cellStyle name="40% - Accent6 3 2 9 4 3" xfId="41160"/>
    <cellStyle name="40% - Accent6 3 2 9 5" xfId="16709"/>
    <cellStyle name="40% - Accent6 3 2 9 5 2" xfId="45570"/>
    <cellStyle name="40% - Accent6 3 2 9 6" xfId="30934"/>
    <cellStyle name="40% - Accent6 3 20" xfId="28977"/>
    <cellStyle name="40% - Accent6 3 3" xfId="218"/>
    <cellStyle name="40% - Accent6 3 3 2" xfId="630"/>
    <cellStyle name="40% - Accent6 3 3 2 2" xfId="3517"/>
    <cellStyle name="40% - Accent6 3 3 2 2 2" xfId="9558"/>
    <cellStyle name="40% - Accent6 3 3 2 2 2 2" xfId="26605"/>
    <cellStyle name="40% - Accent6 3 3 2 2 2 2 2" xfId="55466"/>
    <cellStyle name="40% - Accent6 3 3 2 2 2 3" xfId="38419"/>
    <cellStyle name="40% - Accent6 3 3 2 2 3" xfId="20627"/>
    <cellStyle name="40% - Accent6 3 3 2 2 3 2" xfId="49488"/>
    <cellStyle name="40% - Accent6 3 3 2 2 4" xfId="32378"/>
    <cellStyle name="40% - Accent6 3 3 2 3" xfId="6672"/>
    <cellStyle name="40% - Accent6 3 3 2 3 2" xfId="23719"/>
    <cellStyle name="40% - Accent6 3 3 2 3 2 2" xfId="52580"/>
    <cellStyle name="40% - Accent6 3 3 2 3 3" xfId="35533"/>
    <cellStyle name="40% - Accent6 3 3 2 4" xfId="13346"/>
    <cellStyle name="40% - Accent6 3 3 2 4 2" xfId="17947"/>
    <cellStyle name="40% - Accent6 3 3 2 4 2 2" xfId="46808"/>
    <cellStyle name="40% - Accent6 3 3 2 4 3" xfId="42207"/>
    <cellStyle name="40% - Accent6 3 3 2 5" xfId="15267"/>
    <cellStyle name="40% - Accent6 3 3 2 5 2" xfId="44128"/>
    <cellStyle name="40% - Accent6 3 3 2 6" xfId="29492"/>
    <cellStyle name="40% - Accent6 3 3 3" xfId="2175"/>
    <cellStyle name="40% - Accent6 3 3 3 2" xfId="5062"/>
    <cellStyle name="40% - Accent6 3 3 3 2 2" xfId="11103"/>
    <cellStyle name="40% - Accent6 3 3 3 2 2 2" xfId="28150"/>
    <cellStyle name="40% - Accent6 3 3 3 2 2 2 2" xfId="57011"/>
    <cellStyle name="40% - Accent6 3 3 3 2 2 3" xfId="39964"/>
    <cellStyle name="40% - Accent6 3 3 3 2 3" xfId="22172"/>
    <cellStyle name="40% - Accent6 3 3 3 2 3 2" xfId="51033"/>
    <cellStyle name="40% - Accent6 3 3 3 2 4" xfId="33923"/>
    <cellStyle name="40% - Accent6 3 3 3 3" xfId="8217"/>
    <cellStyle name="40% - Accent6 3 3 3 3 2" xfId="25264"/>
    <cellStyle name="40% - Accent6 3 3 3 3 2 2" xfId="54125"/>
    <cellStyle name="40% - Accent6 3 3 3 3 3" xfId="37078"/>
    <cellStyle name="40% - Accent6 3 3 3 4" xfId="12970"/>
    <cellStyle name="40% - Accent6 3 3 3 4 2" xfId="19492"/>
    <cellStyle name="40% - Accent6 3 3 3 4 2 2" xfId="48353"/>
    <cellStyle name="40% - Accent6 3 3 3 4 3" xfId="41831"/>
    <cellStyle name="40% - Accent6 3 3 3 5" xfId="16812"/>
    <cellStyle name="40% - Accent6 3 3 3 5 2" xfId="45673"/>
    <cellStyle name="40% - Accent6 3 3 3 6" xfId="31037"/>
    <cellStyle name="40% - Accent6 3 3 4" xfId="3105"/>
    <cellStyle name="40% - Accent6 3 3 4 2" xfId="9146"/>
    <cellStyle name="40% - Accent6 3 3 4 2 2" xfId="26193"/>
    <cellStyle name="40% - Accent6 3 3 4 2 2 2" xfId="55054"/>
    <cellStyle name="40% - Accent6 3 3 4 2 3" xfId="38007"/>
    <cellStyle name="40% - Accent6 3 3 4 3" xfId="20215"/>
    <cellStyle name="40% - Accent6 3 3 4 3 2" xfId="49076"/>
    <cellStyle name="40% - Accent6 3 3 4 4" xfId="31966"/>
    <cellStyle name="40% - Accent6 3 3 5" xfId="6260"/>
    <cellStyle name="40% - Accent6 3 3 5 2" xfId="23307"/>
    <cellStyle name="40% - Accent6 3 3 5 2 2" xfId="52168"/>
    <cellStyle name="40% - Accent6 3 3 5 3" xfId="35121"/>
    <cellStyle name="40% - Accent6 3 3 6" xfId="13452"/>
    <cellStyle name="40% - Accent6 3 3 6 2" xfId="17638"/>
    <cellStyle name="40% - Accent6 3 3 6 2 2" xfId="46499"/>
    <cellStyle name="40% - Accent6 3 3 6 3" xfId="42313"/>
    <cellStyle name="40% - Accent6 3 3 7" xfId="14855"/>
    <cellStyle name="40% - Accent6 3 3 7 2" xfId="43716"/>
    <cellStyle name="40% - Accent6 3 3 8" xfId="29080"/>
    <cellStyle name="40% - Accent6 3 4" xfId="424"/>
    <cellStyle name="40% - Accent6 3 4 2" xfId="3311"/>
    <cellStyle name="40% - Accent6 3 4 2 2" xfId="9352"/>
    <cellStyle name="40% - Accent6 3 4 2 2 2" xfId="26399"/>
    <cellStyle name="40% - Accent6 3 4 2 2 2 2" xfId="55260"/>
    <cellStyle name="40% - Accent6 3 4 2 2 3" xfId="38213"/>
    <cellStyle name="40% - Accent6 3 4 2 3" xfId="20421"/>
    <cellStyle name="40% - Accent6 3 4 2 3 2" xfId="49282"/>
    <cellStyle name="40% - Accent6 3 4 2 4" xfId="32172"/>
    <cellStyle name="40% - Accent6 3 4 3" xfId="6466"/>
    <cellStyle name="40% - Accent6 3 4 3 2" xfId="23513"/>
    <cellStyle name="40% - Accent6 3 4 3 2 2" xfId="52374"/>
    <cellStyle name="40% - Accent6 3 4 3 3" xfId="35327"/>
    <cellStyle name="40% - Accent6 3 4 4" xfId="13055"/>
    <cellStyle name="40% - Accent6 3 4 4 2" xfId="17741"/>
    <cellStyle name="40% - Accent6 3 4 4 2 2" xfId="46602"/>
    <cellStyle name="40% - Accent6 3 4 4 3" xfId="41916"/>
    <cellStyle name="40% - Accent6 3 4 5" xfId="15061"/>
    <cellStyle name="40% - Accent6 3 4 5 2" xfId="43922"/>
    <cellStyle name="40% - Accent6 3 4 6" xfId="29286"/>
    <cellStyle name="40% - Accent6 3 5" xfId="733"/>
    <cellStyle name="40% - Accent6 3 5 2" xfId="3620"/>
    <cellStyle name="40% - Accent6 3 5 2 2" xfId="9661"/>
    <cellStyle name="40% - Accent6 3 5 2 2 2" xfId="26708"/>
    <cellStyle name="40% - Accent6 3 5 2 2 2 2" xfId="55569"/>
    <cellStyle name="40% - Accent6 3 5 2 2 3" xfId="38522"/>
    <cellStyle name="40% - Accent6 3 5 2 3" xfId="20730"/>
    <cellStyle name="40% - Accent6 3 5 2 3 2" xfId="49591"/>
    <cellStyle name="40% - Accent6 3 5 2 4" xfId="32481"/>
    <cellStyle name="40% - Accent6 3 5 3" xfId="6775"/>
    <cellStyle name="40% - Accent6 3 5 3 2" xfId="23822"/>
    <cellStyle name="40% - Accent6 3 5 3 2 2" xfId="52683"/>
    <cellStyle name="40% - Accent6 3 5 3 3" xfId="35636"/>
    <cellStyle name="40% - Accent6 3 5 4" xfId="14349"/>
    <cellStyle name="40% - Accent6 3 5 4 2" xfId="18050"/>
    <cellStyle name="40% - Accent6 3 5 4 2 2" xfId="46911"/>
    <cellStyle name="40% - Accent6 3 5 4 3" xfId="43210"/>
    <cellStyle name="40% - Accent6 3 5 5" xfId="15370"/>
    <cellStyle name="40% - Accent6 3 5 5 2" xfId="44231"/>
    <cellStyle name="40% - Accent6 3 5 6" xfId="29595"/>
    <cellStyle name="40% - Accent6 3 6" xfId="939"/>
    <cellStyle name="40% - Accent6 3 6 2" xfId="3826"/>
    <cellStyle name="40% - Accent6 3 6 2 2" xfId="9867"/>
    <cellStyle name="40% - Accent6 3 6 2 2 2" xfId="26914"/>
    <cellStyle name="40% - Accent6 3 6 2 2 2 2" xfId="55775"/>
    <cellStyle name="40% - Accent6 3 6 2 2 3" xfId="38728"/>
    <cellStyle name="40% - Accent6 3 6 2 3" xfId="20936"/>
    <cellStyle name="40% - Accent6 3 6 2 3 2" xfId="49797"/>
    <cellStyle name="40% - Accent6 3 6 2 4" xfId="32687"/>
    <cellStyle name="40% - Accent6 3 6 3" xfId="6981"/>
    <cellStyle name="40% - Accent6 3 6 3 2" xfId="24028"/>
    <cellStyle name="40% - Accent6 3 6 3 2 2" xfId="52889"/>
    <cellStyle name="40% - Accent6 3 6 3 3" xfId="35842"/>
    <cellStyle name="40% - Accent6 3 6 4" xfId="12236"/>
    <cellStyle name="40% - Accent6 3 6 4 2" xfId="18256"/>
    <cellStyle name="40% - Accent6 3 6 4 2 2" xfId="47117"/>
    <cellStyle name="40% - Accent6 3 6 4 3" xfId="41097"/>
    <cellStyle name="40% - Accent6 3 6 5" xfId="15576"/>
    <cellStyle name="40% - Accent6 3 6 5 2" xfId="44437"/>
    <cellStyle name="40% - Accent6 3 6 6" xfId="29801"/>
    <cellStyle name="40% - Accent6 3 7" xfId="1145"/>
    <cellStyle name="40% - Accent6 3 7 2" xfId="4032"/>
    <cellStyle name="40% - Accent6 3 7 2 2" xfId="10073"/>
    <cellStyle name="40% - Accent6 3 7 2 2 2" xfId="27120"/>
    <cellStyle name="40% - Accent6 3 7 2 2 2 2" xfId="55981"/>
    <cellStyle name="40% - Accent6 3 7 2 2 3" xfId="38934"/>
    <cellStyle name="40% - Accent6 3 7 2 3" xfId="21142"/>
    <cellStyle name="40% - Accent6 3 7 2 3 2" xfId="50003"/>
    <cellStyle name="40% - Accent6 3 7 2 4" xfId="32893"/>
    <cellStyle name="40% - Accent6 3 7 3" xfId="7187"/>
    <cellStyle name="40% - Accent6 3 7 3 2" xfId="24234"/>
    <cellStyle name="40% - Accent6 3 7 3 2 2" xfId="53095"/>
    <cellStyle name="40% - Accent6 3 7 3 3" xfId="36048"/>
    <cellStyle name="40% - Accent6 3 7 4" xfId="14070"/>
    <cellStyle name="40% - Accent6 3 7 4 2" xfId="18462"/>
    <cellStyle name="40% - Accent6 3 7 4 2 2" xfId="47323"/>
    <cellStyle name="40% - Accent6 3 7 4 3" xfId="42931"/>
    <cellStyle name="40% - Accent6 3 7 5" xfId="15782"/>
    <cellStyle name="40% - Accent6 3 7 5 2" xfId="44643"/>
    <cellStyle name="40% - Accent6 3 7 6" xfId="30007"/>
    <cellStyle name="40% - Accent6 3 8" xfId="1351"/>
    <cellStyle name="40% - Accent6 3 8 2" xfId="4238"/>
    <cellStyle name="40% - Accent6 3 8 2 2" xfId="10279"/>
    <cellStyle name="40% - Accent6 3 8 2 2 2" xfId="27326"/>
    <cellStyle name="40% - Accent6 3 8 2 2 2 2" xfId="56187"/>
    <cellStyle name="40% - Accent6 3 8 2 2 3" xfId="39140"/>
    <cellStyle name="40% - Accent6 3 8 2 3" xfId="21348"/>
    <cellStyle name="40% - Accent6 3 8 2 3 2" xfId="50209"/>
    <cellStyle name="40% - Accent6 3 8 2 4" xfId="33099"/>
    <cellStyle name="40% - Accent6 3 8 3" xfId="7393"/>
    <cellStyle name="40% - Accent6 3 8 3 2" xfId="24440"/>
    <cellStyle name="40% - Accent6 3 8 3 2 2" xfId="53301"/>
    <cellStyle name="40% - Accent6 3 8 3 3" xfId="36254"/>
    <cellStyle name="40% - Accent6 3 8 4" xfId="14006"/>
    <cellStyle name="40% - Accent6 3 8 4 2" xfId="18668"/>
    <cellStyle name="40% - Accent6 3 8 4 2 2" xfId="47529"/>
    <cellStyle name="40% - Accent6 3 8 4 3" xfId="42867"/>
    <cellStyle name="40% - Accent6 3 8 5" xfId="15988"/>
    <cellStyle name="40% - Accent6 3 8 5 2" xfId="44849"/>
    <cellStyle name="40% - Accent6 3 8 6" xfId="30213"/>
    <cellStyle name="40% - Accent6 3 9" xfId="1557"/>
    <cellStyle name="40% - Accent6 3 9 2" xfId="4444"/>
    <cellStyle name="40% - Accent6 3 9 2 2" xfId="10485"/>
    <cellStyle name="40% - Accent6 3 9 2 2 2" xfId="27532"/>
    <cellStyle name="40% - Accent6 3 9 2 2 2 2" xfId="56393"/>
    <cellStyle name="40% - Accent6 3 9 2 2 3" xfId="39346"/>
    <cellStyle name="40% - Accent6 3 9 2 3" xfId="21554"/>
    <cellStyle name="40% - Accent6 3 9 2 3 2" xfId="50415"/>
    <cellStyle name="40% - Accent6 3 9 2 4" xfId="33305"/>
    <cellStyle name="40% - Accent6 3 9 3" xfId="7599"/>
    <cellStyle name="40% - Accent6 3 9 3 2" xfId="24646"/>
    <cellStyle name="40% - Accent6 3 9 3 2 2" xfId="53507"/>
    <cellStyle name="40% - Accent6 3 9 3 3" xfId="36460"/>
    <cellStyle name="40% - Accent6 3 9 4" xfId="12479"/>
    <cellStyle name="40% - Accent6 3 9 4 2" xfId="18874"/>
    <cellStyle name="40% - Accent6 3 9 4 2 2" xfId="47735"/>
    <cellStyle name="40% - Accent6 3 9 4 3" xfId="41340"/>
    <cellStyle name="40% - Accent6 3 9 5" xfId="16194"/>
    <cellStyle name="40% - Accent6 3 9 5 2" xfId="45055"/>
    <cellStyle name="40% - Accent6 3 9 6" xfId="30419"/>
    <cellStyle name="40% - Accent6 4" xfId="141"/>
    <cellStyle name="40% - Accent6 4 10" xfId="1789"/>
    <cellStyle name="40% - Accent6 4 10 2" xfId="4676"/>
    <cellStyle name="40% - Accent6 4 10 2 2" xfId="10717"/>
    <cellStyle name="40% - Accent6 4 10 2 2 2" xfId="27764"/>
    <cellStyle name="40% - Accent6 4 10 2 2 2 2" xfId="56625"/>
    <cellStyle name="40% - Accent6 4 10 2 2 3" xfId="39578"/>
    <cellStyle name="40% - Accent6 4 10 2 3" xfId="21786"/>
    <cellStyle name="40% - Accent6 4 10 2 3 2" xfId="50647"/>
    <cellStyle name="40% - Accent6 4 10 2 4" xfId="33537"/>
    <cellStyle name="40% - Accent6 4 10 3" xfId="7831"/>
    <cellStyle name="40% - Accent6 4 10 3 2" xfId="24878"/>
    <cellStyle name="40% - Accent6 4 10 3 2 2" xfId="53739"/>
    <cellStyle name="40% - Accent6 4 10 3 3" xfId="36692"/>
    <cellStyle name="40% - Accent6 4 10 4" xfId="13793"/>
    <cellStyle name="40% - Accent6 4 10 4 2" xfId="19106"/>
    <cellStyle name="40% - Accent6 4 10 4 2 2" xfId="47967"/>
    <cellStyle name="40% - Accent6 4 10 4 3" xfId="42654"/>
    <cellStyle name="40% - Accent6 4 10 5" xfId="16426"/>
    <cellStyle name="40% - Accent6 4 10 5 2" xfId="45287"/>
    <cellStyle name="40% - Accent6 4 10 6" xfId="30651"/>
    <cellStyle name="40% - Accent6 4 11" xfId="1995"/>
    <cellStyle name="40% - Accent6 4 11 2" xfId="4882"/>
    <cellStyle name="40% - Accent6 4 11 2 2" xfId="10923"/>
    <cellStyle name="40% - Accent6 4 11 2 2 2" xfId="27970"/>
    <cellStyle name="40% - Accent6 4 11 2 2 2 2" xfId="56831"/>
    <cellStyle name="40% - Accent6 4 11 2 2 3" xfId="39784"/>
    <cellStyle name="40% - Accent6 4 11 2 3" xfId="21992"/>
    <cellStyle name="40% - Accent6 4 11 2 3 2" xfId="50853"/>
    <cellStyle name="40% - Accent6 4 11 2 4" xfId="33743"/>
    <cellStyle name="40% - Accent6 4 11 3" xfId="8037"/>
    <cellStyle name="40% - Accent6 4 11 3 2" xfId="25084"/>
    <cellStyle name="40% - Accent6 4 11 3 2 2" xfId="53945"/>
    <cellStyle name="40% - Accent6 4 11 3 3" xfId="36898"/>
    <cellStyle name="40% - Accent6 4 11 4" xfId="12613"/>
    <cellStyle name="40% - Accent6 4 11 4 2" xfId="19312"/>
    <cellStyle name="40% - Accent6 4 11 4 2 2" xfId="48173"/>
    <cellStyle name="40% - Accent6 4 11 4 3" xfId="41474"/>
    <cellStyle name="40% - Accent6 4 11 5" xfId="16632"/>
    <cellStyle name="40% - Accent6 4 11 5 2" xfId="45493"/>
    <cellStyle name="40% - Accent6 4 11 6" xfId="30857"/>
    <cellStyle name="40% - Accent6 4 12" xfId="2407"/>
    <cellStyle name="40% - Accent6 4 12 2" xfId="5294"/>
    <cellStyle name="40% - Accent6 4 12 2 2" xfId="11335"/>
    <cellStyle name="40% - Accent6 4 12 2 2 2" xfId="28382"/>
    <cellStyle name="40% - Accent6 4 12 2 2 2 2" xfId="57243"/>
    <cellStyle name="40% - Accent6 4 12 2 2 3" xfId="40196"/>
    <cellStyle name="40% - Accent6 4 12 2 3" xfId="22404"/>
    <cellStyle name="40% - Accent6 4 12 2 3 2" xfId="51265"/>
    <cellStyle name="40% - Accent6 4 12 2 4" xfId="34155"/>
    <cellStyle name="40% - Accent6 4 12 3" xfId="8449"/>
    <cellStyle name="40% - Accent6 4 12 3 2" xfId="25496"/>
    <cellStyle name="40% - Accent6 4 12 3 2 2" xfId="54357"/>
    <cellStyle name="40% - Accent6 4 12 3 3" xfId="37310"/>
    <cellStyle name="40% - Accent6 4 12 4" xfId="13525"/>
    <cellStyle name="40% - Accent6 4 12 4 2" xfId="19724"/>
    <cellStyle name="40% - Accent6 4 12 4 2 2" xfId="48585"/>
    <cellStyle name="40% - Accent6 4 12 4 3" xfId="42386"/>
    <cellStyle name="40% - Accent6 4 12 5" xfId="17044"/>
    <cellStyle name="40% - Accent6 4 12 5 2" xfId="45905"/>
    <cellStyle name="40% - Accent6 4 12 6" xfId="31269"/>
    <cellStyle name="40% - Accent6 4 13" xfId="2616"/>
    <cellStyle name="40% - Accent6 4 13 2" xfId="5502"/>
    <cellStyle name="40% - Accent6 4 13 2 2" xfId="11543"/>
    <cellStyle name="40% - Accent6 4 13 2 2 2" xfId="28590"/>
    <cellStyle name="40% - Accent6 4 13 2 2 2 2" xfId="57451"/>
    <cellStyle name="40% - Accent6 4 13 2 2 3" xfId="40404"/>
    <cellStyle name="40% - Accent6 4 13 2 3" xfId="22612"/>
    <cellStyle name="40% - Accent6 4 13 2 3 2" xfId="51473"/>
    <cellStyle name="40% - Accent6 4 13 2 4" xfId="34363"/>
    <cellStyle name="40% - Accent6 4 13 3" xfId="8657"/>
    <cellStyle name="40% - Accent6 4 13 3 2" xfId="25704"/>
    <cellStyle name="40% - Accent6 4 13 3 2 2" xfId="54565"/>
    <cellStyle name="40% - Accent6 4 13 3 3" xfId="37518"/>
    <cellStyle name="40% - Accent6 4 13 4" xfId="12379"/>
    <cellStyle name="40% - Accent6 4 13 4 2" xfId="19932"/>
    <cellStyle name="40% - Accent6 4 13 4 2 2" xfId="48793"/>
    <cellStyle name="40% - Accent6 4 13 4 3" xfId="41240"/>
    <cellStyle name="40% - Accent6 4 13 5" xfId="17252"/>
    <cellStyle name="40% - Accent6 4 13 5 2" xfId="46113"/>
    <cellStyle name="40% - Accent6 4 13 6" xfId="31477"/>
    <cellStyle name="40% - Accent6 4 14" xfId="3028"/>
    <cellStyle name="40% - Accent6 4 14 2" xfId="9069"/>
    <cellStyle name="40% - Accent6 4 14 2 2" xfId="26116"/>
    <cellStyle name="40% - Accent6 4 14 2 2 2" xfId="54977"/>
    <cellStyle name="40% - Accent6 4 14 2 3" xfId="37930"/>
    <cellStyle name="40% - Accent6 4 14 3" xfId="14200"/>
    <cellStyle name="40% - Accent6 4 14 3 2" xfId="20138"/>
    <cellStyle name="40% - Accent6 4 14 3 2 2" xfId="48999"/>
    <cellStyle name="40% - Accent6 4 14 3 3" xfId="43061"/>
    <cellStyle name="40% - Accent6 4 14 4" xfId="14778"/>
    <cellStyle name="40% - Accent6 4 14 4 2" xfId="43639"/>
    <cellStyle name="40% - Accent6 4 14 5" xfId="31889"/>
    <cellStyle name="40% - Accent6 4 15" xfId="2822"/>
    <cellStyle name="40% - Accent6 4 15 2" xfId="8863"/>
    <cellStyle name="40% - Accent6 4 15 2 2" xfId="25910"/>
    <cellStyle name="40% - Accent6 4 15 2 2 2" xfId="54771"/>
    <cellStyle name="40% - Accent6 4 15 2 3" xfId="37724"/>
    <cellStyle name="40% - Accent6 4 15 3" xfId="17458"/>
    <cellStyle name="40% - Accent6 4 15 3 2" xfId="46319"/>
    <cellStyle name="40% - Accent6 4 15 4" xfId="31683"/>
    <cellStyle name="40% - Accent6 4 16" xfId="5708"/>
    <cellStyle name="40% - Accent6 4 16 2" xfId="11749"/>
    <cellStyle name="40% - Accent6 4 16 2 2" xfId="28796"/>
    <cellStyle name="40% - Accent6 4 16 2 2 2" xfId="57657"/>
    <cellStyle name="40% - Accent6 4 16 2 3" xfId="40610"/>
    <cellStyle name="40% - Accent6 4 16 3" xfId="22818"/>
    <cellStyle name="40% - Accent6 4 16 3 2" xfId="51679"/>
    <cellStyle name="40% - Accent6 4 16 4" xfId="34569"/>
    <cellStyle name="40% - Accent6 4 17" xfId="5925"/>
    <cellStyle name="40% - Accent6 4 17 2" xfId="23024"/>
    <cellStyle name="40% - Accent6 4 17 2 2" xfId="51885"/>
    <cellStyle name="40% - Accent6 4 17 3" xfId="34786"/>
    <cellStyle name="40% - Accent6 4 18" xfId="6183"/>
    <cellStyle name="40% - Accent6 4 18 2" xfId="23230"/>
    <cellStyle name="40% - Accent6 4 18 2 2" xfId="52091"/>
    <cellStyle name="40% - Accent6 4 18 3" xfId="35044"/>
    <cellStyle name="40% - Accent6 4 19" xfId="14572"/>
    <cellStyle name="40% - Accent6 4 19 2" xfId="43433"/>
    <cellStyle name="40% - Accent6 4 2" xfId="347"/>
    <cellStyle name="40% - Accent6 4 2 10" xfId="2510"/>
    <cellStyle name="40% - Accent6 4 2 10 2" xfId="5397"/>
    <cellStyle name="40% - Accent6 4 2 10 2 2" xfId="11438"/>
    <cellStyle name="40% - Accent6 4 2 10 2 2 2" xfId="28485"/>
    <cellStyle name="40% - Accent6 4 2 10 2 2 2 2" xfId="57346"/>
    <cellStyle name="40% - Accent6 4 2 10 2 2 3" xfId="40299"/>
    <cellStyle name="40% - Accent6 4 2 10 2 3" xfId="22507"/>
    <cellStyle name="40% - Accent6 4 2 10 2 3 2" xfId="51368"/>
    <cellStyle name="40% - Accent6 4 2 10 2 4" xfId="34258"/>
    <cellStyle name="40% - Accent6 4 2 10 3" xfId="8552"/>
    <cellStyle name="40% - Accent6 4 2 10 3 2" xfId="25599"/>
    <cellStyle name="40% - Accent6 4 2 10 3 2 2" xfId="54460"/>
    <cellStyle name="40% - Accent6 4 2 10 3 3" xfId="37413"/>
    <cellStyle name="40% - Accent6 4 2 10 4" xfId="14010"/>
    <cellStyle name="40% - Accent6 4 2 10 4 2" xfId="19827"/>
    <cellStyle name="40% - Accent6 4 2 10 4 2 2" xfId="48688"/>
    <cellStyle name="40% - Accent6 4 2 10 4 3" xfId="42871"/>
    <cellStyle name="40% - Accent6 4 2 10 5" xfId="17147"/>
    <cellStyle name="40% - Accent6 4 2 10 5 2" xfId="46008"/>
    <cellStyle name="40% - Accent6 4 2 10 6" xfId="31372"/>
    <cellStyle name="40% - Accent6 4 2 11" xfId="2719"/>
    <cellStyle name="40% - Accent6 4 2 11 2" xfId="5605"/>
    <cellStyle name="40% - Accent6 4 2 11 2 2" xfId="11646"/>
    <cellStyle name="40% - Accent6 4 2 11 2 2 2" xfId="28693"/>
    <cellStyle name="40% - Accent6 4 2 11 2 2 2 2" xfId="57554"/>
    <cellStyle name="40% - Accent6 4 2 11 2 2 3" xfId="40507"/>
    <cellStyle name="40% - Accent6 4 2 11 2 3" xfId="22715"/>
    <cellStyle name="40% - Accent6 4 2 11 2 3 2" xfId="51576"/>
    <cellStyle name="40% - Accent6 4 2 11 2 4" xfId="34466"/>
    <cellStyle name="40% - Accent6 4 2 11 3" xfId="8760"/>
    <cellStyle name="40% - Accent6 4 2 11 3 2" xfId="25807"/>
    <cellStyle name="40% - Accent6 4 2 11 3 2 2" xfId="54668"/>
    <cellStyle name="40% - Accent6 4 2 11 3 3" xfId="37621"/>
    <cellStyle name="40% - Accent6 4 2 11 4" xfId="14132"/>
    <cellStyle name="40% - Accent6 4 2 11 4 2" xfId="20035"/>
    <cellStyle name="40% - Accent6 4 2 11 4 2 2" xfId="48896"/>
    <cellStyle name="40% - Accent6 4 2 11 4 3" xfId="42993"/>
    <cellStyle name="40% - Accent6 4 2 11 5" xfId="17355"/>
    <cellStyle name="40% - Accent6 4 2 11 5 2" xfId="46216"/>
    <cellStyle name="40% - Accent6 4 2 11 6" xfId="31580"/>
    <cellStyle name="40% - Accent6 4 2 12" xfId="3234"/>
    <cellStyle name="40% - Accent6 4 2 12 2" xfId="9275"/>
    <cellStyle name="40% - Accent6 4 2 12 2 2" xfId="26322"/>
    <cellStyle name="40% - Accent6 4 2 12 2 2 2" xfId="55183"/>
    <cellStyle name="40% - Accent6 4 2 12 2 3" xfId="38136"/>
    <cellStyle name="40% - Accent6 4 2 12 3" xfId="12593"/>
    <cellStyle name="40% - Accent6 4 2 12 3 2" xfId="20344"/>
    <cellStyle name="40% - Accent6 4 2 12 3 2 2" xfId="49205"/>
    <cellStyle name="40% - Accent6 4 2 12 3 3" xfId="41454"/>
    <cellStyle name="40% - Accent6 4 2 12 4" xfId="14984"/>
    <cellStyle name="40% - Accent6 4 2 12 4 2" xfId="43845"/>
    <cellStyle name="40% - Accent6 4 2 12 5" xfId="32095"/>
    <cellStyle name="40% - Accent6 4 2 13" xfId="2925"/>
    <cellStyle name="40% - Accent6 4 2 13 2" xfId="8966"/>
    <cellStyle name="40% - Accent6 4 2 13 2 2" xfId="26013"/>
    <cellStyle name="40% - Accent6 4 2 13 2 2 2" xfId="54874"/>
    <cellStyle name="40% - Accent6 4 2 13 2 3" xfId="37827"/>
    <cellStyle name="40% - Accent6 4 2 13 3" xfId="17561"/>
    <cellStyle name="40% - Accent6 4 2 13 3 2" xfId="46422"/>
    <cellStyle name="40% - Accent6 4 2 13 4" xfId="31786"/>
    <cellStyle name="40% - Accent6 4 2 14" xfId="5811"/>
    <cellStyle name="40% - Accent6 4 2 14 2" xfId="11852"/>
    <cellStyle name="40% - Accent6 4 2 14 2 2" xfId="28899"/>
    <cellStyle name="40% - Accent6 4 2 14 2 2 2" xfId="57760"/>
    <cellStyle name="40% - Accent6 4 2 14 2 3" xfId="40713"/>
    <cellStyle name="40% - Accent6 4 2 14 3" xfId="22921"/>
    <cellStyle name="40% - Accent6 4 2 14 3 2" xfId="51782"/>
    <cellStyle name="40% - Accent6 4 2 14 4" xfId="34672"/>
    <cellStyle name="40% - Accent6 4 2 15" xfId="6028"/>
    <cellStyle name="40% - Accent6 4 2 15 2" xfId="23127"/>
    <cellStyle name="40% - Accent6 4 2 15 2 2" xfId="51988"/>
    <cellStyle name="40% - Accent6 4 2 15 3" xfId="34889"/>
    <cellStyle name="40% - Accent6 4 2 16" xfId="6389"/>
    <cellStyle name="40% - Accent6 4 2 16 2" xfId="23436"/>
    <cellStyle name="40% - Accent6 4 2 16 2 2" xfId="52297"/>
    <cellStyle name="40% - Accent6 4 2 16 3" xfId="35250"/>
    <cellStyle name="40% - Accent6 4 2 17" xfId="14675"/>
    <cellStyle name="40% - Accent6 4 2 17 2" xfId="43536"/>
    <cellStyle name="40% - Accent6 4 2 18" xfId="29209"/>
    <cellStyle name="40% - Accent6 4 2 2" xfId="553"/>
    <cellStyle name="40% - Accent6 4 2 2 2" xfId="2304"/>
    <cellStyle name="40% - Accent6 4 2 2 2 2" xfId="5191"/>
    <cellStyle name="40% - Accent6 4 2 2 2 2 2" xfId="11232"/>
    <cellStyle name="40% - Accent6 4 2 2 2 2 2 2" xfId="28279"/>
    <cellStyle name="40% - Accent6 4 2 2 2 2 2 2 2" xfId="57140"/>
    <cellStyle name="40% - Accent6 4 2 2 2 2 2 3" xfId="40093"/>
    <cellStyle name="40% - Accent6 4 2 2 2 2 3" xfId="22301"/>
    <cellStyle name="40% - Accent6 4 2 2 2 2 3 2" xfId="51162"/>
    <cellStyle name="40% - Accent6 4 2 2 2 2 4" xfId="34052"/>
    <cellStyle name="40% - Accent6 4 2 2 2 3" xfId="8346"/>
    <cellStyle name="40% - Accent6 4 2 2 2 3 2" xfId="25393"/>
    <cellStyle name="40% - Accent6 4 2 2 2 3 2 2" xfId="54254"/>
    <cellStyle name="40% - Accent6 4 2 2 2 3 3" xfId="37207"/>
    <cellStyle name="40% - Accent6 4 2 2 2 4" xfId="13900"/>
    <cellStyle name="40% - Accent6 4 2 2 2 4 2" xfId="19621"/>
    <cellStyle name="40% - Accent6 4 2 2 2 4 2 2" xfId="48482"/>
    <cellStyle name="40% - Accent6 4 2 2 2 4 3" xfId="42761"/>
    <cellStyle name="40% - Accent6 4 2 2 2 5" xfId="16941"/>
    <cellStyle name="40% - Accent6 4 2 2 2 5 2" xfId="45802"/>
    <cellStyle name="40% - Accent6 4 2 2 2 6" xfId="31166"/>
    <cellStyle name="40% - Accent6 4 2 2 3" xfId="3440"/>
    <cellStyle name="40% - Accent6 4 2 2 3 2" xfId="9481"/>
    <cellStyle name="40% - Accent6 4 2 2 3 2 2" xfId="26528"/>
    <cellStyle name="40% - Accent6 4 2 2 3 2 2 2" xfId="55389"/>
    <cellStyle name="40% - Accent6 4 2 2 3 2 3" xfId="38342"/>
    <cellStyle name="40% - Accent6 4 2 2 3 3" xfId="20550"/>
    <cellStyle name="40% - Accent6 4 2 2 3 3 2" xfId="49411"/>
    <cellStyle name="40% - Accent6 4 2 2 3 4" xfId="32301"/>
    <cellStyle name="40% - Accent6 4 2 2 4" xfId="6595"/>
    <cellStyle name="40% - Accent6 4 2 2 4 2" xfId="23642"/>
    <cellStyle name="40% - Accent6 4 2 2 4 2 2" xfId="52503"/>
    <cellStyle name="40% - Accent6 4 2 2 4 3" xfId="35456"/>
    <cellStyle name="40% - Accent6 4 2 2 5" xfId="12835"/>
    <cellStyle name="40% - Accent6 4 2 2 5 2" xfId="17870"/>
    <cellStyle name="40% - Accent6 4 2 2 5 2 2" xfId="46731"/>
    <cellStyle name="40% - Accent6 4 2 2 5 3" xfId="41696"/>
    <cellStyle name="40% - Accent6 4 2 2 6" xfId="15190"/>
    <cellStyle name="40% - Accent6 4 2 2 6 2" xfId="44051"/>
    <cellStyle name="40% - Accent6 4 2 2 7" xfId="29415"/>
    <cellStyle name="40% - Accent6 4 2 3" xfId="862"/>
    <cellStyle name="40% - Accent6 4 2 3 2" xfId="3749"/>
    <cellStyle name="40% - Accent6 4 2 3 2 2" xfId="9790"/>
    <cellStyle name="40% - Accent6 4 2 3 2 2 2" xfId="26837"/>
    <cellStyle name="40% - Accent6 4 2 3 2 2 2 2" xfId="55698"/>
    <cellStyle name="40% - Accent6 4 2 3 2 2 3" xfId="38651"/>
    <cellStyle name="40% - Accent6 4 2 3 2 3" xfId="20859"/>
    <cellStyle name="40% - Accent6 4 2 3 2 3 2" xfId="49720"/>
    <cellStyle name="40% - Accent6 4 2 3 2 4" xfId="32610"/>
    <cellStyle name="40% - Accent6 4 2 3 3" xfId="6904"/>
    <cellStyle name="40% - Accent6 4 2 3 3 2" xfId="23951"/>
    <cellStyle name="40% - Accent6 4 2 3 3 2 2" xfId="52812"/>
    <cellStyle name="40% - Accent6 4 2 3 3 3" xfId="35765"/>
    <cellStyle name="40% - Accent6 4 2 3 4" xfId="13812"/>
    <cellStyle name="40% - Accent6 4 2 3 4 2" xfId="18179"/>
    <cellStyle name="40% - Accent6 4 2 3 4 2 2" xfId="47040"/>
    <cellStyle name="40% - Accent6 4 2 3 4 3" xfId="42673"/>
    <cellStyle name="40% - Accent6 4 2 3 5" xfId="15499"/>
    <cellStyle name="40% - Accent6 4 2 3 5 2" xfId="44360"/>
    <cellStyle name="40% - Accent6 4 2 3 6" xfId="29724"/>
    <cellStyle name="40% - Accent6 4 2 4" xfId="1068"/>
    <cellStyle name="40% - Accent6 4 2 4 2" xfId="3955"/>
    <cellStyle name="40% - Accent6 4 2 4 2 2" xfId="9996"/>
    <cellStyle name="40% - Accent6 4 2 4 2 2 2" xfId="27043"/>
    <cellStyle name="40% - Accent6 4 2 4 2 2 2 2" xfId="55904"/>
    <cellStyle name="40% - Accent6 4 2 4 2 2 3" xfId="38857"/>
    <cellStyle name="40% - Accent6 4 2 4 2 3" xfId="21065"/>
    <cellStyle name="40% - Accent6 4 2 4 2 3 2" xfId="49926"/>
    <cellStyle name="40% - Accent6 4 2 4 2 4" xfId="32816"/>
    <cellStyle name="40% - Accent6 4 2 4 3" xfId="7110"/>
    <cellStyle name="40% - Accent6 4 2 4 3 2" xfId="24157"/>
    <cellStyle name="40% - Accent6 4 2 4 3 2 2" xfId="53018"/>
    <cellStyle name="40% - Accent6 4 2 4 3 3" xfId="35971"/>
    <cellStyle name="40% - Accent6 4 2 4 4" xfId="12509"/>
    <cellStyle name="40% - Accent6 4 2 4 4 2" xfId="18385"/>
    <cellStyle name="40% - Accent6 4 2 4 4 2 2" xfId="47246"/>
    <cellStyle name="40% - Accent6 4 2 4 4 3" xfId="41370"/>
    <cellStyle name="40% - Accent6 4 2 4 5" xfId="15705"/>
    <cellStyle name="40% - Accent6 4 2 4 5 2" xfId="44566"/>
    <cellStyle name="40% - Accent6 4 2 4 6" xfId="29930"/>
    <cellStyle name="40% - Accent6 4 2 5" xfId="1274"/>
    <cellStyle name="40% - Accent6 4 2 5 2" xfId="4161"/>
    <cellStyle name="40% - Accent6 4 2 5 2 2" xfId="10202"/>
    <cellStyle name="40% - Accent6 4 2 5 2 2 2" xfId="27249"/>
    <cellStyle name="40% - Accent6 4 2 5 2 2 2 2" xfId="56110"/>
    <cellStyle name="40% - Accent6 4 2 5 2 2 3" xfId="39063"/>
    <cellStyle name="40% - Accent6 4 2 5 2 3" xfId="21271"/>
    <cellStyle name="40% - Accent6 4 2 5 2 3 2" xfId="50132"/>
    <cellStyle name="40% - Accent6 4 2 5 2 4" xfId="33022"/>
    <cellStyle name="40% - Accent6 4 2 5 3" xfId="7316"/>
    <cellStyle name="40% - Accent6 4 2 5 3 2" xfId="24363"/>
    <cellStyle name="40% - Accent6 4 2 5 3 2 2" xfId="53224"/>
    <cellStyle name="40% - Accent6 4 2 5 3 3" xfId="36177"/>
    <cellStyle name="40% - Accent6 4 2 5 4" xfId="13061"/>
    <cellStyle name="40% - Accent6 4 2 5 4 2" xfId="18591"/>
    <cellStyle name="40% - Accent6 4 2 5 4 2 2" xfId="47452"/>
    <cellStyle name="40% - Accent6 4 2 5 4 3" xfId="41922"/>
    <cellStyle name="40% - Accent6 4 2 5 5" xfId="15911"/>
    <cellStyle name="40% - Accent6 4 2 5 5 2" xfId="44772"/>
    <cellStyle name="40% - Accent6 4 2 5 6" xfId="30136"/>
    <cellStyle name="40% - Accent6 4 2 6" xfId="1480"/>
    <cellStyle name="40% - Accent6 4 2 6 2" xfId="4367"/>
    <cellStyle name="40% - Accent6 4 2 6 2 2" xfId="10408"/>
    <cellStyle name="40% - Accent6 4 2 6 2 2 2" xfId="27455"/>
    <cellStyle name="40% - Accent6 4 2 6 2 2 2 2" xfId="56316"/>
    <cellStyle name="40% - Accent6 4 2 6 2 2 3" xfId="39269"/>
    <cellStyle name="40% - Accent6 4 2 6 2 3" xfId="21477"/>
    <cellStyle name="40% - Accent6 4 2 6 2 3 2" xfId="50338"/>
    <cellStyle name="40% - Accent6 4 2 6 2 4" xfId="33228"/>
    <cellStyle name="40% - Accent6 4 2 6 3" xfId="7522"/>
    <cellStyle name="40% - Accent6 4 2 6 3 2" xfId="24569"/>
    <cellStyle name="40% - Accent6 4 2 6 3 2 2" xfId="53430"/>
    <cellStyle name="40% - Accent6 4 2 6 3 3" xfId="36383"/>
    <cellStyle name="40% - Accent6 4 2 6 4" xfId="12609"/>
    <cellStyle name="40% - Accent6 4 2 6 4 2" xfId="18797"/>
    <cellStyle name="40% - Accent6 4 2 6 4 2 2" xfId="47658"/>
    <cellStyle name="40% - Accent6 4 2 6 4 3" xfId="41470"/>
    <cellStyle name="40% - Accent6 4 2 6 5" xfId="16117"/>
    <cellStyle name="40% - Accent6 4 2 6 5 2" xfId="44978"/>
    <cellStyle name="40% - Accent6 4 2 6 6" xfId="30342"/>
    <cellStyle name="40% - Accent6 4 2 7" xfId="1686"/>
    <cellStyle name="40% - Accent6 4 2 7 2" xfId="4573"/>
    <cellStyle name="40% - Accent6 4 2 7 2 2" xfId="10614"/>
    <cellStyle name="40% - Accent6 4 2 7 2 2 2" xfId="27661"/>
    <cellStyle name="40% - Accent6 4 2 7 2 2 2 2" xfId="56522"/>
    <cellStyle name="40% - Accent6 4 2 7 2 2 3" xfId="39475"/>
    <cellStyle name="40% - Accent6 4 2 7 2 3" xfId="21683"/>
    <cellStyle name="40% - Accent6 4 2 7 2 3 2" xfId="50544"/>
    <cellStyle name="40% - Accent6 4 2 7 2 4" xfId="33434"/>
    <cellStyle name="40% - Accent6 4 2 7 3" xfId="7728"/>
    <cellStyle name="40% - Accent6 4 2 7 3 2" xfId="24775"/>
    <cellStyle name="40% - Accent6 4 2 7 3 2 2" xfId="53636"/>
    <cellStyle name="40% - Accent6 4 2 7 3 3" xfId="36589"/>
    <cellStyle name="40% - Accent6 4 2 7 4" xfId="14075"/>
    <cellStyle name="40% - Accent6 4 2 7 4 2" xfId="19003"/>
    <cellStyle name="40% - Accent6 4 2 7 4 2 2" xfId="47864"/>
    <cellStyle name="40% - Accent6 4 2 7 4 3" xfId="42936"/>
    <cellStyle name="40% - Accent6 4 2 7 5" xfId="16323"/>
    <cellStyle name="40% - Accent6 4 2 7 5 2" xfId="45184"/>
    <cellStyle name="40% - Accent6 4 2 7 6" xfId="30548"/>
    <cellStyle name="40% - Accent6 4 2 8" xfId="1892"/>
    <cellStyle name="40% - Accent6 4 2 8 2" xfId="4779"/>
    <cellStyle name="40% - Accent6 4 2 8 2 2" xfId="10820"/>
    <cellStyle name="40% - Accent6 4 2 8 2 2 2" xfId="27867"/>
    <cellStyle name="40% - Accent6 4 2 8 2 2 2 2" xfId="56728"/>
    <cellStyle name="40% - Accent6 4 2 8 2 2 3" xfId="39681"/>
    <cellStyle name="40% - Accent6 4 2 8 2 3" xfId="21889"/>
    <cellStyle name="40% - Accent6 4 2 8 2 3 2" xfId="50750"/>
    <cellStyle name="40% - Accent6 4 2 8 2 4" xfId="33640"/>
    <cellStyle name="40% - Accent6 4 2 8 3" xfId="7934"/>
    <cellStyle name="40% - Accent6 4 2 8 3 2" xfId="24981"/>
    <cellStyle name="40% - Accent6 4 2 8 3 2 2" xfId="53842"/>
    <cellStyle name="40% - Accent6 4 2 8 3 3" xfId="36795"/>
    <cellStyle name="40% - Accent6 4 2 8 4" xfId="14170"/>
    <cellStyle name="40% - Accent6 4 2 8 4 2" xfId="19209"/>
    <cellStyle name="40% - Accent6 4 2 8 4 2 2" xfId="48070"/>
    <cellStyle name="40% - Accent6 4 2 8 4 3" xfId="43031"/>
    <cellStyle name="40% - Accent6 4 2 8 5" xfId="16529"/>
    <cellStyle name="40% - Accent6 4 2 8 5 2" xfId="45390"/>
    <cellStyle name="40% - Accent6 4 2 8 6" xfId="30754"/>
    <cellStyle name="40% - Accent6 4 2 9" xfId="2098"/>
    <cellStyle name="40% - Accent6 4 2 9 2" xfId="4985"/>
    <cellStyle name="40% - Accent6 4 2 9 2 2" xfId="11026"/>
    <cellStyle name="40% - Accent6 4 2 9 2 2 2" xfId="28073"/>
    <cellStyle name="40% - Accent6 4 2 9 2 2 2 2" xfId="56934"/>
    <cellStyle name="40% - Accent6 4 2 9 2 2 3" xfId="39887"/>
    <cellStyle name="40% - Accent6 4 2 9 2 3" xfId="22095"/>
    <cellStyle name="40% - Accent6 4 2 9 2 3 2" xfId="50956"/>
    <cellStyle name="40% - Accent6 4 2 9 2 4" xfId="33846"/>
    <cellStyle name="40% - Accent6 4 2 9 3" xfId="8140"/>
    <cellStyle name="40% - Accent6 4 2 9 3 2" xfId="25187"/>
    <cellStyle name="40% - Accent6 4 2 9 3 2 2" xfId="54048"/>
    <cellStyle name="40% - Accent6 4 2 9 3 3" xfId="37001"/>
    <cellStyle name="40% - Accent6 4 2 9 4" xfId="11898"/>
    <cellStyle name="40% - Accent6 4 2 9 4 2" xfId="19415"/>
    <cellStyle name="40% - Accent6 4 2 9 4 2 2" xfId="48276"/>
    <cellStyle name="40% - Accent6 4 2 9 4 3" xfId="40759"/>
    <cellStyle name="40% - Accent6 4 2 9 5" xfId="16735"/>
    <cellStyle name="40% - Accent6 4 2 9 5 2" xfId="45596"/>
    <cellStyle name="40% - Accent6 4 2 9 6" xfId="30960"/>
    <cellStyle name="40% - Accent6 4 20" xfId="29003"/>
    <cellStyle name="40% - Accent6 4 3" xfId="244"/>
    <cellStyle name="40% - Accent6 4 3 2" xfId="656"/>
    <cellStyle name="40% - Accent6 4 3 2 2" xfId="3543"/>
    <cellStyle name="40% - Accent6 4 3 2 2 2" xfId="9584"/>
    <cellStyle name="40% - Accent6 4 3 2 2 2 2" xfId="26631"/>
    <cellStyle name="40% - Accent6 4 3 2 2 2 2 2" xfId="55492"/>
    <cellStyle name="40% - Accent6 4 3 2 2 2 3" xfId="38445"/>
    <cellStyle name="40% - Accent6 4 3 2 2 3" xfId="20653"/>
    <cellStyle name="40% - Accent6 4 3 2 2 3 2" xfId="49514"/>
    <cellStyle name="40% - Accent6 4 3 2 2 4" xfId="32404"/>
    <cellStyle name="40% - Accent6 4 3 2 3" xfId="6698"/>
    <cellStyle name="40% - Accent6 4 3 2 3 2" xfId="23745"/>
    <cellStyle name="40% - Accent6 4 3 2 3 2 2" xfId="52606"/>
    <cellStyle name="40% - Accent6 4 3 2 3 3" xfId="35559"/>
    <cellStyle name="40% - Accent6 4 3 2 4" xfId="14470"/>
    <cellStyle name="40% - Accent6 4 3 2 4 2" xfId="17973"/>
    <cellStyle name="40% - Accent6 4 3 2 4 2 2" xfId="46834"/>
    <cellStyle name="40% - Accent6 4 3 2 4 3" xfId="43331"/>
    <cellStyle name="40% - Accent6 4 3 2 5" xfId="15293"/>
    <cellStyle name="40% - Accent6 4 3 2 5 2" xfId="44154"/>
    <cellStyle name="40% - Accent6 4 3 2 6" xfId="29518"/>
    <cellStyle name="40% - Accent6 4 3 3" xfId="2201"/>
    <cellStyle name="40% - Accent6 4 3 3 2" xfId="5088"/>
    <cellStyle name="40% - Accent6 4 3 3 2 2" xfId="11129"/>
    <cellStyle name="40% - Accent6 4 3 3 2 2 2" xfId="28176"/>
    <cellStyle name="40% - Accent6 4 3 3 2 2 2 2" xfId="57037"/>
    <cellStyle name="40% - Accent6 4 3 3 2 2 3" xfId="39990"/>
    <cellStyle name="40% - Accent6 4 3 3 2 3" xfId="22198"/>
    <cellStyle name="40% - Accent6 4 3 3 2 3 2" xfId="51059"/>
    <cellStyle name="40% - Accent6 4 3 3 2 4" xfId="33949"/>
    <cellStyle name="40% - Accent6 4 3 3 3" xfId="8243"/>
    <cellStyle name="40% - Accent6 4 3 3 3 2" xfId="25290"/>
    <cellStyle name="40% - Accent6 4 3 3 3 2 2" xfId="54151"/>
    <cellStyle name="40% - Accent6 4 3 3 3 3" xfId="37104"/>
    <cellStyle name="40% - Accent6 4 3 3 4" xfId="11996"/>
    <cellStyle name="40% - Accent6 4 3 3 4 2" xfId="19518"/>
    <cellStyle name="40% - Accent6 4 3 3 4 2 2" xfId="48379"/>
    <cellStyle name="40% - Accent6 4 3 3 4 3" xfId="40857"/>
    <cellStyle name="40% - Accent6 4 3 3 5" xfId="16838"/>
    <cellStyle name="40% - Accent6 4 3 3 5 2" xfId="45699"/>
    <cellStyle name="40% - Accent6 4 3 3 6" xfId="31063"/>
    <cellStyle name="40% - Accent6 4 3 4" xfId="3131"/>
    <cellStyle name="40% - Accent6 4 3 4 2" xfId="9172"/>
    <cellStyle name="40% - Accent6 4 3 4 2 2" xfId="26219"/>
    <cellStyle name="40% - Accent6 4 3 4 2 2 2" xfId="55080"/>
    <cellStyle name="40% - Accent6 4 3 4 2 3" xfId="38033"/>
    <cellStyle name="40% - Accent6 4 3 4 3" xfId="20241"/>
    <cellStyle name="40% - Accent6 4 3 4 3 2" xfId="49102"/>
    <cellStyle name="40% - Accent6 4 3 4 4" xfId="31992"/>
    <cellStyle name="40% - Accent6 4 3 5" xfId="6286"/>
    <cellStyle name="40% - Accent6 4 3 5 2" xfId="23333"/>
    <cellStyle name="40% - Accent6 4 3 5 2 2" xfId="52194"/>
    <cellStyle name="40% - Accent6 4 3 5 3" xfId="35147"/>
    <cellStyle name="40% - Accent6 4 3 6" xfId="12904"/>
    <cellStyle name="40% - Accent6 4 3 6 2" xfId="17664"/>
    <cellStyle name="40% - Accent6 4 3 6 2 2" xfId="46525"/>
    <cellStyle name="40% - Accent6 4 3 6 3" xfId="41765"/>
    <cellStyle name="40% - Accent6 4 3 7" xfId="14881"/>
    <cellStyle name="40% - Accent6 4 3 7 2" xfId="43742"/>
    <cellStyle name="40% - Accent6 4 3 8" xfId="29106"/>
    <cellStyle name="40% - Accent6 4 4" xfId="450"/>
    <cellStyle name="40% - Accent6 4 4 2" xfId="3337"/>
    <cellStyle name="40% - Accent6 4 4 2 2" xfId="9378"/>
    <cellStyle name="40% - Accent6 4 4 2 2 2" xfId="26425"/>
    <cellStyle name="40% - Accent6 4 4 2 2 2 2" xfId="55286"/>
    <cellStyle name="40% - Accent6 4 4 2 2 3" xfId="38239"/>
    <cellStyle name="40% - Accent6 4 4 2 3" xfId="20447"/>
    <cellStyle name="40% - Accent6 4 4 2 3 2" xfId="49308"/>
    <cellStyle name="40% - Accent6 4 4 2 4" xfId="32198"/>
    <cellStyle name="40% - Accent6 4 4 3" xfId="6492"/>
    <cellStyle name="40% - Accent6 4 4 3 2" xfId="23539"/>
    <cellStyle name="40% - Accent6 4 4 3 2 2" xfId="52400"/>
    <cellStyle name="40% - Accent6 4 4 3 3" xfId="35353"/>
    <cellStyle name="40% - Accent6 4 4 4" xfId="12674"/>
    <cellStyle name="40% - Accent6 4 4 4 2" xfId="17767"/>
    <cellStyle name="40% - Accent6 4 4 4 2 2" xfId="46628"/>
    <cellStyle name="40% - Accent6 4 4 4 3" xfId="41535"/>
    <cellStyle name="40% - Accent6 4 4 5" xfId="15087"/>
    <cellStyle name="40% - Accent6 4 4 5 2" xfId="43948"/>
    <cellStyle name="40% - Accent6 4 4 6" xfId="29312"/>
    <cellStyle name="40% - Accent6 4 5" xfId="759"/>
    <cellStyle name="40% - Accent6 4 5 2" xfId="3646"/>
    <cellStyle name="40% - Accent6 4 5 2 2" xfId="9687"/>
    <cellStyle name="40% - Accent6 4 5 2 2 2" xfId="26734"/>
    <cellStyle name="40% - Accent6 4 5 2 2 2 2" xfId="55595"/>
    <cellStyle name="40% - Accent6 4 5 2 2 3" xfId="38548"/>
    <cellStyle name="40% - Accent6 4 5 2 3" xfId="20756"/>
    <cellStyle name="40% - Accent6 4 5 2 3 2" xfId="49617"/>
    <cellStyle name="40% - Accent6 4 5 2 4" xfId="32507"/>
    <cellStyle name="40% - Accent6 4 5 3" xfId="6801"/>
    <cellStyle name="40% - Accent6 4 5 3 2" xfId="23848"/>
    <cellStyle name="40% - Accent6 4 5 3 2 2" xfId="52709"/>
    <cellStyle name="40% - Accent6 4 5 3 3" xfId="35662"/>
    <cellStyle name="40% - Accent6 4 5 4" xfId="14207"/>
    <cellStyle name="40% - Accent6 4 5 4 2" xfId="18076"/>
    <cellStyle name="40% - Accent6 4 5 4 2 2" xfId="46937"/>
    <cellStyle name="40% - Accent6 4 5 4 3" xfId="43068"/>
    <cellStyle name="40% - Accent6 4 5 5" xfId="15396"/>
    <cellStyle name="40% - Accent6 4 5 5 2" xfId="44257"/>
    <cellStyle name="40% - Accent6 4 5 6" xfId="29621"/>
    <cellStyle name="40% - Accent6 4 6" xfId="965"/>
    <cellStyle name="40% - Accent6 4 6 2" xfId="3852"/>
    <cellStyle name="40% - Accent6 4 6 2 2" xfId="9893"/>
    <cellStyle name="40% - Accent6 4 6 2 2 2" xfId="26940"/>
    <cellStyle name="40% - Accent6 4 6 2 2 2 2" xfId="55801"/>
    <cellStyle name="40% - Accent6 4 6 2 2 3" xfId="38754"/>
    <cellStyle name="40% - Accent6 4 6 2 3" xfId="20962"/>
    <cellStyle name="40% - Accent6 4 6 2 3 2" xfId="49823"/>
    <cellStyle name="40% - Accent6 4 6 2 4" xfId="32713"/>
    <cellStyle name="40% - Accent6 4 6 3" xfId="7007"/>
    <cellStyle name="40% - Accent6 4 6 3 2" xfId="24054"/>
    <cellStyle name="40% - Accent6 4 6 3 2 2" xfId="52915"/>
    <cellStyle name="40% - Accent6 4 6 3 3" xfId="35868"/>
    <cellStyle name="40% - Accent6 4 6 4" xfId="14353"/>
    <cellStyle name="40% - Accent6 4 6 4 2" xfId="18282"/>
    <cellStyle name="40% - Accent6 4 6 4 2 2" xfId="47143"/>
    <cellStyle name="40% - Accent6 4 6 4 3" xfId="43214"/>
    <cellStyle name="40% - Accent6 4 6 5" xfId="15602"/>
    <cellStyle name="40% - Accent6 4 6 5 2" xfId="44463"/>
    <cellStyle name="40% - Accent6 4 6 6" xfId="29827"/>
    <cellStyle name="40% - Accent6 4 7" xfId="1171"/>
    <cellStyle name="40% - Accent6 4 7 2" xfId="4058"/>
    <cellStyle name="40% - Accent6 4 7 2 2" xfId="10099"/>
    <cellStyle name="40% - Accent6 4 7 2 2 2" xfId="27146"/>
    <cellStyle name="40% - Accent6 4 7 2 2 2 2" xfId="56007"/>
    <cellStyle name="40% - Accent6 4 7 2 2 3" xfId="38960"/>
    <cellStyle name="40% - Accent6 4 7 2 3" xfId="21168"/>
    <cellStyle name="40% - Accent6 4 7 2 3 2" xfId="50029"/>
    <cellStyle name="40% - Accent6 4 7 2 4" xfId="32919"/>
    <cellStyle name="40% - Accent6 4 7 3" xfId="7213"/>
    <cellStyle name="40% - Accent6 4 7 3 2" xfId="24260"/>
    <cellStyle name="40% - Accent6 4 7 3 2 2" xfId="53121"/>
    <cellStyle name="40% - Accent6 4 7 3 3" xfId="36074"/>
    <cellStyle name="40% - Accent6 4 7 4" xfId="13403"/>
    <cellStyle name="40% - Accent6 4 7 4 2" xfId="18488"/>
    <cellStyle name="40% - Accent6 4 7 4 2 2" xfId="47349"/>
    <cellStyle name="40% - Accent6 4 7 4 3" xfId="42264"/>
    <cellStyle name="40% - Accent6 4 7 5" xfId="15808"/>
    <cellStyle name="40% - Accent6 4 7 5 2" xfId="44669"/>
    <cellStyle name="40% - Accent6 4 7 6" xfId="30033"/>
    <cellStyle name="40% - Accent6 4 8" xfId="1377"/>
    <cellStyle name="40% - Accent6 4 8 2" xfId="4264"/>
    <cellStyle name="40% - Accent6 4 8 2 2" xfId="10305"/>
    <cellStyle name="40% - Accent6 4 8 2 2 2" xfId="27352"/>
    <cellStyle name="40% - Accent6 4 8 2 2 2 2" xfId="56213"/>
    <cellStyle name="40% - Accent6 4 8 2 2 3" xfId="39166"/>
    <cellStyle name="40% - Accent6 4 8 2 3" xfId="21374"/>
    <cellStyle name="40% - Accent6 4 8 2 3 2" xfId="50235"/>
    <cellStyle name="40% - Accent6 4 8 2 4" xfId="33125"/>
    <cellStyle name="40% - Accent6 4 8 3" xfId="7419"/>
    <cellStyle name="40% - Accent6 4 8 3 2" xfId="24466"/>
    <cellStyle name="40% - Accent6 4 8 3 2 2" xfId="53327"/>
    <cellStyle name="40% - Accent6 4 8 3 3" xfId="36280"/>
    <cellStyle name="40% - Accent6 4 8 4" xfId="12557"/>
    <cellStyle name="40% - Accent6 4 8 4 2" xfId="18694"/>
    <cellStyle name="40% - Accent6 4 8 4 2 2" xfId="47555"/>
    <cellStyle name="40% - Accent6 4 8 4 3" xfId="41418"/>
    <cellStyle name="40% - Accent6 4 8 5" xfId="16014"/>
    <cellStyle name="40% - Accent6 4 8 5 2" xfId="44875"/>
    <cellStyle name="40% - Accent6 4 8 6" xfId="30239"/>
    <cellStyle name="40% - Accent6 4 9" xfId="1583"/>
    <cellStyle name="40% - Accent6 4 9 2" xfId="4470"/>
    <cellStyle name="40% - Accent6 4 9 2 2" xfId="10511"/>
    <cellStyle name="40% - Accent6 4 9 2 2 2" xfId="27558"/>
    <cellStyle name="40% - Accent6 4 9 2 2 2 2" xfId="56419"/>
    <cellStyle name="40% - Accent6 4 9 2 2 3" xfId="39372"/>
    <cellStyle name="40% - Accent6 4 9 2 3" xfId="21580"/>
    <cellStyle name="40% - Accent6 4 9 2 3 2" xfId="50441"/>
    <cellStyle name="40% - Accent6 4 9 2 4" xfId="33331"/>
    <cellStyle name="40% - Accent6 4 9 3" xfId="7625"/>
    <cellStyle name="40% - Accent6 4 9 3 2" xfId="24672"/>
    <cellStyle name="40% - Accent6 4 9 3 2 2" xfId="53533"/>
    <cellStyle name="40% - Accent6 4 9 3 3" xfId="36486"/>
    <cellStyle name="40% - Accent6 4 9 4" xfId="6060"/>
    <cellStyle name="40% - Accent6 4 9 4 2" xfId="18900"/>
    <cellStyle name="40% - Accent6 4 9 4 2 2" xfId="47761"/>
    <cellStyle name="40% - Accent6 4 9 4 3" xfId="34921"/>
    <cellStyle name="40% - Accent6 4 9 5" xfId="16220"/>
    <cellStyle name="40% - Accent6 4 9 5 2" xfId="45081"/>
    <cellStyle name="40% - Accent6 4 9 6" xfId="30445"/>
    <cellStyle name="40% - Accent6 5" xfId="294"/>
    <cellStyle name="40% - Accent6 5 10" xfId="2457"/>
    <cellStyle name="40% - Accent6 5 10 2" xfId="5344"/>
    <cellStyle name="40% - Accent6 5 10 2 2" xfId="11385"/>
    <cellStyle name="40% - Accent6 5 10 2 2 2" xfId="28432"/>
    <cellStyle name="40% - Accent6 5 10 2 2 2 2" xfId="57293"/>
    <cellStyle name="40% - Accent6 5 10 2 2 3" xfId="40246"/>
    <cellStyle name="40% - Accent6 5 10 2 3" xfId="22454"/>
    <cellStyle name="40% - Accent6 5 10 2 3 2" xfId="51315"/>
    <cellStyle name="40% - Accent6 5 10 2 4" xfId="34205"/>
    <cellStyle name="40% - Accent6 5 10 3" xfId="8499"/>
    <cellStyle name="40% - Accent6 5 10 3 2" xfId="25546"/>
    <cellStyle name="40% - Accent6 5 10 3 2 2" xfId="54407"/>
    <cellStyle name="40% - Accent6 5 10 3 3" xfId="37360"/>
    <cellStyle name="40% - Accent6 5 10 4" xfId="14400"/>
    <cellStyle name="40% - Accent6 5 10 4 2" xfId="19774"/>
    <cellStyle name="40% - Accent6 5 10 4 2 2" xfId="48635"/>
    <cellStyle name="40% - Accent6 5 10 4 3" xfId="43261"/>
    <cellStyle name="40% - Accent6 5 10 5" xfId="17094"/>
    <cellStyle name="40% - Accent6 5 10 5 2" xfId="45955"/>
    <cellStyle name="40% - Accent6 5 10 6" xfId="31319"/>
    <cellStyle name="40% - Accent6 5 11" xfId="2666"/>
    <cellStyle name="40% - Accent6 5 11 2" xfId="5552"/>
    <cellStyle name="40% - Accent6 5 11 2 2" xfId="11593"/>
    <cellStyle name="40% - Accent6 5 11 2 2 2" xfId="28640"/>
    <cellStyle name="40% - Accent6 5 11 2 2 2 2" xfId="57501"/>
    <cellStyle name="40% - Accent6 5 11 2 2 3" xfId="40454"/>
    <cellStyle name="40% - Accent6 5 11 2 3" xfId="22662"/>
    <cellStyle name="40% - Accent6 5 11 2 3 2" xfId="51523"/>
    <cellStyle name="40% - Accent6 5 11 2 4" xfId="34413"/>
    <cellStyle name="40% - Accent6 5 11 3" xfId="8707"/>
    <cellStyle name="40% - Accent6 5 11 3 2" xfId="25754"/>
    <cellStyle name="40% - Accent6 5 11 3 2 2" xfId="54615"/>
    <cellStyle name="40% - Accent6 5 11 3 3" xfId="37568"/>
    <cellStyle name="40% - Accent6 5 11 4" xfId="12953"/>
    <cellStyle name="40% - Accent6 5 11 4 2" xfId="19982"/>
    <cellStyle name="40% - Accent6 5 11 4 2 2" xfId="48843"/>
    <cellStyle name="40% - Accent6 5 11 4 3" xfId="41814"/>
    <cellStyle name="40% - Accent6 5 11 5" xfId="17302"/>
    <cellStyle name="40% - Accent6 5 11 5 2" xfId="46163"/>
    <cellStyle name="40% - Accent6 5 11 6" xfId="31527"/>
    <cellStyle name="40% - Accent6 5 12" xfId="3181"/>
    <cellStyle name="40% - Accent6 5 12 2" xfId="9222"/>
    <cellStyle name="40% - Accent6 5 12 2 2" xfId="26269"/>
    <cellStyle name="40% - Accent6 5 12 2 2 2" xfId="55130"/>
    <cellStyle name="40% - Accent6 5 12 2 3" xfId="38083"/>
    <cellStyle name="40% - Accent6 5 12 3" xfId="12899"/>
    <cellStyle name="40% - Accent6 5 12 3 2" xfId="20291"/>
    <cellStyle name="40% - Accent6 5 12 3 2 2" xfId="49152"/>
    <cellStyle name="40% - Accent6 5 12 3 3" xfId="41760"/>
    <cellStyle name="40% - Accent6 5 12 4" xfId="14931"/>
    <cellStyle name="40% - Accent6 5 12 4 2" xfId="43792"/>
    <cellStyle name="40% - Accent6 5 12 5" xfId="32042"/>
    <cellStyle name="40% - Accent6 5 13" xfId="2872"/>
    <cellStyle name="40% - Accent6 5 13 2" xfId="8913"/>
    <cellStyle name="40% - Accent6 5 13 2 2" xfId="25960"/>
    <cellStyle name="40% - Accent6 5 13 2 2 2" xfId="54821"/>
    <cellStyle name="40% - Accent6 5 13 2 3" xfId="37774"/>
    <cellStyle name="40% - Accent6 5 13 3" xfId="17508"/>
    <cellStyle name="40% - Accent6 5 13 3 2" xfId="46369"/>
    <cellStyle name="40% - Accent6 5 13 4" xfId="31733"/>
    <cellStyle name="40% - Accent6 5 14" xfId="5758"/>
    <cellStyle name="40% - Accent6 5 14 2" xfId="11799"/>
    <cellStyle name="40% - Accent6 5 14 2 2" xfId="28846"/>
    <cellStyle name="40% - Accent6 5 14 2 2 2" xfId="57707"/>
    <cellStyle name="40% - Accent6 5 14 2 3" xfId="40660"/>
    <cellStyle name="40% - Accent6 5 14 3" xfId="22868"/>
    <cellStyle name="40% - Accent6 5 14 3 2" xfId="51729"/>
    <cellStyle name="40% - Accent6 5 14 4" xfId="34619"/>
    <cellStyle name="40% - Accent6 5 15" xfId="5975"/>
    <cellStyle name="40% - Accent6 5 15 2" xfId="23074"/>
    <cellStyle name="40% - Accent6 5 15 2 2" xfId="51935"/>
    <cellStyle name="40% - Accent6 5 15 3" xfId="34836"/>
    <cellStyle name="40% - Accent6 5 16" xfId="6336"/>
    <cellStyle name="40% - Accent6 5 16 2" xfId="23383"/>
    <cellStyle name="40% - Accent6 5 16 2 2" xfId="52244"/>
    <cellStyle name="40% - Accent6 5 16 3" xfId="35197"/>
    <cellStyle name="40% - Accent6 5 17" xfId="14622"/>
    <cellStyle name="40% - Accent6 5 17 2" xfId="43483"/>
    <cellStyle name="40% - Accent6 5 18" xfId="29156"/>
    <cellStyle name="40% - Accent6 5 2" xfId="500"/>
    <cellStyle name="40% - Accent6 5 2 2" xfId="2251"/>
    <cellStyle name="40% - Accent6 5 2 2 2" xfId="5138"/>
    <cellStyle name="40% - Accent6 5 2 2 2 2" xfId="11179"/>
    <cellStyle name="40% - Accent6 5 2 2 2 2 2" xfId="28226"/>
    <cellStyle name="40% - Accent6 5 2 2 2 2 2 2" xfId="57087"/>
    <cellStyle name="40% - Accent6 5 2 2 2 2 3" xfId="40040"/>
    <cellStyle name="40% - Accent6 5 2 2 2 3" xfId="22248"/>
    <cellStyle name="40% - Accent6 5 2 2 2 3 2" xfId="51109"/>
    <cellStyle name="40% - Accent6 5 2 2 2 4" xfId="33999"/>
    <cellStyle name="40% - Accent6 5 2 2 3" xfId="8293"/>
    <cellStyle name="40% - Accent6 5 2 2 3 2" xfId="25340"/>
    <cellStyle name="40% - Accent6 5 2 2 3 2 2" xfId="54201"/>
    <cellStyle name="40% - Accent6 5 2 2 3 3" xfId="37154"/>
    <cellStyle name="40% - Accent6 5 2 2 4" xfId="12986"/>
    <cellStyle name="40% - Accent6 5 2 2 4 2" xfId="19568"/>
    <cellStyle name="40% - Accent6 5 2 2 4 2 2" xfId="48429"/>
    <cellStyle name="40% - Accent6 5 2 2 4 3" xfId="41847"/>
    <cellStyle name="40% - Accent6 5 2 2 5" xfId="16888"/>
    <cellStyle name="40% - Accent6 5 2 2 5 2" xfId="45749"/>
    <cellStyle name="40% - Accent6 5 2 2 6" xfId="31113"/>
    <cellStyle name="40% - Accent6 5 2 3" xfId="3387"/>
    <cellStyle name="40% - Accent6 5 2 3 2" xfId="9428"/>
    <cellStyle name="40% - Accent6 5 2 3 2 2" xfId="26475"/>
    <cellStyle name="40% - Accent6 5 2 3 2 2 2" xfId="55336"/>
    <cellStyle name="40% - Accent6 5 2 3 2 3" xfId="38289"/>
    <cellStyle name="40% - Accent6 5 2 3 3" xfId="20497"/>
    <cellStyle name="40% - Accent6 5 2 3 3 2" xfId="49358"/>
    <cellStyle name="40% - Accent6 5 2 3 4" xfId="32248"/>
    <cellStyle name="40% - Accent6 5 2 4" xfId="6542"/>
    <cellStyle name="40% - Accent6 5 2 4 2" xfId="23589"/>
    <cellStyle name="40% - Accent6 5 2 4 2 2" xfId="52450"/>
    <cellStyle name="40% - Accent6 5 2 4 3" xfId="35403"/>
    <cellStyle name="40% - Accent6 5 2 5" xfId="12262"/>
    <cellStyle name="40% - Accent6 5 2 5 2" xfId="17817"/>
    <cellStyle name="40% - Accent6 5 2 5 2 2" xfId="46678"/>
    <cellStyle name="40% - Accent6 5 2 5 3" xfId="41123"/>
    <cellStyle name="40% - Accent6 5 2 6" xfId="15137"/>
    <cellStyle name="40% - Accent6 5 2 6 2" xfId="43998"/>
    <cellStyle name="40% - Accent6 5 2 7" xfId="29362"/>
    <cellStyle name="40% - Accent6 5 3" xfId="809"/>
    <cellStyle name="40% - Accent6 5 3 2" xfId="3696"/>
    <cellStyle name="40% - Accent6 5 3 2 2" xfId="9737"/>
    <cellStyle name="40% - Accent6 5 3 2 2 2" xfId="26784"/>
    <cellStyle name="40% - Accent6 5 3 2 2 2 2" xfId="55645"/>
    <cellStyle name="40% - Accent6 5 3 2 2 3" xfId="38598"/>
    <cellStyle name="40% - Accent6 5 3 2 3" xfId="20806"/>
    <cellStyle name="40% - Accent6 5 3 2 3 2" xfId="49667"/>
    <cellStyle name="40% - Accent6 5 3 2 4" xfId="32557"/>
    <cellStyle name="40% - Accent6 5 3 3" xfId="6851"/>
    <cellStyle name="40% - Accent6 5 3 3 2" xfId="23898"/>
    <cellStyle name="40% - Accent6 5 3 3 2 2" xfId="52759"/>
    <cellStyle name="40% - Accent6 5 3 3 3" xfId="35712"/>
    <cellStyle name="40% - Accent6 5 3 4" xfId="12054"/>
    <cellStyle name="40% - Accent6 5 3 4 2" xfId="18126"/>
    <cellStyle name="40% - Accent6 5 3 4 2 2" xfId="46987"/>
    <cellStyle name="40% - Accent6 5 3 4 3" xfId="40915"/>
    <cellStyle name="40% - Accent6 5 3 5" xfId="15446"/>
    <cellStyle name="40% - Accent6 5 3 5 2" xfId="44307"/>
    <cellStyle name="40% - Accent6 5 3 6" xfId="29671"/>
    <cellStyle name="40% - Accent6 5 4" xfId="1015"/>
    <cellStyle name="40% - Accent6 5 4 2" xfId="3902"/>
    <cellStyle name="40% - Accent6 5 4 2 2" xfId="9943"/>
    <cellStyle name="40% - Accent6 5 4 2 2 2" xfId="26990"/>
    <cellStyle name="40% - Accent6 5 4 2 2 2 2" xfId="55851"/>
    <cellStyle name="40% - Accent6 5 4 2 2 3" xfId="38804"/>
    <cellStyle name="40% - Accent6 5 4 2 3" xfId="21012"/>
    <cellStyle name="40% - Accent6 5 4 2 3 2" xfId="49873"/>
    <cellStyle name="40% - Accent6 5 4 2 4" xfId="32763"/>
    <cellStyle name="40% - Accent6 5 4 3" xfId="7057"/>
    <cellStyle name="40% - Accent6 5 4 3 2" xfId="24104"/>
    <cellStyle name="40% - Accent6 5 4 3 2 2" xfId="52965"/>
    <cellStyle name="40% - Accent6 5 4 3 3" xfId="35918"/>
    <cellStyle name="40% - Accent6 5 4 4" xfId="12913"/>
    <cellStyle name="40% - Accent6 5 4 4 2" xfId="18332"/>
    <cellStyle name="40% - Accent6 5 4 4 2 2" xfId="47193"/>
    <cellStyle name="40% - Accent6 5 4 4 3" xfId="41774"/>
    <cellStyle name="40% - Accent6 5 4 5" xfId="15652"/>
    <cellStyle name="40% - Accent6 5 4 5 2" xfId="44513"/>
    <cellStyle name="40% - Accent6 5 4 6" xfId="29877"/>
    <cellStyle name="40% - Accent6 5 5" xfId="1221"/>
    <cellStyle name="40% - Accent6 5 5 2" xfId="4108"/>
    <cellStyle name="40% - Accent6 5 5 2 2" xfId="10149"/>
    <cellStyle name="40% - Accent6 5 5 2 2 2" xfId="27196"/>
    <cellStyle name="40% - Accent6 5 5 2 2 2 2" xfId="56057"/>
    <cellStyle name="40% - Accent6 5 5 2 2 3" xfId="39010"/>
    <cellStyle name="40% - Accent6 5 5 2 3" xfId="21218"/>
    <cellStyle name="40% - Accent6 5 5 2 3 2" xfId="50079"/>
    <cellStyle name="40% - Accent6 5 5 2 4" xfId="32969"/>
    <cellStyle name="40% - Accent6 5 5 3" xfId="7263"/>
    <cellStyle name="40% - Accent6 5 5 3 2" xfId="24310"/>
    <cellStyle name="40% - Accent6 5 5 3 2 2" xfId="53171"/>
    <cellStyle name="40% - Accent6 5 5 3 3" xfId="36124"/>
    <cellStyle name="40% - Accent6 5 5 4" xfId="13699"/>
    <cellStyle name="40% - Accent6 5 5 4 2" xfId="18538"/>
    <cellStyle name="40% - Accent6 5 5 4 2 2" xfId="47399"/>
    <cellStyle name="40% - Accent6 5 5 4 3" xfId="42560"/>
    <cellStyle name="40% - Accent6 5 5 5" xfId="15858"/>
    <cellStyle name="40% - Accent6 5 5 5 2" xfId="44719"/>
    <cellStyle name="40% - Accent6 5 5 6" xfId="30083"/>
    <cellStyle name="40% - Accent6 5 6" xfId="1427"/>
    <cellStyle name="40% - Accent6 5 6 2" xfId="4314"/>
    <cellStyle name="40% - Accent6 5 6 2 2" xfId="10355"/>
    <cellStyle name="40% - Accent6 5 6 2 2 2" xfId="27402"/>
    <cellStyle name="40% - Accent6 5 6 2 2 2 2" xfId="56263"/>
    <cellStyle name="40% - Accent6 5 6 2 2 3" xfId="39216"/>
    <cellStyle name="40% - Accent6 5 6 2 3" xfId="21424"/>
    <cellStyle name="40% - Accent6 5 6 2 3 2" xfId="50285"/>
    <cellStyle name="40% - Accent6 5 6 2 4" xfId="33175"/>
    <cellStyle name="40% - Accent6 5 6 3" xfId="7469"/>
    <cellStyle name="40% - Accent6 5 6 3 2" xfId="24516"/>
    <cellStyle name="40% - Accent6 5 6 3 2 2" xfId="53377"/>
    <cellStyle name="40% - Accent6 5 6 3 3" xfId="36330"/>
    <cellStyle name="40% - Accent6 5 6 4" xfId="5833"/>
    <cellStyle name="40% - Accent6 5 6 4 2" xfId="18744"/>
    <cellStyle name="40% - Accent6 5 6 4 2 2" xfId="47605"/>
    <cellStyle name="40% - Accent6 5 6 4 3" xfId="34694"/>
    <cellStyle name="40% - Accent6 5 6 5" xfId="16064"/>
    <cellStyle name="40% - Accent6 5 6 5 2" xfId="44925"/>
    <cellStyle name="40% - Accent6 5 6 6" xfId="30289"/>
    <cellStyle name="40% - Accent6 5 7" xfId="1633"/>
    <cellStyle name="40% - Accent6 5 7 2" xfId="4520"/>
    <cellStyle name="40% - Accent6 5 7 2 2" xfId="10561"/>
    <cellStyle name="40% - Accent6 5 7 2 2 2" xfId="27608"/>
    <cellStyle name="40% - Accent6 5 7 2 2 2 2" xfId="56469"/>
    <cellStyle name="40% - Accent6 5 7 2 2 3" xfId="39422"/>
    <cellStyle name="40% - Accent6 5 7 2 3" xfId="21630"/>
    <cellStyle name="40% - Accent6 5 7 2 3 2" xfId="50491"/>
    <cellStyle name="40% - Accent6 5 7 2 4" xfId="33381"/>
    <cellStyle name="40% - Accent6 5 7 3" xfId="7675"/>
    <cellStyle name="40% - Accent6 5 7 3 2" xfId="24722"/>
    <cellStyle name="40% - Accent6 5 7 3 2 2" xfId="53583"/>
    <cellStyle name="40% - Accent6 5 7 3 3" xfId="36536"/>
    <cellStyle name="40% - Accent6 5 7 4" xfId="13672"/>
    <cellStyle name="40% - Accent6 5 7 4 2" xfId="18950"/>
    <cellStyle name="40% - Accent6 5 7 4 2 2" xfId="47811"/>
    <cellStyle name="40% - Accent6 5 7 4 3" xfId="42533"/>
    <cellStyle name="40% - Accent6 5 7 5" xfId="16270"/>
    <cellStyle name="40% - Accent6 5 7 5 2" xfId="45131"/>
    <cellStyle name="40% - Accent6 5 7 6" xfId="30495"/>
    <cellStyle name="40% - Accent6 5 8" xfId="1839"/>
    <cellStyle name="40% - Accent6 5 8 2" xfId="4726"/>
    <cellStyle name="40% - Accent6 5 8 2 2" xfId="10767"/>
    <cellStyle name="40% - Accent6 5 8 2 2 2" xfId="27814"/>
    <cellStyle name="40% - Accent6 5 8 2 2 2 2" xfId="56675"/>
    <cellStyle name="40% - Accent6 5 8 2 2 3" xfId="39628"/>
    <cellStyle name="40% - Accent6 5 8 2 3" xfId="21836"/>
    <cellStyle name="40% - Accent6 5 8 2 3 2" xfId="50697"/>
    <cellStyle name="40% - Accent6 5 8 2 4" xfId="33587"/>
    <cellStyle name="40% - Accent6 5 8 3" xfId="7881"/>
    <cellStyle name="40% - Accent6 5 8 3 2" xfId="24928"/>
    <cellStyle name="40% - Accent6 5 8 3 2 2" xfId="53789"/>
    <cellStyle name="40% - Accent6 5 8 3 3" xfId="36742"/>
    <cellStyle name="40% - Accent6 5 8 4" xfId="5839"/>
    <cellStyle name="40% - Accent6 5 8 4 2" xfId="19156"/>
    <cellStyle name="40% - Accent6 5 8 4 2 2" xfId="48017"/>
    <cellStyle name="40% - Accent6 5 8 4 3" xfId="34700"/>
    <cellStyle name="40% - Accent6 5 8 5" xfId="16476"/>
    <cellStyle name="40% - Accent6 5 8 5 2" xfId="45337"/>
    <cellStyle name="40% - Accent6 5 8 6" xfId="30701"/>
    <cellStyle name="40% - Accent6 5 9" xfId="2045"/>
    <cellStyle name="40% - Accent6 5 9 2" xfId="4932"/>
    <cellStyle name="40% - Accent6 5 9 2 2" xfId="10973"/>
    <cellStyle name="40% - Accent6 5 9 2 2 2" xfId="28020"/>
    <cellStyle name="40% - Accent6 5 9 2 2 2 2" xfId="56881"/>
    <cellStyle name="40% - Accent6 5 9 2 2 3" xfId="39834"/>
    <cellStyle name="40% - Accent6 5 9 2 3" xfId="22042"/>
    <cellStyle name="40% - Accent6 5 9 2 3 2" xfId="50903"/>
    <cellStyle name="40% - Accent6 5 9 2 4" xfId="33793"/>
    <cellStyle name="40% - Accent6 5 9 3" xfId="8087"/>
    <cellStyle name="40% - Accent6 5 9 3 2" xfId="25134"/>
    <cellStyle name="40% - Accent6 5 9 3 2 2" xfId="53995"/>
    <cellStyle name="40% - Accent6 5 9 3 3" xfId="36948"/>
    <cellStyle name="40% - Accent6 5 9 4" xfId="12733"/>
    <cellStyle name="40% - Accent6 5 9 4 2" xfId="19362"/>
    <cellStyle name="40% - Accent6 5 9 4 2 2" xfId="48223"/>
    <cellStyle name="40% - Accent6 5 9 4 3" xfId="41594"/>
    <cellStyle name="40% - Accent6 5 9 5" xfId="16682"/>
    <cellStyle name="40% - Accent6 5 9 5 2" xfId="45543"/>
    <cellStyle name="40% - Accent6 5 9 6" xfId="30907"/>
    <cellStyle name="40% - Accent6 6" xfId="191"/>
    <cellStyle name="40% - Accent6 6 2" xfId="603"/>
    <cellStyle name="40% - Accent6 6 2 2" xfId="3490"/>
    <cellStyle name="40% - Accent6 6 2 2 2" xfId="9531"/>
    <cellStyle name="40% - Accent6 6 2 2 2 2" xfId="26578"/>
    <cellStyle name="40% - Accent6 6 2 2 2 2 2" xfId="55439"/>
    <cellStyle name="40% - Accent6 6 2 2 2 3" xfId="38392"/>
    <cellStyle name="40% - Accent6 6 2 2 3" xfId="20600"/>
    <cellStyle name="40% - Accent6 6 2 2 3 2" xfId="49461"/>
    <cellStyle name="40% - Accent6 6 2 2 4" xfId="32351"/>
    <cellStyle name="40% - Accent6 6 2 3" xfId="6645"/>
    <cellStyle name="40% - Accent6 6 2 3 2" xfId="23692"/>
    <cellStyle name="40% - Accent6 6 2 3 2 2" xfId="52553"/>
    <cellStyle name="40% - Accent6 6 2 3 3" xfId="35506"/>
    <cellStyle name="40% - Accent6 6 2 4" xfId="13887"/>
    <cellStyle name="40% - Accent6 6 2 4 2" xfId="17920"/>
    <cellStyle name="40% - Accent6 6 2 4 2 2" xfId="46781"/>
    <cellStyle name="40% - Accent6 6 2 4 3" xfId="42748"/>
    <cellStyle name="40% - Accent6 6 2 5" xfId="15240"/>
    <cellStyle name="40% - Accent6 6 2 5 2" xfId="44101"/>
    <cellStyle name="40% - Accent6 6 2 6" xfId="29465"/>
    <cellStyle name="40% - Accent6 6 3" xfId="2148"/>
    <cellStyle name="40% - Accent6 6 3 2" xfId="5035"/>
    <cellStyle name="40% - Accent6 6 3 2 2" xfId="11076"/>
    <cellStyle name="40% - Accent6 6 3 2 2 2" xfId="28123"/>
    <cellStyle name="40% - Accent6 6 3 2 2 2 2" xfId="56984"/>
    <cellStyle name="40% - Accent6 6 3 2 2 3" xfId="39937"/>
    <cellStyle name="40% - Accent6 6 3 2 3" xfId="22145"/>
    <cellStyle name="40% - Accent6 6 3 2 3 2" xfId="51006"/>
    <cellStyle name="40% - Accent6 6 3 2 4" xfId="33896"/>
    <cellStyle name="40% - Accent6 6 3 3" xfId="8190"/>
    <cellStyle name="40% - Accent6 6 3 3 2" xfId="25237"/>
    <cellStyle name="40% - Accent6 6 3 3 2 2" xfId="54098"/>
    <cellStyle name="40% - Accent6 6 3 3 3" xfId="37051"/>
    <cellStyle name="40% - Accent6 6 3 4" xfId="12409"/>
    <cellStyle name="40% - Accent6 6 3 4 2" xfId="19465"/>
    <cellStyle name="40% - Accent6 6 3 4 2 2" xfId="48326"/>
    <cellStyle name="40% - Accent6 6 3 4 3" xfId="41270"/>
    <cellStyle name="40% - Accent6 6 3 5" xfId="16785"/>
    <cellStyle name="40% - Accent6 6 3 5 2" xfId="45646"/>
    <cellStyle name="40% - Accent6 6 3 6" xfId="31010"/>
    <cellStyle name="40% - Accent6 6 4" xfId="3078"/>
    <cellStyle name="40% - Accent6 6 4 2" xfId="9119"/>
    <cellStyle name="40% - Accent6 6 4 2 2" xfId="26166"/>
    <cellStyle name="40% - Accent6 6 4 2 2 2" xfId="55027"/>
    <cellStyle name="40% - Accent6 6 4 2 3" xfId="37980"/>
    <cellStyle name="40% - Accent6 6 4 3" xfId="20188"/>
    <cellStyle name="40% - Accent6 6 4 3 2" xfId="49049"/>
    <cellStyle name="40% - Accent6 6 4 4" xfId="31939"/>
    <cellStyle name="40% - Accent6 6 5" xfId="6233"/>
    <cellStyle name="40% - Accent6 6 5 2" xfId="23280"/>
    <cellStyle name="40% - Accent6 6 5 2 2" xfId="52141"/>
    <cellStyle name="40% - Accent6 6 5 3" xfId="35094"/>
    <cellStyle name="40% - Accent6 6 6" xfId="14035"/>
    <cellStyle name="40% - Accent6 6 6 2" xfId="17611"/>
    <cellStyle name="40% - Accent6 6 6 2 2" xfId="46472"/>
    <cellStyle name="40% - Accent6 6 6 3" xfId="42896"/>
    <cellStyle name="40% - Accent6 6 7" xfId="14828"/>
    <cellStyle name="40% - Accent6 6 7 2" xfId="43689"/>
    <cellStyle name="40% - Accent6 6 8" xfId="29053"/>
    <cellStyle name="40% - Accent6 7" xfId="397"/>
    <cellStyle name="40% - Accent6 7 2" xfId="3284"/>
    <cellStyle name="40% - Accent6 7 2 2" xfId="9325"/>
    <cellStyle name="40% - Accent6 7 2 2 2" xfId="26372"/>
    <cellStyle name="40% - Accent6 7 2 2 2 2" xfId="55233"/>
    <cellStyle name="40% - Accent6 7 2 2 3" xfId="38186"/>
    <cellStyle name="40% - Accent6 7 2 3" xfId="20394"/>
    <cellStyle name="40% - Accent6 7 2 3 2" xfId="49255"/>
    <cellStyle name="40% - Accent6 7 2 4" xfId="32145"/>
    <cellStyle name="40% - Accent6 7 3" xfId="6439"/>
    <cellStyle name="40% - Accent6 7 3 2" xfId="23486"/>
    <cellStyle name="40% - Accent6 7 3 2 2" xfId="52347"/>
    <cellStyle name="40% - Accent6 7 3 3" xfId="35300"/>
    <cellStyle name="40% - Accent6 7 4" xfId="12975"/>
    <cellStyle name="40% - Accent6 7 4 2" xfId="17714"/>
    <cellStyle name="40% - Accent6 7 4 2 2" xfId="46575"/>
    <cellStyle name="40% - Accent6 7 4 3" xfId="41836"/>
    <cellStyle name="40% - Accent6 7 5" xfId="15034"/>
    <cellStyle name="40% - Accent6 7 5 2" xfId="43895"/>
    <cellStyle name="40% - Accent6 7 6" xfId="29259"/>
    <cellStyle name="40% - Accent6 8" xfId="706"/>
    <cellStyle name="40% - Accent6 8 2" xfId="3593"/>
    <cellStyle name="40% - Accent6 8 2 2" xfId="9634"/>
    <cellStyle name="40% - Accent6 8 2 2 2" xfId="26681"/>
    <cellStyle name="40% - Accent6 8 2 2 2 2" xfId="55542"/>
    <cellStyle name="40% - Accent6 8 2 2 3" xfId="38495"/>
    <cellStyle name="40% - Accent6 8 2 3" xfId="20703"/>
    <cellStyle name="40% - Accent6 8 2 3 2" xfId="49564"/>
    <cellStyle name="40% - Accent6 8 2 4" xfId="32454"/>
    <cellStyle name="40% - Accent6 8 3" xfId="6748"/>
    <cellStyle name="40% - Accent6 8 3 2" xfId="23795"/>
    <cellStyle name="40% - Accent6 8 3 2 2" xfId="52656"/>
    <cellStyle name="40% - Accent6 8 3 3" xfId="35609"/>
    <cellStyle name="40% - Accent6 8 4" xfId="12354"/>
    <cellStyle name="40% - Accent6 8 4 2" xfId="18023"/>
    <cellStyle name="40% - Accent6 8 4 2 2" xfId="46884"/>
    <cellStyle name="40% - Accent6 8 4 3" xfId="41215"/>
    <cellStyle name="40% - Accent6 8 5" xfId="15343"/>
    <cellStyle name="40% - Accent6 8 5 2" xfId="44204"/>
    <cellStyle name="40% - Accent6 8 6" xfId="29568"/>
    <cellStyle name="40% - Accent6 9" xfId="912"/>
    <cellStyle name="40% - Accent6 9 2" xfId="3799"/>
    <cellStyle name="40% - Accent6 9 2 2" xfId="9840"/>
    <cellStyle name="40% - Accent6 9 2 2 2" xfId="26887"/>
    <cellStyle name="40% - Accent6 9 2 2 2 2" xfId="55748"/>
    <cellStyle name="40% - Accent6 9 2 2 3" xfId="38701"/>
    <cellStyle name="40% - Accent6 9 2 3" xfId="20909"/>
    <cellStyle name="40% - Accent6 9 2 3 2" xfId="49770"/>
    <cellStyle name="40% - Accent6 9 2 4" xfId="32660"/>
    <cellStyle name="40% - Accent6 9 3" xfId="6954"/>
    <cellStyle name="40% - Accent6 9 3 2" xfId="24001"/>
    <cellStyle name="40% - Accent6 9 3 2 2" xfId="52862"/>
    <cellStyle name="40% - Accent6 9 3 3" xfId="35815"/>
    <cellStyle name="40% - Accent6 9 4" xfId="12133"/>
    <cellStyle name="40% - Accent6 9 4 2" xfId="18229"/>
    <cellStyle name="40% - Accent6 9 4 2 2" xfId="47090"/>
    <cellStyle name="40% - Accent6 9 4 3" xfId="40994"/>
    <cellStyle name="40% - Accent6 9 5" xfId="15549"/>
    <cellStyle name="40% - Accent6 9 5 2" xfId="44410"/>
    <cellStyle name="40% - Accent6 9 6" xfId="29774"/>
    <cellStyle name="60% - Accent1" xfId="68" builtinId="32" customBuiltin="1"/>
    <cellStyle name="60% - Accent2" xfId="72" builtinId="36" customBuiltin="1"/>
    <cellStyle name="60% - Accent3" xfId="76" builtinId="40" customBuiltin="1"/>
    <cellStyle name="60% - Accent4" xfId="80" builtinId="44" customBuiltin="1"/>
    <cellStyle name="60% - Accent5" xfId="84" builtinId="48" customBuiltin="1"/>
    <cellStyle name="60% - Accent6" xfId="88" builtinId="52" customBuiltin="1"/>
    <cellStyle name="Accent1" xfId="65" builtinId="29" customBuiltin="1"/>
    <cellStyle name="Accent2" xfId="69" builtinId="33" customBuiltin="1"/>
    <cellStyle name="Accent3" xfId="73" builtinId="37" customBuiltin="1"/>
    <cellStyle name="Accent4" xfId="77" builtinId="41" customBuiltin="1"/>
    <cellStyle name="Accent5" xfId="81" builtinId="45" customBuiltin="1"/>
    <cellStyle name="Accent6" xfId="85" builtinId="49" customBuiltin="1"/>
    <cellStyle name="Bad" xfId="55" builtinId="27" customBuiltin="1"/>
    <cellStyle name="Calculation" xfId="59" builtinId="22" customBuiltin="1"/>
    <cellStyle name="Check Cell" xfId="61" builtinId="23" customBuiltin="1"/>
    <cellStyle name="Comma" xfId="1" builtinId="3"/>
    <cellStyle name="Comma 2" xfId="2"/>
    <cellStyle name="Comma 2 2" xfId="3"/>
    <cellStyle name="Comma 3" xfId="4"/>
    <cellStyle name="Comma 3 10" xfId="1708"/>
    <cellStyle name="Comma 3 10 2" xfId="4595"/>
    <cellStyle name="Comma 3 10 2 2" xfId="10636"/>
    <cellStyle name="Comma 3 10 2 2 2" xfId="27683"/>
    <cellStyle name="Comma 3 10 2 2 2 2" xfId="56544"/>
    <cellStyle name="Comma 3 10 2 2 3" xfId="39497"/>
    <cellStyle name="Comma 3 10 2 3" xfId="21705"/>
    <cellStyle name="Comma 3 10 2 3 2" xfId="50566"/>
    <cellStyle name="Comma 3 10 2 4" xfId="33456"/>
    <cellStyle name="Comma 3 10 3" xfId="7750"/>
    <cellStyle name="Comma 3 10 3 2" xfId="24797"/>
    <cellStyle name="Comma 3 10 3 2 2" xfId="53658"/>
    <cellStyle name="Comma 3 10 3 3" xfId="36611"/>
    <cellStyle name="Comma 3 10 4" xfId="13002"/>
    <cellStyle name="Comma 3 10 4 2" xfId="19025"/>
    <cellStyle name="Comma 3 10 4 2 2" xfId="47886"/>
    <cellStyle name="Comma 3 10 4 3" xfId="41863"/>
    <cellStyle name="Comma 3 10 5" xfId="16345"/>
    <cellStyle name="Comma 3 10 5 2" xfId="45206"/>
    <cellStyle name="Comma 3 10 6" xfId="30570"/>
    <cellStyle name="Comma 3 11" xfId="1914"/>
    <cellStyle name="Comma 3 11 2" xfId="4801"/>
    <cellStyle name="Comma 3 11 2 2" xfId="10842"/>
    <cellStyle name="Comma 3 11 2 2 2" xfId="27889"/>
    <cellStyle name="Comma 3 11 2 2 2 2" xfId="56750"/>
    <cellStyle name="Comma 3 11 2 2 3" xfId="39703"/>
    <cellStyle name="Comma 3 11 2 3" xfId="21911"/>
    <cellStyle name="Comma 3 11 2 3 2" xfId="50772"/>
    <cellStyle name="Comma 3 11 2 4" xfId="33662"/>
    <cellStyle name="Comma 3 11 3" xfId="7956"/>
    <cellStyle name="Comma 3 11 3 2" xfId="25003"/>
    <cellStyle name="Comma 3 11 3 2 2" xfId="53864"/>
    <cellStyle name="Comma 3 11 3 3" xfId="36817"/>
    <cellStyle name="Comma 3 11 4" xfId="14389"/>
    <cellStyle name="Comma 3 11 4 2" xfId="19231"/>
    <cellStyle name="Comma 3 11 4 2 2" xfId="48092"/>
    <cellStyle name="Comma 3 11 4 3" xfId="43250"/>
    <cellStyle name="Comma 3 11 5" xfId="16551"/>
    <cellStyle name="Comma 3 11 5 2" xfId="45412"/>
    <cellStyle name="Comma 3 11 6" xfId="30776"/>
    <cellStyle name="Comma 3 12" xfId="2326"/>
    <cellStyle name="Comma 3 12 2" xfId="5213"/>
    <cellStyle name="Comma 3 12 2 2" xfId="11254"/>
    <cellStyle name="Comma 3 12 2 2 2" xfId="28301"/>
    <cellStyle name="Comma 3 12 2 2 2 2" xfId="57162"/>
    <cellStyle name="Comma 3 12 2 2 3" xfId="40115"/>
    <cellStyle name="Comma 3 12 2 3" xfId="22323"/>
    <cellStyle name="Comma 3 12 2 3 2" xfId="51184"/>
    <cellStyle name="Comma 3 12 2 4" xfId="34074"/>
    <cellStyle name="Comma 3 12 3" xfId="8368"/>
    <cellStyle name="Comma 3 12 3 2" xfId="25415"/>
    <cellStyle name="Comma 3 12 3 2 2" xfId="54276"/>
    <cellStyle name="Comma 3 12 3 3" xfId="37229"/>
    <cellStyle name="Comma 3 12 4" xfId="13262"/>
    <cellStyle name="Comma 3 12 4 2" xfId="19643"/>
    <cellStyle name="Comma 3 12 4 2 2" xfId="48504"/>
    <cellStyle name="Comma 3 12 4 3" xfId="42123"/>
    <cellStyle name="Comma 3 12 5" xfId="16963"/>
    <cellStyle name="Comma 3 12 5 2" xfId="45824"/>
    <cellStyle name="Comma 3 12 6" xfId="31188"/>
    <cellStyle name="Comma 3 13" xfId="2535"/>
    <cellStyle name="Comma 3 13 2" xfId="5421"/>
    <cellStyle name="Comma 3 13 2 2" xfId="11462"/>
    <cellStyle name="Comma 3 13 2 2 2" xfId="28509"/>
    <cellStyle name="Comma 3 13 2 2 2 2" xfId="57370"/>
    <cellStyle name="Comma 3 13 2 2 3" xfId="40323"/>
    <cellStyle name="Comma 3 13 2 3" xfId="22531"/>
    <cellStyle name="Comma 3 13 2 3 2" xfId="51392"/>
    <cellStyle name="Comma 3 13 2 4" xfId="34282"/>
    <cellStyle name="Comma 3 13 3" xfId="8576"/>
    <cellStyle name="Comma 3 13 3 2" xfId="25623"/>
    <cellStyle name="Comma 3 13 3 2 2" xfId="54484"/>
    <cellStyle name="Comma 3 13 3 3" xfId="37437"/>
    <cellStyle name="Comma 3 13 4" xfId="12050"/>
    <cellStyle name="Comma 3 13 4 2" xfId="19851"/>
    <cellStyle name="Comma 3 13 4 2 2" xfId="48712"/>
    <cellStyle name="Comma 3 13 4 3" xfId="40911"/>
    <cellStyle name="Comma 3 13 5" xfId="17171"/>
    <cellStyle name="Comma 3 13 5 2" xfId="46032"/>
    <cellStyle name="Comma 3 13 6" xfId="31396"/>
    <cellStyle name="Comma 3 14" xfId="2947"/>
    <cellStyle name="Comma 3 14 2" xfId="8988"/>
    <cellStyle name="Comma 3 14 2 2" xfId="26035"/>
    <cellStyle name="Comma 3 14 2 2 2" xfId="54896"/>
    <cellStyle name="Comma 3 14 2 3" xfId="37849"/>
    <cellStyle name="Comma 3 14 3" xfId="13216"/>
    <cellStyle name="Comma 3 14 3 2" xfId="20057"/>
    <cellStyle name="Comma 3 14 3 2 2" xfId="48918"/>
    <cellStyle name="Comma 3 14 3 3" xfId="42077"/>
    <cellStyle name="Comma 3 14 4" xfId="14697"/>
    <cellStyle name="Comma 3 14 4 2" xfId="43558"/>
    <cellStyle name="Comma 3 14 5" xfId="31808"/>
    <cellStyle name="Comma 3 15" xfId="2741"/>
    <cellStyle name="Comma 3 15 2" xfId="8782"/>
    <cellStyle name="Comma 3 15 2 2" xfId="25829"/>
    <cellStyle name="Comma 3 15 2 2 2" xfId="54690"/>
    <cellStyle name="Comma 3 15 2 3" xfId="37643"/>
    <cellStyle name="Comma 3 15 3" xfId="17377"/>
    <cellStyle name="Comma 3 15 3 2" xfId="46238"/>
    <cellStyle name="Comma 3 15 4" xfId="31602"/>
    <cellStyle name="Comma 3 16" xfId="5627"/>
    <cellStyle name="Comma 3 16 2" xfId="11668"/>
    <cellStyle name="Comma 3 16 2 2" xfId="28715"/>
    <cellStyle name="Comma 3 16 2 2 2" xfId="57576"/>
    <cellStyle name="Comma 3 16 2 3" xfId="40529"/>
    <cellStyle name="Comma 3 16 3" xfId="22737"/>
    <cellStyle name="Comma 3 16 3 2" xfId="51598"/>
    <cellStyle name="Comma 3 16 4" xfId="34488"/>
    <cellStyle name="Comma 3 17" xfId="5835"/>
    <cellStyle name="Comma 3 17 2" xfId="22943"/>
    <cellStyle name="Comma 3 17 2 2" xfId="51804"/>
    <cellStyle name="Comma 3 17 3" xfId="34696"/>
    <cellStyle name="Comma 3 18" xfId="6102"/>
    <cellStyle name="Comma 3 18 2" xfId="23149"/>
    <cellStyle name="Comma 3 18 2 2" xfId="52010"/>
    <cellStyle name="Comma 3 18 3" xfId="34963"/>
    <cellStyle name="Comma 3 19" xfId="14491"/>
    <cellStyle name="Comma 3 19 2" xfId="43352"/>
    <cellStyle name="Comma 3 2" xfId="266"/>
    <cellStyle name="Comma 3 2 10" xfId="2429"/>
    <cellStyle name="Comma 3 2 10 2" xfId="5316"/>
    <cellStyle name="Comma 3 2 10 2 2" xfId="11357"/>
    <cellStyle name="Comma 3 2 10 2 2 2" xfId="28404"/>
    <cellStyle name="Comma 3 2 10 2 2 2 2" xfId="57265"/>
    <cellStyle name="Comma 3 2 10 2 2 3" xfId="40218"/>
    <cellStyle name="Comma 3 2 10 2 3" xfId="22426"/>
    <cellStyle name="Comma 3 2 10 2 3 2" xfId="51287"/>
    <cellStyle name="Comma 3 2 10 2 4" xfId="34177"/>
    <cellStyle name="Comma 3 2 10 3" xfId="8471"/>
    <cellStyle name="Comma 3 2 10 3 2" xfId="25518"/>
    <cellStyle name="Comma 3 2 10 3 2 2" xfId="54379"/>
    <cellStyle name="Comma 3 2 10 3 3" xfId="37332"/>
    <cellStyle name="Comma 3 2 10 4" xfId="13983"/>
    <cellStyle name="Comma 3 2 10 4 2" xfId="19746"/>
    <cellStyle name="Comma 3 2 10 4 2 2" xfId="48607"/>
    <cellStyle name="Comma 3 2 10 4 3" xfId="42844"/>
    <cellStyle name="Comma 3 2 10 5" xfId="17066"/>
    <cellStyle name="Comma 3 2 10 5 2" xfId="45927"/>
    <cellStyle name="Comma 3 2 10 6" xfId="31291"/>
    <cellStyle name="Comma 3 2 11" xfId="2638"/>
    <cellStyle name="Comma 3 2 11 2" xfId="5524"/>
    <cellStyle name="Comma 3 2 11 2 2" xfId="11565"/>
    <cellStyle name="Comma 3 2 11 2 2 2" xfId="28612"/>
    <cellStyle name="Comma 3 2 11 2 2 2 2" xfId="57473"/>
    <cellStyle name="Comma 3 2 11 2 2 3" xfId="40426"/>
    <cellStyle name="Comma 3 2 11 2 3" xfId="22634"/>
    <cellStyle name="Comma 3 2 11 2 3 2" xfId="51495"/>
    <cellStyle name="Comma 3 2 11 2 4" xfId="34385"/>
    <cellStyle name="Comma 3 2 11 3" xfId="8679"/>
    <cellStyle name="Comma 3 2 11 3 2" xfId="25726"/>
    <cellStyle name="Comma 3 2 11 3 2 2" xfId="54587"/>
    <cellStyle name="Comma 3 2 11 3 3" xfId="37540"/>
    <cellStyle name="Comma 3 2 11 4" xfId="13692"/>
    <cellStyle name="Comma 3 2 11 4 2" xfId="19954"/>
    <cellStyle name="Comma 3 2 11 4 2 2" xfId="48815"/>
    <cellStyle name="Comma 3 2 11 4 3" xfId="42553"/>
    <cellStyle name="Comma 3 2 11 5" xfId="17274"/>
    <cellStyle name="Comma 3 2 11 5 2" xfId="46135"/>
    <cellStyle name="Comma 3 2 11 6" xfId="31499"/>
    <cellStyle name="Comma 3 2 12" xfId="3153"/>
    <cellStyle name="Comma 3 2 12 2" xfId="9194"/>
    <cellStyle name="Comma 3 2 12 2 2" xfId="26241"/>
    <cellStyle name="Comma 3 2 12 2 2 2" xfId="55102"/>
    <cellStyle name="Comma 3 2 12 2 3" xfId="38055"/>
    <cellStyle name="Comma 3 2 12 3" xfId="12163"/>
    <cellStyle name="Comma 3 2 12 3 2" xfId="20263"/>
    <cellStyle name="Comma 3 2 12 3 2 2" xfId="49124"/>
    <cellStyle name="Comma 3 2 12 3 3" xfId="41024"/>
    <cellStyle name="Comma 3 2 12 4" xfId="14903"/>
    <cellStyle name="Comma 3 2 12 4 2" xfId="43764"/>
    <cellStyle name="Comma 3 2 12 5" xfId="32014"/>
    <cellStyle name="Comma 3 2 13" xfId="2844"/>
    <cellStyle name="Comma 3 2 13 2" xfId="8885"/>
    <cellStyle name="Comma 3 2 13 2 2" xfId="25932"/>
    <cellStyle name="Comma 3 2 13 2 2 2" xfId="54793"/>
    <cellStyle name="Comma 3 2 13 2 3" xfId="37746"/>
    <cellStyle name="Comma 3 2 13 3" xfId="17480"/>
    <cellStyle name="Comma 3 2 13 3 2" xfId="46341"/>
    <cellStyle name="Comma 3 2 13 4" xfId="31705"/>
    <cellStyle name="Comma 3 2 14" xfId="5730"/>
    <cellStyle name="Comma 3 2 14 2" xfId="11771"/>
    <cellStyle name="Comma 3 2 14 2 2" xfId="28818"/>
    <cellStyle name="Comma 3 2 14 2 2 2" xfId="57679"/>
    <cellStyle name="Comma 3 2 14 2 3" xfId="40632"/>
    <cellStyle name="Comma 3 2 14 3" xfId="22840"/>
    <cellStyle name="Comma 3 2 14 3 2" xfId="51701"/>
    <cellStyle name="Comma 3 2 14 4" xfId="34591"/>
    <cellStyle name="Comma 3 2 15" xfId="5947"/>
    <cellStyle name="Comma 3 2 15 2" xfId="23046"/>
    <cellStyle name="Comma 3 2 15 2 2" xfId="51907"/>
    <cellStyle name="Comma 3 2 15 3" xfId="34808"/>
    <cellStyle name="Comma 3 2 16" xfId="6308"/>
    <cellStyle name="Comma 3 2 16 2" xfId="23355"/>
    <cellStyle name="Comma 3 2 16 2 2" xfId="52216"/>
    <cellStyle name="Comma 3 2 16 3" xfId="35169"/>
    <cellStyle name="Comma 3 2 17" xfId="14594"/>
    <cellStyle name="Comma 3 2 17 2" xfId="43455"/>
    <cellStyle name="Comma 3 2 18" xfId="29128"/>
    <cellStyle name="Comma 3 2 2" xfId="472"/>
    <cellStyle name="Comma 3 2 2 2" xfId="2223"/>
    <cellStyle name="Comma 3 2 2 2 2" xfId="5110"/>
    <cellStyle name="Comma 3 2 2 2 2 2" xfId="11151"/>
    <cellStyle name="Comma 3 2 2 2 2 2 2" xfId="28198"/>
    <cellStyle name="Comma 3 2 2 2 2 2 2 2" xfId="57059"/>
    <cellStyle name="Comma 3 2 2 2 2 2 3" xfId="40012"/>
    <cellStyle name="Comma 3 2 2 2 2 3" xfId="22220"/>
    <cellStyle name="Comma 3 2 2 2 2 3 2" xfId="51081"/>
    <cellStyle name="Comma 3 2 2 2 2 4" xfId="33971"/>
    <cellStyle name="Comma 3 2 2 2 3" xfId="8265"/>
    <cellStyle name="Comma 3 2 2 2 3 2" xfId="25312"/>
    <cellStyle name="Comma 3 2 2 2 3 2 2" xfId="54173"/>
    <cellStyle name="Comma 3 2 2 2 3 3" xfId="37126"/>
    <cellStyle name="Comma 3 2 2 2 4" xfId="12321"/>
    <cellStyle name="Comma 3 2 2 2 4 2" xfId="19540"/>
    <cellStyle name="Comma 3 2 2 2 4 2 2" xfId="48401"/>
    <cellStyle name="Comma 3 2 2 2 4 3" xfId="41182"/>
    <cellStyle name="Comma 3 2 2 2 5" xfId="16860"/>
    <cellStyle name="Comma 3 2 2 2 5 2" xfId="45721"/>
    <cellStyle name="Comma 3 2 2 2 6" xfId="31085"/>
    <cellStyle name="Comma 3 2 2 3" xfId="3359"/>
    <cellStyle name="Comma 3 2 2 3 2" xfId="9400"/>
    <cellStyle name="Comma 3 2 2 3 2 2" xfId="26447"/>
    <cellStyle name="Comma 3 2 2 3 2 2 2" xfId="55308"/>
    <cellStyle name="Comma 3 2 2 3 2 3" xfId="38261"/>
    <cellStyle name="Comma 3 2 2 3 3" xfId="20469"/>
    <cellStyle name="Comma 3 2 2 3 3 2" xfId="49330"/>
    <cellStyle name="Comma 3 2 2 3 4" xfId="32220"/>
    <cellStyle name="Comma 3 2 2 4" xfId="6514"/>
    <cellStyle name="Comma 3 2 2 4 2" xfId="23561"/>
    <cellStyle name="Comma 3 2 2 4 2 2" xfId="52422"/>
    <cellStyle name="Comma 3 2 2 4 3" xfId="35375"/>
    <cellStyle name="Comma 3 2 2 5" xfId="12683"/>
    <cellStyle name="Comma 3 2 2 5 2" xfId="17789"/>
    <cellStyle name="Comma 3 2 2 5 2 2" xfId="46650"/>
    <cellStyle name="Comma 3 2 2 5 3" xfId="41544"/>
    <cellStyle name="Comma 3 2 2 6" xfId="15109"/>
    <cellStyle name="Comma 3 2 2 6 2" xfId="43970"/>
    <cellStyle name="Comma 3 2 2 7" xfId="29334"/>
    <cellStyle name="Comma 3 2 3" xfId="781"/>
    <cellStyle name="Comma 3 2 3 2" xfId="3668"/>
    <cellStyle name="Comma 3 2 3 2 2" xfId="9709"/>
    <cellStyle name="Comma 3 2 3 2 2 2" xfId="26756"/>
    <cellStyle name="Comma 3 2 3 2 2 2 2" xfId="55617"/>
    <cellStyle name="Comma 3 2 3 2 2 3" xfId="38570"/>
    <cellStyle name="Comma 3 2 3 2 3" xfId="20778"/>
    <cellStyle name="Comma 3 2 3 2 3 2" xfId="49639"/>
    <cellStyle name="Comma 3 2 3 2 4" xfId="32529"/>
    <cellStyle name="Comma 3 2 3 3" xfId="6823"/>
    <cellStyle name="Comma 3 2 3 3 2" xfId="23870"/>
    <cellStyle name="Comma 3 2 3 3 2 2" xfId="52731"/>
    <cellStyle name="Comma 3 2 3 3 3" xfId="35684"/>
    <cellStyle name="Comma 3 2 3 4" xfId="13456"/>
    <cellStyle name="Comma 3 2 3 4 2" xfId="18098"/>
    <cellStyle name="Comma 3 2 3 4 2 2" xfId="46959"/>
    <cellStyle name="Comma 3 2 3 4 3" xfId="42317"/>
    <cellStyle name="Comma 3 2 3 5" xfId="15418"/>
    <cellStyle name="Comma 3 2 3 5 2" xfId="44279"/>
    <cellStyle name="Comma 3 2 3 6" xfId="29643"/>
    <cellStyle name="Comma 3 2 4" xfId="987"/>
    <cellStyle name="Comma 3 2 4 2" xfId="3874"/>
    <cellStyle name="Comma 3 2 4 2 2" xfId="9915"/>
    <cellStyle name="Comma 3 2 4 2 2 2" xfId="26962"/>
    <cellStyle name="Comma 3 2 4 2 2 2 2" xfId="55823"/>
    <cellStyle name="Comma 3 2 4 2 2 3" xfId="38776"/>
    <cellStyle name="Comma 3 2 4 2 3" xfId="20984"/>
    <cellStyle name="Comma 3 2 4 2 3 2" xfId="49845"/>
    <cellStyle name="Comma 3 2 4 2 4" xfId="32735"/>
    <cellStyle name="Comma 3 2 4 3" xfId="7029"/>
    <cellStyle name="Comma 3 2 4 3 2" xfId="24076"/>
    <cellStyle name="Comma 3 2 4 3 2 2" xfId="52937"/>
    <cellStyle name="Comma 3 2 4 3 3" xfId="35890"/>
    <cellStyle name="Comma 3 2 4 4" xfId="14281"/>
    <cellStyle name="Comma 3 2 4 4 2" xfId="18304"/>
    <cellStyle name="Comma 3 2 4 4 2 2" xfId="47165"/>
    <cellStyle name="Comma 3 2 4 4 3" xfId="43142"/>
    <cellStyle name="Comma 3 2 4 5" xfId="15624"/>
    <cellStyle name="Comma 3 2 4 5 2" xfId="44485"/>
    <cellStyle name="Comma 3 2 4 6" xfId="29849"/>
    <cellStyle name="Comma 3 2 5" xfId="1193"/>
    <cellStyle name="Comma 3 2 5 2" xfId="4080"/>
    <cellStyle name="Comma 3 2 5 2 2" xfId="10121"/>
    <cellStyle name="Comma 3 2 5 2 2 2" xfId="27168"/>
    <cellStyle name="Comma 3 2 5 2 2 2 2" xfId="56029"/>
    <cellStyle name="Comma 3 2 5 2 2 3" xfId="38982"/>
    <cellStyle name="Comma 3 2 5 2 3" xfId="21190"/>
    <cellStyle name="Comma 3 2 5 2 3 2" xfId="50051"/>
    <cellStyle name="Comma 3 2 5 2 4" xfId="32941"/>
    <cellStyle name="Comma 3 2 5 3" xfId="7235"/>
    <cellStyle name="Comma 3 2 5 3 2" xfId="24282"/>
    <cellStyle name="Comma 3 2 5 3 2 2" xfId="53143"/>
    <cellStyle name="Comma 3 2 5 3 3" xfId="36096"/>
    <cellStyle name="Comma 3 2 5 4" xfId="12382"/>
    <cellStyle name="Comma 3 2 5 4 2" xfId="18510"/>
    <cellStyle name="Comma 3 2 5 4 2 2" xfId="47371"/>
    <cellStyle name="Comma 3 2 5 4 3" xfId="41243"/>
    <cellStyle name="Comma 3 2 5 5" xfId="15830"/>
    <cellStyle name="Comma 3 2 5 5 2" xfId="44691"/>
    <cellStyle name="Comma 3 2 5 6" xfId="30055"/>
    <cellStyle name="Comma 3 2 6" xfId="1399"/>
    <cellStyle name="Comma 3 2 6 2" xfId="4286"/>
    <cellStyle name="Comma 3 2 6 2 2" xfId="10327"/>
    <cellStyle name="Comma 3 2 6 2 2 2" xfId="27374"/>
    <cellStyle name="Comma 3 2 6 2 2 2 2" xfId="56235"/>
    <cellStyle name="Comma 3 2 6 2 2 3" xfId="39188"/>
    <cellStyle name="Comma 3 2 6 2 3" xfId="21396"/>
    <cellStyle name="Comma 3 2 6 2 3 2" xfId="50257"/>
    <cellStyle name="Comma 3 2 6 2 4" xfId="33147"/>
    <cellStyle name="Comma 3 2 6 3" xfId="7441"/>
    <cellStyle name="Comma 3 2 6 3 2" xfId="24488"/>
    <cellStyle name="Comma 3 2 6 3 2 2" xfId="53349"/>
    <cellStyle name="Comma 3 2 6 3 3" xfId="36302"/>
    <cellStyle name="Comma 3 2 6 4" xfId="12526"/>
    <cellStyle name="Comma 3 2 6 4 2" xfId="18716"/>
    <cellStyle name="Comma 3 2 6 4 2 2" xfId="47577"/>
    <cellStyle name="Comma 3 2 6 4 3" xfId="41387"/>
    <cellStyle name="Comma 3 2 6 5" xfId="16036"/>
    <cellStyle name="Comma 3 2 6 5 2" xfId="44897"/>
    <cellStyle name="Comma 3 2 6 6" xfId="30261"/>
    <cellStyle name="Comma 3 2 7" xfId="1605"/>
    <cellStyle name="Comma 3 2 7 2" xfId="4492"/>
    <cellStyle name="Comma 3 2 7 2 2" xfId="10533"/>
    <cellStyle name="Comma 3 2 7 2 2 2" xfId="27580"/>
    <cellStyle name="Comma 3 2 7 2 2 2 2" xfId="56441"/>
    <cellStyle name="Comma 3 2 7 2 2 3" xfId="39394"/>
    <cellStyle name="Comma 3 2 7 2 3" xfId="21602"/>
    <cellStyle name="Comma 3 2 7 2 3 2" xfId="50463"/>
    <cellStyle name="Comma 3 2 7 2 4" xfId="33353"/>
    <cellStyle name="Comma 3 2 7 3" xfId="7647"/>
    <cellStyle name="Comma 3 2 7 3 2" xfId="24694"/>
    <cellStyle name="Comma 3 2 7 3 2 2" xfId="53555"/>
    <cellStyle name="Comma 3 2 7 3 3" xfId="36508"/>
    <cellStyle name="Comma 3 2 7 4" xfId="12875"/>
    <cellStyle name="Comma 3 2 7 4 2" xfId="18922"/>
    <cellStyle name="Comma 3 2 7 4 2 2" xfId="47783"/>
    <cellStyle name="Comma 3 2 7 4 3" xfId="41736"/>
    <cellStyle name="Comma 3 2 7 5" xfId="16242"/>
    <cellStyle name="Comma 3 2 7 5 2" xfId="45103"/>
    <cellStyle name="Comma 3 2 7 6" xfId="30467"/>
    <cellStyle name="Comma 3 2 8" xfId="1811"/>
    <cellStyle name="Comma 3 2 8 2" xfId="4698"/>
    <cellStyle name="Comma 3 2 8 2 2" xfId="10739"/>
    <cellStyle name="Comma 3 2 8 2 2 2" xfId="27786"/>
    <cellStyle name="Comma 3 2 8 2 2 2 2" xfId="56647"/>
    <cellStyle name="Comma 3 2 8 2 2 3" xfId="39600"/>
    <cellStyle name="Comma 3 2 8 2 3" xfId="21808"/>
    <cellStyle name="Comma 3 2 8 2 3 2" xfId="50669"/>
    <cellStyle name="Comma 3 2 8 2 4" xfId="33559"/>
    <cellStyle name="Comma 3 2 8 3" xfId="7853"/>
    <cellStyle name="Comma 3 2 8 3 2" xfId="24900"/>
    <cellStyle name="Comma 3 2 8 3 2 2" xfId="53761"/>
    <cellStyle name="Comma 3 2 8 3 3" xfId="36714"/>
    <cellStyle name="Comma 3 2 8 4" xfId="13631"/>
    <cellStyle name="Comma 3 2 8 4 2" xfId="19128"/>
    <cellStyle name="Comma 3 2 8 4 2 2" xfId="47989"/>
    <cellStyle name="Comma 3 2 8 4 3" xfId="42492"/>
    <cellStyle name="Comma 3 2 8 5" xfId="16448"/>
    <cellStyle name="Comma 3 2 8 5 2" xfId="45309"/>
    <cellStyle name="Comma 3 2 8 6" xfId="30673"/>
    <cellStyle name="Comma 3 2 9" xfId="2017"/>
    <cellStyle name="Comma 3 2 9 2" xfId="4904"/>
    <cellStyle name="Comma 3 2 9 2 2" xfId="10945"/>
    <cellStyle name="Comma 3 2 9 2 2 2" xfId="27992"/>
    <cellStyle name="Comma 3 2 9 2 2 2 2" xfId="56853"/>
    <cellStyle name="Comma 3 2 9 2 2 3" xfId="39806"/>
    <cellStyle name="Comma 3 2 9 2 3" xfId="22014"/>
    <cellStyle name="Comma 3 2 9 2 3 2" xfId="50875"/>
    <cellStyle name="Comma 3 2 9 2 4" xfId="33765"/>
    <cellStyle name="Comma 3 2 9 3" xfId="8059"/>
    <cellStyle name="Comma 3 2 9 3 2" xfId="25106"/>
    <cellStyle name="Comma 3 2 9 3 2 2" xfId="53967"/>
    <cellStyle name="Comma 3 2 9 3 3" xfId="36920"/>
    <cellStyle name="Comma 3 2 9 4" xfId="12198"/>
    <cellStyle name="Comma 3 2 9 4 2" xfId="19334"/>
    <cellStyle name="Comma 3 2 9 4 2 2" xfId="48195"/>
    <cellStyle name="Comma 3 2 9 4 3" xfId="41059"/>
    <cellStyle name="Comma 3 2 9 5" xfId="16654"/>
    <cellStyle name="Comma 3 2 9 5 2" xfId="45515"/>
    <cellStyle name="Comma 3 2 9 6" xfId="30879"/>
    <cellStyle name="Comma 3 20" xfId="28921"/>
    <cellStyle name="Comma 3 20 2" xfId="57782"/>
    <cellStyle name="Comma 3 21" xfId="28922"/>
    <cellStyle name="Comma 3 3" xfId="163"/>
    <cellStyle name="Comma 3 3 2" xfId="575"/>
    <cellStyle name="Comma 3 3 2 2" xfId="3462"/>
    <cellStyle name="Comma 3 3 2 2 2" xfId="9503"/>
    <cellStyle name="Comma 3 3 2 2 2 2" xfId="26550"/>
    <cellStyle name="Comma 3 3 2 2 2 2 2" xfId="55411"/>
    <cellStyle name="Comma 3 3 2 2 2 3" xfId="38364"/>
    <cellStyle name="Comma 3 3 2 2 3" xfId="20572"/>
    <cellStyle name="Comma 3 3 2 2 3 2" xfId="49433"/>
    <cellStyle name="Comma 3 3 2 2 4" xfId="32323"/>
    <cellStyle name="Comma 3 3 2 3" xfId="6617"/>
    <cellStyle name="Comma 3 3 2 3 2" xfId="23664"/>
    <cellStyle name="Comma 3 3 2 3 2 2" xfId="52525"/>
    <cellStyle name="Comma 3 3 2 3 3" xfId="35478"/>
    <cellStyle name="Comma 3 3 2 4" xfId="13532"/>
    <cellStyle name="Comma 3 3 2 4 2" xfId="17892"/>
    <cellStyle name="Comma 3 3 2 4 2 2" xfId="46753"/>
    <cellStyle name="Comma 3 3 2 4 3" xfId="42393"/>
    <cellStyle name="Comma 3 3 2 5" xfId="15212"/>
    <cellStyle name="Comma 3 3 2 5 2" xfId="44073"/>
    <cellStyle name="Comma 3 3 2 6" xfId="29437"/>
    <cellStyle name="Comma 3 3 3" xfId="2120"/>
    <cellStyle name="Comma 3 3 3 2" xfId="5007"/>
    <cellStyle name="Comma 3 3 3 2 2" xfId="11048"/>
    <cellStyle name="Comma 3 3 3 2 2 2" xfId="28095"/>
    <cellStyle name="Comma 3 3 3 2 2 2 2" xfId="56956"/>
    <cellStyle name="Comma 3 3 3 2 2 3" xfId="39909"/>
    <cellStyle name="Comma 3 3 3 2 3" xfId="22117"/>
    <cellStyle name="Comma 3 3 3 2 3 2" xfId="50978"/>
    <cellStyle name="Comma 3 3 3 2 4" xfId="33868"/>
    <cellStyle name="Comma 3 3 3 3" xfId="8162"/>
    <cellStyle name="Comma 3 3 3 3 2" xfId="25209"/>
    <cellStyle name="Comma 3 3 3 3 2 2" xfId="54070"/>
    <cellStyle name="Comma 3 3 3 3 3" xfId="37023"/>
    <cellStyle name="Comma 3 3 3 4" xfId="13774"/>
    <cellStyle name="Comma 3 3 3 4 2" xfId="19437"/>
    <cellStyle name="Comma 3 3 3 4 2 2" xfId="48298"/>
    <cellStyle name="Comma 3 3 3 4 3" xfId="42635"/>
    <cellStyle name="Comma 3 3 3 5" xfId="16757"/>
    <cellStyle name="Comma 3 3 3 5 2" xfId="45618"/>
    <cellStyle name="Comma 3 3 3 6" xfId="30982"/>
    <cellStyle name="Comma 3 3 4" xfId="3050"/>
    <cellStyle name="Comma 3 3 4 2" xfId="9091"/>
    <cellStyle name="Comma 3 3 4 2 2" xfId="26138"/>
    <cellStyle name="Comma 3 3 4 2 2 2" xfId="54999"/>
    <cellStyle name="Comma 3 3 4 2 3" xfId="37952"/>
    <cellStyle name="Comma 3 3 4 3" xfId="20160"/>
    <cellStyle name="Comma 3 3 4 3 2" xfId="49021"/>
    <cellStyle name="Comma 3 3 4 4" xfId="31911"/>
    <cellStyle name="Comma 3 3 5" xfId="6205"/>
    <cellStyle name="Comma 3 3 5 2" xfId="23252"/>
    <cellStyle name="Comma 3 3 5 2 2" xfId="52113"/>
    <cellStyle name="Comma 3 3 5 3" xfId="35066"/>
    <cellStyle name="Comma 3 3 6" xfId="12259"/>
    <cellStyle name="Comma 3 3 6 2" xfId="17583"/>
    <cellStyle name="Comma 3 3 6 2 2" xfId="46444"/>
    <cellStyle name="Comma 3 3 6 3" xfId="41120"/>
    <cellStyle name="Comma 3 3 7" xfId="14800"/>
    <cellStyle name="Comma 3 3 7 2" xfId="43661"/>
    <cellStyle name="Comma 3 3 8" xfId="29025"/>
    <cellStyle name="Comma 3 4" xfId="369"/>
    <cellStyle name="Comma 3 4 2" xfId="3256"/>
    <cellStyle name="Comma 3 4 2 2" xfId="9297"/>
    <cellStyle name="Comma 3 4 2 2 2" xfId="26344"/>
    <cellStyle name="Comma 3 4 2 2 2 2" xfId="55205"/>
    <cellStyle name="Comma 3 4 2 2 3" xfId="38158"/>
    <cellStyle name="Comma 3 4 2 3" xfId="20366"/>
    <cellStyle name="Comma 3 4 2 3 2" xfId="49227"/>
    <cellStyle name="Comma 3 4 2 4" xfId="32117"/>
    <cellStyle name="Comma 3 4 3" xfId="6411"/>
    <cellStyle name="Comma 3 4 3 2" xfId="23458"/>
    <cellStyle name="Comma 3 4 3 2 2" xfId="52319"/>
    <cellStyle name="Comma 3 4 3 3" xfId="35272"/>
    <cellStyle name="Comma 3 4 4" xfId="13111"/>
    <cellStyle name="Comma 3 4 4 2" xfId="17686"/>
    <cellStyle name="Comma 3 4 4 2 2" xfId="46547"/>
    <cellStyle name="Comma 3 4 4 3" xfId="41972"/>
    <cellStyle name="Comma 3 4 5" xfId="15006"/>
    <cellStyle name="Comma 3 4 5 2" xfId="43867"/>
    <cellStyle name="Comma 3 4 6" xfId="29231"/>
    <cellStyle name="Comma 3 5" xfId="678"/>
    <cellStyle name="Comma 3 5 2" xfId="3565"/>
    <cellStyle name="Comma 3 5 2 2" xfId="9606"/>
    <cellStyle name="Comma 3 5 2 2 2" xfId="26653"/>
    <cellStyle name="Comma 3 5 2 2 2 2" xfId="55514"/>
    <cellStyle name="Comma 3 5 2 2 3" xfId="38467"/>
    <cellStyle name="Comma 3 5 2 3" xfId="20675"/>
    <cellStyle name="Comma 3 5 2 3 2" xfId="49536"/>
    <cellStyle name="Comma 3 5 2 4" xfId="32426"/>
    <cellStyle name="Comma 3 5 3" xfId="6720"/>
    <cellStyle name="Comma 3 5 3 2" xfId="23767"/>
    <cellStyle name="Comma 3 5 3 2 2" xfId="52628"/>
    <cellStyle name="Comma 3 5 3 3" xfId="35581"/>
    <cellStyle name="Comma 3 5 4" xfId="12565"/>
    <cellStyle name="Comma 3 5 4 2" xfId="17995"/>
    <cellStyle name="Comma 3 5 4 2 2" xfId="46856"/>
    <cellStyle name="Comma 3 5 4 3" xfId="41426"/>
    <cellStyle name="Comma 3 5 5" xfId="15315"/>
    <cellStyle name="Comma 3 5 5 2" xfId="44176"/>
    <cellStyle name="Comma 3 5 6" xfId="29540"/>
    <cellStyle name="Comma 3 6" xfId="884"/>
    <cellStyle name="Comma 3 6 2" xfId="3771"/>
    <cellStyle name="Comma 3 6 2 2" xfId="9812"/>
    <cellStyle name="Comma 3 6 2 2 2" xfId="26859"/>
    <cellStyle name="Comma 3 6 2 2 2 2" xfId="55720"/>
    <cellStyle name="Comma 3 6 2 2 3" xfId="38673"/>
    <cellStyle name="Comma 3 6 2 3" xfId="20881"/>
    <cellStyle name="Comma 3 6 2 3 2" xfId="49742"/>
    <cellStyle name="Comma 3 6 2 4" xfId="32632"/>
    <cellStyle name="Comma 3 6 3" xfId="6926"/>
    <cellStyle name="Comma 3 6 3 2" xfId="23973"/>
    <cellStyle name="Comma 3 6 3 2 2" xfId="52834"/>
    <cellStyle name="Comma 3 6 3 3" xfId="35787"/>
    <cellStyle name="Comma 3 6 4" xfId="12983"/>
    <cellStyle name="Comma 3 6 4 2" xfId="18201"/>
    <cellStyle name="Comma 3 6 4 2 2" xfId="47062"/>
    <cellStyle name="Comma 3 6 4 3" xfId="41844"/>
    <cellStyle name="Comma 3 6 5" xfId="15521"/>
    <cellStyle name="Comma 3 6 5 2" xfId="44382"/>
    <cellStyle name="Comma 3 6 6" xfId="29746"/>
    <cellStyle name="Comma 3 7" xfId="1090"/>
    <cellStyle name="Comma 3 7 2" xfId="3977"/>
    <cellStyle name="Comma 3 7 2 2" xfId="10018"/>
    <cellStyle name="Comma 3 7 2 2 2" xfId="27065"/>
    <cellStyle name="Comma 3 7 2 2 2 2" xfId="55926"/>
    <cellStyle name="Comma 3 7 2 2 3" xfId="38879"/>
    <cellStyle name="Comma 3 7 2 3" xfId="21087"/>
    <cellStyle name="Comma 3 7 2 3 2" xfId="49948"/>
    <cellStyle name="Comma 3 7 2 4" xfId="32838"/>
    <cellStyle name="Comma 3 7 3" xfId="7132"/>
    <cellStyle name="Comma 3 7 3 2" xfId="24179"/>
    <cellStyle name="Comma 3 7 3 2 2" xfId="53040"/>
    <cellStyle name="Comma 3 7 3 3" xfId="35993"/>
    <cellStyle name="Comma 3 7 4" xfId="12992"/>
    <cellStyle name="Comma 3 7 4 2" xfId="18407"/>
    <cellStyle name="Comma 3 7 4 2 2" xfId="47268"/>
    <cellStyle name="Comma 3 7 4 3" xfId="41853"/>
    <cellStyle name="Comma 3 7 5" xfId="15727"/>
    <cellStyle name="Comma 3 7 5 2" xfId="44588"/>
    <cellStyle name="Comma 3 7 6" xfId="29952"/>
    <cellStyle name="Comma 3 8" xfId="1296"/>
    <cellStyle name="Comma 3 8 2" xfId="4183"/>
    <cellStyle name="Comma 3 8 2 2" xfId="10224"/>
    <cellStyle name="Comma 3 8 2 2 2" xfId="27271"/>
    <cellStyle name="Comma 3 8 2 2 2 2" xfId="56132"/>
    <cellStyle name="Comma 3 8 2 2 3" xfId="39085"/>
    <cellStyle name="Comma 3 8 2 3" xfId="21293"/>
    <cellStyle name="Comma 3 8 2 3 2" xfId="50154"/>
    <cellStyle name="Comma 3 8 2 4" xfId="33044"/>
    <cellStyle name="Comma 3 8 3" xfId="7338"/>
    <cellStyle name="Comma 3 8 3 2" xfId="24385"/>
    <cellStyle name="Comma 3 8 3 2 2" xfId="53246"/>
    <cellStyle name="Comma 3 8 3 3" xfId="36199"/>
    <cellStyle name="Comma 3 8 4" xfId="13683"/>
    <cellStyle name="Comma 3 8 4 2" xfId="18613"/>
    <cellStyle name="Comma 3 8 4 2 2" xfId="47474"/>
    <cellStyle name="Comma 3 8 4 3" xfId="42544"/>
    <cellStyle name="Comma 3 8 5" xfId="15933"/>
    <cellStyle name="Comma 3 8 5 2" xfId="44794"/>
    <cellStyle name="Comma 3 8 6" xfId="30158"/>
    <cellStyle name="Comma 3 9" xfId="1502"/>
    <cellStyle name="Comma 3 9 2" xfId="4389"/>
    <cellStyle name="Comma 3 9 2 2" xfId="10430"/>
    <cellStyle name="Comma 3 9 2 2 2" xfId="27477"/>
    <cellStyle name="Comma 3 9 2 2 2 2" xfId="56338"/>
    <cellStyle name="Comma 3 9 2 2 3" xfId="39291"/>
    <cellStyle name="Comma 3 9 2 3" xfId="21499"/>
    <cellStyle name="Comma 3 9 2 3 2" xfId="50360"/>
    <cellStyle name="Comma 3 9 2 4" xfId="33250"/>
    <cellStyle name="Comma 3 9 3" xfId="7544"/>
    <cellStyle name="Comma 3 9 3 2" xfId="24591"/>
    <cellStyle name="Comma 3 9 3 2 2" xfId="53452"/>
    <cellStyle name="Comma 3 9 3 3" xfId="36405"/>
    <cellStyle name="Comma 3 9 4" xfId="14252"/>
    <cellStyle name="Comma 3 9 4 2" xfId="18819"/>
    <cellStyle name="Comma 3 9 4 2 2" xfId="47680"/>
    <cellStyle name="Comma 3 9 4 3" xfId="43113"/>
    <cellStyle name="Comma 3 9 5" xfId="16139"/>
    <cellStyle name="Comma 3 9 5 2" xfId="45000"/>
    <cellStyle name="Comma 3 9 6" xfId="30364"/>
    <cellStyle name="Comma 4" xfId="5"/>
    <cellStyle name="Comma 4 10" xfId="1709"/>
    <cellStyle name="Comma 4 10 2" xfId="4596"/>
    <cellStyle name="Comma 4 10 2 2" xfId="10637"/>
    <cellStyle name="Comma 4 10 2 2 2" xfId="27684"/>
    <cellStyle name="Comma 4 10 2 2 2 2" xfId="56545"/>
    <cellStyle name="Comma 4 10 2 2 3" xfId="39498"/>
    <cellStyle name="Comma 4 10 2 3" xfId="21706"/>
    <cellStyle name="Comma 4 10 2 3 2" xfId="50567"/>
    <cellStyle name="Comma 4 10 2 4" xfId="33457"/>
    <cellStyle name="Comma 4 10 3" xfId="7751"/>
    <cellStyle name="Comma 4 10 3 2" xfId="24798"/>
    <cellStyle name="Comma 4 10 3 2 2" xfId="53659"/>
    <cellStyle name="Comma 4 10 3 3" xfId="36612"/>
    <cellStyle name="Comma 4 10 4" xfId="12759"/>
    <cellStyle name="Comma 4 10 4 2" xfId="19026"/>
    <cellStyle name="Comma 4 10 4 2 2" xfId="47887"/>
    <cellStyle name="Comma 4 10 4 3" xfId="41620"/>
    <cellStyle name="Comma 4 10 5" xfId="16346"/>
    <cellStyle name="Comma 4 10 5 2" xfId="45207"/>
    <cellStyle name="Comma 4 10 6" xfId="30571"/>
    <cellStyle name="Comma 4 11" xfId="1915"/>
    <cellStyle name="Comma 4 11 2" xfId="4802"/>
    <cellStyle name="Comma 4 11 2 2" xfId="10843"/>
    <cellStyle name="Comma 4 11 2 2 2" xfId="27890"/>
    <cellStyle name="Comma 4 11 2 2 2 2" xfId="56751"/>
    <cellStyle name="Comma 4 11 2 2 3" xfId="39704"/>
    <cellStyle name="Comma 4 11 2 3" xfId="21912"/>
    <cellStyle name="Comma 4 11 2 3 2" xfId="50773"/>
    <cellStyle name="Comma 4 11 2 4" xfId="33663"/>
    <cellStyle name="Comma 4 11 3" xfId="7957"/>
    <cellStyle name="Comma 4 11 3 2" xfId="25004"/>
    <cellStyle name="Comma 4 11 3 2 2" xfId="53865"/>
    <cellStyle name="Comma 4 11 3 3" xfId="36818"/>
    <cellStyle name="Comma 4 11 4" xfId="13390"/>
    <cellStyle name="Comma 4 11 4 2" xfId="19232"/>
    <cellStyle name="Comma 4 11 4 2 2" xfId="48093"/>
    <cellStyle name="Comma 4 11 4 3" xfId="42251"/>
    <cellStyle name="Comma 4 11 5" xfId="16552"/>
    <cellStyle name="Comma 4 11 5 2" xfId="45413"/>
    <cellStyle name="Comma 4 11 6" xfId="30777"/>
    <cellStyle name="Comma 4 12" xfId="2327"/>
    <cellStyle name="Comma 4 12 2" xfId="5214"/>
    <cellStyle name="Comma 4 12 2 2" xfId="11255"/>
    <cellStyle name="Comma 4 12 2 2 2" xfId="28302"/>
    <cellStyle name="Comma 4 12 2 2 2 2" xfId="57163"/>
    <cellStyle name="Comma 4 12 2 2 3" xfId="40116"/>
    <cellStyle name="Comma 4 12 2 3" xfId="22324"/>
    <cellStyle name="Comma 4 12 2 3 2" xfId="51185"/>
    <cellStyle name="Comma 4 12 2 4" xfId="34075"/>
    <cellStyle name="Comma 4 12 3" xfId="8369"/>
    <cellStyle name="Comma 4 12 3 2" xfId="25416"/>
    <cellStyle name="Comma 4 12 3 2 2" xfId="54277"/>
    <cellStyle name="Comma 4 12 3 3" xfId="37230"/>
    <cellStyle name="Comma 4 12 4" xfId="14481"/>
    <cellStyle name="Comma 4 12 4 2" xfId="19644"/>
    <cellStyle name="Comma 4 12 4 2 2" xfId="48505"/>
    <cellStyle name="Comma 4 12 4 3" xfId="43342"/>
    <cellStyle name="Comma 4 12 5" xfId="16964"/>
    <cellStyle name="Comma 4 12 5 2" xfId="45825"/>
    <cellStyle name="Comma 4 12 6" xfId="31189"/>
    <cellStyle name="Comma 4 13" xfId="2536"/>
    <cellStyle name="Comma 4 13 2" xfId="5422"/>
    <cellStyle name="Comma 4 13 2 2" xfId="11463"/>
    <cellStyle name="Comma 4 13 2 2 2" xfId="28510"/>
    <cellStyle name="Comma 4 13 2 2 2 2" xfId="57371"/>
    <cellStyle name="Comma 4 13 2 2 3" xfId="40324"/>
    <cellStyle name="Comma 4 13 2 3" xfId="22532"/>
    <cellStyle name="Comma 4 13 2 3 2" xfId="51393"/>
    <cellStyle name="Comma 4 13 2 4" xfId="34283"/>
    <cellStyle name="Comma 4 13 3" xfId="8577"/>
    <cellStyle name="Comma 4 13 3 2" xfId="25624"/>
    <cellStyle name="Comma 4 13 3 2 2" xfId="54485"/>
    <cellStyle name="Comma 4 13 3 3" xfId="37438"/>
    <cellStyle name="Comma 4 13 4" xfId="14345"/>
    <cellStyle name="Comma 4 13 4 2" xfId="19852"/>
    <cellStyle name="Comma 4 13 4 2 2" xfId="48713"/>
    <cellStyle name="Comma 4 13 4 3" xfId="43206"/>
    <cellStyle name="Comma 4 13 5" xfId="17172"/>
    <cellStyle name="Comma 4 13 5 2" xfId="46033"/>
    <cellStyle name="Comma 4 13 6" xfId="31397"/>
    <cellStyle name="Comma 4 14" xfId="2948"/>
    <cellStyle name="Comma 4 14 2" xfId="8989"/>
    <cellStyle name="Comma 4 14 2 2" xfId="26036"/>
    <cellStyle name="Comma 4 14 2 2 2" xfId="54897"/>
    <cellStyle name="Comma 4 14 2 3" xfId="37850"/>
    <cellStyle name="Comma 4 14 3" xfId="12578"/>
    <cellStyle name="Comma 4 14 3 2" xfId="20058"/>
    <cellStyle name="Comma 4 14 3 2 2" xfId="48919"/>
    <cellStyle name="Comma 4 14 3 3" xfId="41439"/>
    <cellStyle name="Comma 4 14 4" xfId="14698"/>
    <cellStyle name="Comma 4 14 4 2" xfId="43559"/>
    <cellStyle name="Comma 4 14 5" xfId="31809"/>
    <cellStyle name="Comma 4 15" xfId="2742"/>
    <cellStyle name="Comma 4 15 2" xfId="8783"/>
    <cellStyle name="Comma 4 15 2 2" xfId="25830"/>
    <cellStyle name="Comma 4 15 2 2 2" xfId="54691"/>
    <cellStyle name="Comma 4 15 2 3" xfId="37644"/>
    <cellStyle name="Comma 4 15 3" xfId="17378"/>
    <cellStyle name="Comma 4 15 3 2" xfId="46239"/>
    <cellStyle name="Comma 4 15 4" xfId="31603"/>
    <cellStyle name="Comma 4 16" xfId="5628"/>
    <cellStyle name="Comma 4 16 2" xfId="11669"/>
    <cellStyle name="Comma 4 16 2 2" xfId="28716"/>
    <cellStyle name="Comma 4 16 2 2 2" xfId="57577"/>
    <cellStyle name="Comma 4 16 2 3" xfId="40530"/>
    <cellStyle name="Comma 4 16 3" xfId="22738"/>
    <cellStyle name="Comma 4 16 3 2" xfId="51599"/>
    <cellStyle name="Comma 4 16 4" xfId="34489"/>
    <cellStyle name="Comma 4 17" xfId="5836"/>
    <cellStyle name="Comma 4 17 2" xfId="22944"/>
    <cellStyle name="Comma 4 17 2 2" xfId="51805"/>
    <cellStyle name="Comma 4 17 3" xfId="34697"/>
    <cellStyle name="Comma 4 18" xfId="6103"/>
    <cellStyle name="Comma 4 18 2" xfId="23150"/>
    <cellStyle name="Comma 4 18 2 2" xfId="52011"/>
    <cellStyle name="Comma 4 18 3" xfId="34964"/>
    <cellStyle name="Comma 4 19" xfId="14492"/>
    <cellStyle name="Comma 4 19 2" xfId="43353"/>
    <cellStyle name="Comma 4 2" xfId="267"/>
    <cellStyle name="Comma 4 2 10" xfId="2430"/>
    <cellStyle name="Comma 4 2 10 2" xfId="5317"/>
    <cellStyle name="Comma 4 2 10 2 2" xfId="11358"/>
    <cellStyle name="Comma 4 2 10 2 2 2" xfId="28405"/>
    <cellStyle name="Comma 4 2 10 2 2 2 2" xfId="57266"/>
    <cellStyle name="Comma 4 2 10 2 2 3" xfId="40219"/>
    <cellStyle name="Comma 4 2 10 2 3" xfId="22427"/>
    <cellStyle name="Comma 4 2 10 2 3 2" xfId="51288"/>
    <cellStyle name="Comma 4 2 10 2 4" xfId="34178"/>
    <cellStyle name="Comma 4 2 10 3" xfId="8472"/>
    <cellStyle name="Comma 4 2 10 3 2" xfId="25519"/>
    <cellStyle name="Comma 4 2 10 3 2 2" xfId="54380"/>
    <cellStyle name="Comma 4 2 10 3 3" xfId="37333"/>
    <cellStyle name="Comma 4 2 10 4" xfId="12099"/>
    <cellStyle name="Comma 4 2 10 4 2" xfId="19747"/>
    <cellStyle name="Comma 4 2 10 4 2 2" xfId="48608"/>
    <cellStyle name="Comma 4 2 10 4 3" xfId="40960"/>
    <cellStyle name="Comma 4 2 10 5" xfId="17067"/>
    <cellStyle name="Comma 4 2 10 5 2" xfId="45928"/>
    <cellStyle name="Comma 4 2 10 6" xfId="31292"/>
    <cellStyle name="Comma 4 2 11" xfId="2639"/>
    <cellStyle name="Comma 4 2 11 2" xfId="5525"/>
    <cellStyle name="Comma 4 2 11 2 2" xfId="11566"/>
    <cellStyle name="Comma 4 2 11 2 2 2" xfId="28613"/>
    <cellStyle name="Comma 4 2 11 2 2 2 2" xfId="57474"/>
    <cellStyle name="Comma 4 2 11 2 2 3" xfId="40427"/>
    <cellStyle name="Comma 4 2 11 2 3" xfId="22635"/>
    <cellStyle name="Comma 4 2 11 2 3 2" xfId="51496"/>
    <cellStyle name="Comma 4 2 11 2 4" xfId="34386"/>
    <cellStyle name="Comma 4 2 11 3" xfId="8680"/>
    <cellStyle name="Comma 4 2 11 3 2" xfId="25727"/>
    <cellStyle name="Comma 4 2 11 3 2 2" xfId="54588"/>
    <cellStyle name="Comma 4 2 11 3 3" xfId="37541"/>
    <cellStyle name="Comma 4 2 11 4" xfId="13162"/>
    <cellStyle name="Comma 4 2 11 4 2" xfId="19955"/>
    <cellStyle name="Comma 4 2 11 4 2 2" xfId="48816"/>
    <cellStyle name="Comma 4 2 11 4 3" xfId="42023"/>
    <cellStyle name="Comma 4 2 11 5" xfId="17275"/>
    <cellStyle name="Comma 4 2 11 5 2" xfId="46136"/>
    <cellStyle name="Comma 4 2 11 6" xfId="31500"/>
    <cellStyle name="Comma 4 2 12" xfId="3154"/>
    <cellStyle name="Comma 4 2 12 2" xfId="9195"/>
    <cellStyle name="Comma 4 2 12 2 2" xfId="26242"/>
    <cellStyle name="Comma 4 2 12 2 2 2" xfId="55103"/>
    <cellStyle name="Comma 4 2 12 2 3" xfId="38056"/>
    <cellStyle name="Comma 4 2 12 3" xfId="12574"/>
    <cellStyle name="Comma 4 2 12 3 2" xfId="20264"/>
    <cellStyle name="Comma 4 2 12 3 2 2" xfId="49125"/>
    <cellStyle name="Comma 4 2 12 3 3" xfId="41435"/>
    <cellStyle name="Comma 4 2 12 4" xfId="14904"/>
    <cellStyle name="Comma 4 2 12 4 2" xfId="43765"/>
    <cellStyle name="Comma 4 2 12 5" xfId="32015"/>
    <cellStyle name="Comma 4 2 13" xfId="2845"/>
    <cellStyle name="Comma 4 2 13 2" xfId="8886"/>
    <cellStyle name="Comma 4 2 13 2 2" xfId="25933"/>
    <cellStyle name="Comma 4 2 13 2 2 2" xfId="54794"/>
    <cellStyle name="Comma 4 2 13 2 3" xfId="37747"/>
    <cellStyle name="Comma 4 2 13 3" xfId="17481"/>
    <cellStyle name="Comma 4 2 13 3 2" xfId="46342"/>
    <cellStyle name="Comma 4 2 13 4" xfId="31706"/>
    <cellStyle name="Comma 4 2 14" xfId="5731"/>
    <cellStyle name="Comma 4 2 14 2" xfId="11772"/>
    <cellStyle name="Comma 4 2 14 2 2" xfId="28819"/>
    <cellStyle name="Comma 4 2 14 2 2 2" xfId="57680"/>
    <cellStyle name="Comma 4 2 14 2 3" xfId="40633"/>
    <cellStyle name="Comma 4 2 14 3" xfId="22841"/>
    <cellStyle name="Comma 4 2 14 3 2" xfId="51702"/>
    <cellStyle name="Comma 4 2 14 4" xfId="34592"/>
    <cellStyle name="Comma 4 2 15" xfId="5948"/>
    <cellStyle name="Comma 4 2 15 2" xfId="23047"/>
    <cellStyle name="Comma 4 2 15 2 2" xfId="51908"/>
    <cellStyle name="Comma 4 2 15 3" xfId="34809"/>
    <cellStyle name="Comma 4 2 16" xfId="6309"/>
    <cellStyle name="Comma 4 2 16 2" xfId="23356"/>
    <cellStyle name="Comma 4 2 16 2 2" xfId="52217"/>
    <cellStyle name="Comma 4 2 16 3" xfId="35170"/>
    <cellStyle name="Comma 4 2 17" xfId="14595"/>
    <cellStyle name="Comma 4 2 17 2" xfId="43456"/>
    <cellStyle name="Comma 4 2 18" xfId="29129"/>
    <cellStyle name="Comma 4 2 2" xfId="473"/>
    <cellStyle name="Comma 4 2 2 2" xfId="2224"/>
    <cellStyle name="Comma 4 2 2 2 2" xfId="5111"/>
    <cellStyle name="Comma 4 2 2 2 2 2" xfId="11152"/>
    <cellStyle name="Comma 4 2 2 2 2 2 2" xfId="28199"/>
    <cellStyle name="Comma 4 2 2 2 2 2 2 2" xfId="57060"/>
    <cellStyle name="Comma 4 2 2 2 2 2 3" xfId="40013"/>
    <cellStyle name="Comma 4 2 2 2 2 3" xfId="22221"/>
    <cellStyle name="Comma 4 2 2 2 2 3 2" xfId="51082"/>
    <cellStyle name="Comma 4 2 2 2 2 4" xfId="33972"/>
    <cellStyle name="Comma 4 2 2 2 3" xfId="8266"/>
    <cellStyle name="Comma 4 2 2 2 3 2" xfId="25313"/>
    <cellStyle name="Comma 4 2 2 2 3 2 2" xfId="54174"/>
    <cellStyle name="Comma 4 2 2 2 3 3" xfId="37127"/>
    <cellStyle name="Comma 4 2 2 2 4" xfId="14332"/>
    <cellStyle name="Comma 4 2 2 2 4 2" xfId="19541"/>
    <cellStyle name="Comma 4 2 2 2 4 2 2" xfId="48402"/>
    <cellStyle name="Comma 4 2 2 2 4 3" xfId="43193"/>
    <cellStyle name="Comma 4 2 2 2 5" xfId="16861"/>
    <cellStyle name="Comma 4 2 2 2 5 2" xfId="45722"/>
    <cellStyle name="Comma 4 2 2 2 6" xfId="31086"/>
    <cellStyle name="Comma 4 2 2 3" xfId="3360"/>
    <cellStyle name="Comma 4 2 2 3 2" xfId="9401"/>
    <cellStyle name="Comma 4 2 2 3 2 2" xfId="26448"/>
    <cellStyle name="Comma 4 2 2 3 2 2 2" xfId="55309"/>
    <cellStyle name="Comma 4 2 2 3 2 3" xfId="38262"/>
    <cellStyle name="Comma 4 2 2 3 3" xfId="20470"/>
    <cellStyle name="Comma 4 2 2 3 3 2" xfId="49331"/>
    <cellStyle name="Comma 4 2 2 3 4" xfId="32221"/>
    <cellStyle name="Comma 4 2 2 4" xfId="6515"/>
    <cellStyle name="Comma 4 2 2 4 2" xfId="23562"/>
    <cellStyle name="Comma 4 2 2 4 2 2" xfId="52423"/>
    <cellStyle name="Comma 4 2 2 4 3" xfId="35376"/>
    <cellStyle name="Comma 4 2 2 5" xfId="11939"/>
    <cellStyle name="Comma 4 2 2 5 2" xfId="17790"/>
    <cellStyle name="Comma 4 2 2 5 2 2" xfId="46651"/>
    <cellStyle name="Comma 4 2 2 5 3" xfId="40800"/>
    <cellStyle name="Comma 4 2 2 6" xfId="15110"/>
    <cellStyle name="Comma 4 2 2 6 2" xfId="43971"/>
    <cellStyle name="Comma 4 2 2 7" xfId="29335"/>
    <cellStyle name="Comma 4 2 3" xfId="782"/>
    <cellStyle name="Comma 4 2 3 2" xfId="3669"/>
    <cellStyle name="Comma 4 2 3 2 2" xfId="9710"/>
    <cellStyle name="Comma 4 2 3 2 2 2" xfId="26757"/>
    <cellStyle name="Comma 4 2 3 2 2 2 2" xfId="55618"/>
    <cellStyle name="Comma 4 2 3 2 2 3" xfId="38571"/>
    <cellStyle name="Comma 4 2 3 2 3" xfId="20779"/>
    <cellStyle name="Comma 4 2 3 2 3 2" xfId="49640"/>
    <cellStyle name="Comma 4 2 3 2 4" xfId="32530"/>
    <cellStyle name="Comma 4 2 3 3" xfId="6824"/>
    <cellStyle name="Comma 4 2 3 3 2" xfId="23871"/>
    <cellStyle name="Comma 4 2 3 3 2 2" xfId="52732"/>
    <cellStyle name="Comma 4 2 3 3 3" xfId="35685"/>
    <cellStyle name="Comma 4 2 3 4" xfId="14320"/>
    <cellStyle name="Comma 4 2 3 4 2" xfId="18099"/>
    <cellStyle name="Comma 4 2 3 4 2 2" xfId="46960"/>
    <cellStyle name="Comma 4 2 3 4 3" xfId="43181"/>
    <cellStyle name="Comma 4 2 3 5" xfId="15419"/>
    <cellStyle name="Comma 4 2 3 5 2" xfId="44280"/>
    <cellStyle name="Comma 4 2 3 6" xfId="29644"/>
    <cellStyle name="Comma 4 2 4" xfId="988"/>
    <cellStyle name="Comma 4 2 4 2" xfId="3875"/>
    <cellStyle name="Comma 4 2 4 2 2" xfId="9916"/>
    <cellStyle name="Comma 4 2 4 2 2 2" xfId="26963"/>
    <cellStyle name="Comma 4 2 4 2 2 2 2" xfId="55824"/>
    <cellStyle name="Comma 4 2 4 2 2 3" xfId="38777"/>
    <cellStyle name="Comma 4 2 4 2 3" xfId="20985"/>
    <cellStyle name="Comma 4 2 4 2 3 2" xfId="49846"/>
    <cellStyle name="Comma 4 2 4 2 4" xfId="32736"/>
    <cellStyle name="Comma 4 2 4 3" xfId="7030"/>
    <cellStyle name="Comma 4 2 4 3 2" xfId="24077"/>
    <cellStyle name="Comma 4 2 4 3 2 2" xfId="52938"/>
    <cellStyle name="Comma 4 2 4 3 3" xfId="35891"/>
    <cellStyle name="Comma 4 2 4 4" xfId="13974"/>
    <cellStyle name="Comma 4 2 4 4 2" xfId="18305"/>
    <cellStyle name="Comma 4 2 4 4 2 2" xfId="47166"/>
    <cellStyle name="Comma 4 2 4 4 3" xfId="42835"/>
    <cellStyle name="Comma 4 2 4 5" xfId="15625"/>
    <cellStyle name="Comma 4 2 4 5 2" xfId="44486"/>
    <cellStyle name="Comma 4 2 4 6" xfId="29850"/>
    <cellStyle name="Comma 4 2 5" xfId="1194"/>
    <cellStyle name="Comma 4 2 5 2" xfId="4081"/>
    <cellStyle name="Comma 4 2 5 2 2" xfId="10122"/>
    <cellStyle name="Comma 4 2 5 2 2 2" xfId="27169"/>
    <cellStyle name="Comma 4 2 5 2 2 2 2" xfId="56030"/>
    <cellStyle name="Comma 4 2 5 2 2 3" xfId="38983"/>
    <cellStyle name="Comma 4 2 5 2 3" xfId="21191"/>
    <cellStyle name="Comma 4 2 5 2 3 2" xfId="50052"/>
    <cellStyle name="Comma 4 2 5 2 4" xfId="32942"/>
    <cellStyle name="Comma 4 2 5 3" xfId="7236"/>
    <cellStyle name="Comma 4 2 5 3 2" xfId="24283"/>
    <cellStyle name="Comma 4 2 5 3 2 2" xfId="53144"/>
    <cellStyle name="Comma 4 2 5 3 3" xfId="36097"/>
    <cellStyle name="Comma 4 2 5 4" xfId="13653"/>
    <cellStyle name="Comma 4 2 5 4 2" xfId="18511"/>
    <cellStyle name="Comma 4 2 5 4 2 2" xfId="47372"/>
    <cellStyle name="Comma 4 2 5 4 3" xfId="42514"/>
    <cellStyle name="Comma 4 2 5 5" xfId="15831"/>
    <cellStyle name="Comma 4 2 5 5 2" xfId="44692"/>
    <cellStyle name="Comma 4 2 5 6" xfId="30056"/>
    <cellStyle name="Comma 4 2 6" xfId="1400"/>
    <cellStyle name="Comma 4 2 6 2" xfId="4287"/>
    <cellStyle name="Comma 4 2 6 2 2" xfId="10328"/>
    <cellStyle name="Comma 4 2 6 2 2 2" xfId="27375"/>
    <cellStyle name="Comma 4 2 6 2 2 2 2" xfId="56236"/>
    <cellStyle name="Comma 4 2 6 2 2 3" xfId="39189"/>
    <cellStyle name="Comma 4 2 6 2 3" xfId="21397"/>
    <cellStyle name="Comma 4 2 6 2 3 2" xfId="50258"/>
    <cellStyle name="Comma 4 2 6 2 4" xfId="33148"/>
    <cellStyle name="Comma 4 2 6 3" xfId="7442"/>
    <cellStyle name="Comma 4 2 6 3 2" xfId="24489"/>
    <cellStyle name="Comma 4 2 6 3 2 2" xfId="53350"/>
    <cellStyle name="Comma 4 2 6 3 3" xfId="36303"/>
    <cellStyle name="Comma 4 2 6 4" xfId="14319"/>
    <cellStyle name="Comma 4 2 6 4 2" xfId="18717"/>
    <cellStyle name="Comma 4 2 6 4 2 2" xfId="47578"/>
    <cellStyle name="Comma 4 2 6 4 3" xfId="43180"/>
    <cellStyle name="Comma 4 2 6 5" xfId="16037"/>
    <cellStyle name="Comma 4 2 6 5 2" xfId="44898"/>
    <cellStyle name="Comma 4 2 6 6" xfId="30262"/>
    <cellStyle name="Comma 4 2 7" xfId="1606"/>
    <cellStyle name="Comma 4 2 7 2" xfId="4493"/>
    <cellStyle name="Comma 4 2 7 2 2" xfId="10534"/>
    <cellStyle name="Comma 4 2 7 2 2 2" xfId="27581"/>
    <cellStyle name="Comma 4 2 7 2 2 2 2" xfId="56442"/>
    <cellStyle name="Comma 4 2 7 2 2 3" xfId="39395"/>
    <cellStyle name="Comma 4 2 7 2 3" xfId="21603"/>
    <cellStyle name="Comma 4 2 7 2 3 2" xfId="50464"/>
    <cellStyle name="Comma 4 2 7 2 4" xfId="33354"/>
    <cellStyle name="Comma 4 2 7 3" xfId="7648"/>
    <cellStyle name="Comma 4 2 7 3 2" xfId="24695"/>
    <cellStyle name="Comma 4 2 7 3 2 2" xfId="53556"/>
    <cellStyle name="Comma 4 2 7 3 3" xfId="36509"/>
    <cellStyle name="Comma 4 2 7 4" xfId="13865"/>
    <cellStyle name="Comma 4 2 7 4 2" xfId="18923"/>
    <cellStyle name="Comma 4 2 7 4 2 2" xfId="47784"/>
    <cellStyle name="Comma 4 2 7 4 3" xfId="42726"/>
    <cellStyle name="Comma 4 2 7 5" xfId="16243"/>
    <cellStyle name="Comma 4 2 7 5 2" xfId="45104"/>
    <cellStyle name="Comma 4 2 7 6" xfId="30468"/>
    <cellStyle name="Comma 4 2 8" xfId="1812"/>
    <cellStyle name="Comma 4 2 8 2" xfId="4699"/>
    <cellStyle name="Comma 4 2 8 2 2" xfId="10740"/>
    <cellStyle name="Comma 4 2 8 2 2 2" xfId="27787"/>
    <cellStyle name="Comma 4 2 8 2 2 2 2" xfId="56648"/>
    <cellStyle name="Comma 4 2 8 2 2 3" xfId="39601"/>
    <cellStyle name="Comma 4 2 8 2 3" xfId="21809"/>
    <cellStyle name="Comma 4 2 8 2 3 2" xfId="50670"/>
    <cellStyle name="Comma 4 2 8 2 4" xfId="33560"/>
    <cellStyle name="Comma 4 2 8 3" xfId="7854"/>
    <cellStyle name="Comma 4 2 8 3 2" xfId="24901"/>
    <cellStyle name="Comma 4 2 8 3 2 2" xfId="53762"/>
    <cellStyle name="Comma 4 2 8 3 3" xfId="36715"/>
    <cellStyle name="Comma 4 2 8 4" xfId="14229"/>
    <cellStyle name="Comma 4 2 8 4 2" xfId="19129"/>
    <cellStyle name="Comma 4 2 8 4 2 2" xfId="47990"/>
    <cellStyle name="Comma 4 2 8 4 3" xfId="43090"/>
    <cellStyle name="Comma 4 2 8 5" xfId="16449"/>
    <cellStyle name="Comma 4 2 8 5 2" xfId="45310"/>
    <cellStyle name="Comma 4 2 8 6" xfId="30674"/>
    <cellStyle name="Comma 4 2 9" xfId="2018"/>
    <cellStyle name="Comma 4 2 9 2" xfId="4905"/>
    <cellStyle name="Comma 4 2 9 2 2" xfId="10946"/>
    <cellStyle name="Comma 4 2 9 2 2 2" xfId="27993"/>
    <cellStyle name="Comma 4 2 9 2 2 2 2" xfId="56854"/>
    <cellStyle name="Comma 4 2 9 2 2 3" xfId="39807"/>
    <cellStyle name="Comma 4 2 9 2 3" xfId="22015"/>
    <cellStyle name="Comma 4 2 9 2 3 2" xfId="50876"/>
    <cellStyle name="Comma 4 2 9 2 4" xfId="33766"/>
    <cellStyle name="Comma 4 2 9 3" xfId="8060"/>
    <cellStyle name="Comma 4 2 9 3 2" xfId="25107"/>
    <cellStyle name="Comma 4 2 9 3 2 2" xfId="53968"/>
    <cellStyle name="Comma 4 2 9 3 3" xfId="36921"/>
    <cellStyle name="Comma 4 2 9 4" xfId="13541"/>
    <cellStyle name="Comma 4 2 9 4 2" xfId="19335"/>
    <cellStyle name="Comma 4 2 9 4 2 2" xfId="48196"/>
    <cellStyle name="Comma 4 2 9 4 3" xfId="42402"/>
    <cellStyle name="Comma 4 2 9 5" xfId="16655"/>
    <cellStyle name="Comma 4 2 9 5 2" xfId="45516"/>
    <cellStyle name="Comma 4 2 9 6" xfId="30880"/>
    <cellStyle name="Comma 4 20" xfId="28923"/>
    <cellStyle name="Comma 4 3" xfId="164"/>
    <cellStyle name="Comma 4 3 2" xfId="576"/>
    <cellStyle name="Comma 4 3 2 2" xfId="3463"/>
    <cellStyle name="Comma 4 3 2 2 2" xfId="9504"/>
    <cellStyle name="Comma 4 3 2 2 2 2" xfId="26551"/>
    <cellStyle name="Comma 4 3 2 2 2 2 2" xfId="55412"/>
    <cellStyle name="Comma 4 3 2 2 2 3" xfId="38365"/>
    <cellStyle name="Comma 4 3 2 2 3" xfId="20573"/>
    <cellStyle name="Comma 4 3 2 2 3 2" xfId="49434"/>
    <cellStyle name="Comma 4 3 2 2 4" xfId="32324"/>
    <cellStyle name="Comma 4 3 2 3" xfId="6618"/>
    <cellStyle name="Comma 4 3 2 3 2" xfId="23665"/>
    <cellStyle name="Comma 4 3 2 3 2 2" xfId="52526"/>
    <cellStyle name="Comma 4 3 2 3 3" xfId="35479"/>
    <cellStyle name="Comma 4 3 2 4" xfId="13468"/>
    <cellStyle name="Comma 4 3 2 4 2" xfId="17893"/>
    <cellStyle name="Comma 4 3 2 4 2 2" xfId="46754"/>
    <cellStyle name="Comma 4 3 2 4 3" xfId="42329"/>
    <cellStyle name="Comma 4 3 2 5" xfId="15213"/>
    <cellStyle name="Comma 4 3 2 5 2" xfId="44074"/>
    <cellStyle name="Comma 4 3 2 6" xfId="29438"/>
    <cellStyle name="Comma 4 3 3" xfId="2121"/>
    <cellStyle name="Comma 4 3 3 2" xfId="5008"/>
    <cellStyle name="Comma 4 3 3 2 2" xfId="11049"/>
    <cellStyle name="Comma 4 3 3 2 2 2" xfId="28096"/>
    <cellStyle name="Comma 4 3 3 2 2 2 2" xfId="56957"/>
    <cellStyle name="Comma 4 3 3 2 2 3" xfId="39910"/>
    <cellStyle name="Comma 4 3 3 2 3" xfId="22118"/>
    <cellStyle name="Comma 4 3 3 2 3 2" xfId="50979"/>
    <cellStyle name="Comma 4 3 3 2 4" xfId="33869"/>
    <cellStyle name="Comma 4 3 3 3" xfId="8163"/>
    <cellStyle name="Comma 4 3 3 3 2" xfId="25210"/>
    <cellStyle name="Comma 4 3 3 3 2 2" xfId="54071"/>
    <cellStyle name="Comma 4 3 3 3 3" xfId="37024"/>
    <cellStyle name="Comma 4 3 3 4" xfId="11892"/>
    <cellStyle name="Comma 4 3 3 4 2" xfId="19438"/>
    <cellStyle name="Comma 4 3 3 4 2 2" xfId="48299"/>
    <cellStyle name="Comma 4 3 3 4 3" xfId="40753"/>
    <cellStyle name="Comma 4 3 3 5" xfId="16758"/>
    <cellStyle name="Comma 4 3 3 5 2" xfId="45619"/>
    <cellStyle name="Comma 4 3 3 6" xfId="30983"/>
    <cellStyle name="Comma 4 3 4" xfId="3051"/>
    <cellStyle name="Comma 4 3 4 2" xfId="9092"/>
    <cellStyle name="Comma 4 3 4 2 2" xfId="26139"/>
    <cellStyle name="Comma 4 3 4 2 2 2" xfId="55000"/>
    <cellStyle name="Comma 4 3 4 2 3" xfId="37953"/>
    <cellStyle name="Comma 4 3 4 3" xfId="20161"/>
    <cellStyle name="Comma 4 3 4 3 2" xfId="49022"/>
    <cellStyle name="Comma 4 3 4 4" xfId="31912"/>
    <cellStyle name="Comma 4 3 5" xfId="6206"/>
    <cellStyle name="Comma 4 3 5 2" xfId="23253"/>
    <cellStyle name="Comma 4 3 5 2 2" xfId="52114"/>
    <cellStyle name="Comma 4 3 5 3" xfId="35067"/>
    <cellStyle name="Comma 4 3 6" xfId="13000"/>
    <cellStyle name="Comma 4 3 6 2" xfId="17584"/>
    <cellStyle name="Comma 4 3 6 2 2" xfId="46445"/>
    <cellStyle name="Comma 4 3 6 3" xfId="41861"/>
    <cellStyle name="Comma 4 3 7" xfId="14801"/>
    <cellStyle name="Comma 4 3 7 2" xfId="43662"/>
    <cellStyle name="Comma 4 3 8" xfId="29026"/>
    <cellStyle name="Comma 4 4" xfId="370"/>
    <cellStyle name="Comma 4 4 2" xfId="3257"/>
    <cellStyle name="Comma 4 4 2 2" xfId="9298"/>
    <cellStyle name="Comma 4 4 2 2 2" xfId="26345"/>
    <cellStyle name="Comma 4 4 2 2 2 2" xfId="55206"/>
    <cellStyle name="Comma 4 4 2 2 3" xfId="38159"/>
    <cellStyle name="Comma 4 4 2 3" xfId="20367"/>
    <cellStyle name="Comma 4 4 2 3 2" xfId="49228"/>
    <cellStyle name="Comma 4 4 2 4" xfId="32118"/>
    <cellStyle name="Comma 4 4 3" xfId="6412"/>
    <cellStyle name="Comma 4 4 3 2" xfId="23459"/>
    <cellStyle name="Comma 4 4 3 2 2" xfId="52320"/>
    <cellStyle name="Comma 4 4 3 3" xfId="35273"/>
    <cellStyle name="Comma 4 4 4" xfId="14141"/>
    <cellStyle name="Comma 4 4 4 2" xfId="17687"/>
    <cellStyle name="Comma 4 4 4 2 2" xfId="46548"/>
    <cellStyle name="Comma 4 4 4 3" xfId="43002"/>
    <cellStyle name="Comma 4 4 5" xfId="15007"/>
    <cellStyle name="Comma 4 4 5 2" xfId="43868"/>
    <cellStyle name="Comma 4 4 6" xfId="29232"/>
    <cellStyle name="Comma 4 5" xfId="679"/>
    <cellStyle name="Comma 4 5 2" xfId="3566"/>
    <cellStyle name="Comma 4 5 2 2" xfId="9607"/>
    <cellStyle name="Comma 4 5 2 2 2" xfId="26654"/>
    <cellStyle name="Comma 4 5 2 2 2 2" xfId="55515"/>
    <cellStyle name="Comma 4 5 2 2 3" xfId="38468"/>
    <cellStyle name="Comma 4 5 2 3" xfId="20676"/>
    <cellStyle name="Comma 4 5 2 3 2" xfId="49537"/>
    <cellStyle name="Comma 4 5 2 4" xfId="32427"/>
    <cellStyle name="Comma 4 5 3" xfId="6721"/>
    <cellStyle name="Comma 4 5 3 2" xfId="23768"/>
    <cellStyle name="Comma 4 5 3 2 2" xfId="52629"/>
    <cellStyle name="Comma 4 5 3 3" xfId="35582"/>
    <cellStyle name="Comma 4 5 4" xfId="12466"/>
    <cellStyle name="Comma 4 5 4 2" xfId="17996"/>
    <cellStyle name="Comma 4 5 4 2 2" xfId="46857"/>
    <cellStyle name="Comma 4 5 4 3" xfId="41327"/>
    <cellStyle name="Comma 4 5 5" xfId="15316"/>
    <cellStyle name="Comma 4 5 5 2" xfId="44177"/>
    <cellStyle name="Comma 4 5 6" xfId="29541"/>
    <cellStyle name="Comma 4 6" xfId="885"/>
    <cellStyle name="Comma 4 6 2" xfId="3772"/>
    <cellStyle name="Comma 4 6 2 2" xfId="9813"/>
    <cellStyle name="Comma 4 6 2 2 2" xfId="26860"/>
    <cellStyle name="Comma 4 6 2 2 2 2" xfId="55721"/>
    <cellStyle name="Comma 4 6 2 2 3" xfId="38674"/>
    <cellStyle name="Comma 4 6 2 3" xfId="20882"/>
    <cellStyle name="Comma 4 6 2 3 2" xfId="49743"/>
    <cellStyle name="Comma 4 6 2 4" xfId="32633"/>
    <cellStyle name="Comma 4 6 3" xfId="6927"/>
    <cellStyle name="Comma 4 6 3 2" xfId="23974"/>
    <cellStyle name="Comma 4 6 3 2 2" xfId="52835"/>
    <cellStyle name="Comma 4 6 3 3" xfId="35788"/>
    <cellStyle name="Comma 4 6 4" xfId="12400"/>
    <cellStyle name="Comma 4 6 4 2" xfId="18202"/>
    <cellStyle name="Comma 4 6 4 2 2" xfId="47063"/>
    <cellStyle name="Comma 4 6 4 3" xfId="41261"/>
    <cellStyle name="Comma 4 6 5" xfId="15522"/>
    <cellStyle name="Comma 4 6 5 2" xfId="44383"/>
    <cellStyle name="Comma 4 6 6" xfId="29747"/>
    <cellStyle name="Comma 4 7" xfId="1091"/>
    <cellStyle name="Comma 4 7 2" xfId="3978"/>
    <cellStyle name="Comma 4 7 2 2" xfId="10019"/>
    <cellStyle name="Comma 4 7 2 2 2" xfId="27066"/>
    <cellStyle name="Comma 4 7 2 2 2 2" xfId="55927"/>
    <cellStyle name="Comma 4 7 2 2 3" xfId="38880"/>
    <cellStyle name="Comma 4 7 2 3" xfId="21088"/>
    <cellStyle name="Comma 4 7 2 3 2" xfId="49949"/>
    <cellStyle name="Comma 4 7 2 4" xfId="32839"/>
    <cellStyle name="Comma 4 7 3" xfId="7133"/>
    <cellStyle name="Comma 4 7 3 2" xfId="24180"/>
    <cellStyle name="Comma 4 7 3 2 2" xfId="53041"/>
    <cellStyle name="Comma 4 7 3 3" xfId="35994"/>
    <cellStyle name="Comma 4 7 4" xfId="13171"/>
    <cellStyle name="Comma 4 7 4 2" xfId="18408"/>
    <cellStyle name="Comma 4 7 4 2 2" xfId="47269"/>
    <cellStyle name="Comma 4 7 4 3" xfId="42032"/>
    <cellStyle name="Comma 4 7 5" xfId="15728"/>
    <cellStyle name="Comma 4 7 5 2" xfId="44589"/>
    <cellStyle name="Comma 4 7 6" xfId="29953"/>
    <cellStyle name="Comma 4 8" xfId="1297"/>
    <cellStyle name="Comma 4 8 2" xfId="4184"/>
    <cellStyle name="Comma 4 8 2 2" xfId="10225"/>
    <cellStyle name="Comma 4 8 2 2 2" xfId="27272"/>
    <cellStyle name="Comma 4 8 2 2 2 2" xfId="56133"/>
    <cellStyle name="Comma 4 8 2 2 3" xfId="39086"/>
    <cellStyle name="Comma 4 8 2 3" xfId="21294"/>
    <cellStyle name="Comma 4 8 2 3 2" xfId="50155"/>
    <cellStyle name="Comma 4 8 2 4" xfId="33045"/>
    <cellStyle name="Comma 4 8 3" xfId="7339"/>
    <cellStyle name="Comma 4 8 3 2" xfId="24386"/>
    <cellStyle name="Comma 4 8 3 2 2" xfId="53247"/>
    <cellStyle name="Comma 4 8 3 3" xfId="36200"/>
    <cellStyle name="Comma 4 8 4" xfId="13441"/>
    <cellStyle name="Comma 4 8 4 2" xfId="18614"/>
    <cellStyle name="Comma 4 8 4 2 2" xfId="47475"/>
    <cellStyle name="Comma 4 8 4 3" xfId="42302"/>
    <cellStyle name="Comma 4 8 5" xfId="15934"/>
    <cellStyle name="Comma 4 8 5 2" xfId="44795"/>
    <cellStyle name="Comma 4 8 6" xfId="30159"/>
    <cellStyle name="Comma 4 9" xfId="1503"/>
    <cellStyle name="Comma 4 9 2" xfId="4390"/>
    <cellStyle name="Comma 4 9 2 2" xfId="10431"/>
    <cellStyle name="Comma 4 9 2 2 2" xfId="27478"/>
    <cellStyle name="Comma 4 9 2 2 2 2" xfId="56339"/>
    <cellStyle name="Comma 4 9 2 2 3" xfId="39292"/>
    <cellStyle name="Comma 4 9 2 3" xfId="21500"/>
    <cellStyle name="Comma 4 9 2 3 2" xfId="50361"/>
    <cellStyle name="Comma 4 9 2 4" xfId="33251"/>
    <cellStyle name="Comma 4 9 3" xfId="7545"/>
    <cellStyle name="Comma 4 9 3 2" xfId="24592"/>
    <cellStyle name="Comma 4 9 3 2 2" xfId="53453"/>
    <cellStyle name="Comma 4 9 3 3" xfId="36406"/>
    <cellStyle name="Comma 4 9 4" xfId="14196"/>
    <cellStyle name="Comma 4 9 4 2" xfId="18820"/>
    <cellStyle name="Comma 4 9 4 2 2" xfId="47681"/>
    <cellStyle name="Comma 4 9 4 3" xfId="43057"/>
    <cellStyle name="Comma 4 9 5" xfId="16140"/>
    <cellStyle name="Comma 4 9 5 2" xfId="45001"/>
    <cellStyle name="Comma 4 9 6" xfId="30365"/>
    <cellStyle name="Comma 5" xfId="6"/>
    <cellStyle name="Comma 5 10" xfId="1710"/>
    <cellStyle name="Comma 5 10 2" xfId="4597"/>
    <cellStyle name="Comma 5 10 2 2" xfId="10638"/>
    <cellStyle name="Comma 5 10 2 2 2" xfId="27685"/>
    <cellStyle name="Comma 5 10 2 2 2 2" xfId="56546"/>
    <cellStyle name="Comma 5 10 2 2 3" xfId="39499"/>
    <cellStyle name="Comma 5 10 2 3" xfId="21707"/>
    <cellStyle name="Comma 5 10 2 3 2" xfId="50568"/>
    <cellStyle name="Comma 5 10 2 4" xfId="33458"/>
    <cellStyle name="Comma 5 10 3" xfId="7752"/>
    <cellStyle name="Comma 5 10 3 2" xfId="24799"/>
    <cellStyle name="Comma 5 10 3 2 2" xfId="53660"/>
    <cellStyle name="Comma 5 10 3 3" xfId="36613"/>
    <cellStyle name="Comma 5 10 4" xfId="12691"/>
    <cellStyle name="Comma 5 10 4 2" xfId="19027"/>
    <cellStyle name="Comma 5 10 4 2 2" xfId="47888"/>
    <cellStyle name="Comma 5 10 4 3" xfId="41552"/>
    <cellStyle name="Comma 5 10 5" xfId="16347"/>
    <cellStyle name="Comma 5 10 5 2" xfId="45208"/>
    <cellStyle name="Comma 5 10 6" xfId="30572"/>
    <cellStyle name="Comma 5 11" xfId="1916"/>
    <cellStyle name="Comma 5 11 2" xfId="4803"/>
    <cellStyle name="Comma 5 11 2 2" xfId="10844"/>
    <cellStyle name="Comma 5 11 2 2 2" xfId="27891"/>
    <cellStyle name="Comma 5 11 2 2 2 2" xfId="56752"/>
    <cellStyle name="Comma 5 11 2 2 3" xfId="39705"/>
    <cellStyle name="Comma 5 11 2 3" xfId="21913"/>
    <cellStyle name="Comma 5 11 2 3 2" xfId="50774"/>
    <cellStyle name="Comma 5 11 2 4" xfId="33664"/>
    <cellStyle name="Comma 5 11 3" xfId="7958"/>
    <cellStyle name="Comma 5 11 3 2" xfId="25005"/>
    <cellStyle name="Comma 5 11 3 2 2" xfId="53866"/>
    <cellStyle name="Comma 5 11 3 3" xfId="36819"/>
    <cellStyle name="Comma 5 11 4" xfId="12293"/>
    <cellStyle name="Comma 5 11 4 2" xfId="19233"/>
    <cellStyle name="Comma 5 11 4 2 2" xfId="48094"/>
    <cellStyle name="Comma 5 11 4 3" xfId="41154"/>
    <cellStyle name="Comma 5 11 5" xfId="16553"/>
    <cellStyle name="Comma 5 11 5 2" xfId="45414"/>
    <cellStyle name="Comma 5 11 6" xfId="30778"/>
    <cellStyle name="Comma 5 12" xfId="2328"/>
    <cellStyle name="Comma 5 12 2" xfId="5215"/>
    <cellStyle name="Comma 5 12 2 2" xfId="11256"/>
    <cellStyle name="Comma 5 12 2 2 2" xfId="28303"/>
    <cellStyle name="Comma 5 12 2 2 2 2" xfId="57164"/>
    <cellStyle name="Comma 5 12 2 2 3" xfId="40117"/>
    <cellStyle name="Comma 5 12 2 3" xfId="22325"/>
    <cellStyle name="Comma 5 12 2 3 2" xfId="51186"/>
    <cellStyle name="Comma 5 12 2 4" xfId="34076"/>
    <cellStyle name="Comma 5 12 3" xfId="8370"/>
    <cellStyle name="Comma 5 12 3 2" xfId="25417"/>
    <cellStyle name="Comma 5 12 3 2 2" xfId="54278"/>
    <cellStyle name="Comma 5 12 3 3" xfId="37231"/>
    <cellStyle name="Comma 5 12 4" xfId="13803"/>
    <cellStyle name="Comma 5 12 4 2" xfId="19645"/>
    <cellStyle name="Comma 5 12 4 2 2" xfId="48506"/>
    <cellStyle name="Comma 5 12 4 3" xfId="42664"/>
    <cellStyle name="Comma 5 12 5" xfId="16965"/>
    <cellStyle name="Comma 5 12 5 2" xfId="45826"/>
    <cellStyle name="Comma 5 12 6" xfId="31190"/>
    <cellStyle name="Comma 5 13" xfId="2537"/>
    <cellStyle name="Comma 5 13 2" xfId="5423"/>
    <cellStyle name="Comma 5 13 2 2" xfId="11464"/>
    <cellStyle name="Comma 5 13 2 2 2" xfId="28511"/>
    <cellStyle name="Comma 5 13 2 2 2 2" xfId="57372"/>
    <cellStyle name="Comma 5 13 2 2 3" xfId="40325"/>
    <cellStyle name="Comma 5 13 2 3" xfId="22533"/>
    <cellStyle name="Comma 5 13 2 3 2" xfId="51394"/>
    <cellStyle name="Comma 5 13 2 4" xfId="34284"/>
    <cellStyle name="Comma 5 13 3" xfId="8578"/>
    <cellStyle name="Comma 5 13 3 2" xfId="25625"/>
    <cellStyle name="Comma 5 13 3 2 2" xfId="54486"/>
    <cellStyle name="Comma 5 13 3 3" xfId="37439"/>
    <cellStyle name="Comma 5 13 4" xfId="13996"/>
    <cellStyle name="Comma 5 13 4 2" xfId="19853"/>
    <cellStyle name="Comma 5 13 4 2 2" xfId="48714"/>
    <cellStyle name="Comma 5 13 4 3" xfId="42857"/>
    <cellStyle name="Comma 5 13 5" xfId="17173"/>
    <cellStyle name="Comma 5 13 5 2" xfId="46034"/>
    <cellStyle name="Comma 5 13 6" xfId="31398"/>
    <cellStyle name="Comma 5 14" xfId="2949"/>
    <cellStyle name="Comma 5 14 2" xfId="8990"/>
    <cellStyle name="Comma 5 14 2 2" xfId="26037"/>
    <cellStyle name="Comma 5 14 2 2 2" xfId="54898"/>
    <cellStyle name="Comma 5 14 2 3" xfId="37851"/>
    <cellStyle name="Comma 5 14 3" xfId="11880"/>
    <cellStyle name="Comma 5 14 3 2" xfId="20059"/>
    <cellStyle name="Comma 5 14 3 2 2" xfId="48920"/>
    <cellStyle name="Comma 5 14 3 3" xfId="40741"/>
    <cellStyle name="Comma 5 14 4" xfId="14699"/>
    <cellStyle name="Comma 5 14 4 2" xfId="43560"/>
    <cellStyle name="Comma 5 14 5" xfId="31810"/>
    <cellStyle name="Comma 5 15" xfId="2743"/>
    <cellStyle name="Comma 5 15 2" xfId="8784"/>
    <cellStyle name="Comma 5 15 2 2" xfId="25831"/>
    <cellStyle name="Comma 5 15 2 2 2" xfId="54692"/>
    <cellStyle name="Comma 5 15 2 3" xfId="37645"/>
    <cellStyle name="Comma 5 15 3" xfId="17379"/>
    <cellStyle name="Comma 5 15 3 2" xfId="46240"/>
    <cellStyle name="Comma 5 15 4" xfId="31604"/>
    <cellStyle name="Comma 5 16" xfId="5629"/>
    <cellStyle name="Comma 5 16 2" xfId="11670"/>
    <cellStyle name="Comma 5 16 2 2" xfId="28717"/>
    <cellStyle name="Comma 5 16 2 2 2" xfId="57578"/>
    <cellStyle name="Comma 5 16 2 3" xfId="40531"/>
    <cellStyle name="Comma 5 16 3" xfId="22739"/>
    <cellStyle name="Comma 5 16 3 2" xfId="51600"/>
    <cellStyle name="Comma 5 16 4" xfId="34490"/>
    <cellStyle name="Comma 5 17" xfId="5837"/>
    <cellStyle name="Comma 5 17 2" xfId="22945"/>
    <cellStyle name="Comma 5 17 2 2" xfId="51806"/>
    <cellStyle name="Comma 5 17 3" xfId="34698"/>
    <cellStyle name="Comma 5 18" xfId="6104"/>
    <cellStyle name="Comma 5 18 2" xfId="23151"/>
    <cellStyle name="Comma 5 18 2 2" xfId="52012"/>
    <cellStyle name="Comma 5 18 3" xfId="34965"/>
    <cellStyle name="Comma 5 19" xfId="14493"/>
    <cellStyle name="Comma 5 19 2" xfId="43354"/>
    <cellStyle name="Comma 5 2" xfId="268"/>
    <cellStyle name="Comma 5 2 10" xfId="2431"/>
    <cellStyle name="Comma 5 2 10 2" xfId="5318"/>
    <cellStyle name="Comma 5 2 10 2 2" xfId="11359"/>
    <cellStyle name="Comma 5 2 10 2 2 2" xfId="28406"/>
    <cellStyle name="Comma 5 2 10 2 2 2 2" xfId="57267"/>
    <cellStyle name="Comma 5 2 10 2 2 3" xfId="40220"/>
    <cellStyle name="Comma 5 2 10 2 3" xfId="22428"/>
    <cellStyle name="Comma 5 2 10 2 3 2" xfId="51289"/>
    <cellStyle name="Comma 5 2 10 2 4" xfId="34179"/>
    <cellStyle name="Comma 5 2 10 3" xfId="8473"/>
    <cellStyle name="Comma 5 2 10 3 2" xfId="25520"/>
    <cellStyle name="Comma 5 2 10 3 2 2" xfId="54381"/>
    <cellStyle name="Comma 5 2 10 3 3" xfId="37334"/>
    <cellStyle name="Comma 5 2 10 4" xfId="12754"/>
    <cellStyle name="Comma 5 2 10 4 2" xfId="19748"/>
    <cellStyle name="Comma 5 2 10 4 2 2" xfId="48609"/>
    <cellStyle name="Comma 5 2 10 4 3" xfId="41615"/>
    <cellStyle name="Comma 5 2 10 5" xfId="17068"/>
    <cellStyle name="Comma 5 2 10 5 2" xfId="45929"/>
    <cellStyle name="Comma 5 2 10 6" xfId="31293"/>
    <cellStyle name="Comma 5 2 11" xfId="2640"/>
    <cellStyle name="Comma 5 2 11 2" xfId="5526"/>
    <cellStyle name="Comma 5 2 11 2 2" xfId="11567"/>
    <cellStyle name="Comma 5 2 11 2 2 2" xfId="28614"/>
    <cellStyle name="Comma 5 2 11 2 2 2 2" xfId="57475"/>
    <cellStyle name="Comma 5 2 11 2 2 3" xfId="40428"/>
    <cellStyle name="Comma 5 2 11 2 3" xfId="22636"/>
    <cellStyle name="Comma 5 2 11 2 3 2" xfId="51497"/>
    <cellStyle name="Comma 5 2 11 2 4" xfId="34387"/>
    <cellStyle name="Comma 5 2 11 3" xfId="8681"/>
    <cellStyle name="Comma 5 2 11 3 2" xfId="25728"/>
    <cellStyle name="Comma 5 2 11 3 2 2" xfId="54589"/>
    <cellStyle name="Comma 5 2 11 3 3" xfId="37542"/>
    <cellStyle name="Comma 5 2 11 4" xfId="13334"/>
    <cellStyle name="Comma 5 2 11 4 2" xfId="19956"/>
    <cellStyle name="Comma 5 2 11 4 2 2" xfId="48817"/>
    <cellStyle name="Comma 5 2 11 4 3" xfId="42195"/>
    <cellStyle name="Comma 5 2 11 5" xfId="17276"/>
    <cellStyle name="Comma 5 2 11 5 2" xfId="46137"/>
    <cellStyle name="Comma 5 2 11 6" xfId="31501"/>
    <cellStyle name="Comma 5 2 12" xfId="3155"/>
    <cellStyle name="Comma 5 2 12 2" xfId="9196"/>
    <cellStyle name="Comma 5 2 12 2 2" xfId="26243"/>
    <cellStyle name="Comma 5 2 12 2 2 2" xfId="55104"/>
    <cellStyle name="Comma 5 2 12 2 3" xfId="38057"/>
    <cellStyle name="Comma 5 2 12 3" xfId="13782"/>
    <cellStyle name="Comma 5 2 12 3 2" xfId="20265"/>
    <cellStyle name="Comma 5 2 12 3 2 2" xfId="49126"/>
    <cellStyle name="Comma 5 2 12 3 3" xfId="42643"/>
    <cellStyle name="Comma 5 2 12 4" xfId="14905"/>
    <cellStyle name="Comma 5 2 12 4 2" xfId="43766"/>
    <cellStyle name="Comma 5 2 12 5" xfId="32016"/>
    <cellStyle name="Comma 5 2 13" xfId="2846"/>
    <cellStyle name="Comma 5 2 13 2" xfId="8887"/>
    <cellStyle name="Comma 5 2 13 2 2" xfId="25934"/>
    <cellStyle name="Comma 5 2 13 2 2 2" xfId="54795"/>
    <cellStyle name="Comma 5 2 13 2 3" xfId="37748"/>
    <cellStyle name="Comma 5 2 13 3" xfId="17482"/>
    <cellStyle name="Comma 5 2 13 3 2" xfId="46343"/>
    <cellStyle name="Comma 5 2 13 4" xfId="31707"/>
    <cellStyle name="Comma 5 2 14" xfId="5732"/>
    <cellStyle name="Comma 5 2 14 2" xfId="11773"/>
    <cellStyle name="Comma 5 2 14 2 2" xfId="28820"/>
    <cellStyle name="Comma 5 2 14 2 2 2" xfId="57681"/>
    <cellStyle name="Comma 5 2 14 2 3" xfId="40634"/>
    <cellStyle name="Comma 5 2 14 3" xfId="22842"/>
    <cellStyle name="Comma 5 2 14 3 2" xfId="51703"/>
    <cellStyle name="Comma 5 2 14 4" xfId="34593"/>
    <cellStyle name="Comma 5 2 15" xfId="5949"/>
    <cellStyle name="Comma 5 2 15 2" xfId="23048"/>
    <cellStyle name="Comma 5 2 15 2 2" xfId="51909"/>
    <cellStyle name="Comma 5 2 15 3" xfId="34810"/>
    <cellStyle name="Comma 5 2 16" xfId="6310"/>
    <cellStyle name="Comma 5 2 16 2" xfId="23357"/>
    <cellStyle name="Comma 5 2 16 2 2" xfId="52218"/>
    <cellStyle name="Comma 5 2 16 3" xfId="35171"/>
    <cellStyle name="Comma 5 2 17" xfId="14596"/>
    <cellStyle name="Comma 5 2 17 2" xfId="43457"/>
    <cellStyle name="Comma 5 2 18" xfId="29130"/>
    <cellStyle name="Comma 5 2 2" xfId="474"/>
    <cellStyle name="Comma 5 2 2 2" xfId="2225"/>
    <cellStyle name="Comma 5 2 2 2 2" xfId="5112"/>
    <cellStyle name="Comma 5 2 2 2 2 2" xfId="11153"/>
    <cellStyle name="Comma 5 2 2 2 2 2 2" xfId="28200"/>
    <cellStyle name="Comma 5 2 2 2 2 2 2 2" xfId="57061"/>
    <cellStyle name="Comma 5 2 2 2 2 2 3" xfId="40014"/>
    <cellStyle name="Comma 5 2 2 2 2 3" xfId="22222"/>
    <cellStyle name="Comma 5 2 2 2 2 3 2" xfId="51083"/>
    <cellStyle name="Comma 5 2 2 2 2 4" xfId="33973"/>
    <cellStyle name="Comma 5 2 2 2 3" xfId="8267"/>
    <cellStyle name="Comma 5 2 2 2 3 2" xfId="25314"/>
    <cellStyle name="Comma 5 2 2 2 3 2 2" xfId="54175"/>
    <cellStyle name="Comma 5 2 2 2 3 3" xfId="37128"/>
    <cellStyle name="Comma 5 2 2 2 4" xfId="13556"/>
    <cellStyle name="Comma 5 2 2 2 4 2" xfId="19542"/>
    <cellStyle name="Comma 5 2 2 2 4 2 2" xfId="48403"/>
    <cellStyle name="Comma 5 2 2 2 4 3" xfId="42417"/>
    <cellStyle name="Comma 5 2 2 2 5" xfId="16862"/>
    <cellStyle name="Comma 5 2 2 2 5 2" xfId="45723"/>
    <cellStyle name="Comma 5 2 2 2 6" xfId="31087"/>
    <cellStyle name="Comma 5 2 2 3" xfId="3361"/>
    <cellStyle name="Comma 5 2 2 3 2" xfId="9402"/>
    <cellStyle name="Comma 5 2 2 3 2 2" xfId="26449"/>
    <cellStyle name="Comma 5 2 2 3 2 2 2" xfId="55310"/>
    <cellStyle name="Comma 5 2 2 3 2 3" xfId="38263"/>
    <cellStyle name="Comma 5 2 2 3 3" xfId="20471"/>
    <cellStyle name="Comma 5 2 2 3 3 2" xfId="49332"/>
    <cellStyle name="Comma 5 2 2 3 4" xfId="32222"/>
    <cellStyle name="Comma 5 2 2 4" xfId="6516"/>
    <cellStyle name="Comma 5 2 2 4 2" xfId="23563"/>
    <cellStyle name="Comma 5 2 2 4 2 2" xfId="52424"/>
    <cellStyle name="Comma 5 2 2 4 3" xfId="35377"/>
    <cellStyle name="Comma 5 2 2 5" xfId="12639"/>
    <cellStyle name="Comma 5 2 2 5 2" xfId="17791"/>
    <cellStyle name="Comma 5 2 2 5 2 2" xfId="46652"/>
    <cellStyle name="Comma 5 2 2 5 3" xfId="41500"/>
    <cellStyle name="Comma 5 2 2 6" xfId="15111"/>
    <cellStyle name="Comma 5 2 2 6 2" xfId="43972"/>
    <cellStyle name="Comma 5 2 2 7" xfId="29336"/>
    <cellStyle name="Comma 5 2 3" xfId="783"/>
    <cellStyle name="Comma 5 2 3 2" xfId="3670"/>
    <cellStyle name="Comma 5 2 3 2 2" xfId="9711"/>
    <cellStyle name="Comma 5 2 3 2 2 2" xfId="26758"/>
    <cellStyle name="Comma 5 2 3 2 2 2 2" xfId="55619"/>
    <cellStyle name="Comma 5 2 3 2 2 3" xfId="38572"/>
    <cellStyle name="Comma 5 2 3 2 3" xfId="20780"/>
    <cellStyle name="Comma 5 2 3 2 3 2" xfId="49641"/>
    <cellStyle name="Comma 5 2 3 2 4" xfId="32531"/>
    <cellStyle name="Comma 5 2 3 3" xfId="6825"/>
    <cellStyle name="Comma 5 2 3 3 2" xfId="23872"/>
    <cellStyle name="Comma 5 2 3 3 2 2" xfId="52733"/>
    <cellStyle name="Comma 5 2 3 3 3" xfId="35686"/>
    <cellStyle name="Comma 5 2 3 4" xfId="13063"/>
    <cellStyle name="Comma 5 2 3 4 2" xfId="18100"/>
    <cellStyle name="Comma 5 2 3 4 2 2" xfId="46961"/>
    <cellStyle name="Comma 5 2 3 4 3" xfId="41924"/>
    <cellStyle name="Comma 5 2 3 5" xfId="15420"/>
    <cellStyle name="Comma 5 2 3 5 2" xfId="44281"/>
    <cellStyle name="Comma 5 2 3 6" xfId="29645"/>
    <cellStyle name="Comma 5 2 4" xfId="989"/>
    <cellStyle name="Comma 5 2 4 2" xfId="3876"/>
    <cellStyle name="Comma 5 2 4 2 2" xfId="9917"/>
    <cellStyle name="Comma 5 2 4 2 2 2" xfId="26964"/>
    <cellStyle name="Comma 5 2 4 2 2 2 2" xfId="55825"/>
    <cellStyle name="Comma 5 2 4 2 2 3" xfId="38778"/>
    <cellStyle name="Comma 5 2 4 2 3" xfId="20986"/>
    <cellStyle name="Comma 5 2 4 2 3 2" xfId="49847"/>
    <cellStyle name="Comma 5 2 4 2 4" xfId="32737"/>
    <cellStyle name="Comma 5 2 4 3" xfId="7031"/>
    <cellStyle name="Comma 5 2 4 3 2" xfId="24078"/>
    <cellStyle name="Comma 5 2 4 3 2 2" xfId="52939"/>
    <cellStyle name="Comma 5 2 4 3 3" xfId="35892"/>
    <cellStyle name="Comma 5 2 4 4" xfId="12960"/>
    <cellStyle name="Comma 5 2 4 4 2" xfId="18306"/>
    <cellStyle name="Comma 5 2 4 4 2 2" xfId="47167"/>
    <cellStyle name="Comma 5 2 4 4 3" xfId="41821"/>
    <cellStyle name="Comma 5 2 4 5" xfId="15626"/>
    <cellStyle name="Comma 5 2 4 5 2" xfId="44487"/>
    <cellStyle name="Comma 5 2 4 6" xfId="29851"/>
    <cellStyle name="Comma 5 2 5" xfId="1195"/>
    <cellStyle name="Comma 5 2 5 2" xfId="4082"/>
    <cellStyle name="Comma 5 2 5 2 2" xfId="10123"/>
    <cellStyle name="Comma 5 2 5 2 2 2" xfId="27170"/>
    <cellStyle name="Comma 5 2 5 2 2 2 2" xfId="56031"/>
    <cellStyle name="Comma 5 2 5 2 2 3" xfId="38984"/>
    <cellStyle name="Comma 5 2 5 2 3" xfId="21192"/>
    <cellStyle name="Comma 5 2 5 2 3 2" xfId="50053"/>
    <cellStyle name="Comma 5 2 5 2 4" xfId="32943"/>
    <cellStyle name="Comma 5 2 5 3" xfId="7237"/>
    <cellStyle name="Comma 5 2 5 3 2" xfId="24284"/>
    <cellStyle name="Comma 5 2 5 3 2 2" xfId="53145"/>
    <cellStyle name="Comma 5 2 5 3 3" xfId="36098"/>
    <cellStyle name="Comma 5 2 5 4" xfId="12567"/>
    <cellStyle name="Comma 5 2 5 4 2" xfId="18512"/>
    <cellStyle name="Comma 5 2 5 4 2 2" xfId="47373"/>
    <cellStyle name="Comma 5 2 5 4 3" xfId="41428"/>
    <cellStyle name="Comma 5 2 5 5" xfId="15832"/>
    <cellStyle name="Comma 5 2 5 5 2" xfId="44693"/>
    <cellStyle name="Comma 5 2 5 6" xfId="30057"/>
    <cellStyle name="Comma 5 2 6" xfId="1401"/>
    <cellStyle name="Comma 5 2 6 2" xfId="4288"/>
    <cellStyle name="Comma 5 2 6 2 2" xfId="10329"/>
    <cellStyle name="Comma 5 2 6 2 2 2" xfId="27376"/>
    <cellStyle name="Comma 5 2 6 2 2 2 2" xfId="56237"/>
    <cellStyle name="Comma 5 2 6 2 2 3" xfId="39190"/>
    <cellStyle name="Comma 5 2 6 2 3" xfId="21398"/>
    <cellStyle name="Comma 5 2 6 2 3 2" xfId="50259"/>
    <cellStyle name="Comma 5 2 6 2 4" xfId="33149"/>
    <cellStyle name="Comma 5 2 6 3" xfId="7443"/>
    <cellStyle name="Comma 5 2 6 3 2" xfId="24490"/>
    <cellStyle name="Comma 5 2 6 3 2 2" xfId="53351"/>
    <cellStyle name="Comma 5 2 6 3 3" xfId="36304"/>
    <cellStyle name="Comma 5 2 6 4" xfId="12322"/>
    <cellStyle name="Comma 5 2 6 4 2" xfId="18718"/>
    <cellStyle name="Comma 5 2 6 4 2 2" xfId="47579"/>
    <cellStyle name="Comma 5 2 6 4 3" xfId="41183"/>
    <cellStyle name="Comma 5 2 6 5" xfId="16038"/>
    <cellStyle name="Comma 5 2 6 5 2" xfId="44899"/>
    <cellStyle name="Comma 5 2 6 6" xfId="30263"/>
    <cellStyle name="Comma 5 2 7" xfId="1607"/>
    <cellStyle name="Comma 5 2 7 2" xfId="4494"/>
    <cellStyle name="Comma 5 2 7 2 2" xfId="10535"/>
    <cellStyle name="Comma 5 2 7 2 2 2" xfId="27582"/>
    <cellStyle name="Comma 5 2 7 2 2 2 2" xfId="56443"/>
    <cellStyle name="Comma 5 2 7 2 2 3" xfId="39396"/>
    <cellStyle name="Comma 5 2 7 2 3" xfId="21604"/>
    <cellStyle name="Comma 5 2 7 2 3 2" xfId="50465"/>
    <cellStyle name="Comma 5 2 7 2 4" xfId="33355"/>
    <cellStyle name="Comma 5 2 7 3" xfId="7649"/>
    <cellStyle name="Comma 5 2 7 3 2" xfId="24696"/>
    <cellStyle name="Comma 5 2 7 3 2 2" xfId="53557"/>
    <cellStyle name="Comma 5 2 7 3 3" xfId="36510"/>
    <cellStyle name="Comma 5 2 7 4" xfId="12169"/>
    <cellStyle name="Comma 5 2 7 4 2" xfId="18924"/>
    <cellStyle name="Comma 5 2 7 4 2 2" xfId="47785"/>
    <cellStyle name="Comma 5 2 7 4 3" xfId="41030"/>
    <cellStyle name="Comma 5 2 7 5" xfId="16244"/>
    <cellStyle name="Comma 5 2 7 5 2" xfId="45105"/>
    <cellStyle name="Comma 5 2 7 6" xfId="30469"/>
    <cellStyle name="Comma 5 2 8" xfId="1813"/>
    <cellStyle name="Comma 5 2 8 2" xfId="4700"/>
    <cellStyle name="Comma 5 2 8 2 2" xfId="10741"/>
    <cellStyle name="Comma 5 2 8 2 2 2" xfId="27788"/>
    <cellStyle name="Comma 5 2 8 2 2 2 2" xfId="56649"/>
    <cellStyle name="Comma 5 2 8 2 2 3" xfId="39602"/>
    <cellStyle name="Comma 5 2 8 2 3" xfId="21810"/>
    <cellStyle name="Comma 5 2 8 2 3 2" xfId="50671"/>
    <cellStyle name="Comma 5 2 8 2 4" xfId="33561"/>
    <cellStyle name="Comma 5 2 8 3" xfId="7855"/>
    <cellStyle name="Comma 5 2 8 3 2" xfId="24902"/>
    <cellStyle name="Comma 5 2 8 3 2 2" xfId="53763"/>
    <cellStyle name="Comma 5 2 8 3 3" xfId="36716"/>
    <cellStyle name="Comma 5 2 8 4" xfId="13562"/>
    <cellStyle name="Comma 5 2 8 4 2" xfId="19130"/>
    <cellStyle name="Comma 5 2 8 4 2 2" xfId="47991"/>
    <cellStyle name="Comma 5 2 8 4 3" xfId="42423"/>
    <cellStyle name="Comma 5 2 8 5" xfId="16450"/>
    <cellStyle name="Comma 5 2 8 5 2" xfId="45311"/>
    <cellStyle name="Comma 5 2 8 6" xfId="30675"/>
    <cellStyle name="Comma 5 2 9" xfId="2019"/>
    <cellStyle name="Comma 5 2 9 2" xfId="4906"/>
    <cellStyle name="Comma 5 2 9 2 2" xfId="10947"/>
    <cellStyle name="Comma 5 2 9 2 2 2" xfId="27994"/>
    <cellStyle name="Comma 5 2 9 2 2 2 2" xfId="56855"/>
    <cellStyle name="Comma 5 2 9 2 2 3" xfId="39808"/>
    <cellStyle name="Comma 5 2 9 2 3" xfId="22016"/>
    <cellStyle name="Comma 5 2 9 2 3 2" xfId="50877"/>
    <cellStyle name="Comma 5 2 9 2 4" xfId="33767"/>
    <cellStyle name="Comma 5 2 9 3" xfId="8061"/>
    <cellStyle name="Comma 5 2 9 3 2" xfId="25108"/>
    <cellStyle name="Comma 5 2 9 3 2 2" xfId="53969"/>
    <cellStyle name="Comma 5 2 9 3 3" xfId="36922"/>
    <cellStyle name="Comma 5 2 9 4" xfId="13316"/>
    <cellStyle name="Comma 5 2 9 4 2" xfId="19336"/>
    <cellStyle name="Comma 5 2 9 4 2 2" xfId="48197"/>
    <cellStyle name="Comma 5 2 9 4 3" xfId="42177"/>
    <cellStyle name="Comma 5 2 9 5" xfId="16656"/>
    <cellStyle name="Comma 5 2 9 5 2" xfId="45517"/>
    <cellStyle name="Comma 5 2 9 6" xfId="30881"/>
    <cellStyle name="Comma 5 20" xfId="28924"/>
    <cellStyle name="Comma 5 3" xfId="165"/>
    <cellStyle name="Comma 5 3 2" xfId="577"/>
    <cellStyle name="Comma 5 3 2 2" xfId="3464"/>
    <cellStyle name="Comma 5 3 2 2 2" xfId="9505"/>
    <cellStyle name="Comma 5 3 2 2 2 2" xfId="26552"/>
    <cellStyle name="Comma 5 3 2 2 2 2 2" xfId="55413"/>
    <cellStyle name="Comma 5 3 2 2 2 3" xfId="38366"/>
    <cellStyle name="Comma 5 3 2 2 3" xfId="20574"/>
    <cellStyle name="Comma 5 3 2 2 3 2" xfId="49435"/>
    <cellStyle name="Comma 5 3 2 2 4" xfId="32325"/>
    <cellStyle name="Comma 5 3 2 3" xfId="6619"/>
    <cellStyle name="Comma 5 3 2 3 2" xfId="23666"/>
    <cellStyle name="Comma 5 3 2 3 2 2" xfId="52527"/>
    <cellStyle name="Comma 5 3 2 3 3" xfId="35480"/>
    <cellStyle name="Comma 5 3 2 4" xfId="14251"/>
    <cellStyle name="Comma 5 3 2 4 2" xfId="17894"/>
    <cellStyle name="Comma 5 3 2 4 2 2" xfId="46755"/>
    <cellStyle name="Comma 5 3 2 4 3" xfId="43112"/>
    <cellStyle name="Comma 5 3 2 5" xfId="15214"/>
    <cellStyle name="Comma 5 3 2 5 2" xfId="44075"/>
    <cellStyle name="Comma 5 3 2 6" xfId="29439"/>
    <cellStyle name="Comma 5 3 3" xfId="2122"/>
    <cellStyle name="Comma 5 3 3 2" xfId="5009"/>
    <cellStyle name="Comma 5 3 3 2 2" xfId="11050"/>
    <cellStyle name="Comma 5 3 3 2 2 2" xfId="28097"/>
    <cellStyle name="Comma 5 3 3 2 2 2 2" xfId="56958"/>
    <cellStyle name="Comma 5 3 3 2 2 3" xfId="39911"/>
    <cellStyle name="Comma 5 3 3 2 3" xfId="22119"/>
    <cellStyle name="Comma 5 3 3 2 3 2" xfId="50980"/>
    <cellStyle name="Comma 5 3 3 2 4" xfId="33870"/>
    <cellStyle name="Comma 5 3 3 3" xfId="8164"/>
    <cellStyle name="Comma 5 3 3 3 2" xfId="25211"/>
    <cellStyle name="Comma 5 3 3 3 2 2" xfId="54072"/>
    <cellStyle name="Comma 5 3 3 3 3" xfId="37025"/>
    <cellStyle name="Comma 5 3 3 4" xfId="11948"/>
    <cellStyle name="Comma 5 3 3 4 2" xfId="19439"/>
    <cellStyle name="Comma 5 3 3 4 2 2" xfId="48300"/>
    <cellStyle name="Comma 5 3 3 4 3" xfId="40809"/>
    <cellStyle name="Comma 5 3 3 5" xfId="16759"/>
    <cellStyle name="Comma 5 3 3 5 2" xfId="45620"/>
    <cellStyle name="Comma 5 3 3 6" xfId="30984"/>
    <cellStyle name="Comma 5 3 4" xfId="3052"/>
    <cellStyle name="Comma 5 3 4 2" xfId="9093"/>
    <cellStyle name="Comma 5 3 4 2 2" xfId="26140"/>
    <cellStyle name="Comma 5 3 4 2 2 2" xfId="55001"/>
    <cellStyle name="Comma 5 3 4 2 3" xfId="37954"/>
    <cellStyle name="Comma 5 3 4 3" xfId="20162"/>
    <cellStyle name="Comma 5 3 4 3 2" xfId="49023"/>
    <cellStyle name="Comma 5 3 4 4" xfId="31913"/>
    <cellStyle name="Comma 5 3 5" xfId="6207"/>
    <cellStyle name="Comma 5 3 5 2" xfId="23254"/>
    <cellStyle name="Comma 5 3 5 2 2" xfId="52115"/>
    <cellStyle name="Comma 5 3 5 3" xfId="35068"/>
    <cellStyle name="Comma 5 3 6" xfId="13751"/>
    <cellStyle name="Comma 5 3 6 2" xfId="17585"/>
    <cellStyle name="Comma 5 3 6 2 2" xfId="46446"/>
    <cellStyle name="Comma 5 3 6 3" xfId="42612"/>
    <cellStyle name="Comma 5 3 7" xfId="14802"/>
    <cellStyle name="Comma 5 3 7 2" xfId="43663"/>
    <cellStyle name="Comma 5 3 8" xfId="29027"/>
    <cellStyle name="Comma 5 4" xfId="371"/>
    <cellStyle name="Comma 5 4 2" xfId="3258"/>
    <cellStyle name="Comma 5 4 2 2" xfId="9299"/>
    <cellStyle name="Comma 5 4 2 2 2" xfId="26346"/>
    <cellStyle name="Comma 5 4 2 2 2 2" xfId="55207"/>
    <cellStyle name="Comma 5 4 2 2 3" xfId="38160"/>
    <cellStyle name="Comma 5 4 2 3" xfId="20368"/>
    <cellStyle name="Comma 5 4 2 3 2" xfId="49229"/>
    <cellStyle name="Comma 5 4 2 4" xfId="32119"/>
    <cellStyle name="Comma 5 4 3" xfId="6413"/>
    <cellStyle name="Comma 5 4 3 2" xfId="23460"/>
    <cellStyle name="Comma 5 4 3 2 2" xfId="52321"/>
    <cellStyle name="Comma 5 4 3 3" xfId="35274"/>
    <cellStyle name="Comma 5 4 4" xfId="13253"/>
    <cellStyle name="Comma 5 4 4 2" xfId="17688"/>
    <cellStyle name="Comma 5 4 4 2 2" xfId="46549"/>
    <cellStyle name="Comma 5 4 4 3" xfId="42114"/>
    <cellStyle name="Comma 5 4 5" xfId="15008"/>
    <cellStyle name="Comma 5 4 5 2" xfId="43869"/>
    <cellStyle name="Comma 5 4 6" xfId="29233"/>
    <cellStyle name="Comma 5 5" xfId="680"/>
    <cellStyle name="Comma 5 5 2" xfId="3567"/>
    <cellStyle name="Comma 5 5 2 2" xfId="9608"/>
    <cellStyle name="Comma 5 5 2 2 2" xfId="26655"/>
    <cellStyle name="Comma 5 5 2 2 2 2" xfId="55516"/>
    <cellStyle name="Comma 5 5 2 2 3" xfId="38469"/>
    <cellStyle name="Comma 5 5 2 3" xfId="20677"/>
    <cellStyle name="Comma 5 5 2 3 2" xfId="49538"/>
    <cellStyle name="Comma 5 5 2 4" xfId="32428"/>
    <cellStyle name="Comma 5 5 3" xfId="6722"/>
    <cellStyle name="Comma 5 5 3 2" xfId="23769"/>
    <cellStyle name="Comma 5 5 3 2 2" xfId="52630"/>
    <cellStyle name="Comma 5 5 3 3" xfId="35583"/>
    <cellStyle name="Comma 5 5 4" xfId="11903"/>
    <cellStyle name="Comma 5 5 4 2" xfId="17997"/>
    <cellStyle name="Comma 5 5 4 2 2" xfId="46858"/>
    <cellStyle name="Comma 5 5 4 3" xfId="40764"/>
    <cellStyle name="Comma 5 5 5" xfId="15317"/>
    <cellStyle name="Comma 5 5 5 2" xfId="44178"/>
    <cellStyle name="Comma 5 5 6" xfId="29542"/>
    <cellStyle name="Comma 5 6" xfId="886"/>
    <cellStyle name="Comma 5 6 2" xfId="3773"/>
    <cellStyle name="Comma 5 6 2 2" xfId="9814"/>
    <cellStyle name="Comma 5 6 2 2 2" xfId="26861"/>
    <cellStyle name="Comma 5 6 2 2 2 2" xfId="55722"/>
    <cellStyle name="Comma 5 6 2 2 3" xfId="38675"/>
    <cellStyle name="Comma 5 6 2 3" xfId="20883"/>
    <cellStyle name="Comma 5 6 2 3 2" xfId="49744"/>
    <cellStyle name="Comma 5 6 2 4" xfId="32634"/>
    <cellStyle name="Comma 5 6 3" xfId="6928"/>
    <cellStyle name="Comma 5 6 3 2" xfId="23975"/>
    <cellStyle name="Comma 5 6 3 2 2" xfId="52836"/>
    <cellStyle name="Comma 5 6 3 3" xfId="35789"/>
    <cellStyle name="Comma 5 6 4" xfId="14085"/>
    <cellStyle name="Comma 5 6 4 2" xfId="18203"/>
    <cellStyle name="Comma 5 6 4 2 2" xfId="47064"/>
    <cellStyle name="Comma 5 6 4 3" xfId="42946"/>
    <cellStyle name="Comma 5 6 5" xfId="15523"/>
    <cellStyle name="Comma 5 6 5 2" xfId="44384"/>
    <cellStyle name="Comma 5 6 6" xfId="29748"/>
    <cellStyle name="Comma 5 7" xfId="1092"/>
    <cellStyle name="Comma 5 7 2" xfId="3979"/>
    <cellStyle name="Comma 5 7 2 2" xfId="10020"/>
    <cellStyle name="Comma 5 7 2 2 2" xfId="27067"/>
    <cellStyle name="Comma 5 7 2 2 2 2" xfId="55928"/>
    <cellStyle name="Comma 5 7 2 2 3" xfId="38881"/>
    <cellStyle name="Comma 5 7 2 3" xfId="21089"/>
    <cellStyle name="Comma 5 7 2 3 2" xfId="49950"/>
    <cellStyle name="Comma 5 7 2 4" xfId="32840"/>
    <cellStyle name="Comma 5 7 3" xfId="7134"/>
    <cellStyle name="Comma 5 7 3 2" xfId="24181"/>
    <cellStyle name="Comma 5 7 3 2 2" xfId="53042"/>
    <cellStyle name="Comma 5 7 3 3" xfId="35995"/>
    <cellStyle name="Comma 5 7 4" xfId="12387"/>
    <cellStyle name="Comma 5 7 4 2" xfId="18409"/>
    <cellStyle name="Comma 5 7 4 2 2" xfId="47270"/>
    <cellStyle name="Comma 5 7 4 3" xfId="41248"/>
    <cellStyle name="Comma 5 7 5" xfId="15729"/>
    <cellStyle name="Comma 5 7 5 2" xfId="44590"/>
    <cellStyle name="Comma 5 7 6" xfId="29954"/>
    <cellStyle name="Comma 5 8" xfId="1298"/>
    <cellStyle name="Comma 5 8 2" xfId="4185"/>
    <cellStyle name="Comma 5 8 2 2" xfId="10226"/>
    <cellStyle name="Comma 5 8 2 2 2" xfId="27273"/>
    <cellStyle name="Comma 5 8 2 2 2 2" xfId="56134"/>
    <cellStyle name="Comma 5 8 2 2 3" xfId="39087"/>
    <cellStyle name="Comma 5 8 2 3" xfId="21295"/>
    <cellStyle name="Comma 5 8 2 3 2" xfId="50156"/>
    <cellStyle name="Comma 5 8 2 4" xfId="33046"/>
    <cellStyle name="Comma 5 8 3" xfId="7340"/>
    <cellStyle name="Comma 5 8 3 2" xfId="24387"/>
    <cellStyle name="Comma 5 8 3 2 2" xfId="53248"/>
    <cellStyle name="Comma 5 8 3 3" xfId="36201"/>
    <cellStyle name="Comma 5 8 4" xfId="12948"/>
    <cellStyle name="Comma 5 8 4 2" xfId="18615"/>
    <cellStyle name="Comma 5 8 4 2 2" xfId="47476"/>
    <cellStyle name="Comma 5 8 4 3" xfId="41809"/>
    <cellStyle name="Comma 5 8 5" xfId="15935"/>
    <cellStyle name="Comma 5 8 5 2" xfId="44796"/>
    <cellStyle name="Comma 5 8 6" xfId="30160"/>
    <cellStyle name="Comma 5 9" xfId="1504"/>
    <cellStyle name="Comma 5 9 2" xfId="4391"/>
    <cellStyle name="Comma 5 9 2 2" xfId="10432"/>
    <cellStyle name="Comma 5 9 2 2 2" xfId="27479"/>
    <cellStyle name="Comma 5 9 2 2 2 2" xfId="56340"/>
    <cellStyle name="Comma 5 9 2 2 3" xfId="39293"/>
    <cellStyle name="Comma 5 9 2 3" xfId="21501"/>
    <cellStyle name="Comma 5 9 2 3 2" xfId="50362"/>
    <cellStyle name="Comma 5 9 2 4" xfId="33252"/>
    <cellStyle name="Comma 5 9 3" xfId="7546"/>
    <cellStyle name="Comma 5 9 3 2" xfId="24593"/>
    <cellStyle name="Comma 5 9 3 2 2" xfId="53454"/>
    <cellStyle name="Comma 5 9 3 3" xfId="36407"/>
    <cellStyle name="Comma 5 9 4" xfId="13300"/>
    <cellStyle name="Comma 5 9 4 2" xfId="18821"/>
    <cellStyle name="Comma 5 9 4 2 2" xfId="47682"/>
    <cellStyle name="Comma 5 9 4 3" xfId="42161"/>
    <cellStyle name="Comma 5 9 5" xfId="16141"/>
    <cellStyle name="Comma 5 9 5 2" xfId="45002"/>
    <cellStyle name="Comma 5 9 6" xfId="30366"/>
    <cellStyle name="Comma 6" xfId="158"/>
    <cellStyle name="Comma 6 10" xfId="1806"/>
    <cellStyle name="Comma 6 10 2" xfId="4693"/>
    <cellStyle name="Comma 6 10 2 2" xfId="10734"/>
    <cellStyle name="Comma 6 10 2 2 2" xfId="27781"/>
    <cellStyle name="Comma 6 10 2 2 2 2" xfId="56642"/>
    <cellStyle name="Comma 6 10 2 2 3" xfId="39595"/>
    <cellStyle name="Comma 6 10 2 3" xfId="21803"/>
    <cellStyle name="Comma 6 10 2 3 2" xfId="50664"/>
    <cellStyle name="Comma 6 10 2 4" xfId="33554"/>
    <cellStyle name="Comma 6 10 3" xfId="7848"/>
    <cellStyle name="Comma 6 10 3 2" xfId="24895"/>
    <cellStyle name="Comma 6 10 3 2 2" xfId="53756"/>
    <cellStyle name="Comma 6 10 3 3" xfId="36709"/>
    <cellStyle name="Comma 6 10 4" xfId="12204"/>
    <cellStyle name="Comma 6 10 4 2" xfId="19123"/>
    <cellStyle name="Comma 6 10 4 2 2" xfId="47984"/>
    <cellStyle name="Comma 6 10 4 3" xfId="41065"/>
    <cellStyle name="Comma 6 10 5" xfId="16443"/>
    <cellStyle name="Comma 6 10 5 2" xfId="45304"/>
    <cellStyle name="Comma 6 10 6" xfId="30668"/>
    <cellStyle name="Comma 6 11" xfId="2012"/>
    <cellStyle name="Comma 6 11 2" xfId="4899"/>
    <cellStyle name="Comma 6 11 2 2" xfId="10940"/>
    <cellStyle name="Comma 6 11 2 2 2" xfId="27987"/>
    <cellStyle name="Comma 6 11 2 2 2 2" xfId="56848"/>
    <cellStyle name="Comma 6 11 2 2 3" xfId="39801"/>
    <cellStyle name="Comma 6 11 2 3" xfId="22009"/>
    <cellStyle name="Comma 6 11 2 3 2" xfId="50870"/>
    <cellStyle name="Comma 6 11 2 4" xfId="33760"/>
    <cellStyle name="Comma 6 11 3" xfId="8054"/>
    <cellStyle name="Comma 6 11 3 2" xfId="25101"/>
    <cellStyle name="Comma 6 11 3 2 2" xfId="53962"/>
    <cellStyle name="Comma 6 11 3 3" xfId="36915"/>
    <cellStyle name="Comma 6 11 4" xfId="5861"/>
    <cellStyle name="Comma 6 11 4 2" xfId="19329"/>
    <cellStyle name="Comma 6 11 4 2 2" xfId="48190"/>
    <cellStyle name="Comma 6 11 4 3" xfId="34722"/>
    <cellStyle name="Comma 6 11 5" xfId="16649"/>
    <cellStyle name="Comma 6 11 5 2" xfId="45510"/>
    <cellStyle name="Comma 6 11 6" xfId="30874"/>
    <cellStyle name="Comma 6 12" xfId="2424"/>
    <cellStyle name="Comma 6 12 2" xfId="5311"/>
    <cellStyle name="Comma 6 12 2 2" xfId="11352"/>
    <cellStyle name="Comma 6 12 2 2 2" xfId="28399"/>
    <cellStyle name="Comma 6 12 2 2 2 2" xfId="57260"/>
    <cellStyle name="Comma 6 12 2 2 3" xfId="40213"/>
    <cellStyle name="Comma 6 12 2 3" xfId="22421"/>
    <cellStyle name="Comma 6 12 2 3 2" xfId="51282"/>
    <cellStyle name="Comma 6 12 2 4" xfId="34172"/>
    <cellStyle name="Comma 6 12 3" xfId="8466"/>
    <cellStyle name="Comma 6 12 3 2" xfId="25513"/>
    <cellStyle name="Comma 6 12 3 2 2" xfId="54374"/>
    <cellStyle name="Comma 6 12 3 3" xfId="37327"/>
    <cellStyle name="Comma 6 12 4" xfId="12313"/>
    <cellStyle name="Comma 6 12 4 2" xfId="19741"/>
    <cellStyle name="Comma 6 12 4 2 2" xfId="48602"/>
    <cellStyle name="Comma 6 12 4 3" xfId="41174"/>
    <cellStyle name="Comma 6 12 5" xfId="17061"/>
    <cellStyle name="Comma 6 12 5 2" xfId="45922"/>
    <cellStyle name="Comma 6 12 6" xfId="31286"/>
    <cellStyle name="Comma 6 13" xfId="2633"/>
    <cellStyle name="Comma 6 13 2" xfId="5519"/>
    <cellStyle name="Comma 6 13 2 2" xfId="11560"/>
    <cellStyle name="Comma 6 13 2 2 2" xfId="28607"/>
    <cellStyle name="Comma 6 13 2 2 2 2" xfId="57468"/>
    <cellStyle name="Comma 6 13 2 2 3" xfId="40421"/>
    <cellStyle name="Comma 6 13 2 3" xfId="22629"/>
    <cellStyle name="Comma 6 13 2 3 2" xfId="51490"/>
    <cellStyle name="Comma 6 13 2 4" xfId="34380"/>
    <cellStyle name="Comma 6 13 3" xfId="8674"/>
    <cellStyle name="Comma 6 13 3 2" xfId="25721"/>
    <cellStyle name="Comma 6 13 3 2 2" xfId="54582"/>
    <cellStyle name="Comma 6 13 3 3" xfId="37535"/>
    <cellStyle name="Comma 6 13 4" xfId="12348"/>
    <cellStyle name="Comma 6 13 4 2" xfId="19949"/>
    <cellStyle name="Comma 6 13 4 2 2" xfId="48810"/>
    <cellStyle name="Comma 6 13 4 3" xfId="41209"/>
    <cellStyle name="Comma 6 13 5" xfId="17269"/>
    <cellStyle name="Comma 6 13 5 2" xfId="46130"/>
    <cellStyle name="Comma 6 13 6" xfId="31494"/>
    <cellStyle name="Comma 6 14" xfId="3045"/>
    <cellStyle name="Comma 6 14 2" xfId="9086"/>
    <cellStyle name="Comma 6 14 2 2" xfId="26133"/>
    <cellStyle name="Comma 6 14 2 2 2" xfId="54994"/>
    <cellStyle name="Comma 6 14 2 3" xfId="37947"/>
    <cellStyle name="Comma 6 14 3" xfId="13638"/>
    <cellStyle name="Comma 6 14 3 2" xfId="20155"/>
    <cellStyle name="Comma 6 14 3 2 2" xfId="49016"/>
    <cellStyle name="Comma 6 14 3 3" xfId="42499"/>
    <cellStyle name="Comma 6 14 4" xfId="14795"/>
    <cellStyle name="Comma 6 14 4 2" xfId="43656"/>
    <cellStyle name="Comma 6 14 5" xfId="31906"/>
    <cellStyle name="Comma 6 15" xfId="2839"/>
    <cellStyle name="Comma 6 15 2" xfId="8880"/>
    <cellStyle name="Comma 6 15 2 2" xfId="25927"/>
    <cellStyle name="Comma 6 15 2 2 2" xfId="54788"/>
    <cellStyle name="Comma 6 15 2 3" xfId="37741"/>
    <cellStyle name="Comma 6 15 3" xfId="17475"/>
    <cellStyle name="Comma 6 15 3 2" xfId="46336"/>
    <cellStyle name="Comma 6 15 4" xfId="31700"/>
    <cellStyle name="Comma 6 16" xfId="5725"/>
    <cellStyle name="Comma 6 16 2" xfId="11766"/>
    <cellStyle name="Comma 6 16 2 2" xfId="28813"/>
    <cellStyle name="Comma 6 16 2 2 2" xfId="57674"/>
    <cellStyle name="Comma 6 16 2 3" xfId="40627"/>
    <cellStyle name="Comma 6 16 3" xfId="22835"/>
    <cellStyle name="Comma 6 16 3 2" xfId="51696"/>
    <cellStyle name="Comma 6 16 4" xfId="34586"/>
    <cellStyle name="Comma 6 17" xfId="5942"/>
    <cellStyle name="Comma 6 17 2" xfId="23041"/>
    <cellStyle name="Comma 6 17 2 2" xfId="51902"/>
    <cellStyle name="Comma 6 17 3" xfId="34803"/>
    <cellStyle name="Comma 6 18" xfId="6200"/>
    <cellStyle name="Comma 6 18 2" xfId="23247"/>
    <cellStyle name="Comma 6 18 2 2" xfId="52108"/>
    <cellStyle name="Comma 6 18 3" xfId="35061"/>
    <cellStyle name="Comma 6 19" xfId="14589"/>
    <cellStyle name="Comma 6 19 2" xfId="43450"/>
    <cellStyle name="Comma 6 2" xfId="364"/>
    <cellStyle name="Comma 6 2 10" xfId="2527"/>
    <cellStyle name="Comma 6 2 10 2" xfId="5414"/>
    <cellStyle name="Comma 6 2 10 2 2" xfId="11455"/>
    <cellStyle name="Comma 6 2 10 2 2 2" xfId="28502"/>
    <cellStyle name="Comma 6 2 10 2 2 2 2" xfId="57363"/>
    <cellStyle name="Comma 6 2 10 2 2 3" xfId="40316"/>
    <cellStyle name="Comma 6 2 10 2 3" xfId="22524"/>
    <cellStyle name="Comma 6 2 10 2 3 2" xfId="51385"/>
    <cellStyle name="Comma 6 2 10 2 4" xfId="34275"/>
    <cellStyle name="Comma 6 2 10 3" xfId="8569"/>
    <cellStyle name="Comma 6 2 10 3 2" xfId="25616"/>
    <cellStyle name="Comma 6 2 10 3 2 2" xfId="54477"/>
    <cellStyle name="Comma 6 2 10 3 3" xfId="37430"/>
    <cellStyle name="Comma 6 2 10 4" xfId="12771"/>
    <cellStyle name="Comma 6 2 10 4 2" xfId="19844"/>
    <cellStyle name="Comma 6 2 10 4 2 2" xfId="48705"/>
    <cellStyle name="Comma 6 2 10 4 3" xfId="41632"/>
    <cellStyle name="Comma 6 2 10 5" xfId="17164"/>
    <cellStyle name="Comma 6 2 10 5 2" xfId="46025"/>
    <cellStyle name="Comma 6 2 10 6" xfId="31389"/>
    <cellStyle name="Comma 6 2 11" xfId="2736"/>
    <cellStyle name="Comma 6 2 11 2" xfId="5622"/>
    <cellStyle name="Comma 6 2 11 2 2" xfId="11663"/>
    <cellStyle name="Comma 6 2 11 2 2 2" xfId="28710"/>
    <cellStyle name="Comma 6 2 11 2 2 2 2" xfId="57571"/>
    <cellStyle name="Comma 6 2 11 2 2 3" xfId="40524"/>
    <cellStyle name="Comma 6 2 11 2 3" xfId="22732"/>
    <cellStyle name="Comma 6 2 11 2 3 2" xfId="51593"/>
    <cellStyle name="Comma 6 2 11 2 4" xfId="34483"/>
    <cellStyle name="Comma 6 2 11 3" xfId="8777"/>
    <cellStyle name="Comma 6 2 11 3 2" xfId="25824"/>
    <cellStyle name="Comma 6 2 11 3 2 2" xfId="54685"/>
    <cellStyle name="Comma 6 2 11 3 3" xfId="37638"/>
    <cellStyle name="Comma 6 2 11 4" xfId="13306"/>
    <cellStyle name="Comma 6 2 11 4 2" xfId="20052"/>
    <cellStyle name="Comma 6 2 11 4 2 2" xfId="48913"/>
    <cellStyle name="Comma 6 2 11 4 3" xfId="42167"/>
    <cellStyle name="Comma 6 2 11 5" xfId="17372"/>
    <cellStyle name="Comma 6 2 11 5 2" xfId="46233"/>
    <cellStyle name="Comma 6 2 11 6" xfId="31597"/>
    <cellStyle name="Comma 6 2 12" xfId="3251"/>
    <cellStyle name="Comma 6 2 12 2" xfId="9292"/>
    <cellStyle name="Comma 6 2 12 2 2" xfId="26339"/>
    <cellStyle name="Comma 6 2 12 2 2 2" xfId="55200"/>
    <cellStyle name="Comma 6 2 12 2 3" xfId="38153"/>
    <cellStyle name="Comma 6 2 12 3" xfId="13869"/>
    <cellStyle name="Comma 6 2 12 3 2" xfId="20361"/>
    <cellStyle name="Comma 6 2 12 3 2 2" xfId="49222"/>
    <cellStyle name="Comma 6 2 12 3 3" xfId="42730"/>
    <cellStyle name="Comma 6 2 12 4" xfId="15001"/>
    <cellStyle name="Comma 6 2 12 4 2" xfId="43862"/>
    <cellStyle name="Comma 6 2 12 5" xfId="32112"/>
    <cellStyle name="Comma 6 2 13" xfId="2942"/>
    <cellStyle name="Comma 6 2 13 2" xfId="8983"/>
    <cellStyle name="Comma 6 2 13 2 2" xfId="26030"/>
    <cellStyle name="Comma 6 2 13 2 2 2" xfId="54891"/>
    <cellStyle name="Comma 6 2 13 2 3" xfId="37844"/>
    <cellStyle name="Comma 6 2 13 3" xfId="17578"/>
    <cellStyle name="Comma 6 2 13 3 2" xfId="46439"/>
    <cellStyle name="Comma 6 2 13 4" xfId="31803"/>
    <cellStyle name="Comma 6 2 14" xfId="5828"/>
    <cellStyle name="Comma 6 2 14 2" xfId="11869"/>
    <cellStyle name="Comma 6 2 14 2 2" xfId="28916"/>
    <cellStyle name="Comma 6 2 14 2 2 2" xfId="57777"/>
    <cellStyle name="Comma 6 2 14 2 3" xfId="40730"/>
    <cellStyle name="Comma 6 2 14 3" xfId="22938"/>
    <cellStyle name="Comma 6 2 14 3 2" xfId="51799"/>
    <cellStyle name="Comma 6 2 14 4" xfId="34689"/>
    <cellStyle name="Comma 6 2 15" xfId="6045"/>
    <cellStyle name="Comma 6 2 15 2" xfId="23144"/>
    <cellStyle name="Comma 6 2 15 2 2" xfId="52005"/>
    <cellStyle name="Comma 6 2 15 3" xfId="34906"/>
    <cellStyle name="Comma 6 2 16" xfId="6406"/>
    <cellStyle name="Comma 6 2 16 2" xfId="23453"/>
    <cellStyle name="Comma 6 2 16 2 2" xfId="52314"/>
    <cellStyle name="Comma 6 2 16 3" xfId="35267"/>
    <cellStyle name="Comma 6 2 17" xfId="14692"/>
    <cellStyle name="Comma 6 2 17 2" xfId="43553"/>
    <cellStyle name="Comma 6 2 18" xfId="29226"/>
    <cellStyle name="Comma 6 2 2" xfId="570"/>
    <cellStyle name="Comma 6 2 2 2" xfId="2321"/>
    <cellStyle name="Comma 6 2 2 2 2" xfId="5208"/>
    <cellStyle name="Comma 6 2 2 2 2 2" xfId="11249"/>
    <cellStyle name="Comma 6 2 2 2 2 2 2" xfId="28296"/>
    <cellStyle name="Comma 6 2 2 2 2 2 2 2" xfId="57157"/>
    <cellStyle name="Comma 6 2 2 2 2 2 3" xfId="40110"/>
    <cellStyle name="Comma 6 2 2 2 2 3" xfId="22318"/>
    <cellStyle name="Comma 6 2 2 2 2 3 2" xfId="51179"/>
    <cellStyle name="Comma 6 2 2 2 2 4" xfId="34069"/>
    <cellStyle name="Comma 6 2 2 2 3" xfId="8363"/>
    <cellStyle name="Comma 6 2 2 2 3 2" xfId="25410"/>
    <cellStyle name="Comma 6 2 2 2 3 2 2" xfId="54271"/>
    <cellStyle name="Comma 6 2 2 2 3 3" xfId="37224"/>
    <cellStyle name="Comma 6 2 2 2 4" xfId="14107"/>
    <cellStyle name="Comma 6 2 2 2 4 2" xfId="19638"/>
    <cellStyle name="Comma 6 2 2 2 4 2 2" xfId="48499"/>
    <cellStyle name="Comma 6 2 2 2 4 3" xfId="42968"/>
    <cellStyle name="Comma 6 2 2 2 5" xfId="16958"/>
    <cellStyle name="Comma 6 2 2 2 5 2" xfId="45819"/>
    <cellStyle name="Comma 6 2 2 2 6" xfId="31183"/>
    <cellStyle name="Comma 6 2 2 3" xfId="3457"/>
    <cellStyle name="Comma 6 2 2 3 2" xfId="9498"/>
    <cellStyle name="Comma 6 2 2 3 2 2" xfId="26545"/>
    <cellStyle name="Comma 6 2 2 3 2 2 2" xfId="55406"/>
    <cellStyle name="Comma 6 2 2 3 2 3" xfId="38359"/>
    <cellStyle name="Comma 6 2 2 3 3" xfId="20567"/>
    <cellStyle name="Comma 6 2 2 3 3 2" xfId="49428"/>
    <cellStyle name="Comma 6 2 2 3 4" xfId="32318"/>
    <cellStyle name="Comma 6 2 2 4" xfId="6612"/>
    <cellStyle name="Comma 6 2 2 4 2" xfId="23659"/>
    <cellStyle name="Comma 6 2 2 4 2 2" xfId="52520"/>
    <cellStyle name="Comma 6 2 2 4 3" xfId="35473"/>
    <cellStyle name="Comma 6 2 2 5" xfId="12996"/>
    <cellStyle name="Comma 6 2 2 5 2" xfId="17887"/>
    <cellStyle name="Comma 6 2 2 5 2 2" xfId="46748"/>
    <cellStyle name="Comma 6 2 2 5 3" xfId="41857"/>
    <cellStyle name="Comma 6 2 2 6" xfId="15207"/>
    <cellStyle name="Comma 6 2 2 6 2" xfId="44068"/>
    <cellStyle name="Comma 6 2 2 7" xfId="29432"/>
    <cellStyle name="Comma 6 2 3" xfId="879"/>
    <cellStyle name="Comma 6 2 3 2" xfId="3766"/>
    <cellStyle name="Comma 6 2 3 2 2" xfId="9807"/>
    <cellStyle name="Comma 6 2 3 2 2 2" xfId="26854"/>
    <cellStyle name="Comma 6 2 3 2 2 2 2" xfId="55715"/>
    <cellStyle name="Comma 6 2 3 2 2 3" xfId="38668"/>
    <cellStyle name="Comma 6 2 3 2 3" xfId="20876"/>
    <cellStyle name="Comma 6 2 3 2 3 2" xfId="49737"/>
    <cellStyle name="Comma 6 2 3 2 4" xfId="32627"/>
    <cellStyle name="Comma 6 2 3 3" xfId="6921"/>
    <cellStyle name="Comma 6 2 3 3 2" xfId="23968"/>
    <cellStyle name="Comma 6 2 3 3 2 2" xfId="52829"/>
    <cellStyle name="Comma 6 2 3 3 3" xfId="35782"/>
    <cellStyle name="Comma 6 2 3 4" xfId="12813"/>
    <cellStyle name="Comma 6 2 3 4 2" xfId="18196"/>
    <cellStyle name="Comma 6 2 3 4 2 2" xfId="47057"/>
    <cellStyle name="Comma 6 2 3 4 3" xfId="41674"/>
    <cellStyle name="Comma 6 2 3 5" xfId="15516"/>
    <cellStyle name="Comma 6 2 3 5 2" xfId="44377"/>
    <cellStyle name="Comma 6 2 3 6" xfId="29741"/>
    <cellStyle name="Comma 6 2 4" xfId="1085"/>
    <cellStyle name="Comma 6 2 4 2" xfId="3972"/>
    <cellStyle name="Comma 6 2 4 2 2" xfId="10013"/>
    <cellStyle name="Comma 6 2 4 2 2 2" xfId="27060"/>
    <cellStyle name="Comma 6 2 4 2 2 2 2" xfId="55921"/>
    <cellStyle name="Comma 6 2 4 2 2 3" xfId="38874"/>
    <cellStyle name="Comma 6 2 4 2 3" xfId="21082"/>
    <cellStyle name="Comma 6 2 4 2 3 2" xfId="49943"/>
    <cellStyle name="Comma 6 2 4 2 4" xfId="32833"/>
    <cellStyle name="Comma 6 2 4 3" xfId="7127"/>
    <cellStyle name="Comma 6 2 4 3 2" xfId="24174"/>
    <cellStyle name="Comma 6 2 4 3 2 2" xfId="53035"/>
    <cellStyle name="Comma 6 2 4 3 3" xfId="35988"/>
    <cellStyle name="Comma 6 2 4 4" xfId="13489"/>
    <cellStyle name="Comma 6 2 4 4 2" xfId="18402"/>
    <cellStyle name="Comma 6 2 4 4 2 2" xfId="47263"/>
    <cellStyle name="Comma 6 2 4 4 3" xfId="42350"/>
    <cellStyle name="Comma 6 2 4 5" xfId="15722"/>
    <cellStyle name="Comma 6 2 4 5 2" xfId="44583"/>
    <cellStyle name="Comma 6 2 4 6" xfId="29947"/>
    <cellStyle name="Comma 6 2 5" xfId="1291"/>
    <cellStyle name="Comma 6 2 5 2" xfId="4178"/>
    <cellStyle name="Comma 6 2 5 2 2" xfId="10219"/>
    <cellStyle name="Comma 6 2 5 2 2 2" xfId="27266"/>
    <cellStyle name="Comma 6 2 5 2 2 2 2" xfId="56127"/>
    <cellStyle name="Comma 6 2 5 2 2 3" xfId="39080"/>
    <cellStyle name="Comma 6 2 5 2 3" xfId="21288"/>
    <cellStyle name="Comma 6 2 5 2 3 2" xfId="50149"/>
    <cellStyle name="Comma 6 2 5 2 4" xfId="33039"/>
    <cellStyle name="Comma 6 2 5 3" xfId="7333"/>
    <cellStyle name="Comma 6 2 5 3 2" xfId="24380"/>
    <cellStyle name="Comma 6 2 5 3 2 2" xfId="53241"/>
    <cellStyle name="Comma 6 2 5 3 3" xfId="36194"/>
    <cellStyle name="Comma 6 2 5 4" xfId="13997"/>
    <cellStyle name="Comma 6 2 5 4 2" xfId="18608"/>
    <cellStyle name="Comma 6 2 5 4 2 2" xfId="47469"/>
    <cellStyle name="Comma 6 2 5 4 3" xfId="42858"/>
    <cellStyle name="Comma 6 2 5 5" xfId="15928"/>
    <cellStyle name="Comma 6 2 5 5 2" xfId="44789"/>
    <cellStyle name="Comma 6 2 5 6" xfId="30153"/>
    <cellStyle name="Comma 6 2 6" xfId="1497"/>
    <cellStyle name="Comma 6 2 6 2" xfId="4384"/>
    <cellStyle name="Comma 6 2 6 2 2" xfId="10425"/>
    <cellStyle name="Comma 6 2 6 2 2 2" xfId="27472"/>
    <cellStyle name="Comma 6 2 6 2 2 2 2" xfId="56333"/>
    <cellStyle name="Comma 6 2 6 2 2 3" xfId="39286"/>
    <cellStyle name="Comma 6 2 6 2 3" xfId="21494"/>
    <cellStyle name="Comma 6 2 6 2 3 2" xfId="50355"/>
    <cellStyle name="Comma 6 2 6 2 4" xfId="33245"/>
    <cellStyle name="Comma 6 2 6 3" xfId="7539"/>
    <cellStyle name="Comma 6 2 6 3 2" xfId="24586"/>
    <cellStyle name="Comma 6 2 6 3 2 2" xfId="53447"/>
    <cellStyle name="Comma 6 2 6 3 3" xfId="36400"/>
    <cellStyle name="Comma 6 2 6 4" xfId="12522"/>
    <cellStyle name="Comma 6 2 6 4 2" xfId="18814"/>
    <cellStyle name="Comma 6 2 6 4 2 2" xfId="47675"/>
    <cellStyle name="Comma 6 2 6 4 3" xfId="41383"/>
    <cellStyle name="Comma 6 2 6 5" xfId="16134"/>
    <cellStyle name="Comma 6 2 6 5 2" xfId="44995"/>
    <cellStyle name="Comma 6 2 6 6" xfId="30359"/>
    <cellStyle name="Comma 6 2 7" xfId="1703"/>
    <cellStyle name="Comma 6 2 7 2" xfId="4590"/>
    <cellStyle name="Comma 6 2 7 2 2" xfId="10631"/>
    <cellStyle name="Comma 6 2 7 2 2 2" xfId="27678"/>
    <cellStyle name="Comma 6 2 7 2 2 2 2" xfId="56539"/>
    <cellStyle name="Comma 6 2 7 2 2 3" xfId="39492"/>
    <cellStyle name="Comma 6 2 7 2 3" xfId="21700"/>
    <cellStyle name="Comma 6 2 7 2 3 2" xfId="50561"/>
    <cellStyle name="Comma 6 2 7 2 4" xfId="33451"/>
    <cellStyle name="Comma 6 2 7 3" xfId="7745"/>
    <cellStyle name="Comma 6 2 7 3 2" xfId="24792"/>
    <cellStyle name="Comma 6 2 7 3 2 2" xfId="53653"/>
    <cellStyle name="Comma 6 2 7 3 3" xfId="36606"/>
    <cellStyle name="Comma 6 2 7 4" xfId="13332"/>
    <cellStyle name="Comma 6 2 7 4 2" xfId="19020"/>
    <cellStyle name="Comma 6 2 7 4 2 2" xfId="47881"/>
    <cellStyle name="Comma 6 2 7 4 3" xfId="42193"/>
    <cellStyle name="Comma 6 2 7 5" xfId="16340"/>
    <cellStyle name="Comma 6 2 7 5 2" xfId="45201"/>
    <cellStyle name="Comma 6 2 7 6" xfId="30565"/>
    <cellStyle name="Comma 6 2 8" xfId="1909"/>
    <cellStyle name="Comma 6 2 8 2" xfId="4796"/>
    <cellStyle name="Comma 6 2 8 2 2" xfId="10837"/>
    <cellStyle name="Comma 6 2 8 2 2 2" xfId="27884"/>
    <cellStyle name="Comma 6 2 8 2 2 2 2" xfId="56745"/>
    <cellStyle name="Comma 6 2 8 2 2 3" xfId="39698"/>
    <cellStyle name="Comma 6 2 8 2 3" xfId="21906"/>
    <cellStyle name="Comma 6 2 8 2 3 2" xfId="50767"/>
    <cellStyle name="Comma 6 2 8 2 4" xfId="33657"/>
    <cellStyle name="Comma 6 2 8 3" xfId="7951"/>
    <cellStyle name="Comma 6 2 8 3 2" xfId="24998"/>
    <cellStyle name="Comma 6 2 8 3 2 2" xfId="53859"/>
    <cellStyle name="Comma 6 2 8 3 3" xfId="36812"/>
    <cellStyle name="Comma 6 2 8 4" xfId="13540"/>
    <cellStyle name="Comma 6 2 8 4 2" xfId="19226"/>
    <cellStyle name="Comma 6 2 8 4 2 2" xfId="48087"/>
    <cellStyle name="Comma 6 2 8 4 3" xfId="42401"/>
    <cellStyle name="Comma 6 2 8 5" xfId="16546"/>
    <cellStyle name="Comma 6 2 8 5 2" xfId="45407"/>
    <cellStyle name="Comma 6 2 8 6" xfId="30771"/>
    <cellStyle name="Comma 6 2 9" xfId="2115"/>
    <cellStyle name="Comma 6 2 9 2" xfId="5002"/>
    <cellStyle name="Comma 6 2 9 2 2" xfId="11043"/>
    <cellStyle name="Comma 6 2 9 2 2 2" xfId="28090"/>
    <cellStyle name="Comma 6 2 9 2 2 2 2" xfId="56951"/>
    <cellStyle name="Comma 6 2 9 2 2 3" xfId="39904"/>
    <cellStyle name="Comma 6 2 9 2 3" xfId="22112"/>
    <cellStyle name="Comma 6 2 9 2 3 2" xfId="50973"/>
    <cellStyle name="Comma 6 2 9 2 4" xfId="33863"/>
    <cellStyle name="Comma 6 2 9 3" xfId="8157"/>
    <cellStyle name="Comma 6 2 9 3 2" xfId="25204"/>
    <cellStyle name="Comma 6 2 9 3 2 2" xfId="54065"/>
    <cellStyle name="Comma 6 2 9 3 3" xfId="37018"/>
    <cellStyle name="Comma 6 2 9 4" xfId="12595"/>
    <cellStyle name="Comma 6 2 9 4 2" xfId="19432"/>
    <cellStyle name="Comma 6 2 9 4 2 2" xfId="48293"/>
    <cellStyle name="Comma 6 2 9 4 3" xfId="41456"/>
    <cellStyle name="Comma 6 2 9 5" xfId="16752"/>
    <cellStyle name="Comma 6 2 9 5 2" xfId="45613"/>
    <cellStyle name="Comma 6 2 9 6" xfId="30977"/>
    <cellStyle name="Comma 6 20" xfId="29020"/>
    <cellStyle name="Comma 6 3" xfId="261"/>
    <cellStyle name="Comma 6 3 2" xfId="673"/>
    <cellStyle name="Comma 6 3 2 2" xfId="3560"/>
    <cellStyle name="Comma 6 3 2 2 2" xfId="9601"/>
    <cellStyle name="Comma 6 3 2 2 2 2" xfId="26648"/>
    <cellStyle name="Comma 6 3 2 2 2 2 2" xfId="55509"/>
    <cellStyle name="Comma 6 3 2 2 2 3" xfId="38462"/>
    <cellStyle name="Comma 6 3 2 2 3" xfId="20670"/>
    <cellStyle name="Comma 6 3 2 2 3 2" xfId="49531"/>
    <cellStyle name="Comma 6 3 2 2 4" xfId="32421"/>
    <cellStyle name="Comma 6 3 2 3" xfId="6715"/>
    <cellStyle name="Comma 6 3 2 3 2" xfId="23762"/>
    <cellStyle name="Comma 6 3 2 3 2 2" xfId="52623"/>
    <cellStyle name="Comma 6 3 2 3 3" xfId="35576"/>
    <cellStyle name="Comma 6 3 2 4" xfId="14245"/>
    <cellStyle name="Comma 6 3 2 4 2" xfId="17990"/>
    <cellStyle name="Comma 6 3 2 4 2 2" xfId="46851"/>
    <cellStyle name="Comma 6 3 2 4 3" xfId="43106"/>
    <cellStyle name="Comma 6 3 2 5" xfId="15310"/>
    <cellStyle name="Comma 6 3 2 5 2" xfId="44171"/>
    <cellStyle name="Comma 6 3 2 6" xfId="29535"/>
    <cellStyle name="Comma 6 3 3" xfId="2218"/>
    <cellStyle name="Comma 6 3 3 2" xfId="5105"/>
    <cellStyle name="Comma 6 3 3 2 2" xfId="11146"/>
    <cellStyle name="Comma 6 3 3 2 2 2" xfId="28193"/>
    <cellStyle name="Comma 6 3 3 2 2 2 2" xfId="57054"/>
    <cellStyle name="Comma 6 3 3 2 2 3" xfId="40007"/>
    <cellStyle name="Comma 6 3 3 2 3" xfId="22215"/>
    <cellStyle name="Comma 6 3 3 2 3 2" xfId="51076"/>
    <cellStyle name="Comma 6 3 3 2 4" xfId="33966"/>
    <cellStyle name="Comma 6 3 3 3" xfId="8260"/>
    <cellStyle name="Comma 6 3 3 3 2" xfId="25307"/>
    <cellStyle name="Comma 6 3 3 3 2 2" xfId="54168"/>
    <cellStyle name="Comma 6 3 3 3 3" xfId="37121"/>
    <cellStyle name="Comma 6 3 3 4" xfId="12917"/>
    <cellStyle name="Comma 6 3 3 4 2" xfId="19535"/>
    <cellStyle name="Comma 6 3 3 4 2 2" xfId="48396"/>
    <cellStyle name="Comma 6 3 3 4 3" xfId="41778"/>
    <cellStyle name="Comma 6 3 3 5" xfId="16855"/>
    <cellStyle name="Comma 6 3 3 5 2" xfId="45716"/>
    <cellStyle name="Comma 6 3 3 6" xfId="31080"/>
    <cellStyle name="Comma 6 3 4" xfId="3148"/>
    <cellStyle name="Comma 6 3 4 2" xfId="9189"/>
    <cellStyle name="Comma 6 3 4 2 2" xfId="26236"/>
    <cellStyle name="Comma 6 3 4 2 2 2" xfId="55097"/>
    <cellStyle name="Comma 6 3 4 2 3" xfId="38050"/>
    <cellStyle name="Comma 6 3 4 3" xfId="20258"/>
    <cellStyle name="Comma 6 3 4 3 2" xfId="49119"/>
    <cellStyle name="Comma 6 3 4 4" xfId="32009"/>
    <cellStyle name="Comma 6 3 5" xfId="6303"/>
    <cellStyle name="Comma 6 3 5 2" xfId="23350"/>
    <cellStyle name="Comma 6 3 5 2 2" xfId="52211"/>
    <cellStyle name="Comma 6 3 5 3" xfId="35164"/>
    <cellStyle name="Comma 6 3 6" xfId="13905"/>
    <cellStyle name="Comma 6 3 6 2" xfId="17681"/>
    <cellStyle name="Comma 6 3 6 2 2" xfId="46542"/>
    <cellStyle name="Comma 6 3 6 3" xfId="42766"/>
    <cellStyle name="Comma 6 3 7" xfId="14898"/>
    <cellStyle name="Comma 6 3 7 2" xfId="43759"/>
    <cellStyle name="Comma 6 3 8" xfId="29123"/>
    <cellStyle name="Comma 6 4" xfId="467"/>
    <cellStyle name="Comma 6 4 2" xfId="3354"/>
    <cellStyle name="Comma 6 4 2 2" xfId="9395"/>
    <cellStyle name="Comma 6 4 2 2 2" xfId="26442"/>
    <cellStyle name="Comma 6 4 2 2 2 2" xfId="55303"/>
    <cellStyle name="Comma 6 4 2 2 3" xfId="38256"/>
    <cellStyle name="Comma 6 4 2 3" xfId="20464"/>
    <cellStyle name="Comma 6 4 2 3 2" xfId="49325"/>
    <cellStyle name="Comma 6 4 2 4" xfId="32215"/>
    <cellStyle name="Comma 6 4 3" xfId="6509"/>
    <cellStyle name="Comma 6 4 3 2" xfId="23556"/>
    <cellStyle name="Comma 6 4 3 2 2" xfId="52417"/>
    <cellStyle name="Comma 6 4 3 3" xfId="35370"/>
    <cellStyle name="Comma 6 4 4" xfId="13255"/>
    <cellStyle name="Comma 6 4 4 2" xfId="17784"/>
    <cellStyle name="Comma 6 4 4 2 2" xfId="46645"/>
    <cellStyle name="Comma 6 4 4 3" xfId="42116"/>
    <cellStyle name="Comma 6 4 5" xfId="15104"/>
    <cellStyle name="Comma 6 4 5 2" xfId="43965"/>
    <cellStyle name="Comma 6 4 6" xfId="29329"/>
    <cellStyle name="Comma 6 5" xfId="776"/>
    <cellStyle name="Comma 6 5 2" xfId="3663"/>
    <cellStyle name="Comma 6 5 2 2" xfId="9704"/>
    <cellStyle name="Comma 6 5 2 2 2" xfId="26751"/>
    <cellStyle name="Comma 6 5 2 2 2 2" xfId="55612"/>
    <cellStyle name="Comma 6 5 2 2 3" xfId="38565"/>
    <cellStyle name="Comma 6 5 2 3" xfId="20773"/>
    <cellStyle name="Comma 6 5 2 3 2" xfId="49634"/>
    <cellStyle name="Comma 6 5 2 4" xfId="32524"/>
    <cellStyle name="Comma 6 5 3" xfId="6818"/>
    <cellStyle name="Comma 6 5 3 2" xfId="23865"/>
    <cellStyle name="Comma 6 5 3 2 2" xfId="52726"/>
    <cellStyle name="Comma 6 5 3 3" xfId="35679"/>
    <cellStyle name="Comma 6 5 4" xfId="12591"/>
    <cellStyle name="Comma 6 5 4 2" xfId="18093"/>
    <cellStyle name="Comma 6 5 4 2 2" xfId="46954"/>
    <cellStyle name="Comma 6 5 4 3" xfId="41452"/>
    <cellStyle name="Comma 6 5 5" xfId="15413"/>
    <cellStyle name="Comma 6 5 5 2" xfId="44274"/>
    <cellStyle name="Comma 6 5 6" xfId="29638"/>
    <cellStyle name="Comma 6 6" xfId="982"/>
    <cellStyle name="Comma 6 6 2" xfId="3869"/>
    <cellStyle name="Comma 6 6 2 2" xfId="9910"/>
    <cellStyle name="Comma 6 6 2 2 2" xfId="26957"/>
    <cellStyle name="Comma 6 6 2 2 2 2" xfId="55818"/>
    <cellStyle name="Comma 6 6 2 2 3" xfId="38771"/>
    <cellStyle name="Comma 6 6 2 3" xfId="20979"/>
    <cellStyle name="Comma 6 6 2 3 2" xfId="49840"/>
    <cellStyle name="Comma 6 6 2 4" xfId="32730"/>
    <cellStyle name="Comma 6 6 3" xfId="7024"/>
    <cellStyle name="Comma 6 6 3 2" xfId="24071"/>
    <cellStyle name="Comma 6 6 3 2 2" xfId="52932"/>
    <cellStyle name="Comma 6 6 3 3" xfId="35885"/>
    <cellStyle name="Comma 6 6 4" xfId="11999"/>
    <cellStyle name="Comma 6 6 4 2" xfId="18299"/>
    <cellStyle name="Comma 6 6 4 2 2" xfId="47160"/>
    <cellStyle name="Comma 6 6 4 3" xfId="40860"/>
    <cellStyle name="Comma 6 6 5" xfId="15619"/>
    <cellStyle name="Comma 6 6 5 2" xfId="44480"/>
    <cellStyle name="Comma 6 6 6" xfId="29844"/>
    <cellStyle name="Comma 6 7" xfId="1188"/>
    <cellStyle name="Comma 6 7 2" xfId="4075"/>
    <cellStyle name="Comma 6 7 2 2" xfId="10116"/>
    <cellStyle name="Comma 6 7 2 2 2" xfId="27163"/>
    <cellStyle name="Comma 6 7 2 2 2 2" xfId="56024"/>
    <cellStyle name="Comma 6 7 2 2 3" xfId="38977"/>
    <cellStyle name="Comma 6 7 2 3" xfId="21185"/>
    <cellStyle name="Comma 6 7 2 3 2" xfId="50046"/>
    <cellStyle name="Comma 6 7 2 4" xfId="32936"/>
    <cellStyle name="Comma 6 7 3" xfId="7230"/>
    <cellStyle name="Comma 6 7 3 2" xfId="24277"/>
    <cellStyle name="Comma 6 7 3 2 2" xfId="53138"/>
    <cellStyle name="Comma 6 7 3 3" xfId="36091"/>
    <cellStyle name="Comma 6 7 4" xfId="14101"/>
    <cellStyle name="Comma 6 7 4 2" xfId="18505"/>
    <cellStyle name="Comma 6 7 4 2 2" xfId="47366"/>
    <cellStyle name="Comma 6 7 4 3" xfId="42962"/>
    <cellStyle name="Comma 6 7 5" xfId="15825"/>
    <cellStyle name="Comma 6 7 5 2" xfId="44686"/>
    <cellStyle name="Comma 6 7 6" xfId="30050"/>
    <cellStyle name="Comma 6 8" xfId="1394"/>
    <cellStyle name="Comma 6 8 2" xfId="4281"/>
    <cellStyle name="Comma 6 8 2 2" xfId="10322"/>
    <cellStyle name="Comma 6 8 2 2 2" xfId="27369"/>
    <cellStyle name="Comma 6 8 2 2 2 2" xfId="56230"/>
    <cellStyle name="Comma 6 8 2 2 3" xfId="39183"/>
    <cellStyle name="Comma 6 8 2 3" xfId="21391"/>
    <cellStyle name="Comma 6 8 2 3 2" xfId="50252"/>
    <cellStyle name="Comma 6 8 2 4" xfId="33142"/>
    <cellStyle name="Comma 6 8 3" xfId="7436"/>
    <cellStyle name="Comma 6 8 3 2" xfId="24483"/>
    <cellStyle name="Comma 6 8 3 2 2" xfId="53344"/>
    <cellStyle name="Comma 6 8 3 3" xfId="36297"/>
    <cellStyle name="Comma 6 8 4" xfId="13137"/>
    <cellStyle name="Comma 6 8 4 2" xfId="18711"/>
    <cellStyle name="Comma 6 8 4 2 2" xfId="47572"/>
    <cellStyle name="Comma 6 8 4 3" xfId="41998"/>
    <cellStyle name="Comma 6 8 5" xfId="16031"/>
    <cellStyle name="Comma 6 8 5 2" xfId="44892"/>
    <cellStyle name="Comma 6 8 6" xfId="30256"/>
    <cellStyle name="Comma 6 9" xfId="1600"/>
    <cellStyle name="Comma 6 9 2" xfId="4487"/>
    <cellStyle name="Comma 6 9 2 2" xfId="10528"/>
    <cellStyle name="Comma 6 9 2 2 2" xfId="27575"/>
    <cellStyle name="Comma 6 9 2 2 2 2" xfId="56436"/>
    <cellStyle name="Comma 6 9 2 2 3" xfId="39389"/>
    <cellStyle name="Comma 6 9 2 3" xfId="21597"/>
    <cellStyle name="Comma 6 9 2 3 2" xfId="50458"/>
    <cellStyle name="Comma 6 9 2 4" xfId="33348"/>
    <cellStyle name="Comma 6 9 3" xfId="7642"/>
    <cellStyle name="Comma 6 9 3 2" xfId="24689"/>
    <cellStyle name="Comma 6 9 3 2 2" xfId="53550"/>
    <cellStyle name="Comma 6 9 3 3" xfId="36503"/>
    <cellStyle name="Comma 6 9 4" xfId="13536"/>
    <cellStyle name="Comma 6 9 4 2" xfId="18917"/>
    <cellStyle name="Comma 6 9 4 2 2" xfId="47778"/>
    <cellStyle name="Comma 6 9 4 3" xfId="42397"/>
    <cellStyle name="Comma 6 9 5" xfId="16237"/>
    <cellStyle name="Comma 6 9 5 2" xfId="45098"/>
    <cellStyle name="Comma 6 9 6" xfId="30462"/>
    <cellStyle name="Comma 7" xfId="162"/>
    <cellStyle name="Comma 7 10" xfId="1810"/>
    <cellStyle name="Comma 7 10 2" xfId="4697"/>
    <cellStyle name="Comma 7 10 2 2" xfId="10738"/>
    <cellStyle name="Comma 7 10 2 2 2" xfId="27785"/>
    <cellStyle name="Comma 7 10 2 2 2 2" xfId="56646"/>
    <cellStyle name="Comma 7 10 2 2 3" xfId="39599"/>
    <cellStyle name="Comma 7 10 2 3" xfId="21807"/>
    <cellStyle name="Comma 7 10 2 3 2" xfId="50668"/>
    <cellStyle name="Comma 7 10 2 4" xfId="33558"/>
    <cellStyle name="Comma 7 10 3" xfId="7852"/>
    <cellStyle name="Comma 7 10 3 2" xfId="24899"/>
    <cellStyle name="Comma 7 10 3 2 2" xfId="53760"/>
    <cellStyle name="Comma 7 10 3 3" xfId="36713"/>
    <cellStyle name="Comma 7 10 4" xfId="11986"/>
    <cellStyle name="Comma 7 10 4 2" xfId="19127"/>
    <cellStyle name="Comma 7 10 4 2 2" xfId="47988"/>
    <cellStyle name="Comma 7 10 4 3" xfId="40847"/>
    <cellStyle name="Comma 7 10 5" xfId="16447"/>
    <cellStyle name="Comma 7 10 5 2" xfId="45308"/>
    <cellStyle name="Comma 7 10 6" xfId="30672"/>
    <cellStyle name="Comma 7 11" xfId="2016"/>
    <cellStyle name="Comma 7 11 2" xfId="4903"/>
    <cellStyle name="Comma 7 11 2 2" xfId="10944"/>
    <cellStyle name="Comma 7 11 2 2 2" xfId="27991"/>
    <cellStyle name="Comma 7 11 2 2 2 2" xfId="56852"/>
    <cellStyle name="Comma 7 11 2 2 3" xfId="39805"/>
    <cellStyle name="Comma 7 11 2 3" xfId="22013"/>
    <cellStyle name="Comma 7 11 2 3 2" xfId="50874"/>
    <cellStyle name="Comma 7 11 2 4" xfId="33764"/>
    <cellStyle name="Comma 7 11 3" xfId="8058"/>
    <cellStyle name="Comma 7 11 3 2" xfId="25105"/>
    <cellStyle name="Comma 7 11 3 2 2" xfId="53966"/>
    <cellStyle name="Comma 7 11 3 3" xfId="36919"/>
    <cellStyle name="Comma 7 11 4" xfId="14373"/>
    <cellStyle name="Comma 7 11 4 2" xfId="19333"/>
    <cellStyle name="Comma 7 11 4 2 2" xfId="48194"/>
    <cellStyle name="Comma 7 11 4 3" xfId="43234"/>
    <cellStyle name="Comma 7 11 5" xfId="16653"/>
    <cellStyle name="Comma 7 11 5 2" xfId="45514"/>
    <cellStyle name="Comma 7 11 6" xfId="30878"/>
    <cellStyle name="Comma 7 12" xfId="2428"/>
    <cellStyle name="Comma 7 12 2" xfId="5315"/>
    <cellStyle name="Comma 7 12 2 2" xfId="11356"/>
    <cellStyle name="Comma 7 12 2 2 2" xfId="28403"/>
    <cellStyle name="Comma 7 12 2 2 2 2" xfId="57264"/>
    <cellStyle name="Comma 7 12 2 2 3" xfId="40217"/>
    <cellStyle name="Comma 7 12 2 3" xfId="22425"/>
    <cellStyle name="Comma 7 12 2 3 2" xfId="51286"/>
    <cellStyle name="Comma 7 12 2 4" xfId="34176"/>
    <cellStyle name="Comma 7 12 3" xfId="8470"/>
    <cellStyle name="Comma 7 12 3 2" xfId="25517"/>
    <cellStyle name="Comma 7 12 3 2 2" xfId="54378"/>
    <cellStyle name="Comma 7 12 3 3" xfId="37331"/>
    <cellStyle name="Comma 7 12 4" xfId="13035"/>
    <cellStyle name="Comma 7 12 4 2" xfId="19745"/>
    <cellStyle name="Comma 7 12 4 2 2" xfId="48606"/>
    <cellStyle name="Comma 7 12 4 3" xfId="41896"/>
    <cellStyle name="Comma 7 12 5" xfId="17065"/>
    <cellStyle name="Comma 7 12 5 2" xfId="45926"/>
    <cellStyle name="Comma 7 12 6" xfId="31290"/>
    <cellStyle name="Comma 7 13" xfId="2637"/>
    <cellStyle name="Comma 7 13 2" xfId="5523"/>
    <cellStyle name="Comma 7 13 2 2" xfId="11564"/>
    <cellStyle name="Comma 7 13 2 2 2" xfId="28611"/>
    <cellStyle name="Comma 7 13 2 2 2 2" xfId="57472"/>
    <cellStyle name="Comma 7 13 2 2 3" xfId="40425"/>
    <cellStyle name="Comma 7 13 2 3" xfId="22633"/>
    <cellStyle name="Comma 7 13 2 3 2" xfId="51494"/>
    <cellStyle name="Comma 7 13 2 4" xfId="34384"/>
    <cellStyle name="Comma 7 13 3" xfId="8678"/>
    <cellStyle name="Comma 7 13 3 2" xfId="25725"/>
    <cellStyle name="Comma 7 13 3 2 2" xfId="54586"/>
    <cellStyle name="Comma 7 13 3 3" xfId="37539"/>
    <cellStyle name="Comma 7 13 4" xfId="13779"/>
    <cellStyle name="Comma 7 13 4 2" xfId="19953"/>
    <cellStyle name="Comma 7 13 4 2 2" xfId="48814"/>
    <cellStyle name="Comma 7 13 4 3" xfId="42640"/>
    <cellStyle name="Comma 7 13 5" xfId="17273"/>
    <cellStyle name="Comma 7 13 5 2" xfId="46134"/>
    <cellStyle name="Comma 7 13 6" xfId="31498"/>
    <cellStyle name="Comma 7 14" xfId="3049"/>
    <cellStyle name="Comma 7 14 2" xfId="9090"/>
    <cellStyle name="Comma 7 14 2 2" xfId="26137"/>
    <cellStyle name="Comma 7 14 2 2 2" xfId="54998"/>
    <cellStyle name="Comma 7 14 2 3" xfId="37951"/>
    <cellStyle name="Comma 7 14 3" xfId="14358"/>
    <cellStyle name="Comma 7 14 3 2" xfId="20159"/>
    <cellStyle name="Comma 7 14 3 2 2" xfId="49020"/>
    <cellStyle name="Comma 7 14 3 3" xfId="43219"/>
    <cellStyle name="Comma 7 14 4" xfId="14799"/>
    <cellStyle name="Comma 7 14 4 2" xfId="43660"/>
    <cellStyle name="Comma 7 14 5" xfId="31910"/>
    <cellStyle name="Comma 7 15" xfId="2843"/>
    <cellStyle name="Comma 7 15 2" xfId="8884"/>
    <cellStyle name="Comma 7 15 2 2" xfId="25931"/>
    <cellStyle name="Comma 7 15 2 2 2" xfId="54792"/>
    <cellStyle name="Comma 7 15 2 3" xfId="37745"/>
    <cellStyle name="Comma 7 15 3" xfId="17479"/>
    <cellStyle name="Comma 7 15 3 2" xfId="46340"/>
    <cellStyle name="Comma 7 15 4" xfId="31704"/>
    <cellStyle name="Comma 7 16" xfId="5729"/>
    <cellStyle name="Comma 7 16 2" xfId="11770"/>
    <cellStyle name="Comma 7 16 2 2" xfId="28817"/>
    <cellStyle name="Comma 7 16 2 2 2" xfId="57678"/>
    <cellStyle name="Comma 7 16 2 3" xfId="40631"/>
    <cellStyle name="Comma 7 16 3" xfId="22839"/>
    <cellStyle name="Comma 7 16 3 2" xfId="51700"/>
    <cellStyle name="Comma 7 16 4" xfId="34590"/>
    <cellStyle name="Comma 7 17" xfId="5946"/>
    <cellStyle name="Comma 7 17 2" xfId="23045"/>
    <cellStyle name="Comma 7 17 2 2" xfId="51906"/>
    <cellStyle name="Comma 7 17 3" xfId="34807"/>
    <cellStyle name="Comma 7 18" xfId="6204"/>
    <cellStyle name="Comma 7 18 2" xfId="23251"/>
    <cellStyle name="Comma 7 18 2 2" xfId="52112"/>
    <cellStyle name="Comma 7 18 3" xfId="35065"/>
    <cellStyle name="Comma 7 19" xfId="14593"/>
    <cellStyle name="Comma 7 19 2" xfId="43454"/>
    <cellStyle name="Comma 7 2" xfId="368"/>
    <cellStyle name="Comma 7 2 10" xfId="2531"/>
    <cellStyle name="Comma 7 2 10 2" xfId="5418"/>
    <cellStyle name="Comma 7 2 10 2 2" xfId="11459"/>
    <cellStyle name="Comma 7 2 10 2 2 2" xfId="28506"/>
    <cellStyle name="Comma 7 2 10 2 2 2 2" xfId="57367"/>
    <cellStyle name="Comma 7 2 10 2 2 3" xfId="40320"/>
    <cellStyle name="Comma 7 2 10 2 3" xfId="22528"/>
    <cellStyle name="Comma 7 2 10 2 3 2" xfId="51389"/>
    <cellStyle name="Comma 7 2 10 2 4" xfId="34279"/>
    <cellStyle name="Comma 7 2 10 3" xfId="8573"/>
    <cellStyle name="Comma 7 2 10 3 2" xfId="25620"/>
    <cellStyle name="Comma 7 2 10 3 2 2" xfId="54481"/>
    <cellStyle name="Comma 7 2 10 3 3" xfId="37434"/>
    <cellStyle name="Comma 7 2 10 4" xfId="14240"/>
    <cellStyle name="Comma 7 2 10 4 2" xfId="19848"/>
    <cellStyle name="Comma 7 2 10 4 2 2" xfId="48709"/>
    <cellStyle name="Comma 7 2 10 4 3" xfId="43101"/>
    <cellStyle name="Comma 7 2 10 5" xfId="17168"/>
    <cellStyle name="Comma 7 2 10 5 2" xfId="46029"/>
    <cellStyle name="Comma 7 2 10 6" xfId="31393"/>
    <cellStyle name="Comma 7 2 11" xfId="2740"/>
    <cellStyle name="Comma 7 2 11 2" xfId="5626"/>
    <cellStyle name="Comma 7 2 11 2 2" xfId="11667"/>
    <cellStyle name="Comma 7 2 11 2 2 2" xfId="28714"/>
    <cellStyle name="Comma 7 2 11 2 2 2 2" xfId="57575"/>
    <cellStyle name="Comma 7 2 11 2 2 3" xfId="40528"/>
    <cellStyle name="Comma 7 2 11 2 3" xfId="22736"/>
    <cellStyle name="Comma 7 2 11 2 3 2" xfId="51597"/>
    <cellStyle name="Comma 7 2 11 2 4" xfId="34487"/>
    <cellStyle name="Comma 7 2 11 3" xfId="8781"/>
    <cellStyle name="Comma 7 2 11 3 2" xfId="25828"/>
    <cellStyle name="Comma 7 2 11 3 2 2" xfId="54689"/>
    <cellStyle name="Comma 7 2 11 3 3" xfId="37642"/>
    <cellStyle name="Comma 7 2 11 4" xfId="13032"/>
    <cellStyle name="Comma 7 2 11 4 2" xfId="20056"/>
    <cellStyle name="Comma 7 2 11 4 2 2" xfId="48917"/>
    <cellStyle name="Comma 7 2 11 4 3" xfId="41893"/>
    <cellStyle name="Comma 7 2 11 5" xfId="17376"/>
    <cellStyle name="Comma 7 2 11 5 2" xfId="46237"/>
    <cellStyle name="Comma 7 2 11 6" xfId="31601"/>
    <cellStyle name="Comma 7 2 12" xfId="3255"/>
    <cellStyle name="Comma 7 2 12 2" xfId="9296"/>
    <cellStyle name="Comma 7 2 12 2 2" xfId="26343"/>
    <cellStyle name="Comma 7 2 12 2 2 2" xfId="55204"/>
    <cellStyle name="Comma 7 2 12 2 3" xfId="38157"/>
    <cellStyle name="Comma 7 2 12 3" xfId="12085"/>
    <cellStyle name="Comma 7 2 12 3 2" xfId="20365"/>
    <cellStyle name="Comma 7 2 12 3 2 2" xfId="49226"/>
    <cellStyle name="Comma 7 2 12 3 3" xfId="40946"/>
    <cellStyle name="Comma 7 2 12 4" xfId="15005"/>
    <cellStyle name="Comma 7 2 12 4 2" xfId="43866"/>
    <cellStyle name="Comma 7 2 12 5" xfId="32116"/>
    <cellStyle name="Comma 7 2 13" xfId="2946"/>
    <cellStyle name="Comma 7 2 13 2" xfId="8987"/>
    <cellStyle name="Comma 7 2 13 2 2" xfId="26034"/>
    <cellStyle name="Comma 7 2 13 2 2 2" xfId="54895"/>
    <cellStyle name="Comma 7 2 13 2 3" xfId="37848"/>
    <cellStyle name="Comma 7 2 13 3" xfId="17582"/>
    <cellStyle name="Comma 7 2 13 3 2" xfId="46443"/>
    <cellStyle name="Comma 7 2 13 4" xfId="31807"/>
    <cellStyle name="Comma 7 2 14" xfId="5832"/>
    <cellStyle name="Comma 7 2 14 2" xfId="11873"/>
    <cellStyle name="Comma 7 2 14 2 2" xfId="28920"/>
    <cellStyle name="Comma 7 2 14 2 2 2" xfId="57781"/>
    <cellStyle name="Comma 7 2 14 2 3" xfId="40734"/>
    <cellStyle name="Comma 7 2 14 3" xfId="22942"/>
    <cellStyle name="Comma 7 2 14 3 2" xfId="51803"/>
    <cellStyle name="Comma 7 2 14 4" xfId="34693"/>
    <cellStyle name="Comma 7 2 15" xfId="6049"/>
    <cellStyle name="Comma 7 2 15 2" xfId="23148"/>
    <cellStyle name="Comma 7 2 15 2 2" xfId="52009"/>
    <cellStyle name="Comma 7 2 15 3" xfId="34910"/>
    <cellStyle name="Comma 7 2 16" xfId="6410"/>
    <cellStyle name="Comma 7 2 16 2" xfId="23457"/>
    <cellStyle name="Comma 7 2 16 2 2" xfId="52318"/>
    <cellStyle name="Comma 7 2 16 3" xfId="35271"/>
    <cellStyle name="Comma 7 2 17" xfId="14696"/>
    <cellStyle name="Comma 7 2 17 2" xfId="43557"/>
    <cellStyle name="Comma 7 2 18" xfId="29230"/>
    <cellStyle name="Comma 7 2 2" xfId="574"/>
    <cellStyle name="Comma 7 2 2 2" xfId="2325"/>
    <cellStyle name="Comma 7 2 2 2 2" xfId="5212"/>
    <cellStyle name="Comma 7 2 2 2 2 2" xfId="11253"/>
    <cellStyle name="Comma 7 2 2 2 2 2 2" xfId="28300"/>
    <cellStyle name="Comma 7 2 2 2 2 2 2 2" xfId="57161"/>
    <cellStyle name="Comma 7 2 2 2 2 2 3" xfId="40114"/>
    <cellStyle name="Comma 7 2 2 2 2 3" xfId="22322"/>
    <cellStyle name="Comma 7 2 2 2 2 3 2" xfId="51183"/>
    <cellStyle name="Comma 7 2 2 2 2 4" xfId="34073"/>
    <cellStyle name="Comma 7 2 2 2 3" xfId="8367"/>
    <cellStyle name="Comma 7 2 2 2 3 2" xfId="25414"/>
    <cellStyle name="Comma 7 2 2 2 3 2 2" xfId="54275"/>
    <cellStyle name="Comma 7 2 2 2 3 3" xfId="37228"/>
    <cellStyle name="Comma 7 2 2 2 4" xfId="13130"/>
    <cellStyle name="Comma 7 2 2 2 4 2" xfId="19642"/>
    <cellStyle name="Comma 7 2 2 2 4 2 2" xfId="48503"/>
    <cellStyle name="Comma 7 2 2 2 4 3" xfId="41991"/>
    <cellStyle name="Comma 7 2 2 2 5" xfId="16962"/>
    <cellStyle name="Comma 7 2 2 2 5 2" xfId="45823"/>
    <cellStyle name="Comma 7 2 2 2 6" xfId="31187"/>
    <cellStyle name="Comma 7 2 2 3" xfId="3461"/>
    <cellStyle name="Comma 7 2 2 3 2" xfId="9502"/>
    <cellStyle name="Comma 7 2 2 3 2 2" xfId="26549"/>
    <cellStyle name="Comma 7 2 2 3 2 2 2" xfId="55410"/>
    <cellStyle name="Comma 7 2 2 3 2 3" xfId="38363"/>
    <cellStyle name="Comma 7 2 2 3 3" xfId="20571"/>
    <cellStyle name="Comma 7 2 2 3 3 2" xfId="49432"/>
    <cellStyle name="Comma 7 2 2 3 4" xfId="32322"/>
    <cellStyle name="Comma 7 2 2 4" xfId="6616"/>
    <cellStyle name="Comma 7 2 2 4 2" xfId="23663"/>
    <cellStyle name="Comma 7 2 2 4 2 2" xfId="52524"/>
    <cellStyle name="Comma 7 2 2 4 3" xfId="35477"/>
    <cellStyle name="Comma 7 2 2 5" xfId="13894"/>
    <cellStyle name="Comma 7 2 2 5 2" xfId="17891"/>
    <cellStyle name="Comma 7 2 2 5 2 2" xfId="46752"/>
    <cellStyle name="Comma 7 2 2 5 3" xfId="42755"/>
    <cellStyle name="Comma 7 2 2 6" xfId="15211"/>
    <cellStyle name="Comma 7 2 2 6 2" xfId="44072"/>
    <cellStyle name="Comma 7 2 2 7" xfId="29436"/>
    <cellStyle name="Comma 7 2 3" xfId="883"/>
    <cellStyle name="Comma 7 2 3 2" xfId="3770"/>
    <cellStyle name="Comma 7 2 3 2 2" xfId="9811"/>
    <cellStyle name="Comma 7 2 3 2 2 2" xfId="26858"/>
    <cellStyle name="Comma 7 2 3 2 2 2 2" xfId="55719"/>
    <cellStyle name="Comma 7 2 3 2 2 3" xfId="38672"/>
    <cellStyle name="Comma 7 2 3 2 3" xfId="20880"/>
    <cellStyle name="Comma 7 2 3 2 3 2" xfId="49741"/>
    <cellStyle name="Comma 7 2 3 2 4" xfId="32631"/>
    <cellStyle name="Comma 7 2 3 3" xfId="6925"/>
    <cellStyle name="Comma 7 2 3 3 2" xfId="23972"/>
    <cellStyle name="Comma 7 2 3 3 2 2" xfId="52833"/>
    <cellStyle name="Comma 7 2 3 3 3" xfId="35786"/>
    <cellStyle name="Comma 7 2 3 4" xfId="12048"/>
    <cellStyle name="Comma 7 2 3 4 2" xfId="18200"/>
    <cellStyle name="Comma 7 2 3 4 2 2" xfId="47061"/>
    <cellStyle name="Comma 7 2 3 4 3" xfId="40909"/>
    <cellStyle name="Comma 7 2 3 5" xfId="15520"/>
    <cellStyle name="Comma 7 2 3 5 2" xfId="44381"/>
    <cellStyle name="Comma 7 2 3 6" xfId="29745"/>
    <cellStyle name="Comma 7 2 4" xfId="1089"/>
    <cellStyle name="Comma 7 2 4 2" xfId="3976"/>
    <cellStyle name="Comma 7 2 4 2 2" xfId="10017"/>
    <cellStyle name="Comma 7 2 4 2 2 2" xfId="27064"/>
    <cellStyle name="Comma 7 2 4 2 2 2 2" xfId="55925"/>
    <cellStyle name="Comma 7 2 4 2 2 3" xfId="38878"/>
    <cellStyle name="Comma 7 2 4 2 3" xfId="21086"/>
    <cellStyle name="Comma 7 2 4 2 3 2" xfId="49947"/>
    <cellStyle name="Comma 7 2 4 2 4" xfId="32837"/>
    <cellStyle name="Comma 7 2 4 3" xfId="7131"/>
    <cellStyle name="Comma 7 2 4 3 2" xfId="24178"/>
    <cellStyle name="Comma 7 2 4 3 2 2" xfId="53039"/>
    <cellStyle name="Comma 7 2 4 3 3" xfId="35992"/>
    <cellStyle name="Comma 7 2 4 4" xfId="11925"/>
    <cellStyle name="Comma 7 2 4 4 2" xfId="18406"/>
    <cellStyle name="Comma 7 2 4 4 2 2" xfId="47267"/>
    <cellStyle name="Comma 7 2 4 4 3" xfId="40786"/>
    <cellStyle name="Comma 7 2 4 5" xfId="15726"/>
    <cellStyle name="Comma 7 2 4 5 2" xfId="44587"/>
    <cellStyle name="Comma 7 2 4 6" xfId="29951"/>
    <cellStyle name="Comma 7 2 5" xfId="1295"/>
    <cellStyle name="Comma 7 2 5 2" xfId="4182"/>
    <cellStyle name="Comma 7 2 5 2 2" xfId="10223"/>
    <cellStyle name="Comma 7 2 5 2 2 2" xfId="27270"/>
    <cellStyle name="Comma 7 2 5 2 2 2 2" xfId="56131"/>
    <cellStyle name="Comma 7 2 5 2 2 3" xfId="39084"/>
    <cellStyle name="Comma 7 2 5 2 3" xfId="21292"/>
    <cellStyle name="Comma 7 2 5 2 3 2" xfId="50153"/>
    <cellStyle name="Comma 7 2 5 2 4" xfId="33043"/>
    <cellStyle name="Comma 7 2 5 3" xfId="7337"/>
    <cellStyle name="Comma 7 2 5 3 2" xfId="24384"/>
    <cellStyle name="Comma 7 2 5 3 2 2" xfId="53245"/>
    <cellStyle name="Comma 7 2 5 3 3" xfId="36198"/>
    <cellStyle name="Comma 7 2 5 4" xfId="12819"/>
    <cellStyle name="Comma 7 2 5 4 2" xfId="18612"/>
    <cellStyle name="Comma 7 2 5 4 2 2" xfId="47473"/>
    <cellStyle name="Comma 7 2 5 4 3" xfId="41680"/>
    <cellStyle name="Comma 7 2 5 5" xfId="15932"/>
    <cellStyle name="Comma 7 2 5 5 2" xfId="44793"/>
    <cellStyle name="Comma 7 2 5 6" xfId="30157"/>
    <cellStyle name="Comma 7 2 6" xfId="1501"/>
    <cellStyle name="Comma 7 2 6 2" xfId="4388"/>
    <cellStyle name="Comma 7 2 6 2 2" xfId="10429"/>
    <cellStyle name="Comma 7 2 6 2 2 2" xfId="27476"/>
    <cellStyle name="Comma 7 2 6 2 2 2 2" xfId="56337"/>
    <cellStyle name="Comma 7 2 6 2 2 3" xfId="39290"/>
    <cellStyle name="Comma 7 2 6 2 3" xfId="21498"/>
    <cellStyle name="Comma 7 2 6 2 3 2" xfId="50359"/>
    <cellStyle name="Comma 7 2 6 2 4" xfId="33249"/>
    <cellStyle name="Comma 7 2 6 3" xfId="7543"/>
    <cellStyle name="Comma 7 2 6 3 2" xfId="24590"/>
    <cellStyle name="Comma 7 2 6 3 2 2" xfId="53451"/>
    <cellStyle name="Comma 7 2 6 3 3" xfId="36404"/>
    <cellStyle name="Comma 7 2 6 4" xfId="13333"/>
    <cellStyle name="Comma 7 2 6 4 2" xfId="18818"/>
    <cellStyle name="Comma 7 2 6 4 2 2" xfId="47679"/>
    <cellStyle name="Comma 7 2 6 4 3" xfId="42194"/>
    <cellStyle name="Comma 7 2 6 5" xfId="16138"/>
    <cellStyle name="Comma 7 2 6 5 2" xfId="44999"/>
    <cellStyle name="Comma 7 2 6 6" xfId="30363"/>
    <cellStyle name="Comma 7 2 7" xfId="1707"/>
    <cellStyle name="Comma 7 2 7 2" xfId="4594"/>
    <cellStyle name="Comma 7 2 7 2 2" xfId="10635"/>
    <cellStyle name="Comma 7 2 7 2 2 2" xfId="27682"/>
    <cellStyle name="Comma 7 2 7 2 2 2 2" xfId="56543"/>
    <cellStyle name="Comma 7 2 7 2 2 3" xfId="39496"/>
    <cellStyle name="Comma 7 2 7 2 3" xfId="21704"/>
    <cellStyle name="Comma 7 2 7 2 3 2" xfId="50565"/>
    <cellStyle name="Comma 7 2 7 2 4" xfId="33455"/>
    <cellStyle name="Comma 7 2 7 3" xfId="7749"/>
    <cellStyle name="Comma 7 2 7 3 2" xfId="24796"/>
    <cellStyle name="Comma 7 2 7 3 2 2" xfId="53657"/>
    <cellStyle name="Comma 7 2 7 3 3" xfId="36610"/>
    <cellStyle name="Comma 7 2 7 4" xfId="12126"/>
    <cellStyle name="Comma 7 2 7 4 2" xfId="19024"/>
    <cellStyle name="Comma 7 2 7 4 2 2" xfId="47885"/>
    <cellStyle name="Comma 7 2 7 4 3" xfId="40987"/>
    <cellStyle name="Comma 7 2 7 5" xfId="16344"/>
    <cellStyle name="Comma 7 2 7 5 2" xfId="45205"/>
    <cellStyle name="Comma 7 2 7 6" xfId="30569"/>
    <cellStyle name="Comma 7 2 8" xfId="1913"/>
    <cellStyle name="Comma 7 2 8 2" xfId="4800"/>
    <cellStyle name="Comma 7 2 8 2 2" xfId="10841"/>
    <cellStyle name="Comma 7 2 8 2 2 2" xfId="27888"/>
    <cellStyle name="Comma 7 2 8 2 2 2 2" xfId="56749"/>
    <cellStyle name="Comma 7 2 8 2 2 3" xfId="39702"/>
    <cellStyle name="Comma 7 2 8 2 3" xfId="21910"/>
    <cellStyle name="Comma 7 2 8 2 3 2" xfId="50771"/>
    <cellStyle name="Comma 7 2 8 2 4" xfId="33661"/>
    <cellStyle name="Comma 7 2 8 3" xfId="7955"/>
    <cellStyle name="Comma 7 2 8 3 2" xfId="25002"/>
    <cellStyle name="Comma 7 2 8 3 2 2" xfId="53863"/>
    <cellStyle name="Comma 7 2 8 3 3" xfId="36816"/>
    <cellStyle name="Comma 7 2 8 4" xfId="12143"/>
    <cellStyle name="Comma 7 2 8 4 2" xfId="19230"/>
    <cellStyle name="Comma 7 2 8 4 2 2" xfId="48091"/>
    <cellStyle name="Comma 7 2 8 4 3" xfId="41004"/>
    <cellStyle name="Comma 7 2 8 5" xfId="16550"/>
    <cellStyle name="Comma 7 2 8 5 2" xfId="45411"/>
    <cellStyle name="Comma 7 2 8 6" xfId="30775"/>
    <cellStyle name="Comma 7 2 9" xfId="2119"/>
    <cellStyle name="Comma 7 2 9 2" xfId="5006"/>
    <cellStyle name="Comma 7 2 9 2 2" xfId="11047"/>
    <cellStyle name="Comma 7 2 9 2 2 2" xfId="28094"/>
    <cellStyle name="Comma 7 2 9 2 2 2 2" xfId="56955"/>
    <cellStyle name="Comma 7 2 9 2 2 3" xfId="39908"/>
    <cellStyle name="Comma 7 2 9 2 3" xfId="22116"/>
    <cellStyle name="Comma 7 2 9 2 3 2" xfId="50977"/>
    <cellStyle name="Comma 7 2 9 2 4" xfId="33867"/>
    <cellStyle name="Comma 7 2 9 3" xfId="8161"/>
    <cellStyle name="Comma 7 2 9 3 2" xfId="25208"/>
    <cellStyle name="Comma 7 2 9 3 2 2" xfId="54069"/>
    <cellStyle name="Comma 7 2 9 3 3" xfId="37022"/>
    <cellStyle name="Comma 7 2 9 4" xfId="12648"/>
    <cellStyle name="Comma 7 2 9 4 2" xfId="19436"/>
    <cellStyle name="Comma 7 2 9 4 2 2" xfId="48297"/>
    <cellStyle name="Comma 7 2 9 4 3" xfId="41509"/>
    <cellStyle name="Comma 7 2 9 5" xfId="16756"/>
    <cellStyle name="Comma 7 2 9 5 2" xfId="45617"/>
    <cellStyle name="Comma 7 2 9 6" xfId="30981"/>
    <cellStyle name="Comma 7 20" xfId="29024"/>
    <cellStyle name="Comma 7 3" xfId="265"/>
    <cellStyle name="Comma 7 3 2" xfId="677"/>
    <cellStyle name="Comma 7 3 2 2" xfId="3564"/>
    <cellStyle name="Comma 7 3 2 2 2" xfId="9605"/>
    <cellStyle name="Comma 7 3 2 2 2 2" xfId="26652"/>
    <cellStyle name="Comma 7 3 2 2 2 2 2" xfId="55513"/>
    <cellStyle name="Comma 7 3 2 2 2 3" xfId="38466"/>
    <cellStyle name="Comma 7 3 2 2 3" xfId="20674"/>
    <cellStyle name="Comma 7 3 2 2 3 2" xfId="49535"/>
    <cellStyle name="Comma 7 3 2 2 4" xfId="32425"/>
    <cellStyle name="Comma 7 3 2 3" xfId="6719"/>
    <cellStyle name="Comma 7 3 2 3 2" xfId="23766"/>
    <cellStyle name="Comma 7 3 2 3 2 2" xfId="52627"/>
    <cellStyle name="Comma 7 3 2 3 3" xfId="35580"/>
    <cellStyle name="Comma 7 3 2 4" xfId="14268"/>
    <cellStyle name="Comma 7 3 2 4 2" xfId="17994"/>
    <cellStyle name="Comma 7 3 2 4 2 2" xfId="46855"/>
    <cellStyle name="Comma 7 3 2 4 3" xfId="43129"/>
    <cellStyle name="Comma 7 3 2 5" xfId="15314"/>
    <cellStyle name="Comma 7 3 2 5 2" xfId="44175"/>
    <cellStyle name="Comma 7 3 2 6" xfId="29539"/>
    <cellStyle name="Comma 7 3 3" xfId="2222"/>
    <cellStyle name="Comma 7 3 3 2" xfId="5109"/>
    <cellStyle name="Comma 7 3 3 2 2" xfId="11150"/>
    <cellStyle name="Comma 7 3 3 2 2 2" xfId="28197"/>
    <cellStyle name="Comma 7 3 3 2 2 2 2" xfId="57058"/>
    <cellStyle name="Comma 7 3 3 2 2 3" xfId="40011"/>
    <cellStyle name="Comma 7 3 3 2 3" xfId="22219"/>
    <cellStyle name="Comma 7 3 3 2 3 2" xfId="51080"/>
    <cellStyle name="Comma 7 3 3 2 4" xfId="33970"/>
    <cellStyle name="Comma 7 3 3 3" xfId="8264"/>
    <cellStyle name="Comma 7 3 3 3 2" xfId="25311"/>
    <cellStyle name="Comma 7 3 3 3 2 2" xfId="54172"/>
    <cellStyle name="Comma 7 3 3 3 3" xfId="37125"/>
    <cellStyle name="Comma 7 3 3 4" xfId="12385"/>
    <cellStyle name="Comma 7 3 3 4 2" xfId="19539"/>
    <cellStyle name="Comma 7 3 3 4 2 2" xfId="48400"/>
    <cellStyle name="Comma 7 3 3 4 3" xfId="41246"/>
    <cellStyle name="Comma 7 3 3 5" xfId="16859"/>
    <cellStyle name="Comma 7 3 3 5 2" xfId="45720"/>
    <cellStyle name="Comma 7 3 3 6" xfId="31084"/>
    <cellStyle name="Comma 7 3 4" xfId="3152"/>
    <cellStyle name="Comma 7 3 4 2" xfId="9193"/>
    <cellStyle name="Comma 7 3 4 2 2" xfId="26240"/>
    <cellStyle name="Comma 7 3 4 2 2 2" xfId="55101"/>
    <cellStyle name="Comma 7 3 4 2 3" xfId="38054"/>
    <cellStyle name="Comma 7 3 4 3" xfId="20262"/>
    <cellStyle name="Comma 7 3 4 3 2" xfId="49123"/>
    <cellStyle name="Comma 7 3 4 4" xfId="32013"/>
    <cellStyle name="Comma 7 3 5" xfId="6307"/>
    <cellStyle name="Comma 7 3 5 2" xfId="23354"/>
    <cellStyle name="Comma 7 3 5 2 2" xfId="52215"/>
    <cellStyle name="Comma 7 3 5 3" xfId="35168"/>
    <cellStyle name="Comma 7 3 6" xfId="13522"/>
    <cellStyle name="Comma 7 3 6 2" xfId="17685"/>
    <cellStyle name="Comma 7 3 6 2 2" xfId="46546"/>
    <cellStyle name="Comma 7 3 6 3" xfId="42383"/>
    <cellStyle name="Comma 7 3 7" xfId="14902"/>
    <cellStyle name="Comma 7 3 7 2" xfId="43763"/>
    <cellStyle name="Comma 7 3 8" xfId="29127"/>
    <cellStyle name="Comma 7 4" xfId="471"/>
    <cellStyle name="Comma 7 4 2" xfId="3358"/>
    <cellStyle name="Comma 7 4 2 2" xfId="9399"/>
    <cellStyle name="Comma 7 4 2 2 2" xfId="26446"/>
    <cellStyle name="Comma 7 4 2 2 2 2" xfId="55307"/>
    <cellStyle name="Comma 7 4 2 2 3" xfId="38260"/>
    <cellStyle name="Comma 7 4 2 3" xfId="20468"/>
    <cellStyle name="Comma 7 4 2 3 2" xfId="49329"/>
    <cellStyle name="Comma 7 4 2 4" xfId="32219"/>
    <cellStyle name="Comma 7 4 3" xfId="6513"/>
    <cellStyle name="Comma 7 4 3 2" xfId="23560"/>
    <cellStyle name="Comma 7 4 3 2 2" xfId="52421"/>
    <cellStyle name="Comma 7 4 3 3" xfId="35374"/>
    <cellStyle name="Comma 7 4 4" xfId="12502"/>
    <cellStyle name="Comma 7 4 4 2" xfId="17788"/>
    <cellStyle name="Comma 7 4 4 2 2" xfId="46649"/>
    <cellStyle name="Comma 7 4 4 3" xfId="41363"/>
    <cellStyle name="Comma 7 4 5" xfId="15108"/>
    <cellStyle name="Comma 7 4 5 2" xfId="43969"/>
    <cellStyle name="Comma 7 4 6" xfId="29333"/>
    <cellStyle name="Comma 7 5" xfId="780"/>
    <cellStyle name="Comma 7 5 2" xfId="3667"/>
    <cellStyle name="Comma 7 5 2 2" xfId="9708"/>
    <cellStyle name="Comma 7 5 2 2 2" xfId="26755"/>
    <cellStyle name="Comma 7 5 2 2 2 2" xfId="55616"/>
    <cellStyle name="Comma 7 5 2 2 3" xfId="38569"/>
    <cellStyle name="Comma 7 5 2 3" xfId="20777"/>
    <cellStyle name="Comma 7 5 2 3 2" xfId="49638"/>
    <cellStyle name="Comma 7 5 2 4" xfId="32528"/>
    <cellStyle name="Comma 7 5 3" xfId="6822"/>
    <cellStyle name="Comma 7 5 3 2" xfId="23869"/>
    <cellStyle name="Comma 7 5 3 2 2" xfId="52730"/>
    <cellStyle name="Comma 7 5 3 3" xfId="35683"/>
    <cellStyle name="Comma 7 5 4" xfId="14078"/>
    <cellStyle name="Comma 7 5 4 2" xfId="18097"/>
    <cellStyle name="Comma 7 5 4 2 2" xfId="46958"/>
    <cellStyle name="Comma 7 5 4 3" xfId="42939"/>
    <cellStyle name="Comma 7 5 5" xfId="15417"/>
    <cellStyle name="Comma 7 5 5 2" xfId="44278"/>
    <cellStyle name="Comma 7 5 6" xfId="29642"/>
    <cellStyle name="Comma 7 6" xfId="986"/>
    <cellStyle name="Comma 7 6 2" xfId="3873"/>
    <cellStyle name="Comma 7 6 2 2" xfId="9914"/>
    <cellStyle name="Comma 7 6 2 2 2" xfId="26961"/>
    <cellStyle name="Comma 7 6 2 2 2 2" xfId="55822"/>
    <cellStyle name="Comma 7 6 2 2 3" xfId="38775"/>
    <cellStyle name="Comma 7 6 2 3" xfId="20983"/>
    <cellStyle name="Comma 7 6 2 3 2" xfId="49844"/>
    <cellStyle name="Comma 7 6 2 4" xfId="32734"/>
    <cellStyle name="Comma 7 6 3" xfId="7028"/>
    <cellStyle name="Comma 7 6 3 2" xfId="24075"/>
    <cellStyle name="Comma 7 6 3 2 2" xfId="52936"/>
    <cellStyle name="Comma 7 6 3 3" xfId="35889"/>
    <cellStyle name="Comma 7 6 4" xfId="13728"/>
    <cellStyle name="Comma 7 6 4 2" xfId="18303"/>
    <cellStyle name="Comma 7 6 4 2 2" xfId="47164"/>
    <cellStyle name="Comma 7 6 4 3" xfId="42589"/>
    <cellStyle name="Comma 7 6 5" xfId="15623"/>
    <cellStyle name="Comma 7 6 5 2" xfId="44484"/>
    <cellStyle name="Comma 7 6 6" xfId="29848"/>
    <cellStyle name="Comma 7 7" xfId="1192"/>
    <cellStyle name="Comma 7 7 2" xfId="4079"/>
    <cellStyle name="Comma 7 7 2 2" xfId="10120"/>
    <cellStyle name="Comma 7 7 2 2 2" xfId="27167"/>
    <cellStyle name="Comma 7 7 2 2 2 2" xfId="56028"/>
    <cellStyle name="Comma 7 7 2 2 3" xfId="38981"/>
    <cellStyle name="Comma 7 7 2 3" xfId="21189"/>
    <cellStyle name="Comma 7 7 2 3 2" xfId="50050"/>
    <cellStyle name="Comma 7 7 2 4" xfId="32940"/>
    <cellStyle name="Comma 7 7 3" xfId="7234"/>
    <cellStyle name="Comma 7 7 3 2" xfId="24281"/>
    <cellStyle name="Comma 7 7 3 2 2" xfId="53142"/>
    <cellStyle name="Comma 7 7 3 3" xfId="36095"/>
    <cellStyle name="Comma 7 7 4" xfId="12785"/>
    <cellStyle name="Comma 7 7 4 2" xfId="18509"/>
    <cellStyle name="Comma 7 7 4 2 2" xfId="47370"/>
    <cellStyle name="Comma 7 7 4 3" xfId="41646"/>
    <cellStyle name="Comma 7 7 5" xfId="15829"/>
    <cellStyle name="Comma 7 7 5 2" xfId="44690"/>
    <cellStyle name="Comma 7 7 6" xfId="30054"/>
    <cellStyle name="Comma 7 8" xfId="1398"/>
    <cellStyle name="Comma 7 8 2" xfId="4285"/>
    <cellStyle name="Comma 7 8 2 2" xfId="10326"/>
    <cellStyle name="Comma 7 8 2 2 2" xfId="27373"/>
    <cellStyle name="Comma 7 8 2 2 2 2" xfId="56234"/>
    <cellStyle name="Comma 7 8 2 2 3" xfId="39187"/>
    <cellStyle name="Comma 7 8 2 3" xfId="21395"/>
    <cellStyle name="Comma 7 8 2 3 2" xfId="50256"/>
    <cellStyle name="Comma 7 8 2 4" xfId="33146"/>
    <cellStyle name="Comma 7 8 3" xfId="7440"/>
    <cellStyle name="Comma 7 8 3 2" xfId="24487"/>
    <cellStyle name="Comma 7 8 3 2 2" xfId="53348"/>
    <cellStyle name="Comma 7 8 3 3" xfId="36301"/>
    <cellStyle name="Comma 7 8 4" xfId="13189"/>
    <cellStyle name="Comma 7 8 4 2" xfId="18715"/>
    <cellStyle name="Comma 7 8 4 2 2" xfId="47576"/>
    <cellStyle name="Comma 7 8 4 3" xfId="42050"/>
    <cellStyle name="Comma 7 8 5" xfId="16035"/>
    <cellStyle name="Comma 7 8 5 2" xfId="44896"/>
    <cellStyle name="Comma 7 8 6" xfId="30260"/>
    <cellStyle name="Comma 7 9" xfId="1604"/>
    <cellStyle name="Comma 7 9 2" xfId="4491"/>
    <cellStyle name="Comma 7 9 2 2" xfId="10532"/>
    <cellStyle name="Comma 7 9 2 2 2" xfId="27579"/>
    <cellStyle name="Comma 7 9 2 2 2 2" xfId="56440"/>
    <cellStyle name="Comma 7 9 2 2 3" xfId="39393"/>
    <cellStyle name="Comma 7 9 2 3" xfId="21601"/>
    <cellStyle name="Comma 7 9 2 3 2" xfId="50462"/>
    <cellStyle name="Comma 7 9 2 4" xfId="33352"/>
    <cellStyle name="Comma 7 9 3" xfId="7646"/>
    <cellStyle name="Comma 7 9 3 2" xfId="24693"/>
    <cellStyle name="Comma 7 9 3 2 2" xfId="53554"/>
    <cellStyle name="Comma 7 9 3 3" xfId="36507"/>
    <cellStyle name="Comma 7 9 4" xfId="12540"/>
    <cellStyle name="Comma 7 9 4 2" xfId="18921"/>
    <cellStyle name="Comma 7 9 4 2 2" xfId="47782"/>
    <cellStyle name="Comma 7 9 4 3" xfId="41401"/>
    <cellStyle name="Comma 7 9 5" xfId="16241"/>
    <cellStyle name="Comma 7 9 5 2" xfId="45102"/>
    <cellStyle name="Comma 7 9 6" xfId="30466"/>
    <cellStyle name="Comma0" xfId="7"/>
    <cellStyle name="Comma0 2" xfId="8"/>
    <cellStyle name="Comma0 2 2" xfId="9"/>
    <cellStyle name="Comma0 3" xfId="10"/>
    <cellStyle name="Comma0 4" xfId="11"/>
    <cellStyle name="Currency 2" xfId="12"/>
    <cellStyle name="Currency 2 2" xfId="13"/>
    <cellStyle name="Currency 2 2 2" xfId="14"/>
    <cellStyle name="Currency 2 3" xfId="15"/>
    <cellStyle name="Currency 2 4" xfId="16"/>
    <cellStyle name="Currency 3" xfId="156"/>
    <cellStyle name="Currency 3 10" xfId="1804"/>
    <cellStyle name="Currency 3 10 2" xfId="4691"/>
    <cellStyle name="Currency 3 10 2 2" xfId="10732"/>
    <cellStyle name="Currency 3 10 2 2 2" xfId="27779"/>
    <cellStyle name="Currency 3 10 2 2 2 2" xfId="56640"/>
    <cellStyle name="Currency 3 10 2 2 3" xfId="39593"/>
    <cellStyle name="Currency 3 10 2 3" xfId="21801"/>
    <cellStyle name="Currency 3 10 2 3 2" xfId="50662"/>
    <cellStyle name="Currency 3 10 2 4" xfId="33552"/>
    <cellStyle name="Currency 3 10 3" xfId="7846"/>
    <cellStyle name="Currency 3 10 3 2" xfId="24893"/>
    <cellStyle name="Currency 3 10 3 2 2" xfId="53754"/>
    <cellStyle name="Currency 3 10 3 3" xfId="36707"/>
    <cellStyle name="Currency 3 10 4" xfId="13248"/>
    <cellStyle name="Currency 3 10 4 2" xfId="19121"/>
    <cellStyle name="Currency 3 10 4 2 2" xfId="47982"/>
    <cellStyle name="Currency 3 10 4 3" xfId="42109"/>
    <cellStyle name="Currency 3 10 5" xfId="16441"/>
    <cellStyle name="Currency 3 10 5 2" xfId="45302"/>
    <cellStyle name="Currency 3 10 6" xfId="30666"/>
    <cellStyle name="Currency 3 11" xfId="2010"/>
    <cellStyle name="Currency 3 11 2" xfId="4897"/>
    <cellStyle name="Currency 3 11 2 2" xfId="10938"/>
    <cellStyle name="Currency 3 11 2 2 2" xfId="27985"/>
    <cellStyle name="Currency 3 11 2 2 2 2" xfId="56846"/>
    <cellStyle name="Currency 3 11 2 2 3" xfId="39799"/>
    <cellStyle name="Currency 3 11 2 3" xfId="22007"/>
    <cellStyle name="Currency 3 11 2 3 2" xfId="50868"/>
    <cellStyle name="Currency 3 11 2 4" xfId="33758"/>
    <cellStyle name="Currency 3 11 3" xfId="8052"/>
    <cellStyle name="Currency 3 11 3 2" xfId="25099"/>
    <cellStyle name="Currency 3 11 3 2 2" xfId="53960"/>
    <cellStyle name="Currency 3 11 3 3" xfId="36913"/>
    <cellStyle name="Currency 3 11 4" xfId="13703"/>
    <cellStyle name="Currency 3 11 4 2" xfId="19327"/>
    <cellStyle name="Currency 3 11 4 2 2" xfId="48188"/>
    <cellStyle name="Currency 3 11 4 3" xfId="42564"/>
    <cellStyle name="Currency 3 11 5" xfId="16647"/>
    <cellStyle name="Currency 3 11 5 2" xfId="45508"/>
    <cellStyle name="Currency 3 11 6" xfId="30872"/>
    <cellStyle name="Currency 3 12" xfId="2422"/>
    <cellStyle name="Currency 3 12 2" xfId="5309"/>
    <cellStyle name="Currency 3 12 2 2" xfId="11350"/>
    <cellStyle name="Currency 3 12 2 2 2" xfId="28397"/>
    <cellStyle name="Currency 3 12 2 2 2 2" xfId="57258"/>
    <cellStyle name="Currency 3 12 2 2 3" xfId="40211"/>
    <cellStyle name="Currency 3 12 2 3" xfId="22419"/>
    <cellStyle name="Currency 3 12 2 3 2" xfId="51280"/>
    <cellStyle name="Currency 3 12 2 4" xfId="34170"/>
    <cellStyle name="Currency 3 12 3" xfId="8464"/>
    <cellStyle name="Currency 3 12 3 2" xfId="25511"/>
    <cellStyle name="Currency 3 12 3 2 2" xfId="54372"/>
    <cellStyle name="Currency 3 12 3 3" xfId="37325"/>
    <cellStyle name="Currency 3 12 4" xfId="12627"/>
    <cellStyle name="Currency 3 12 4 2" xfId="19739"/>
    <cellStyle name="Currency 3 12 4 2 2" xfId="48600"/>
    <cellStyle name="Currency 3 12 4 3" xfId="41488"/>
    <cellStyle name="Currency 3 12 5" xfId="17059"/>
    <cellStyle name="Currency 3 12 5 2" xfId="45920"/>
    <cellStyle name="Currency 3 12 6" xfId="31284"/>
    <cellStyle name="Currency 3 13" xfId="2631"/>
    <cellStyle name="Currency 3 13 2" xfId="5517"/>
    <cellStyle name="Currency 3 13 2 2" xfId="11558"/>
    <cellStyle name="Currency 3 13 2 2 2" xfId="28605"/>
    <cellStyle name="Currency 3 13 2 2 2 2" xfId="57466"/>
    <cellStyle name="Currency 3 13 2 2 3" xfId="40419"/>
    <cellStyle name="Currency 3 13 2 3" xfId="22627"/>
    <cellStyle name="Currency 3 13 2 3 2" xfId="51488"/>
    <cellStyle name="Currency 3 13 2 4" xfId="34378"/>
    <cellStyle name="Currency 3 13 3" xfId="8672"/>
    <cellStyle name="Currency 3 13 3 2" xfId="25719"/>
    <cellStyle name="Currency 3 13 3 2 2" xfId="54580"/>
    <cellStyle name="Currency 3 13 3 3" xfId="37533"/>
    <cellStyle name="Currency 3 13 4" xfId="14038"/>
    <cellStyle name="Currency 3 13 4 2" xfId="19947"/>
    <cellStyle name="Currency 3 13 4 2 2" xfId="48808"/>
    <cellStyle name="Currency 3 13 4 3" xfId="42899"/>
    <cellStyle name="Currency 3 13 5" xfId="17267"/>
    <cellStyle name="Currency 3 13 5 2" xfId="46128"/>
    <cellStyle name="Currency 3 13 6" xfId="31492"/>
    <cellStyle name="Currency 3 14" xfId="3043"/>
    <cellStyle name="Currency 3 14 2" xfId="9084"/>
    <cellStyle name="Currency 3 14 2 2" xfId="26131"/>
    <cellStyle name="Currency 3 14 2 2 2" xfId="54992"/>
    <cellStyle name="Currency 3 14 2 3" xfId="37945"/>
    <cellStyle name="Currency 3 14 3" xfId="13250"/>
    <cellStyle name="Currency 3 14 3 2" xfId="20153"/>
    <cellStyle name="Currency 3 14 3 2 2" xfId="49014"/>
    <cellStyle name="Currency 3 14 3 3" xfId="42111"/>
    <cellStyle name="Currency 3 14 4" xfId="14793"/>
    <cellStyle name="Currency 3 14 4 2" xfId="43654"/>
    <cellStyle name="Currency 3 14 5" xfId="31904"/>
    <cellStyle name="Currency 3 15" xfId="2837"/>
    <cellStyle name="Currency 3 15 2" xfId="8878"/>
    <cellStyle name="Currency 3 15 2 2" xfId="25925"/>
    <cellStyle name="Currency 3 15 2 2 2" xfId="54786"/>
    <cellStyle name="Currency 3 15 2 3" xfId="37739"/>
    <cellStyle name="Currency 3 15 3" xfId="17473"/>
    <cellStyle name="Currency 3 15 3 2" xfId="46334"/>
    <cellStyle name="Currency 3 15 4" xfId="31698"/>
    <cellStyle name="Currency 3 16" xfId="5723"/>
    <cellStyle name="Currency 3 16 2" xfId="11764"/>
    <cellStyle name="Currency 3 16 2 2" xfId="28811"/>
    <cellStyle name="Currency 3 16 2 2 2" xfId="57672"/>
    <cellStyle name="Currency 3 16 2 3" xfId="40625"/>
    <cellStyle name="Currency 3 16 3" xfId="22833"/>
    <cellStyle name="Currency 3 16 3 2" xfId="51694"/>
    <cellStyle name="Currency 3 16 4" xfId="34584"/>
    <cellStyle name="Currency 3 17" xfId="5940"/>
    <cellStyle name="Currency 3 17 2" xfId="23039"/>
    <cellStyle name="Currency 3 17 2 2" xfId="51900"/>
    <cellStyle name="Currency 3 17 3" xfId="34801"/>
    <cellStyle name="Currency 3 18" xfId="6198"/>
    <cellStyle name="Currency 3 18 2" xfId="23245"/>
    <cellStyle name="Currency 3 18 2 2" xfId="52106"/>
    <cellStyle name="Currency 3 18 3" xfId="35059"/>
    <cellStyle name="Currency 3 19" xfId="14587"/>
    <cellStyle name="Currency 3 19 2" xfId="43448"/>
    <cellStyle name="Currency 3 2" xfId="362"/>
    <cellStyle name="Currency 3 2 10" xfId="2525"/>
    <cellStyle name="Currency 3 2 10 2" xfId="5412"/>
    <cellStyle name="Currency 3 2 10 2 2" xfId="11453"/>
    <cellStyle name="Currency 3 2 10 2 2 2" xfId="28500"/>
    <cellStyle name="Currency 3 2 10 2 2 2 2" xfId="57361"/>
    <cellStyle name="Currency 3 2 10 2 2 3" xfId="40314"/>
    <cellStyle name="Currency 3 2 10 2 3" xfId="22522"/>
    <cellStyle name="Currency 3 2 10 2 3 2" xfId="51383"/>
    <cellStyle name="Currency 3 2 10 2 4" xfId="34273"/>
    <cellStyle name="Currency 3 2 10 3" xfId="8567"/>
    <cellStyle name="Currency 3 2 10 3 2" xfId="25614"/>
    <cellStyle name="Currency 3 2 10 3 2 2" xfId="54475"/>
    <cellStyle name="Currency 3 2 10 3 3" xfId="37428"/>
    <cellStyle name="Currency 3 2 10 4" xfId="13935"/>
    <cellStyle name="Currency 3 2 10 4 2" xfId="19842"/>
    <cellStyle name="Currency 3 2 10 4 2 2" xfId="48703"/>
    <cellStyle name="Currency 3 2 10 4 3" xfId="42796"/>
    <cellStyle name="Currency 3 2 10 5" xfId="17162"/>
    <cellStyle name="Currency 3 2 10 5 2" xfId="46023"/>
    <cellStyle name="Currency 3 2 10 6" xfId="31387"/>
    <cellStyle name="Currency 3 2 11" xfId="2734"/>
    <cellStyle name="Currency 3 2 11 2" xfId="5620"/>
    <cellStyle name="Currency 3 2 11 2 2" xfId="11661"/>
    <cellStyle name="Currency 3 2 11 2 2 2" xfId="28708"/>
    <cellStyle name="Currency 3 2 11 2 2 2 2" xfId="57569"/>
    <cellStyle name="Currency 3 2 11 2 2 3" xfId="40522"/>
    <cellStyle name="Currency 3 2 11 2 3" xfId="22730"/>
    <cellStyle name="Currency 3 2 11 2 3 2" xfId="51591"/>
    <cellStyle name="Currency 3 2 11 2 4" xfId="34481"/>
    <cellStyle name="Currency 3 2 11 3" xfId="8775"/>
    <cellStyle name="Currency 3 2 11 3 2" xfId="25822"/>
    <cellStyle name="Currency 3 2 11 3 2 2" xfId="54683"/>
    <cellStyle name="Currency 3 2 11 3 3" xfId="37636"/>
    <cellStyle name="Currency 3 2 11 4" xfId="14476"/>
    <cellStyle name="Currency 3 2 11 4 2" xfId="20050"/>
    <cellStyle name="Currency 3 2 11 4 2 2" xfId="48911"/>
    <cellStyle name="Currency 3 2 11 4 3" xfId="43337"/>
    <cellStyle name="Currency 3 2 11 5" xfId="17370"/>
    <cellStyle name="Currency 3 2 11 5 2" xfId="46231"/>
    <cellStyle name="Currency 3 2 11 6" xfId="31595"/>
    <cellStyle name="Currency 3 2 12" xfId="3249"/>
    <cellStyle name="Currency 3 2 12 2" xfId="9290"/>
    <cellStyle name="Currency 3 2 12 2 2" xfId="26337"/>
    <cellStyle name="Currency 3 2 12 2 2 2" xfId="55198"/>
    <cellStyle name="Currency 3 2 12 2 3" xfId="38151"/>
    <cellStyle name="Currency 3 2 12 3" xfId="13768"/>
    <cellStyle name="Currency 3 2 12 3 2" xfId="20359"/>
    <cellStyle name="Currency 3 2 12 3 2 2" xfId="49220"/>
    <cellStyle name="Currency 3 2 12 3 3" xfId="42629"/>
    <cellStyle name="Currency 3 2 12 4" xfId="14999"/>
    <cellStyle name="Currency 3 2 12 4 2" xfId="43860"/>
    <cellStyle name="Currency 3 2 12 5" xfId="32110"/>
    <cellStyle name="Currency 3 2 13" xfId="2940"/>
    <cellStyle name="Currency 3 2 13 2" xfId="8981"/>
    <cellStyle name="Currency 3 2 13 2 2" xfId="26028"/>
    <cellStyle name="Currency 3 2 13 2 2 2" xfId="54889"/>
    <cellStyle name="Currency 3 2 13 2 3" xfId="37842"/>
    <cellStyle name="Currency 3 2 13 3" xfId="17576"/>
    <cellStyle name="Currency 3 2 13 3 2" xfId="46437"/>
    <cellStyle name="Currency 3 2 13 4" xfId="31801"/>
    <cellStyle name="Currency 3 2 14" xfId="5826"/>
    <cellStyle name="Currency 3 2 14 2" xfId="11867"/>
    <cellStyle name="Currency 3 2 14 2 2" xfId="28914"/>
    <cellStyle name="Currency 3 2 14 2 2 2" xfId="57775"/>
    <cellStyle name="Currency 3 2 14 2 3" xfId="40728"/>
    <cellStyle name="Currency 3 2 14 3" xfId="22936"/>
    <cellStyle name="Currency 3 2 14 3 2" xfId="51797"/>
    <cellStyle name="Currency 3 2 14 4" xfId="34687"/>
    <cellStyle name="Currency 3 2 15" xfId="6043"/>
    <cellStyle name="Currency 3 2 15 2" xfId="23142"/>
    <cellStyle name="Currency 3 2 15 2 2" xfId="52003"/>
    <cellStyle name="Currency 3 2 15 3" xfId="34904"/>
    <cellStyle name="Currency 3 2 16" xfId="6404"/>
    <cellStyle name="Currency 3 2 16 2" xfId="23451"/>
    <cellStyle name="Currency 3 2 16 2 2" xfId="52312"/>
    <cellStyle name="Currency 3 2 16 3" xfId="35265"/>
    <cellStyle name="Currency 3 2 17" xfId="14690"/>
    <cellStyle name="Currency 3 2 17 2" xfId="43551"/>
    <cellStyle name="Currency 3 2 18" xfId="29224"/>
    <cellStyle name="Currency 3 2 2" xfId="568"/>
    <cellStyle name="Currency 3 2 2 2" xfId="2319"/>
    <cellStyle name="Currency 3 2 2 2 2" xfId="5206"/>
    <cellStyle name="Currency 3 2 2 2 2 2" xfId="11247"/>
    <cellStyle name="Currency 3 2 2 2 2 2 2" xfId="28294"/>
    <cellStyle name="Currency 3 2 2 2 2 2 2 2" xfId="57155"/>
    <cellStyle name="Currency 3 2 2 2 2 2 3" xfId="40108"/>
    <cellStyle name="Currency 3 2 2 2 2 3" xfId="22316"/>
    <cellStyle name="Currency 3 2 2 2 2 3 2" xfId="51177"/>
    <cellStyle name="Currency 3 2 2 2 2 4" xfId="34067"/>
    <cellStyle name="Currency 3 2 2 2 3" xfId="8361"/>
    <cellStyle name="Currency 3 2 2 2 3 2" xfId="25408"/>
    <cellStyle name="Currency 3 2 2 2 3 2 2" xfId="54269"/>
    <cellStyle name="Currency 3 2 2 2 3 3" xfId="37222"/>
    <cellStyle name="Currency 3 2 2 2 4" xfId="6066"/>
    <cellStyle name="Currency 3 2 2 2 4 2" xfId="19636"/>
    <cellStyle name="Currency 3 2 2 2 4 2 2" xfId="48497"/>
    <cellStyle name="Currency 3 2 2 2 4 3" xfId="34927"/>
    <cellStyle name="Currency 3 2 2 2 5" xfId="16956"/>
    <cellStyle name="Currency 3 2 2 2 5 2" xfId="45817"/>
    <cellStyle name="Currency 3 2 2 2 6" xfId="31181"/>
    <cellStyle name="Currency 3 2 2 3" xfId="3455"/>
    <cellStyle name="Currency 3 2 2 3 2" xfId="9496"/>
    <cellStyle name="Currency 3 2 2 3 2 2" xfId="26543"/>
    <cellStyle name="Currency 3 2 2 3 2 2 2" xfId="55404"/>
    <cellStyle name="Currency 3 2 2 3 2 3" xfId="38357"/>
    <cellStyle name="Currency 3 2 2 3 3" xfId="20565"/>
    <cellStyle name="Currency 3 2 2 3 3 2" xfId="49426"/>
    <cellStyle name="Currency 3 2 2 3 4" xfId="32316"/>
    <cellStyle name="Currency 3 2 2 4" xfId="6610"/>
    <cellStyle name="Currency 3 2 2 4 2" xfId="23657"/>
    <cellStyle name="Currency 3 2 2 4 2 2" xfId="52518"/>
    <cellStyle name="Currency 3 2 2 4 3" xfId="35471"/>
    <cellStyle name="Currency 3 2 2 5" xfId="13600"/>
    <cellStyle name="Currency 3 2 2 5 2" xfId="17885"/>
    <cellStyle name="Currency 3 2 2 5 2 2" xfId="46746"/>
    <cellStyle name="Currency 3 2 2 5 3" xfId="42461"/>
    <cellStyle name="Currency 3 2 2 6" xfId="15205"/>
    <cellStyle name="Currency 3 2 2 6 2" xfId="44066"/>
    <cellStyle name="Currency 3 2 2 7" xfId="29430"/>
    <cellStyle name="Currency 3 2 3" xfId="877"/>
    <cellStyle name="Currency 3 2 3 2" xfId="3764"/>
    <cellStyle name="Currency 3 2 3 2 2" xfId="9805"/>
    <cellStyle name="Currency 3 2 3 2 2 2" xfId="26852"/>
    <cellStyle name="Currency 3 2 3 2 2 2 2" xfId="55713"/>
    <cellStyle name="Currency 3 2 3 2 2 3" xfId="38666"/>
    <cellStyle name="Currency 3 2 3 2 3" xfId="20874"/>
    <cellStyle name="Currency 3 2 3 2 3 2" xfId="49735"/>
    <cellStyle name="Currency 3 2 3 2 4" xfId="32625"/>
    <cellStyle name="Currency 3 2 3 3" xfId="6919"/>
    <cellStyle name="Currency 3 2 3 3 2" xfId="23966"/>
    <cellStyle name="Currency 3 2 3 3 2 2" xfId="52827"/>
    <cellStyle name="Currency 3 2 3 3 3" xfId="35780"/>
    <cellStyle name="Currency 3 2 3 4" xfId="13460"/>
    <cellStyle name="Currency 3 2 3 4 2" xfId="18194"/>
    <cellStyle name="Currency 3 2 3 4 2 2" xfId="47055"/>
    <cellStyle name="Currency 3 2 3 4 3" xfId="42321"/>
    <cellStyle name="Currency 3 2 3 5" xfId="15514"/>
    <cellStyle name="Currency 3 2 3 5 2" xfId="44375"/>
    <cellStyle name="Currency 3 2 3 6" xfId="29739"/>
    <cellStyle name="Currency 3 2 4" xfId="1083"/>
    <cellStyle name="Currency 3 2 4 2" xfId="3970"/>
    <cellStyle name="Currency 3 2 4 2 2" xfId="10011"/>
    <cellStyle name="Currency 3 2 4 2 2 2" xfId="27058"/>
    <cellStyle name="Currency 3 2 4 2 2 2 2" xfId="55919"/>
    <cellStyle name="Currency 3 2 4 2 2 3" xfId="38872"/>
    <cellStyle name="Currency 3 2 4 2 3" xfId="21080"/>
    <cellStyle name="Currency 3 2 4 2 3 2" xfId="49941"/>
    <cellStyle name="Currency 3 2 4 2 4" xfId="32831"/>
    <cellStyle name="Currency 3 2 4 3" xfId="7125"/>
    <cellStyle name="Currency 3 2 4 3 2" xfId="24172"/>
    <cellStyle name="Currency 3 2 4 3 2 2" xfId="53033"/>
    <cellStyle name="Currency 3 2 4 3 3" xfId="35986"/>
    <cellStyle name="Currency 3 2 4 4" xfId="14333"/>
    <cellStyle name="Currency 3 2 4 4 2" xfId="18400"/>
    <cellStyle name="Currency 3 2 4 4 2 2" xfId="47261"/>
    <cellStyle name="Currency 3 2 4 4 3" xfId="43194"/>
    <cellStyle name="Currency 3 2 4 5" xfId="15720"/>
    <cellStyle name="Currency 3 2 4 5 2" xfId="44581"/>
    <cellStyle name="Currency 3 2 4 6" xfId="29945"/>
    <cellStyle name="Currency 3 2 5" xfId="1289"/>
    <cellStyle name="Currency 3 2 5 2" xfId="4176"/>
    <cellStyle name="Currency 3 2 5 2 2" xfId="10217"/>
    <cellStyle name="Currency 3 2 5 2 2 2" xfId="27264"/>
    <cellStyle name="Currency 3 2 5 2 2 2 2" xfId="56125"/>
    <cellStyle name="Currency 3 2 5 2 2 3" xfId="39078"/>
    <cellStyle name="Currency 3 2 5 2 3" xfId="21286"/>
    <cellStyle name="Currency 3 2 5 2 3 2" xfId="50147"/>
    <cellStyle name="Currency 3 2 5 2 4" xfId="33037"/>
    <cellStyle name="Currency 3 2 5 3" xfId="7331"/>
    <cellStyle name="Currency 3 2 5 3 2" xfId="24378"/>
    <cellStyle name="Currency 3 2 5 3 2 2" xfId="53239"/>
    <cellStyle name="Currency 3 2 5 3 3" xfId="36192"/>
    <cellStyle name="Currency 3 2 5 4" xfId="14084"/>
    <cellStyle name="Currency 3 2 5 4 2" xfId="18606"/>
    <cellStyle name="Currency 3 2 5 4 2 2" xfId="47467"/>
    <cellStyle name="Currency 3 2 5 4 3" xfId="42945"/>
    <cellStyle name="Currency 3 2 5 5" xfId="15926"/>
    <cellStyle name="Currency 3 2 5 5 2" xfId="44787"/>
    <cellStyle name="Currency 3 2 5 6" xfId="30151"/>
    <cellStyle name="Currency 3 2 6" xfId="1495"/>
    <cellStyle name="Currency 3 2 6 2" xfId="4382"/>
    <cellStyle name="Currency 3 2 6 2 2" xfId="10423"/>
    <cellStyle name="Currency 3 2 6 2 2 2" xfId="27470"/>
    <cellStyle name="Currency 3 2 6 2 2 2 2" xfId="56331"/>
    <cellStyle name="Currency 3 2 6 2 2 3" xfId="39284"/>
    <cellStyle name="Currency 3 2 6 2 3" xfId="21492"/>
    <cellStyle name="Currency 3 2 6 2 3 2" xfId="50353"/>
    <cellStyle name="Currency 3 2 6 2 4" xfId="33243"/>
    <cellStyle name="Currency 3 2 6 3" xfId="7537"/>
    <cellStyle name="Currency 3 2 6 3 2" xfId="24584"/>
    <cellStyle name="Currency 3 2 6 3 2 2" xfId="53445"/>
    <cellStyle name="Currency 3 2 6 3 3" xfId="36398"/>
    <cellStyle name="Currency 3 2 6 4" xfId="6083"/>
    <cellStyle name="Currency 3 2 6 4 2" xfId="18812"/>
    <cellStyle name="Currency 3 2 6 4 2 2" xfId="47673"/>
    <cellStyle name="Currency 3 2 6 4 3" xfId="34944"/>
    <cellStyle name="Currency 3 2 6 5" xfId="16132"/>
    <cellStyle name="Currency 3 2 6 5 2" xfId="44993"/>
    <cellStyle name="Currency 3 2 6 6" xfId="30357"/>
    <cellStyle name="Currency 3 2 7" xfId="1701"/>
    <cellStyle name="Currency 3 2 7 2" xfId="4588"/>
    <cellStyle name="Currency 3 2 7 2 2" xfId="10629"/>
    <cellStyle name="Currency 3 2 7 2 2 2" xfId="27676"/>
    <cellStyle name="Currency 3 2 7 2 2 2 2" xfId="56537"/>
    <cellStyle name="Currency 3 2 7 2 2 3" xfId="39490"/>
    <cellStyle name="Currency 3 2 7 2 3" xfId="21698"/>
    <cellStyle name="Currency 3 2 7 2 3 2" xfId="50559"/>
    <cellStyle name="Currency 3 2 7 2 4" xfId="33449"/>
    <cellStyle name="Currency 3 2 7 3" xfId="7743"/>
    <cellStyle name="Currency 3 2 7 3 2" xfId="24790"/>
    <cellStyle name="Currency 3 2 7 3 2 2" xfId="53651"/>
    <cellStyle name="Currency 3 2 7 3 3" xfId="36604"/>
    <cellStyle name="Currency 3 2 7 4" xfId="13359"/>
    <cellStyle name="Currency 3 2 7 4 2" xfId="19018"/>
    <cellStyle name="Currency 3 2 7 4 2 2" xfId="47879"/>
    <cellStyle name="Currency 3 2 7 4 3" xfId="42220"/>
    <cellStyle name="Currency 3 2 7 5" xfId="16338"/>
    <cellStyle name="Currency 3 2 7 5 2" xfId="45199"/>
    <cellStyle name="Currency 3 2 7 6" xfId="30563"/>
    <cellStyle name="Currency 3 2 8" xfId="1907"/>
    <cellStyle name="Currency 3 2 8 2" xfId="4794"/>
    <cellStyle name="Currency 3 2 8 2 2" xfId="10835"/>
    <cellStyle name="Currency 3 2 8 2 2 2" xfId="27882"/>
    <cellStyle name="Currency 3 2 8 2 2 2 2" xfId="56743"/>
    <cellStyle name="Currency 3 2 8 2 2 3" xfId="39696"/>
    <cellStyle name="Currency 3 2 8 2 3" xfId="21904"/>
    <cellStyle name="Currency 3 2 8 2 3 2" xfId="50765"/>
    <cellStyle name="Currency 3 2 8 2 4" xfId="33655"/>
    <cellStyle name="Currency 3 2 8 3" xfId="7949"/>
    <cellStyle name="Currency 3 2 8 3 2" xfId="24996"/>
    <cellStyle name="Currency 3 2 8 3 2 2" xfId="53857"/>
    <cellStyle name="Currency 3 2 8 3 3" xfId="36810"/>
    <cellStyle name="Currency 3 2 8 4" xfId="14468"/>
    <cellStyle name="Currency 3 2 8 4 2" xfId="19224"/>
    <cellStyle name="Currency 3 2 8 4 2 2" xfId="48085"/>
    <cellStyle name="Currency 3 2 8 4 3" xfId="43329"/>
    <cellStyle name="Currency 3 2 8 5" xfId="16544"/>
    <cellStyle name="Currency 3 2 8 5 2" xfId="45405"/>
    <cellStyle name="Currency 3 2 8 6" xfId="30769"/>
    <cellStyle name="Currency 3 2 9" xfId="2113"/>
    <cellStyle name="Currency 3 2 9 2" xfId="5000"/>
    <cellStyle name="Currency 3 2 9 2 2" xfId="11041"/>
    <cellStyle name="Currency 3 2 9 2 2 2" xfId="28088"/>
    <cellStyle name="Currency 3 2 9 2 2 2 2" xfId="56949"/>
    <cellStyle name="Currency 3 2 9 2 2 3" xfId="39902"/>
    <cellStyle name="Currency 3 2 9 2 3" xfId="22110"/>
    <cellStyle name="Currency 3 2 9 2 3 2" xfId="50971"/>
    <cellStyle name="Currency 3 2 9 2 4" xfId="33861"/>
    <cellStyle name="Currency 3 2 9 3" xfId="8155"/>
    <cellStyle name="Currency 3 2 9 3 2" xfId="25202"/>
    <cellStyle name="Currency 3 2 9 3 2 2" xfId="54063"/>
    <cellStyle name="Currency 3 2 9 3 3" xfId="37016"/>
    <cellStyle name="Currency 3 2 9 4" xfId="14189"/>
    <cellStyle name="Currency 3 2 9 4 2" xfId="19430"/>
    <cellStyle name="Currency 3 2 9 4 2 2" xfId="48291"/>
    <cellStyle name="Currency 3 2 9 4 3" xfId="43050"/>
    <cellStyle name="Currency 3 2 9 5" xfId="16750"/>
    <cellStyle name="Currency 3 2 9 5 2" xfId="45611"/>
    <cellStyle name="Currency 3 2 9 6" xfId="30975"/>
    <cellStyle name="Currency 3 20" xfId="29018"/>
    <cellStyle name="Currency 3 3" xfId="259"/>
    <cellStyle name="Currency 3 3 2" xfId="671"/>
    <cellStyle name="Currency 3 3 2 2" xfId="3558"/>
    <cellStyle name="Currency 3 3 2 2 2" xfId="9599"/>
    <cellStyle name="Currency 3 3 2 2 2 2" xfId="26646"/>
    <cellStyle name="Currency 3 3 2 2 2 2 2" xfId="55507"/>
    <cellStyle name="Currency 3 3 2 2 2 3" xfId="38460"/>
    <cellStyle name="Currency 3 3 2 2 3" xfId="20668"/>
    <cellStyle name="Currency 3 3 2 2 3 2" xfId="49529"/>
    <cellStyle name="Currency 3 3 2 2 4" xfId="32419"/>
    <cellStyle name="Currency 3 3 2 3" xfId="6713"/>
    <cellStyle name="Currency 3 3 2 3 2" xfId="23760"/>
    <cellStyle name="Currency 3 3 2 3 2 2" xfId="52621"/>
    <cellStyle name="Currency 3 3 2 3 3" xfId="35574"/>
    <cellStyle name="Currency 3 3 2 4" xfId="13753"/>
    <cellStyle name="Currency 3 3 2 4 2" xfId="17988"/>
    <cellStyle name="Currency 3 3 2 4 2 2" xfId="46849"/>
    <cellStyle name="Currency 3 3 2 4 3" xfId="42614"/>
    <cellStyle name="Currency 3 3 2 5" xfId="15308"/>
    <cellStyle name="Currency 3 3 2 5 2" xfId="44169"/>
    <cellStyle name="Currency 3 3 2 6" xfId="29533"/>
    <cellStyle name="Currency 3 3 3" xfId="2216"/>
    <cellStyle name="Currency 3 3 3 2" xfId="5103"/>
    <cellStyle name="Currency 3 3 3 2 2" xfId="11144"/>
    <cellStyle name="Currency 3 3 3 2 2 2" xfId="28191"/>
    <cellStyle name="Currency 3 3 3 2 2 2 2" xfId="57052"/>
    <cellStyle name="Currency 3 3 3 2 2 3" xfId="40005"/>
    <cellStyle name="Currency 3 3 3 2 3" xfId="22213"/>
    <cellStyle name="Currency 3 3 3 2 3 2" xfId="51074"/>
    <cellStyle name="Currency 3 3 3 2 4" xfId="33964"/>
    <cellStyle name="Currency 3 3 3 3" xfId="8258"/>
    <cellStyle name="Currency 3 3 3 3 2" xfId="25305"/>
    <cellStyle name="Currency 3 3 3 3 2 2" xfId="54166"/>
    <cellStyle name="Currency 3 3 3 3 3" xfId="37119"/>
    <cellStyle name="Currency 3 3 3 4" xfId="14283"/>
    <cellStyle name="Currency 3 3 3 4 2" xfId="19533"/>
    <cellStyle name="Currency 3 3 3 4 2 2" xfId="48394"/>
    <cellStyle name="Currency 3 3 3 4 3" xfId="43144"/>
    <cellStyle name="Currency 3 3 3 5" xfId="16853"/>
    <cellStyle name="Currency 3 3 3 5 2" xfId="45714"/>
    <cellStyle name="Currency 3 3 3 6" xfId="31078"/>
    <cellStyle name="Currency 3 3 4" xfId="3146"/>
    <cellStyle name="Currency 3 3 4 2" xfId="9187"/>
    <cellStyle name="Currency 3 3 4 2 2" xfId="26234"/>
    <cellStyle name="Currency 3 3 4 2 2 2" xfId="55095"/>
    <cellStyle name="Currency 3 3 4 2 3" xfId="38048"/>
    <cellStyle name="Currency 3 3 4 3" xfId="20256"/>
    <cellStyle name="Currency 3 3 4 3 2" xfId="49117"/>
    <cellStyle name="Currency 3 3 4 4" xfId="32007"/>
    <cellStyle name="Currency 3 3 5" xfId="6301"/>
    <cellStyle name="Currency 3 3 5 2" xfId="23348"/>
    <cellStyle name="Currency 3 3 5 2 2" xfId="52209"/>
    <cellStyle name="Currency 3 3 5 3" xfId="35162"/>
    <cellStyle name="Currency 3 3 6" xfId="13024"/>
    <cellStyle name="Currency 3 3 6 2" xfId="17679"/>
    <cellStyle name="Currency 3 3 6 2 2" xfId="46540"/>
    <cellStyle name="Currency 3 3 6 3" xfId="41885"/>
    <cellStyle name="Currency 3 3 7" xfId="14896"/>
    <cellStyle name="Currency 3 3 7 2" xfId="43757"/>
    <cellStyle name="Currency 3 3 8" xfId="29121"/>
    <cellStyle name="Currency 3 4" xfId="465"/>
    <cellStyle name="Currency 3 4 2" xfId="3352"/>
    <cellStyle name="Currency 3 4 2 2" xfId="9393"/>
    <cellStyle name="Currency 3 4 2 2 2" xfId="26440"/>
    <cellStyle name="Currency 3 4 2 2 2 2" xfId="55301"/>
    <cellStyle name="Currency 3 4 2 2 3" xfId="38254"/>
    <cellStyle name="Currency 3 4 2 3" xfId="20462"/>
    <cellStyle name="Currency 3 4 2 3 2" xfId="49323"/>
    <cellStyle name="Currency 3 4 2 4" xfId="32213"/>
    <cellStyle name="Currency 3 4 3" xfId="6507"/>
    <cellStyle name="Currency 3 4 3 2" xfId="23554"/>
    <cellStyle name="Currency 3 4 3 2 2" xfId="52415"/>
    <cellStyle name="Currency 3 4 3 3" xfId="35368"/>
    <cellStyle name="Currency 3 4 4" xfId="12577"/>
    <cellStyle name="Currency 3 4 4 2" xfId="17782"/>
    <cellStyle name="Currency 3 4 4 2 2" xfId="46643"/>
    <cellStyle name="Currency 3 4 4 3" xfId="41438"/>
    <cellStyle name="Currency 3 4 5" xfId="15102"/>
    <cellStyle name="Currency 3 4 5 2" xfId="43963"/>
    <cellStyle name="Currency 3 4 6" xfId="29327"/>
    <cellStyle name="Currency 3 5" xfId="774"/>
    <cellStyle name="Currency 3 5 2" xfId="3661"/>
    <cellStyle name="Currency 3 5 2 2" xfId="9702"/>
    <cellStyle name="Currency 3 5 2 2 2" xfId="26749"/>
    <cellStyle name="Currency 3 5 2 2 2 2" xfId="55610"/>
    <cellStyle name="Currency 3 5 2 2 3" xfId="38563"/>
    <cellStyle name="Currency 3 5 2 3" xfId="20771"/>
    <cellStyle name="Currency 3 5 2 3 2" xfId="49632"/>
    <cellStyle name="Currency 3 5 2 4" xfId="32522"/>
    <cellStyle name="Currency 3 5 3" xfId="6816"/>
    <cellStyle name="Currency 3 5 3 2" xfId="23863"/>
    <cellStyle name="Currency 3 5 3 2 2" xfId="52724"/>
    <cellStyle name="Currency 3 5 3 3" xfId="35677"/>
    <cellStyle name="Currency 3 5 4" xfId="13008"/>
    <cellStyle name="Currency 3 5 4 2" xfId="18091"/>
    <cellStyle name="Currency 3 5 4 2 2" xfId="46952"/>
    <cellStyle name="Currency 3 5 4 3" xfId="41869"/>
    <cellStyle name="Currency 3 5 5" xfId="15411"/>
    <cellStyle name="Currency 3 5 5 2" xfId="44272"/>
    <cellStyle name="Currency 3 5 6" xfId="29636"/>
    <cellStyle name="Currency 3 6" xfId="980"/>
    <cellStyle name="Currency 3 6 2" xfId="3867"/>
    <cellStyle name="Currency 3 6 2 2" xfId="9908"/>
    <cellStyle name="Currency 3 6 2 2 2" xfId="26955"/>
    <cellStyle name="Currency 3 6 2 2 2 2" xfId="55816"/>
    <cellStyle name="Currency 3 6 2 2 3" xfId="38769"/>
    <cellStyle name="Currency 3 6 2 3" xfId="20977"/>
    <cellStyle name="Currency 3 6 2 3 2" xfId="49838"/>
    <cellStyle name="Currency 3 6 2 4" xfId="32728"/>
    <cellStyle name="Currency 3 6 3" xfId="7022"/>
    <cellStyle name="Currency 3 6 3 2" xfId="24069"/>
    <cellStyle name="Currency 3 6 3 2 2" xfId="52930"/>
    <cellStyle name="Currency 3 6 3 3" xfId="35883"/>
    <cellStyle name="Currency 3 6 4" xfId="13570"/>
    <cellStyle name="Currency 3 6 4 2" xfId="18297"/>
    <cellStyle name="Currency 3 6 4 2 2" xfId="47158"/>
    <cellStyle name="Currency 3 6 4 3" xfId="42431"/>
    <cellStyle name="Currency 3 6 5" xfId="15617"/>
    <cellStyle name="Currency 3 6 5 2" xfId="44478"/>
    <cellStyle name="Currency 3 6 6" xfId="29842"/>
    <cellStyle name="Currency 3 7" xfId="1186"/>
    <cellStyle name="Currency 3 7 2" xfId="4073"/>
    <cellStyle name="Currency 3 7 2 2" xfId="10114"/>
    <cellStyle name="Currency 3 7 2 2 2" xfId="27161"/>
    <cellStyle name="Currency 3 7 2 2 2 2" xfId="56022"/>
    <cellStyle name="Currency 3 7 2 2 3" xfId="38975"/>
    <cellStyle name="Currency 3 7 2 3" xfId="21183"/>
    <cellStyle name="Currency 3 7 2 3 2" xfId="50044"/>
    <cellStyle name="Currency 3 7 2 4" xfId="32934"/>
    <cellStyle name="Currency 3 7 3" xfId="7228"/>
    <cellStyle name="Currency 3 7 3 2" xfId="24275"/>
    <cellStyle name="Currency 3 7 3 2 2" xfId="53136"/>
    <cellStyle name="Currency 3 7 3 3" xfId="36089"/>
    <cellStyle name="Currency 3 7 4" xfId="6068"/>
    <cellStyle name="Currency 3 7 4 2" xfId="18503"/>
    <cellStyle name="Currency 3 7 4 2 2" xfId="47364"/>
    <cellStyle name="Currency 3 7 4 3" xfId="34929"/>
    <cellStyle name="Currency 3 7 5" xfId="15823"/>
    <cellStyle name="Currency 3 7 5 2" xfId="44684"/>
    <cellStyle name="Currency 3 7 6" xfId="30048"/>
    <cellStyle name="Currency 3 8" xfId="1392"/>
    <cellStyle name="Currency 3 8 2" xfId="4279"/>
    <cellStyle name="Currency 3 8 2 2" xfId="10320"/>
    <cellStyle name="Currency 3 8 2 2 2" xfId="27367"/>
    <cellStyle name="Currency 3 8 2 2 2 2" xfId="56228"/>
    <cellStyle name="Currency 3 8 2 2 3" xfId="39181"/>
    <cellStyle name="Currency 3 8 2 3" xfId="21389"/>
    <cellStyle name="Currency 3 8 2 3 2" xfId="50250"/>
    <cellStyle name="Currency 3 8 2 4" xfId="33140"/>
    <cellStyle name="Currency 3 8 3" xfId="7434"/>
    <cellStyle name="Currency 3 8 3 2" xfId="24481"/>
    <cellStyle name="Currency 3 8 3 2 2" xfId="53342"/>
    <cellStyle name="Currency 3 8 3 3" xfId="36295"/>
    <cellStyle name="Currency 3 8 4" xfId="12829"/>
    <cellStyle name="Currency 3 8 4 2" xfId="18709"/>
    <cellStyle name="Currency 3 8 4 2 2" xfId="47570"/>
    <cellStyle name="Currency 3 8 4 3" xfId="41690"/>
    <cellStyle name="Currency 3 8 5" xfId="16029"/>
    <cellStyle name="Currency 3 8 5 2" xfId="44890"/>
    <cellStyle name="Currency 3 8 6" xfId="30254"/>
    <cellStyle name="Currency 3 9" xfId="1598"/>
    <cellStyle name="Currency 3 9 2" xfId="4485"/>
    <cellStyle name="Currency 3 9 2 2" xfId="10526"/>
    <cellStyle name="Currency 3 9 2 2 2" xfId="27573"/>
    <cellStyle name="Currency 3 9 2 2 2 2" xfId="56434"/>
    <cellStyle name="Currency 3 9 2 2 3" xfId="39387"/>
    <cellStyle name="Currency 3 9 2 3" xfId="21595"/>
    <cellStyle name="Currency 3 9 2 3 2" xfId="50456"/>
    <cellStyle name="Currency 3 9 2 4" xfId="33346"/>
    <cellStyle name="Currency 3 9 3" xfId="7640"/>
    <cellStyle name="Currency 3 9 3 2" xfId="24687"/>
    <cellStyle name="Currency 3 9 3 2 2" xfId="53548"/>
    <cellStyle name="Currency 3 9 3 3" xfId="36501"/>
    <cellStyle name="Currency 3 9 4" xfId="14235"/>
    <cellStyle name="Currency 3 9 4 2" xfId="18915"/>
    <cellStyle name="Currency 3 9 4 2 2" xfId="47776"/>
    <cellStyle name="Currency 3 9 4 3" xfId="43096"/>
    <cellStyle name="Currency 3 9 5" xfId="16235"/>
    <cellStyle name="Currency 3 9 5 2" xfId="45096"/>
    <cellStyle name="Currency 3 9 6" xfId="30460"/>
    <cellStyle name="Currency 4" xfId="160"/>
    <cellStyle name="Currency 4 10" xfId="1808"/>
    <cellStyle name="Currency 4 10 2" xfId="4695"/>
    <cellStyle name="Currency 4 10 2 2" xfId="10736"/>
    <cellStyle name="Currency 4 10 2 2 2" xfId="27783"/>
    <cellStyle name="Currency 4 10 2 2 2 2" xfId="56644"/>
    <cellStyle name="Currency 4 10 2 2 3" xfId="39597"/>
    <cellStyle name="Currency 4 10 2 3" xfId="21805"/>
    <cellStyle name="Currency 4 10 2 3 2" xfId="50666"/>
    <cellStyle name="Currency 4 10 2 4" xfId="33556"/>
    <cellStyle name="Currency 4 10 3" xfId="7850"/>
    <cellStyle name="Currency 4 10 3 2" xfId="24897"/>
    <cellStyle name="Currency 4 10 3 2 2" xfId="53758"/>
    <cellStyle name="Currency 4 10 3 3" xfId="36711"/>
    <cellStyle name="Currency 4 10 4" xfId="11889"/>
    <cellStyle name="Currency 4 10 4 2" xfId="19125"/>
    <cellStyle name="Currency 4 10 4 2 2" xfId="47986"/>
    <cellStyle name="Currency 4 10 4 3" xfId="40750"/>
    <cellStyle name="Currency 4 10 5" xfId="16445"/>
    <cellStyle name="Currency 4 10 5 2" xfId="45306"/>
    <cellStyle name="Currency 4 10 6" xfId="30670"/>
    <cellStyle name="Currency 4 11" xfId="2014"/>
    <cellStyle name="Currency 4 11 2" xfId="4901"/>
    <cellStyle name="Currency 4 11 2 2" xfId="10942"/>
    <cellStyle name="Currency 4 11 2 2 2" xfId="27989"/>
    <cellStyle name="Currency 4 11 2 2 2 2" xfId="56850"/>
    <cellStyle name="Currency 4 11 2 2 3" xfId="39803"/>
    <cellStyle name="Currency 4 11 2 3" xfId="22011"/>
    <cellStyle name="Currency 4 11 2 3 2" xfId="50872"/>
    <cellStyle name="Currency 4 11 2 4" xfId="33762"/>
    <cellStyle name="Currency 4 11 3" xfId="8056"/>
    <cellStyle name="Currency 4 11 3 2" xfId="25103"/>
    <cellStyle name="Currency 4 11 3 2 2" xfId="53964"/>
    <cellStyle name="Currency 4 11 3 3" xfId="36917"/>
    <cellStyle name="Currency 4 11 4" xfId="12420"/>
    <cellStyle name="Currency 4 11 4 2" xfId="19331"/>
    <cellStyle name="Currency 4 11 4 2 2" xfId="48192"/>
    <cellStyle name="Currency 4 11 4 3" xfId="41281"/>
    <cellStyle name="Currency 4 11 5" xfId="16651"/>
    <cellStyle name="Currency 4 11 5 2" xfId="45512"/>
    <cellStyle name="Currency 4 11 6" xfId="30876"/>
    <cellStyle name="Currency 4 12" xfId="2426"/>
    <cellStyle name="Currency 4 12 2" xfId="5313"/>
    <cellStyle name="Currency 4 12 2 2" xfId="11354"/>
    <cellStyle name="Currency 4 12 2 2 2" xfId="28401"/>
    <cellStyle name="Currency 4 12 2 2 2 2" xfId="57262"/>
    <cellStyle name="Currency 4 12 2 2 3" xfId="40215"/>
    <cellStyle name="Currency 4 12 2 3" xfId="22423"/>
    <cellStyle name="Currency 4 12 2 3 2" xfId="51284"/>
    <cellStyle name="Currency 4 12 2 4" xfId="34174"/>
    <cellStyle name="Currency 4 12 3" xfId="8468"/>
    <cellStyle name="Currency 4 12 3 2" xfId="25515"/>
    <cellStyle name="Currency 4 12 3 2 2" xfId="54376"/>
    <cellStyle name="Currency 4 12 3 3" xfId="37329"/>
    <cellStyle name="Currency 4 12 4" xfId="14025"/>
    <cellStyle name="Currency 4 12 4 2" xfId="19743"/>
    <cellStyle name="Currency 4 12 4 2 2" xfId="48604"/>
    <cellStyle name="Currency 4 12 4 3" xfId="42886"/>
    <cellStyle name="Currency 4 12 5" xfId="17063"/>
    <cellStyle name="Currency 4 12 5 2" xfId="45924"/>
    <cellStyle name="Currency 4 12 6" xfId="31288"/>
    <cellStyle name="Currency 4 13" xfId="2635"/>
    <cellStyle name="Currency 4 13 2" xfId="5521"/>
    <cellStyle name="Currency 4 13 2 2" xfId="11562"/>
    <cellStyle name="Currency 4 13 2 2 2" xfId="28609"/>
    <cellStyle name="Currency 4 13 2 2 2 2" xfId="57470"/>
    <cellStyle name="Currency 4 13 2 2 3" xfId="40423"/>
    <cellStyle name="Currency 4 13 2 3" xfId="22631"/>
    <cellStyle name="Currency 4 13 2 3 2" xfId="51492"/>
    <cellStyle name="Currency 4 13 2 4" xfId="34382"/>
    <cellStyle name="Currency 4 13 3" xfId="8676"/>
    <cellStyle name="Currency 4 13 3 2" xfId="25723"/>
    <cellStyle name="Currency 4 13 3 2 2" xfId="54584"/>
    <cellStyle name="Currency 4 13 3 3" xfId="37537"/>
    <cellStyle name="Currency 4 13 4" xfId="12282"/>
    <cellStyle name="Currency 4 13 4 2" xfId="19951"/>
    <cellStyle name="Currency 4 13 4 2 2" xfId="48812"/>
    <cellStyle name="Currency 4 13 4 3" xfId="41143"/>
    <cellStyle name="Currency 4 13 5" xfId="17271"/>
    <cellStyle name="Currency 4 13 5 2" xfId="46132"/>
    <cellStyle name="Currency 4 13 6" xfId="31496"/>
    <cellStyle name="Currency 4 14" xfId="3047"/>
    <cellStyle name="Currency 4 14 2" xfId="9088"/>
    <cellStyle name="Currency 4 14 2 2" xfId="26135"/>
    <cellStyle name="Currency 4 14 2 2 2" xfId="54996"/>
    <cellStyle name="Currency 4 14 2 3" xfId="37949"/>
    <cellStyle name="Currency 4 14 3" xfId="13714"/>
    <cellStyle name="Currency 4 14 3 2" xfId="20157"/>
    <cellStyle name="Currency 4 14 3 2 2" xfId="49018"/>
    <cellStyle name="Currency 4 14 3 3" xfId="42575"/>
    <cellStyle name="Currency 4 14 4" xfId="14797"/>
    <cellStyle name="Currency 4 14 4 2" xfId="43658"/>
    <cellStyle name="Currency 4 14 5" xfId="31908"/>
    <cellStyle name="Currency 4 15" xfId="2841"/>
    <cellStyle name="Currency 4 15 2" xfId="8882"/>
    <cellStyle name="Currency 4 15 2 2" xfId="25929"/>
    <cellStyle name="Currency 4 15 2 2 2" xfId="54790"/>
    <cellStyle name="Currency 4 15 2 3" xfId="37743"/>
    <cellStyle name="Currency 4 15 3" xfId="17477"/>
    <cellStyle name="Currency 4 15 3 2" xfId="46338"/>
    <cellStyle name="Currency 4 15 4" xfId="31702"/>
    <cellStyle name="Currency 4 16" xfId="5727"/>
    <cellStyle name="Currency 4 16 2" xfId="11768"/>
    <cellStyle name="Currency 4 16 2 2" xfId="28815"/>
    <cellStyle name="Currency 4 16 2 2 2" xfId="57676"/>
    <cellStyle name="Currency 4 16 2 3" xfId="40629"/>
    <cellStyle name="Currency 4 16 3" xfId="22837"/>
    <cellStyle name="Currency 4 16 3 2" xfId="51698"/>
    <cellStyle name="Currency 4 16 4" xfId="34588"/>
    <cellStyle name="Currency 4 17" xfId="5944"/>
    <cellStyle name="Currency 4 17 2" xfId="23043"/>
    <cellStyle name="Currency 4 17 2 2" xfId="51904"/>
    <cellStyle name="Currency 4 17 3" xfId="34805"/>
    <cellStyle name="Currency 4 18" xfId="6202"/>
    <cellStyle name="Currency 4 18 2" xfId="23249"/>
    <cellStyle name="Currency 4 18 2 2" xfId="52110"/>
    <cellStyle name="Currency 4 18 3" xfId="35063"/>
    <cellStyle name="Currency 4 19" xfId="14591"/>
    <cellStyle name="Currency 4 19 2" xfId="43452"/>
    <cellStyle name="Currency 4 2" xfId="366"/>
    <cellStyle name="Currency 4 2 10" xfId="2529"/>
    <cellStyle name="Currency 4 2 10 2" xfId="5416"/>
    <cellStyle name="Currency 4 2 10 2 2" xfId="11457"/>
    <cellStyle name="Currency 4 2 10 2 2 2" xfId="28504"/>
    <cellStyle name="Currency 4 2 10 2 2 2 2" xfId="57365"/>
    <cellStyle name="Currency 4 2 10 2 2 3" xfId="40318"/>
    <cellStyle name="Currency 4 2 10 2 3" xfId="22526"/>
    <cellStyle name="Currency 4 2 10 2 3 2" xfId="51387"/>
    <cellStyle name="Currency 4 2 10 2 4" xfId="34277"/>
    <cellStyle name="Currency 4 2 10 3" xfId="8571"/>
    <cellStyle name="Currency 4 2 10 3 2" xfId="25618"/>
    <cellStyle name="Currency 4 2 10 3 2 2" xfId="54479"/>
    <cellStyle name="Currency 4 2 10 3 3" xfId="37432"/>
    <cellStyle name="Currency 4 2 10 4" xfId="14127"/>
    <cellStyle name="Currency 4 2 10 4 2" xfId="19846"/>
    <cellStyle name="Currency 4 2 10 4 2 2" xfId="48707"/>
    <cellStyle name="Currency 4 2 10 4 3" xfId="42988"/>
    <cellStyle name="Currency 4 2 10 5" xfId="17166"/>
    <cellStyle name="Currency 4 2 10 5 2" xfId="46027"/>
    <cellStyle name="Currency 4 2 10 6" xfId="31391"/>
    <cellStyle name="Currency 4 2 11" xfId="2738"/>
    <cellStyle name="Currency 4 2 11 2" xfId="5624"/>
    <cellStyle name="Currency 4 2 11 2 2" xfId="11665"/>
    <cellStyle name="Currency 4 2 11 2 2 2" xfId="28712"/>
    <cellStyle name="Currency 4 2 11 2 2 2 2" xfId="57573"/>
    <cellStyle name="Currency 4 2 11 2 2 3" xfId="40526"/>
    <cellStyle name="Currency 4 2 11 2 3" xfId="22734"/>
    <cellStyle name="Currency 4 2 11 2 3 2" xfId="51595"/>
    <cellStyle name="Currency 4 2 11 2 4" xfId="34485"/>
    <cellStyle name="Currency 4 2 11 3" xfId="8779"/>
    <cellStyle name="Currency 4 2 11 3 2" xfId="25826"/>
    <cellStyle name="Currency 4 2 11 3 2 2" xfId="54687"/>
    <cellStyle name="Currency 4 2 11 3 3" xfId="37640"/>
    <cellStyle name="Currency 4 2 11 4" xfId="13584"/>
    <cellStyle name="Currency 4 2 11 4 2" xfId="20054"/>
    <cellStyle name="Currency 4 2 11 4 2 2" xfId="48915"/>
    <cellStyle name="Currency 4 2 11 4 3" xfId="42445"/>
    <cellStyle name="Currency 4 2 11 5" xfId="17374"/>
    <cellStyle name="Currency 4 2 11 5 2" xfId="46235"/>
    <cellStyle name="Currency 4 2 11 6" xfId="31599"/>
    <cellStyle name="Currency 4 2 12" xfId="3253"/>
    <cellStyle name="Currency 4 2 12 2" xfId="9294"/>
    <cellStyle name="Currency 4 2 12 2 2" xfId="26341"/>
    <cellStyle name="Currency 4 2 12 2 2 2" xfId="55202"/>
    <cellStyle name="Currency 4 2 12 2 3" xfId="38155"/>
    <cellStyle name="Currency 4 2 12 3" xfId="14175"/>
    <cellStyle name="Currency 4 2 12 3 2" xfId="20363"/>
    <cellStyle name="Currency 4 2 12 3 2 2" xfId="49224"/>
    <cellStyle name="Currency 4 2 12 3 3" xfId="43036"/>
    <cellStyle name="Currency 4 2 12 4" xfId="15003"/>
    <cellStyle name="Currency 4 2 12 4 2" xfId="43864"/>
    <cellStyle name="Currency 4 2 12 5" xfId="32114"/>
    <cellStyle name="Currency 4 2 13" xfId="2944"/>
    <cellStyle name="Currency 4 2 13 2" xfId="8985"/>
    <cellStyle name="Currency 4 2 13 2 2" xfId="26032"/>
    <cellStyle name="Currency 4 2 13 2 2 2" xfId="54893"/>
    <cellStyle name="Currency 4 2 13 2 3" xfId="37846"/>
    <cellStyle name="Currency 4 2 13 3" xfId="17580"/>
    <cellStyle name="Currency 4 2 13 3 2" xfId="46441"/>
    <cellStyle name="Currency 4 2 13 4" xfId="31805"/>
    <cellStyle name="Currency 4 2 14" xfId="5830"/>
    <cellStyle name="Currency 4 2 14 2" xfId="11871"/>
    <cellStyle name="Currency 4 2 14 2 2" xfId="28918"/>
    <cellStyle name="Currency 4 2 14 2 2 2" xfId="57779"/>
    <cellStyle name="Currency 4 2 14 2 3" xfId="40732"/>
    <cellStyle name="Currency 4 2 14 3" xfId="22940"/>
    <cellStyle name="Currency 4 2 14 3 2" xfId="51801"/>
    <cellStyle name="Currency 4 2 14 4" xfId="34691"/>
    <cellStyle name="Currency 4 2 15" xfId="6047"/>
    <cellStyle name="Currency 4 2 15 2" xfId="23146"/>
    <cellStyle name="Currency 4 2 15 2 2" xfId="52007"/>
    <cellStyle name="Currency 4 2 15 3" xfId="34908"/>
    <cellStyle name="Currency 4 2 16" xfId="6408"/>
    <cellStyle name="Currency 4 2 16 2" xfId="23455"/>
    <cellStyle name="Currency 4 2 16 2 2" xfId="52316"/>
    <cellStyle name="Currency 4 2 16 3" xfId="35269"/>
    <cellStyle name="Currency 4 2 17" xfId="14694"/>
    <cellStyle name="Currency 4 2 17 2" xfId="43555"/>
    <cellStyle name="Currency 4 2 18" xfId="29228"/>
    <cellStyle name="Currency 4 2 2" xfId="572"/>
    <cellStyle name="Currency 4 2 2 2" xfId="2323"/>
    <cellStyle name="Currency 4 2 2 2 2" xfId="5210"/>
    <cellStyle name="Currency 4 2 2 2 2 2" xfId="11251"/>
    <cellStyle name="Currency 4 2 2 2 2 2 2" xfId="28298"/>
    <cellStyle name="Currency 4 2 2 2 2 2 2 2" xfId="57159"/>
    <cellStyle name="Currency 4 2 2 2 2 2 3" xfId="40112"/>
    <cellStyle name="Currency 4 2 2 2 2 3" xfId="22320"/>
    <cellStyle name="Currency 4 2 2 2 2 3 2" xfId="51181"/>
    <cellStyle name="Currency 4 2 2 2 2 4" xfId="34071"/>
    <cellStyle name="Currency 4 2 2 2 3" xfId="8365"/>
    <cellStyle name="Currency 4 2 2 2 3 2" xfId="25412"/>
    <cellStyle name="Currency 4 2 2 2 3 2 2" xfId="54273"/>
    <cellStyle name="Currency 4 2 2 2 3 3" xfId="37226"/>
    <cellStyle name="Currency 4 2 2 2 4" xfId="12812"/>
    <cellStyle name="Currency 4 2 2 2 4 2" xfId="19640"/>
    <cellStyle name="Currency 4 2 2 2 4 2 2" xfId="48501"/>
    <cellStyle name="Currency 4 2 2 2 4 3" xfId="41673"/>
    <cellStyle name="Currency 4 2 2 2 5" xfId="16960"/>
    <cellStyle name="Currency 4 2 2 2 5 2" xfId="45821"/>
    <cellStyle name="Currency 4 2 2 2 6" xfId="31185"/>
    <cellStyle name="Currency 4 2 2 3" xfId="3459"/>
    <cellStyle name="Currency 4 2 2 3 2" xfId="9500"/>
    <cellStyle name="Currency 4 2 2 3 2 2" xfId="26547"/>
    <cellStyle name="Currency 4 2 2 3 2 2 2" xfId="55408"/>
    <cellStyle name="Currency 4 2 2 3 2 3" xfId="38361"/>
    <cellStyle name="Currency 4 2 2 3 3" xfId="20569"/>
    <cellStyle name="Currency 4 2 2 3 3 2" xfId="49430"/>
    <cellStyle name="Currency 4 2 2 3 4" xfId="32320"/>
    <cellStyle name="Currency 4 2 2 4" xfId="6614"/>
    <cellStyle name="Currency 4 2 2 4 2" xfId="23661"/>
    <cellStyle name="Currency 4 2 2 4 2 2" xfId="52522"/>
    <cellStyle name="Currency 4 2 2 4 3" xfId="35475"/>
    <cellStyle name="Currency 4 2 2 5" xfId="13741"/>
    <cellStyle name="Currency 4 2 2 5 2" xfId="17889"/>
    <cellStyle name="Currency 4 2 2 5 2 2" xfId="46750"/>
    <cellStyle name="Currency 4 2 2 5 3" xfId="42602"/>
    <cellStyle name="Currency 4 2 2 6" xfId="15209"/>
    <cellStyle name="Currency 4 2 2 6 2" xfId="44070"/>
    <cellStyle name="Currency 4 2 2 7" xfId="29434"/>
    <cellStyle name="Currency 4 2 3" xfId="881"/>
    <cellStyle name="Currency 4 2 3 2" xfId="3768"/>
    <cellStyle name="Currency 4 2 3 2 2" xfId="9809"/>
    <cellStyle name="Currency 4 2 3 2 2 2" xfId="26856"/>
    <cellStyle name="Currency 4 2 3 2 2 2 2" xfId="55717"/>
    <cellStyle name="Currency 4 2 3 2 2 3" xfId="38670"/>
    <cellStyle name="Currency 4 2 3 2 3" xfId="20878"/>
    <cellStyle name="Currency 4 2 3 2 3 2" xfId="49739"/>
    <cellStyle name="Currency 4 2 3 2 4" xfId="32629"/>
    <cellStyle name="Currency 4 2 3 3" xfId="6923"/>
    <cellStyle name="Currency 4 2 3 3 2" xfId="23970"/>
    <cellStyle name="Currency 4 2 3 3 2 2" xfId="52831"/>
    <cellStyle name="Currency 4 2 3 3 3" xfId="35784"/>
    <cellStyle name="Currency 4 2 3 4" xfId="13198"/>
    <cellStyle name="Currency 4 2 3 4 2" xfId="18198"/>
    <cellStyle name="Currency 4 2 3 4 2 2" xfId="47059"/>
    <cellStyle name="Currency 4 2 3 4 3" xfId="42059"/>
    <cellStyle name="Currency 4 2 3 5" xfId="15518"/>
    <cellStyle name="Currency 4 2 3 5 2" xfId="44379"/>
    <cellStyle name="Currency 4 2 3 6" xfId="29743"/>
    <cellStyle name="Currency 4 2 4" xfId="1087"/>
    <cellStyle name="Currency 4 2 4 2" xfId="3974"/>
    <cellStyle name="Currency 4 2 4 2 2" xfId="10015"/>
    <cellStyle name="Currency 4 2 4 2 2 2" xfId="27062"/>
    <cellStyle name="Currency 4 2 4 2 2 2 2" xfId="55923"/>
    <cellStyle name="Currency 4 2 4 2 2 3" xfId="38876"/>
    <cellStyle name="Currency 4 2 4 2 3" xfId="21084"/>
    <cellStyle name="Currency 4 2 4 2 3 2" xfId="49945"/>
    <cellStyle name="Currency 4 2 4 2 4" xfId="32835"/>
    <cellStyle name="Currency 4 2 4 3" xfId="7129"/>
    <cellStyle name="Currency 4 2 4 3 2" xfId="24176"/>
    <cellStyle name="Currency 4 2 4 3 2 2" xfId="53037"/>
    <cellStyle name="Currency 4 2 4 3 3" xfId="35990"/>
    <cellStyle name="Currency 4 2 4 4" xfId="12869"/>
    <cellStyle name="Currency 4 2 4 4 2" xfId="18404"/>
    <cellStyle name="Currency 4 2 4 4 2 2" xfId="47265"/>
    <cellStyle name="Currency 4 2 4 4 3" xfId="41730"/>
    <cellStyle name="Currency 4 2 4 5" xfId="15724"/>
    <cellStyle name="Currency 4 2 4 5 2" xfId="44585"/>
    <cellStyle name="Currency 4 2 4 6" xfId="29949"/>
    <cellStyle name="Currency 4 2 5" xfId="1293"/>
    <cellStyle name="Currency 4 2 5 2" xfId="4180"/>
    <cellStyle name="Currency 4 2 5 2 2" xfId="10221"/>
    <cellStyle name="Currency 4 2 5 2 2 2" xfId="27268"/>
    <cellStyle name="Currency 4 2 5 2 2 2 2" xfId="56129"/>
    <cellStyle name="Currency 4 2 5 2 2 3" xfId="39082"/>
    <cellStyle name="Currency 4 2 5 2 3" xfId="21290"/>
    <cellStyle name="Currency 4 2 5 2 3 2" xfId="50151"/>
    <cellStyle name="Currency 4 2 5 2 4" xfId="33041"/>
    <cellStyle name="Currency 4 2 5 3" xfId="7335"/>
    <cellStyle name="Currency 4 2 5 3 2" xfId="24382"/>
    <cellStyle name="Currency 4 2 5 3 2 2" xfId="53243"/>
    <cellStyle name="Currency 4 2 5 3 3" xfId="36196"/>
    <cellStyle name="Currency 4 2 5 4" xfId="12257"/>
    <cellStyle name="Currency 4 2 5 4 2" xfId="18610"/>
    <cellStyle name="Currency 4 2 5 4 2 2" xfId="47471"/>
    <cellStyle name="Currency 4 2 5 4 3" xfId="41118"/>
    <cellStyle name="Currency 4 2 5 5" xfId="15930"/>
    <cellStyle name="Currency 4 2 5 5 2" xfId="44791"/>
    <cellStyle name="Currency 4 2 5 6" xfId="30155"/>
    <cellStyle name="Currency 4 2 6" xfId="1499"/>
    <cellStyle name="Currency 4 2 6 2" xfId="4386"/>
    <cellStyle name="Currency 4 2 6 2 2" xfId="10427"/>
    <cellStyle name="Currency 4 2 6 2 2 2" xfId="27474"/>
    <cellStyle name="Currency 4 2 6 2 2 2 2" xfId="56335"/>
    <cellStyle name="Currency 4 2 6 2 2 3" xfId="39288"/>
    <cellStyle name="Currency 4 2 6 2 3" xfId="21496"/>
    <cellStyle name="Currency 4 2 6 2 3 2" xfId="50357"/>
    <cellStyle name="Currency 4 2 6 2 4" xfId="33247"/>
    <cellStyle name="Currency 4 2 6 3" xfId="7541"/>
    <cellStyle name="Currency 4 2 6 3 2" xfId="24588"/>
    <cellStyle name="Currency 4 2 6 3 2 2" xfId="53449"/>
    <cellStyle name="Currency 4 2 6 3 3" xfId="36402"/>
    <cellStyle name="Currency 4 2 6 4" xfId="12434"/>
    <cellStyle name="Currency 4 2 6 4 2" xfId="18816"/>
    <cellStyle name="Currency 4 2 6 4 2 2" xfId="47677"/>
    <cellStyle name="Currency 4 2 6 4 3" xfId="41295"/>
    <cellStyle name="Currency 4 2 6 5" xfId="16136"/>
    <cellStyle name="Currency 4 2 6 5 2" xfId="44997"/>
    <cellStyle name="Currency 4 2 6 6" xfId="30361"/>
    <cellStyle name="Currency 4 2 7" xfId="1705"/>
    <cellStyle name="Currency 4 2 7 2" xfId="4592"/>
    <cellStyle name="Currency 4 2 7 2 2" xfId="10633"/>
    <cellStyle name="Currency 4 2 7 2 2 2" xfId="27680"/>
    <cellStyle name="Currency 4 2 7 2 2 2 2" xfId="56541"/>
    <cellStyle name="Currency 4 2 7 2 2 3" xfId="39494"/>
    <cellStyle name="Currency 4 2 7 2 3" xfId="21702"/>
    <cellStyle name="Currency 4 2 7 2 3 2" xfId="50563"/>
    <cellStyle name="Currency 4 2 7 2 4" xfId="33453"/>
    <cellStyle name="Currency 4 2 7 3" xfId="7747"/>
    <cellStyle name="Currency 4 2 7 3 2" xfId="24794"/>
    <cellStyle name="Currency 4 2 7 3 2 2" xfId="53655"/>
    <cellStyle name="Currency 4 2 7 3 3" xfId="36608"/>
    <cellStyle name="Currency 4 2 7 4" xfId="12255"/>
    <cellStyle name="Currency 4 2 7 4 2" xfId="19022"/>
    <cellStyle name="Currency 4 2 7 4 2 2" xfId="47883"/>
    <cellStyle name="Currency 4 2 7 4 3" xfId="41116"/>
    <cellStyle name="Currency 4 2 7 5" xfId="16342"/>
    <cellStyle name="Currency 4 2 7 5 2" xfId="45203"/>
    <cellStyle name="Currency 4 2 7 6" xfId="30567"/>
    <cellStyle name="Currency 4 2 8" xfId="1911"/>
    <cellStyle name="Currency 4 2 8 2" xfId="4798"/>
    <cellStyle name="Currency 4 2 8 2 2" xfId="10839"/>
    <cellStyle name="Currency 4 2 8 2 2 2" xfId="27886"/>
    <cellStyle name="Currency 4 2 8 2 2 2 2" xfId="56747"/>
    <cellStyle name="Currency 4 2 8 2 2 3" xfId="39700"/>
    <cellStyle name="Currency 4 2 8 2 3" xfId="21908"/>
    <cellStyle name="Currency 4 2 8 2 3 2" xfId="50769"/>
    <cellStyle name="Currency 4 2 8 2 4" xfId="33659"/>
    <cellStyle name="Currency 4 2 8 3" xfId="7953"/>
    <cellStyle name="Currency 4 2 8 3 2" xfId="25000"/>
    <cellStyle name="Currency 4 2 8 3 2 2" xfId="53861"/>
    <cellStyle name="Currency 4 2 8 3 3" xfId="36814"/>
    <cellStyle name="Currency 4 2 8 4" xfId="13505"/>
    <cellStyle name="Currency 4 2 8 4 2" xfId="19228"/>
    <cellStyle name="Currency 4 2 8 4 2 2" xfId="48089"/>
    <cellStyle name="Currency 4 2 8 4 3" xfId="42366"/>
    <cellStyle name="Currency 4 2 8 5" xfId="16548"/>
    <cellStyle name="Currency 4 2 8 5 2" xfId="45409"/>
    <cellStyle name="Currency 4 2 8 6" xfId="30773"/>
    <cellStyle name="Currency 4 2 9" xfId="2117"/>
    <cellStyle name="Currency 4 2 9 2" xfId="5004"/>
    <cellStyle name="Currency 4 2 9 2 2" xfId="11045"/>
    <cellStyle name="Currency 4 2 9 2 2 2" xfId="28092"/>
    <cellStyle name="Currency 4 2 9 2 2 2 2" xfId="56953"/>
    <cellStyle name="Currency 4 2 9 2 2 3" xfId="39906"/>
    <cellStyle name="Currency 4 2 9 2 3" xfId="22114"/>
    <cellStyle name="Currency 4 2 9 2 3 2" xfId="50975"/>
    <cellStyle name="Currency 4 2 9 2 4" xfId="33865"/>
    <cellStyle name="Currency 4 2 9 3" xfId="8159"/>
    <cellStyle name="Currency 4 2 9 3 2" xfId="25206"/>
    <cellStyle name="Currency 4 2 9 3 2 2" xfId="54067"/>
    <cellStyle name="Currency 4 2 9 3 3" xfId="37020"/>
    <cellStyle name="Currency 4 2 9 4" xfId="12241"/>
    <cellStyle name="Currency 4 2 9 4 2" xfId="19434"/>
    <cellStyle name="Currency 4 2 9 4 2 2" xfId="48295"/>
    <cellStyle name="Currency 4 2 9 4 3" xfId="41102"/>
    <cellStyle name="Currency 4 2 9 5" xfId="16754"/>
    <cellStyle name="Currency 4 2 9 5 2" xfId="45615"/>
    <cellStyle name="Currency 4 2 9 6" xfId="30979"/>
    <cellStyle name="Currency 4 20" xfId="29022"/>
    <cellStyle name="Currency 4 3" xfId="263"/>
    <cellStyle name="Currency 4 3 2" xfId="675"/>
    <cellStyle name="Currency 4 3 2 2" xfId="3562"/>
    <cellStyle name="Currency 4 3 2 2 2" xfId="9603"/>
    <cellStyle name="Currency 4 3 2 2 2 2" xfId="26650"/>
    <cellStyle name="Currency 4 3 2 2 2 2 2" xfId="55511"/>
    <cellStyle name="Currency 4 3 2 2 2 3" xfId="38464"/>
    <cellStyle name="Currency 4 3 2 2 3" xfId="20672"/>
    <cellStyle name="Currency 4 3 2 2 3 2" xfId="49533"/>
    <cellStyle name="Currency 4 3 2 2 4" xfId="32423"/>
    <cellStyle name="Currency 4 3 2 3" xfId="6717"/>
    <cellStyle name="Currency 4 3 2 3 2" xfId="23764"/>
    <cellStyle name="Currency 4 3 2 3 2 2" xfId="52625"/>
    <cellStyle name="Currency 4 3 2 3 3" xfId="35578"/>
    <cellStyle name="Currency 4 3 2 4" xfId="13214"/>
    <cellStyle name="Currency 4 3 2 4 2" xfId="17992"/>
    <cellStyle name="Currency 4 3 2 4 2 2" xfId="46853"/>
    <cellStyle name="Currency 4 3 2 4 3" xfId="42075"/>
    <cellStyle name="Currency 4 3 2 5" xfId="15312"/>
    <cellStyle name="Currency 4 3 2 5 2" xfId="44173"/>
    <cellStyle name="Currency 4 3 2 6" xfId="29537"/>
    <cellStyle name="Currency 4 3 3" xfId="2220"/>
    <cellStyle name="Currency 4 3 3 2" xfId="5107"/>
    <cellStyle name="Currency 4 3 3 2 2" xfId="11148"/>
    <cellStyle name="Currency 4 3 3 2 2 2" xfId="28195"/>
    <cellStyle name="Currency 4 3 3 2 2 2 2" xfId="57056"/>
    <cellStyle name="Currency 4 3 3 2 2 3" xfId="40009"/>
    <cellStyle name="Currency 4 3 3 2 3" xfId="22217"/>
    <cellStyle name="Currency 4 3 3 2 3 2" xfId="51078"/>
    <cellStyle name="Currency 4 3 3 2 4" xfId="33968"/>
    <cellStyle name="Currency 4 3 3 3" xfId="8262"/>
    <cellStyle name="Currency 4 3 3 3 2" xfId="25309"/>
    <cellStyle name="Currency 4 3 3 3 2 2" xfId="54170"/>
    <cellStyle name="Currency 4 3 3 3 3" xfId="37123"/>
    <cellStyle name="Currency 4 3 3 4" xfId="13051"/>
    <cellStyle name="Currency 4 3 3 4 2" xfId="19537"/>
    <cellStyle name="Currency 4 3 3 4 2 2" xfId="48398"/>
    <cellStyle name="Currency 4 3 3 4 3" xfId="41912"/>
    <cellStyle name="Currency 4 3 3 5" xfId="16857"/>
    <cellStyle name="Currency 4 3 3 5 2" xfId="45718"/>
    <cellStyle name="Currency 4 3 3 6" xfId="31082"/>
    <cellStyle name="Currency 4 3 4" xfId="3150"/>
    <cellStyle name="Currency 4 3 4 2" xfId="9191"/>
    <cellStyle name="Currency 4 3 4 2 2" xfId="26238"/>
    <cellStyle name="Currency 4 3 4 2 2 2" xfId="55099"/>
    <cellStyle name="Currency 4 3 4 2 3" xfId="38052"/>
    <cellStyle name="Currency 4 3 4 3" xfId="20260"/>
    <cellStyle name="Currency 4 3 4 3 2" xfId="49121"/>
    <cellStyle name="Currency 4 3 4 4" xfId="32011"/>
    <cellStyle name="Currency 4 3 5" xfId="6305"/>
    <cellStyle name="Currency 4 3 5 2" xfId="23352"/>
    <cellStyle name="Currency 4 3 5 2 2" xfId="52213"/>
    <cellStyle name="Currency 4 3 5 3" xfId="35166"/>
    <cellStyle name="Currency 4 3 6" xfId="13143"/>
    <cellStyle name="Currency 4 3 6 2" xfId="17683"/>
    <cellStyle name="Currency 4 3 6 2 2" xfId="46544"/>
    <cellStyle name="Currency 4 3 6 3" xfId="42004"/>
    <cellStyle name="Currency 4 3 7" xfId="14900"/>
    <cellStyle name="Currency 4 3 7 2" xfId="43761"/>
    <cellStyle name="Currency 4 3 8" xfId="29125"/>
    <cellStyle name="Currency 4 4" xfId="469"/>
    <cellStyle name="Currency 4 4 2" xfId="3356"/>
    <cellStyle name="Currency 4 4 2 2" xfId="9397"/>
    <cellStyle name="Currency 4 4 2 2 2" xfId="26444"/>
    <cellStyle name="Currency 4 4 2 2 2 2" xfId="55305"/>
    <cellStyle name="Currency 4 4 2 2 3" xfId="38258"/>
    <cellStyle name="Currency 4 4 2 3" xfId="20466"/>
    <cellStyle name="Currency 4 4 2 3 2" xfId="49327"/>
    <cellStyle name="Currency 4 4 2 4" xfId="32217"/>
    <cellStyle name="Currency 4 4 3" xfId="6511"/>
    <cellStyle name="Currency 4 4 3 2" xfId="23558"/>
    <cellStyle name="Currency 4 4 3 2 2" xfId="52419"/>
    <cellStyle name="Currency 4 4 3 3" xfId="35372"/>
    <cellStyle name="Currency 4 4 4" xfId="12414"/>
    <cellStyle name="Currency 4 4 4 2" xfId="17786"/>
    <cellStyle name="Currency 4 4 4 2 2" xfId="46647"/>
    <cellStyle name="Currency 4 4 4 3" xfId="41275"/>
    <cellStyle name="Currency 4 4 5" xfId="15106"/>
    <cellStyle name="Currency 4 4 5 2" xfId="43967"/>
    <cellStyle name="Currency 4 4 6" xfId="29331"/>
    <cellStyle name="Currency 4 5" xfId="778"/>
    <cellStyle name="Currency 4 5 2" xfId="3665"/>
    <cellStyle name="Currency 4 5 2 2" xfId="9706"/>
    <cellStyle name="Currency 4 5 2 2 2" xfId="26753"/>
    <cellStyle name="Currency 4 5 2 2 2 2" xfId="55614"/>
    <cellStyle name="Currency 4 5 2 2 3" xfId="38567"/>
    <cellStyle name="Currency 4 5 2 3" xfId="20775"/>
    <cellStyle name="Currency 4 5 2 3 2" xfId="49636"/>
    <cellStyle name="Currency 4 5 2 4" xfId="32526"/>
    <cellStyle name="Currency 4 5 3" xfId="6820"/>
    <cellStyle name="Currency 4 5 3 2" xfId="23867"/>
    <cellStyle name="Currency 4 5 3 2 2" xfId="52728"/>
    <cellStyle name="Currency 4 5 3 3" xfId="35681"/>
    <cellStyle name="Currency 4 5 4" xfId="12843"/>
    <cellStyle name="Currency 4 5 4 2" xfId="18095"/>
    <cellStyle name="Currency 4 5 4 2 2" xfId="46956"/>
    <cellStyle name="Currency 4 5 4 3" xfId="41704"/>
    <cellStyle name="Currency 4 5 5" xfId="15415"/>
    <cellStyle name="Currency 4 5 5 2" xfId="44276"/>
    <cellStyle name="Currency 4 5 6" xfId="29640"/>
    <cellStyle name="Currency 4 6" xfId="984"/>
    <cellStyle name="Currency 4 6 2" xfId="3871"/>
    <cellStyle name="Currency 4 6 2 2" xfId="9912"/>
    <cellStyle name="Currency 4 6 2 2 2" xfId="26959"/>
    <cellStyle name="Currency 4 6 2 2 2 2" xfId="55820"/>
    <cellStyle name="Currency 4 6 2 2 3" xfId="38773"/>
    <cellStyle name="Currency 4 6 2 3" xfId="20981"/>
    <cellStyle name="Currency 4 6 2 3 2" xfId="49842"/>
    <cellStyle name="Currency 4 6 2 4" xfId="32732"/>
    <cellStyle name="Currency 4 6 3" xfId="7026"/>
    <cellStyle name="Currency 4 6 3 2" xfId="24073"/>
    <cellStyle name="Currency 4 6 3 2 2" xfId="52934"/>
    <cellStyle name="Currency 4 6 3 3" xfId="35887"/>
    <cellStyle name="Currency 4 6 4" xfId="13982"/>
    <cellStyle name="Currency 4 6 4 2" xfId="18301"/>
    <cellStyle name="Currency 4 6 4 2 2" xfId="47162"/>
    <cellStyle name="Currency 4 6 4 3" xfId="42843"/>
    <cellStyle name="Currency 4 6 5" xfId="15621"/>
    <cellStyle name="Currency 4 6 5 2" xfId="44482"/>
    <cellStyle name="Currency 4 6 6" xfId="29846"/>
    <cellStyle name="Currency 4 7" xfId="1190"/>
    <cellStyle name="Currency 4 7 2" xfId="4077"/>
    <cellStyle name="Currency 4 7 2 2" xfId="10118"/>
    <cellStyle name="Currency 4 7 2 2 2" xfId="27165"/>
    <cellStyle name="Currency 4 7 2 2 2 2" xfId="56026"/>
    <cellStyle name="Currency 4 7 2 2 3" xfId="38979"/>
    <cellStyle name="Currency 4 7 2 3" xfId="21187"/>
    <cellStyle name="Currency 4 7 2 3 2" xfId="50048"/>
    <cellStyle name="Currency 4 7 2 4" xfId="32938"/>
    <cellStyle name="Currency 4 7 3" xfId="7232"/>
    <cellStyle name="Currency 4 7 3 2" xfId="24279"/>
    <cellStyle name="Currency 4 7 3 2 2" xfId="53140"/>
    <cellStyle name="Currency 4 7 3 3" xfId="36093"/>
    <cellStyle name="Currency 4 7 4" xfId="13013"/>
    <cellStyle name="Currency 4 7 4 2" xfId="18507"/>
    <cellStyle name="Currency 4 7 4 2 2" xfId="47368"/>
    <cellStyle name="Currency 4 7 4 3" xfId="41874"/>
    <cellStyle name="Currency 4 7 5" xfId="15827"/>
    <cellStyle name="Currency 4 7 5 2" xfId="44688"/>
    <cellStyle name="Currency 4 7 6" xfId="30052"/>
    <cellStyle name="Currency 4 8" xfId="1396"/>
    <cellStyle name="Currency 4 8 2" xfId="4283"/>
    <cellStyle name="Currency 4 8 2 2" xfId="10324"/>
    <cellStyle name="Currency 4 8 2 2 2" xfId="27371"/>
    <cellStyle name="Currency 4 8 2 2 2 2" xfId="56232"/>
    <cellStyle name="Currency 4 8 2 2 3" xfId="39185"/>
    <cellStyle name="Currency 4 8 2 3" xfId="21393"/>
    <cellStyle name="Currency 4 8 2 3 2" xfId="50254"/>
    <cellStyle name="Currency 4 8 2 4" xfId="33144"/>
    <cellStyle name="Currency 4 8 3" xfId="7438"/>
    <cellStyle name="Currency 4 8 3 2" xfId="24485"/>
    <cellStyle name="Currency 4 8 3 2 2" xfId="53346"/>
    <cellStyle name="Currency 4 8 3 3" xfId="36299"/>
    <cellStyle name="Currency 4 8 4" xfId="13626"/>
    <cellStyle name="Currency 4 8 4 2" xfId="18713"/>
    <cellStyle name="Currency 4 8 4 2 2" xfId="47574"/>
    <cellStyle name="Currency 4 8 4 3" xfId="42487"/>
    <cellStyle name="Currency 4 8 5" xfId="16033"/>
    <cellStyle name="Currency 4 8 5 2" xfId="44894"/>
    <cellStyle name="Currency 4 8 6" xfId="30258"/>
    <cellStyle name="Currency 4 9" xfId="1602"/>
    <cellStyle name="Currency 4 9 2" xfId="4489"/>
    <cellStyle name="Currency 4 9 2 2" xfId="10530"/>
    <cellStyle name="Currency 4 9 2 2 2" xfId="27577"/>
    <cellStyle name="Currency 4 9 2 2 2 2" xfId="56438"/>
    <cellStyle name="Currency 4 9 2 2 3" xfId="39391"/>
    <cellStyle name="Currency 4 9 2 3" xfId="21599"/>
    <cellStyle name="Currency 4 9 2 3 2" xfId="50460"/>
    <cellStyle name="Currency 4 9 2 4" xfId="33350"/>
    <cellStyle name="Currency 4 9 3" xfId="7644"/>
    <cellStyle name="Currency 4 9 3 2" xfId="24691"/>
    <cellStyle name="Currency 4 9 3 2 2" xfId="53552"/>
    <cellStyle name="Currency 4 9 3 3" xfId="36505"/>
    <cellStyle name="Currency 4 9 4" xfId="12676"/>
    <cellStyle name="Currency 4 9 4 2" xfId="18919"/>
    <cellStyle name="Currency 4 9 4 2 2" xfId="47780"/>
    <cellStyle name="Currency 4 9 4 3" xfId="41537"/>
    <cellStyle name="Currency 4 9 5" xfId="16239"/>
    <cellStyle name="Currency 4 9 5 2" xfId="45100"/>
    <cellStyle name="Currency 4 9 6" xfId="30464"/>
    <cellStyle name="Currency 5" xfId="2533"/>
    <cellStyle name="Currency 5 2" xfId="5420"/>
    <cellStyle name="Currency 5 2 2" xfId="11461"/>
    <cellStyle name="Currency 5 2 2 2" xfId="28508"/>
    <cellStyle name="Currency 5 2 2 2 2" xfId="57369"/>
    <cellStyle name="Currency 5 2 2 3" xfId="40322"/>
    <cellStyle name="Currency 5 2 3" xfId="22530"/>
    <cellStyle name="Currency 5 2 3 2" xfId="51391"/>
    <cellStyle name="Currency 5 2 4" xfId="34281"/>
    <cellStyle name="Currency 5 3" xfId="8575"/>
    <cellStyle name="Currency 5 3 2" xfId="25622"/>
    <cellStyle name="Currency 5 3 2 2" xfId="54483"/>
    <cellStyle name="Currency 5 3 3" xfId="37436"/>
    <cellStyle name="Currency 5 4" xfId="12562"/>
    <cellStyle name="Currency 5 4 2" xfId="19850"/>
    <cellStyle name="Currency 5 4 2 2" xfId="48711"/>
    <cellStyle name="Currency 5 4 3" xfId="41423"/>
    <cellStyle name="Currency 5 5" xfId="17170"/>
    <cellStyle name="Currency 5 5 2" xfId="46031"/>
    <cellStyle name="Currency 5 6" xfId="31395"/>
    <cellStyle name="Currency0" xfId="17"/>
    <cellStyle name="Currency0 2" xfId="18"/>
    <cellStyle name="Currency0 2 2" xfId="19"/>
    <cellStyle name="Date" xfId="20"/>
    <cellStyle name="Date 2" xfId="21"/>
    <cellStyle name="Date 2 2" xfId="22"/>
    <cellStyle name="Explanatory Text" xfId="63" builtinId="53" customBuiltin="1"/>
    <cellStyle name="Fixed" xfId="23"/>
    <cellStyle name="Fixed 2" xfId="24"/>
    <cellStyle name="Fixed 2 2" xfId="25"/>
    <cellStyle name="Good" xfId="54" builtinId="26" customBuiltin="1"/>
    <cellStyle name="Heading 1" xfId="50" builtinId="16" customBuiltin="1"/>
    <cellStyle name="Heading 1 2" xfId="26"/>
    <cellStyle name="Heading 2" xfId="51" builtinId="17" customBuiltin="1"/>
    <cellStyle name="Heading 2 2" xfId="27"/>
    <cellStyle name="Heading 3" xfId="52" builtinId="18" customBuiltin="1"/>
    <cellStyle name="Heading 4" xfId="53" builtinId="19" customBuiltin="1"/>
    <cellStyle name="Input" xfId="57" builtinId="20" customBuiltin="1"/>
    <cellStyle name="Linked Cell" xfId="60" builtinId="24" customBuiltin="1"/>
    <cellStyle name="Neutral" xfId="56" builtinId="28" customBuiltin="1"/>
    <cellStyle name="Normal" xfId="0" builtinId="0"/>
    <cellStyle name="Normal 10" xfId="28"/>
    <cellStyle name="Normal 10 10" xfId="1711"/>
    <cellStyle name="Normal 10 10 2" xfId="4598"/>
    <cellStyle name="Normal 10 10 2 2" xfId="10639"/>
    <cellStyle name="Normal 10 10 2 2 2" xfId="27686"/>
    <cellStyle name="Normal 10 10 2 2 2 2" xfId="56547"/>
    <cellStyle name="Normal 10 10 2 2 3" xfId="39500"/>
    <cellStyle name="Normal 10 10 2 3" xfId="21708"/>
    <cellStyle name="Normal 10 10 2 3 2" xfId="50569"/>
    <cellStyle name="Normal 10 10 2 4" xfId="33459"/>
    <cellStyle name="Normal 10 10 3" xfId="7753"/>
    <cellStyle name="Normal 10 10 3 2" xfId="24800"/>
    <cellStyle name="Normal 10 10 3 2 2" xfId="53661"/>
    <cellStyle name="Normal 10 10 3 3" xfId="36614"/>
    <cellStyle name="Normal 10 10 4" xfId="14120"/>
    <cellStyle name="Normal 10 10 4 2" xfId="19028"/>
    <cellStyle name="Normal 10 10 4 2 2" xfId="47889"/>
    <cellStyle name="Normal 10 10 4 3" xfId="42981"/>
    <cellStyle name="Normal 10 10 5" xfId="16348"/>
    <cellStyle name="Normal 10 10 5 2" xfId="45209"/>
    <cellStyle name="Normal 10 10 6" xfId="30573"/>
    <cellStyle name="Normal 10 11" xfId="1917"/>
    <cellStyle name="Normal 10 11 2" xfId="4804"/>
    <cellStyle name="Normal 10 11 2 2" xfId="10845"/>
    <cellStyle name="Normal 10 11 2 2 2" xfId="27892"/>
    <cellStyle name="Normal 10 11 2 2 2 2" xfId="56753"/>
    <cellStyle name="Normal 10 11 2 2 3" xfId="39706"/>
    <cellStyle name="Normal 10 11 2 3" xfId="21914"/>
    <cellStyle name="Normal 10 11 2 3 2" xfId="50775"/>
    <cellStyle name="Normal 10 11 2 4" xfId="33665"/>
    <cellStyle name="Normal 10 11 3" xfId="7959"/>
    <cellStyle name="Normal 10 11 3 2" xfId="25006"/>
    <cellStyle name="Normal 10 11 3 2 2" xfId="53867"/>
    <cellStyle name="Normal 10 11 3 3" xfId="36820"/>
    <cellStyle name="Normal 10 11 4" xfId="14331"/>
    <cellStyle name="Normal 10 11 4 2" xfId="19234"/>
    <cellStyle name="Normal 10 11 4 2 2" xfId="48095"/>
    <cellStyle name="Normal 10 11 4 3" xfId="43192"/>
    <cellStyle name="Normal 10 11 5" xfId="16554"/>
    <cellStyle name="Normal 10 11 5 2" xfId="45415"/>
    <cellStyle name="Normal 10 11 6" xfId="30779"/>
    <cellStyle name="Normal 10 12" xfId="2329"/>
    <cellStyle name="Normal 10 12 2" xfId="5216"/>
    <cellStyle name="Normal 10 12 2 2" xfId="11257"/>
    <cellStyle name="Normal 10 12 2 2 2" xfId="28304"/>
    <cellStyle name="Normal 10 12 2 2 2 2" xfId="57165"/>
    <cellStyle name="Normal 10 12 2 2 3" xfId="40118"/>
    <cellStyle name="Normal 10 12 2 3" xfId="22326"/>
    <cellStyle name="Normal 10 12 2 3 2" xfId="51187"/>
    <cellStyle name="Normal 10 12 2 4" xfId="34077"/>
    <cellStyle name="Normal 10 12 3" xfId="8371"/>
    <cellStyle name="Normal 10 12 3 2" xfId="25418"/>
    <cellStyle name="Normal 10 12 3 2 2" xfId="54279"/>
    <cellStyle name="Normal 10 12 3 3" xfId="37232"/>
    <cellStyle name="Normal 10 12 4" xfId="13446"/>
    <cellStyle name="Normal 10 12 4 2" xfId="19646"/>
    <cellStyle name="Normal 10 12 4 2 2" xfId="48507"/>
    <cellStyle name="Normal 10 12 4 3" xfId="42307"/>
    <cellStyle name="Normal 10 12 5" xfId="16966"/>
    <cellStyle name="Normal 10 12 5 2" xfId="45827"/>
    <cellStyle name="Normal 10 12 6" xfId="31191"/>
    <cellStyle name="Normal 10 13" xfId="2538"/>
    <cellStyle name="Normal 10 13 2" xfId="5424"/>
    <cellStyle name="Normal 10 13 2 2" xfId="11465"/>
    <cellStyle name="Normal 10 13 2 2 2" xfId="28512"/>
    <cellStyle name="Normal 10 13 2 2 2 2" xfId="57373"/>
    <cellStyle name="Normal 10 13 2 2 3" xfId="40326"/>
    <cellStyle name="Normal 10 13 2 3" xfId="22534"/>
    <cellStyle name="Normal 10 13 2 3 2" xfId="51395"/>
    <cellStyle name="Normal 10 13 2 4" xfId="34285"/>
    <cellStyle name="Normal 10 13 3" xfId="8579"/>
    <cellStyle name="Normal 10 13 3 2" xfId="25626"/>
    <cellStyle name="Normal 10 13 3 2 2" xfId="54487"/>
    <cellStyle name="Normal 10 13 3 3" xfId="37440"/>
    <cellStyle name="Normal 10 13 4" xfId="13433"/>
    <cellStyle name="Normal 10 13 4 2" xfId="19854"/>
    <cellStyle name="Normal 10 13 4 2 2" xfId="48715"/>
    <cellStyle name="Normal 10 13 4 3" xfId="42294"/>
    <cellStyle name="Normal 10 13 5" xfId="17174"/>
    <cellStyle name="Normal 10 13 5 2" xfId="46035"/>
    <cellStyle name="Normal 10 13 6" xfId="31399"/>
    <cellStyle name="Normal 10 14" xfId="2950"/>
    <cellStyle name="Normal 10 14 2" xfId="8991"/>
    <cellStyle name="Normal 10 14 2 2" xfId="26038"/>
    <cellStyle name="Normal 10 14 2 2 2" xfId="54899"/>
    <cellStyle name="Normal 10 14 2 3" xfId="37852"/>
    <cellStyle name="Normal 10 14 3" xfId="13015"/>
    <cellStyle name="Normal 10 14 3 2" xfId="20060"/>
    <cellStyle name="Normal 10 14 3 2 2" xfId="48921"/>
    <cellStyle name="Normal 10 14 3 3" xfId="41876"/>
    <cellStyle name="Normal 10 14 4" xfId="14700"/>
    <cellStyle name="Normal 10 14 4 2" xfId="43561"/>
    <cellStyle name="Normal 10 14 5" xfId="31811"/>
    <cellStyle name="Normal 10 15" xfId="2744"/>
    <cellStyle name="Normal 10 15 2" xfId="8785"/>
    <cellStyle name="Normal 10 15 2 2" xfId="25832"/>
    <cellStyle name="Normal 10 15 2 2 2" xfId="54693"/>
    <cellStyle name="Normal 10 15 2 3" xfId="37646"/>
    <cellStyle name="Normal 10 15 3" xfId="17380"/>
    <cellStyle name="Normal 10 15 3 2" xfId="46241"/>
    <cellStyle name="Normal 10 15 4" xfId="31605"/>
    <cellStyle name="Normal 10 16" xfId="5630"/>
    <cellStyle name="Normal 10 16 2" xfId="11671"/>
    <cellStyle name="Normal 10 16 2 2" xfId="28718"/>
    <cellStyle name="Normal 10 16 2 2 2" xfId="57579"/>
    <cellStyle name="Normal 10 16 2 3" xfId="40532"/>
    <cellStyle name="Normal 10 16 3" xfId="22740"/>
    <cellStyle name="Normal 10 16 3 2" xfId="51601"/>
    <cellStyle name="Normal 10 16 4" xfId="34491"/>
    <cellStyle name="Normal 10 17" xfId="5840"/>
    <cellStyle name="Normal 10 17 2" xfId="22946"/>
    <cellStyle name="Normal 10 17 2 2" xfId="51807"/>
    <cellStyle name="Normal 10 17 3" xfId="34701"/>
    <cellStyle name="Normal 10 18" xfId="6105"/>
    <cellStyle name="Normal 10 18 2" xfId="23152"/>
    <cellStyle name="Normal 10 18 2 2" xfId="52013"/>
    <cellStyle name="Normal 10 18 3" xfId="34966"/>
    <cellStyle name="Normal 10 19" xfId="14494"/>
    <cellStyle name="Normal 10 19 2" xfId="43355"/>
    <cellStyle name="Normal 10 2" xfId="269"/>
    <cellStyle name="Normal 10 2 10" xfId="2432"/>
    <cellStyle name="Normal 10 2 10 2" xfId="5319"/>
    <cellStyle name="Normal 10 2 10 2 2" xfId="11360"/>
    <cellStyle name="Normal 10 2 10 2 2 2" xfId="28407"/>
    <cellStyle name="Normal 10 2 10 2 2 2 2" xfId="57268"/>
    <cellStyle name="Normal 10 2 10 2 2 3" xfId="40221"/>
    <cellStyle name="Normal 10 2 10 2 3" xfId="22429"/>
    <cellStyle name="Normal 10 2 10 2 3 2" xfId="51290"/>
    <cellStyle name="Normal 10 2 10 2 4" xfId="34180"/>
    <cellStyle name="Normal 10 2 10 3" xfId="8474"/>
    <cellStyle name="Normal 10 2 10 3 2" xfId="25521"/>
    <cellStyle name="Normal 10 2 10 3 2 2" xfId="54382"/>
    <cellStyle name="Normal 10 2 10 3 3" xfId="37335"/>
    <cellStyle name="Normal 10 2 10 4" xfId="12933"/>
    <cellStyle name="Normal 10 2 10 4 2" xfId="19749"/>
    <cellStyle name="Normal 10 2 10 4 2 2" xfId="48610"/>
    <cellStyle name="Normal 10 2 10 4 3" xfId="41794"/>
    <cellStyle name="Normal 10 2 10 5" xfId="17069"/>
    <cellStyle name="Normal 10 2 10 5 2" xfId="45930"/>
    <cellStyle name="Normal 10 2 10 6" xfId="31294"/>
    <cellStyle name="Normal 10 2 11" xfId="2641"/>
    <cellStyle name="Normal 10 2 11 2" xfId="5527"/>
    <cellStyle name="Normal 10 2 11 2 2" xfId="11568"/>
    <cellStyle name="Normal 10 2 11 2 2 2" xfId="28615"/>
    <cellStyle name="Normal 10 2 11 2 2 2 2" xfId="57476"/>
    <cellStyle name="Normal 10 2 11 2 2 3" xfId="40429"/>
    <cellStyle name="Normal 10 2 11 2 3" xfId="22637"/>
    <cellStyle name="Normal 10 2 11 2 3 2" xfId="51498"/>
    <cellStyle name="Normal 10 2 11 2 4" xfId="34388"/>
    <cellStyle name="Normal 10 2 11 3" xfId="8682"/>
    <cellStyle name="Normal 10 2 11 3 2" xfId="25729"/>
    <cellStyle name="Normal 10 2 11 3 2 2" xfId="54590"/>
    <cellStyle name="Normal 10 2 11 3 3" xfId="37543"/>
    <cellStyle name="Normal 10 2 11 4" xfId="12290"/>
    <cellStyle name="Normal 10 2 11 4 2" xfId="19957"/>
    <cellStyle name="Normal 10 2 11 4 2 2" xfId="48818"/>
    <cellStyle name="Normal 10 2 11 4 3" xfId="41151"/>
    <cellStyle name="Normal 10 2 11 5" xfId="17277"/>
    <cellStyle name="Normal 10 2 11 5 2" xfId="46138"/>
    <cellStyle name="Normal 10 2 11 6" xfId="31502"/>
    <cellStyle name="Normal 10 2 12" xfId="3156"/>
    <cellStyle name="Normal 10 2 12 2" xfId="9197"/>
    <cellStyle name="Normal 10 2 12 2 2" xfId="26244"/>
    <cellStyle name="Normal 10 2 12 2 2 2" xfId="55105"/>
    <cellStyle name="Normal 10 2 12 2 3" xfId="38058"/>
    <cellStyle name="Normal 10 2 12 3" xfId="12760"/>
    <cellStyle name="Normal 10 2 12 3 2" xfId="20266"/>
    <cellStyle name="Normal 10 2 12 3 2 2" xfId="49127"/>
    <cellStyle name="Normal 10 2 12 3 3" xfId="41621"/>
    <cellStyle name="Normal 10 2 12 4" xfId="14906"/>
    <cellStyle name="Normal 10 2 12 4 2" xfId="43767"/>
    <cellStyle name="Normal 10 2 12 5" xfId="32017"/>
    <cellStyle name="Normal 10 2 13" xfId="2847"/>
    <cellStyle name="Normal 10 2 13 2" xfId="8888"/>
    <cellStyle name="Normal 10 2 13 2 2" xfId="25935"/>
    <cellStyle name="Normal 10 2 13 2 2 2" xfId="54796"/>
    <cellStyle name="Normal 10 2 13 2 3" xfId="37749"/>
    <cellStyle name="Normal 10 2 13 3" xfId="17483"/>
    <cellStyle name="Normal 10 2 13 3 2" xfId="46344"/>
    <cellStyle name="Normal 10 2 13 4" xfId="31708"/>
    <cellStyle name="Normal 10 2 14" xfId="5733"/>
    <cellStyle name="Normal 10 2 14 2" xfId="11774"/>
    <cellStyle name="Normal 10 2 14 2 2" xfId="28821"/>
    <cellStyle name="Normal 10 2 14 2 2 2" xfId="57682"/>
    <cellStyle name="Normal 10 2 14 2 3" xfId="40635"/>
    <cellStyle name="Normal 10 2 14 3" xfId="22843"/>
    <cellStyle name="Normal 10 2 14 3 2" xfId="51704"/>
    <cellStyle name="Normal 10 2 14 4" xfId="34594"/>
    <cellStyle name="Normal 10 2 15" xfId="5950"/>
    <cellStyle name="Normal 10 2 15 2" xfId="23049"/>
    <cellStyle name="Normal 10 2 15 2 2" xfId="51910"/>
    <cellStyle name="Normal 10 2 15 3" xfId="34811"/>
    <cellStyle name="Normal 10 2 16" xfId="6311"/>
    <cellStyle name="Normal 10 2 16 2" xfId="23358"/>
    <cellStyle name="Normal 10 2 16 2 2" xfId="52219"/>
    <cellStyle name="Normal 10 2 16 3" xfId="35172"/>
    <cellStyle name="Normal 10 2 17" xfId="14597"/>
    <cellStyle name="Normal 10 2 17 2" xfId="43458"/>
    <cellStyle name="Normal 10 2 18" xfId="29131"/>
    <cellStyle name="Normal 10 2 2" xfId="475"/>
    <cellStyle name="Normal 10 2 2 2" xfId="2226"/>
    <cellStyle name="Normal 10 2 2 2 2" xfId="5113"/>
    <cellStyle name="Normal 10 2 2 2 2 2" xfId="11154"/>
    <cellStyle name="Normal 10 2 2 2 2 2 2" xfId="28201"/>
    <cellStyle name="Normal 10 2 2 2 2 2 2 2" xfId="57062"/>
    <cellStyle name="Normal 10 2 2 2 2 2 3" xfId="40015"/>
    <cellStyle name="Normal 10 2 2 2 2 3" xfId="22223"/>
    <cellStyle name="Normal 10 2 2 2 2 3 2" xfId="51084"/>
    <cellStyle name="Normal 10 2 2 2 2 4" xfId="33974"/>
    <cellStyle name="Normal 10 2 2 2 3" xfId="8268"/>
    <cellStyle name="Normal 10 2 2 2 3 2" xfId="25315"/>
    <cellStyle name="Normal 10 2 2 2 3 2 2" xfId="54176"/>
    <cellStyle name="Normal 10 2 2 2 3 3" xfId="37129"/>
    <cellStyle name="Normal 10 2 2 2 4" xfId="11966"/>
    <cellStyle name="Normal 10 2 2 2 4 2" xfId="19543"/>
    <cellStyle name="Normal 10 2 2 2 4 2 2" xfId="48404"/>
    <cellStyle name="Normal 10 2 2 2 4 3" xfId="40827"/>
    <cellStyle name="Normal 10 2 2 2 5" xfId="16863"/>
    <cellStyle name="Normal 10 2 2 2 5 2" xfId="45724"/>
    <cellStyle name="Normal 10 2 2 2 6" xfId="31088"/>
    <cellStyle name="Normal 10 2 2 3" xfId="3362"/>
    <cellStyle name="Normal 10 2 2 3 2" xfId="9403"/>
    <cellStyle name="Normal 10 2 2 3 2 2" xfId="26450"/>
    <cellStyle name="Normal 10 2 2 3 2 2 2" xfId="55311"/>
    <cellStyle name="Normal 10 2 2 3 2 3" xfId="38264"/>
    <cellStyle name="Normal 10 2 2 3 3" xfId="20472"/>
    <cellStyle name="Normal 10 2 2 3 3 2" xfId="49333"/>
    <cellStyle name="Normal 10 2 2 3 4" xfId="32223"/>
    <cellStyle name="Normal 10 2 2 4" xfId="6517"/>
    <cellStyle name="Normal 10 2 2 4 2" xfId="23564"/>
    <cellStyle name="Normal 10 2 2 4 2 2" xfId="52425"/>
    <cellStyle name="Normal 10 2 2 4 3" xfId="35378"/>
    <cellStyle name="Normal 10 2 2 5" xfId="13687"/>
    <cellStyle name="Normal 10 2 2 5 2" xfId="17792"/>
    <cellStyle name="Normal 10 2 2 5 2 2" xfId="46653"/>
    <cellStyle name="Normal 10 2 2 5 3" xfId="42548"/>
    <cellStyle name="Normal 10 2 2 6" xfId="15112"/>
    <cellStyle name="Normal 10 2 2 6 2" xfId="43973"/>
    <cellStyle name="Normal 10 2 2 7" xfId="29337"/>
    <cellStyle name="Normal 10 2 3" xfId="784"/>
    <cellStyle name="Normal 10 2 3 2" xfId="3671"/>
    <cellStyle name="Normal 10 2 3 2 2" xfId="9712"/>
    <cellStyle name="Normal 10 2 3 2 2 2" xfId="26759"/>
    <cellStyle name="Normal 10 2 3 2 2 2 2" xfId="55620"/>
    <cellStyle name="Normal 10 2 3 2 2 3" xfId="38573"/>
    <cellStyle name="Normal 10 2 3 2 3" xfId="20781"/>
    <cellStyle name="Normal 10 2 3 2 3 2" xfId="49642"/>
    <cellStyle name="Normal 10 2 3 2 4" xfId="32532"/>
    <cellStyle name="Normal 10 2 3 3" xfId="6826"/>
    <cellStyle name="Normal 10 2 3 3 2" xfId="23873"/>
    <cellStyle name="Normal 10 2 3 3 2 2" xfId="52734"/>
    <cellStyle name="Normal 10 2 3 3 3" xfId="35687"/>
    <cellStyle name="Normal 10 2 3 4" xfId="12073"/>
    <cellStyle name="Normal 10 2 3 4 2" xfId="18101"/>
    <cellStyle name="Normal 10 2 3 4 2 2" xfId="46962"/>
    <cellStyle name="Normal 10 2 3 4 3" xfId="40934"/>
    <cellStyle name="Normal 10 2 3 5" xfId="15421"/>
    <cellStyle name="Normal 10 2 3 5 2" xfId="44282"/>
    <cellStyle name="Normal 10 2 3 6" xfId="29646"/>
    <cellStyle name="Normal 10 2 4" xfId="990"/>
    <cellStyle name="Normal 10 2 4 2" xfId="3877"/>
    <cellStyle name="Normal 10 2 4 2 2" xfId="9918"/>
    <cellStyle name="Normal 10 2 4 2 2 2" xfId="26965"/>
    <cellStyle name="Normal 10 2 4 2 2 2 2" xfId="55826"/>
    <cellStyle name="Normal 10 2 4 2 2 3" xfId="38779"/>
    <cellStyle name="Normal 10 2 4 2 3" xfId="20987"/>
    <cellStyle name="Normal 10 2 4 2 3 2" xfId="49848"/>
    <cellStyle name="Normal 10 2 4 2 4" xfId="32738"/>
    <cellStyle name="Normal 10 2 4 3" xfId="7032"/>
    <cellStyle name="Normal 10 2 4 3 2" xfId="24079"/>
    <cellStyle name="Normal 10 2 4 3 2 2" xfId="52940"/>
    <cellStyle name="Normal 10 2 4 3 3" xfId="35893"/>
    <cellStyle name="Normal 10 2 4 4" xfId="12410"/>
    <cellStyle name="Normal 10 2 4 4 2" xfId="18307"/>
    <cellStyle name="Normal 10 2 4 4 2 2" xfId="47168"/>
    <cellStyle name="Normal 10 2 4 4 3" xfId="41271"/>
    <cellStyle name="Normal 10 2 4 5" xfId="15627"/>
    <cellStyle name="Normal 10 2 4 5 2" xfId="44488"/>
    <cellStyle name="Normal 10 2 4 6" xfId="29852"/>
    <cellStyle name="Normal 10 2 5" xfId="1196"/>
    <cellStyle name="Normal 10 2 5 2" xfId="4083"/>
    <cellStyle name="Normal 10 2 5 2 2" xfId="10124"/>
    <cellStyle name="Normal 10 2 5 2 2 2" xfId="27171"/>
    <cellStyle name="Normal 10 2 5 2 2 2 2" xfId="56032"/>
    <cellStyle name="Normal 10 2 5 2 2 3" xfId="38985"/>
    <cellStyle name="Normal 10 2 5 2 3" xfId="21193"/>
    <cellStyle name="Normal 10 2 5 2 3 2" xfId="50054"/>
    <cellStyle name="Normal 10 2 5 2 4" xfId="32944"/>
    <cellStyle name="Normal 10 2 5 3" xfId="7238"/>
    <cellStyle name="Normal 10 2 5 3 2" xfId="24285"/>
    <cellStyle name="Normal 10 2 5 3 2 2" xfId="53146"/>
    <cellStyle name="Normal 10 2 5 3 3" xfId="36099"/>
    <cellStyle name="Normal 10 2 5 4" xfId="13708"/>
    <cellStyle name="Normal 10 2 5 4 2" xfId="18513"/>
    <cellStyle name="Normal 10 2 5 4 2 2" xfId="47374"/>
    <cellStyle name="Normal 10 2 5 4 3" xfId="42569"/>
    <cellStyle name="Normal 10 2 5 5" xfId="15833"/>
    <cellStyle name="Normal 10 2 5 5 2" xfId="44694"/>
    <cellStyle name="Normal 10 2 5 6" xfId="30058"/>
    <cellStyle name="Normal 10 2 6" xfId="1402"/>
    <cellStyle name="Normal 10 2 6 2" xfId="4289"/>
    <cellStyle name="Normal 10 2 6 2 2" xfId="10330"/>
    <cellStyle name="Normal 10 2 6 2 2 2" xfId="27377"/>
    <cellStyle name="Normal 10 2 6 2 2 2 2" xfId="56238"/>
    <cellStyle name="Normal 10 2 6 2 2 3" xfId="39191"/>
    <cellStyle name="Normal 10 2 6 2 3" xfId="21399"/>
    <cellStyle name="Normal 10 2 6 2 3 2" xfId="50260"/>
    <cellStyle name="Normal 10 2 6 2 4" xfId="33150"/>
    <cellStyle name="Normal 10 2 6 3" xfId="7444"/>
    <cellStyle name="Normal 10 2 6 3 2" xfId="24491"/>
    <cellStyle name="Normal 10 2 6 3 2 2" xfId="53352"/>
    <cellStyle name="Normal 10 2 6 3 3" xfId="36305"/>
    <cellStyle name="Normal 10 2 6 4" xfId="12662"/>
    <cellStyle name="Normal 10 2 6 4 2" xfId="18719"/>
    <cellStyle name="Normal 10 2 6 4 2 2" xfId="47580"/>
    <cellStyle name="Normal 10 2 6 4 3" xfId="41523"/>
    <cellStyle name="Normal 10 2 6 5" xfId="16039"/>
    <cellStyle name="Normal 10 2 6 5 2" xfId="44900"/>
    <cellStyle name="Normal 10 2 6 6" xfId="30264"/>
    <cellStyle name="Normal 10 2 7" xfId="1608"/>
    <cellStyle name="Normal 10 2 7 2" xfId="4495"/>
    <cellStyle name="Normal 10 2 7 2 2" xfId="10536"/>
    <cellStyle name="Normal 10 2 7 2 2 2" xfId="27583"/>
    <cellStyle name="Normal 10 2 7 2 2 2 2" xfId="56444"/>
    <cellStyle name="Normal 10 2 7 2 2 3" xfId="39397"/>
    <cellStyle name="Normal 10 2 7 2 3" xfId="21605"/>
    <cellStyle name="Normal 10 2 7 2 3 2" xfId="50466"/>
    <cellStyle name="Normal 10 2 7 2 4" xfId="33356"/>
    <cellStyle name="Normal 10 2 7 3" xfId="7650"/>
    <cellStyle name="Normal 10 2 7 3 2" xfId="24697"/>
    <cellStyle name="Normal 10 2 7 3 2 2" xfId="53558"/>
    <cellStyle name="Normal 10 2 7 3 3" xfId="36511"/>
    <cellStyle name="Normal 10 2 7 4" xfId="13772"/>
    <cellStyle name="Normal 10 2 7 4 2" xfId="18925"/>
    <cellStyle name="Normal 10 2 7 4 2 2" xfId="47786"/>
    <cellStyle name="Normal 10 2 7 4 3" xfId="42633"/>
    <cellStyle name="Normal 10 2 7 5" xfId="16245"/>
    <cellStyle name="Normal 10 2 7 5 2" xfId="45106"/>
    <cellStyle name="Normal 10 2 7 6" xfId="30470"/>
    <cellStyle name="Normal 10 2 8" xfId="1814"/>
    <cellStyle name="Normal 10 2 8 2" xfId="4701"/>
    <cellStyle name="Normal 10 2 8 2 2" xfId="10742"/>
    <cellStyle name="Normal 10 2 8 2 2 2" xfId="27789"/>
    <cellStyle name="Normal 10 2 8 2 2 2 2" xfId="56650"/>
    <cellStyle name="Normal 10 2 8 2 2 3" xfId="39603"/>
    <cellStyle name="Normal 10 2 8 2 3" xfId="21811"/>
    <cellStyle name="Normal 10 2 8 2 3 2" xfId="50672"/>
    <cellStyle name="Normal 10 2 8 2 4" xfId="33562"/>
    <cellStyle name="Normal 10 2 8 3" xfId="7856"/>
    <cellStyle name="Normal 10 2 8 3 2" xfId="24903"/>
    <cellStyle name="Normal 10 2 8 3 2 2" xfId="53764"/>
    <cellStyle name="Normal 10 2 8 3 3" xfId="36717"/>
    <cellStyle name="Normal 10 2 8 4" xfId="13864"/>
    <cellStyle name="Normal 10 2 8 4 2" xfId="19131"/>
    <cellStyle name="Normal 10 2 8 4 2 2" xfId="47992"/>
    <cellStyle name="Normal 10 2 8 4 3" xfId="42725"/>
    <cellStyle name="Normal 10 2 8 5" xfId="16451"/>
    <cellStyle name="Normal 10 2 8 5 2" xfId="45312"/>
    <cellStyle name="Normal 10 2 8 6" xfId="30676"/>
    <cellStyle name="Normal 10 2 9" xfId="2020"/>
    <cellStyle name="Normal 10 2 9 2" xfId="4907"/>
    <cellStyle name="Normal 10 2 9 2 2" xfId="10948"/>
    <cellStyle name="Normal 10 2 9 2 2 2" xfId="27995"/>
    <cellStyle name="Normal 10 2 9 2 2 2 2" xfId="56856"/>
    <cellStyle name="Normal 10 2 9 2 2 3" xfId="39809"/>
    <cellStyle name="Normal 10 2 9 2 3" xfId="22017"/>
    <cellStyle name="Normal 10 2 9 2 3 2" xfId="50878"/>
    <cellStyle name="Normal 10 2 9 2 4" xfId="33768"/>
    <cellStyle name="Normal 10 2 9 3" xfId="8062"/>
    <cellStyle name="Normal 10 2 9 3 2" xfId="25109"/>
    <cellStyle name="Normal 10 2 9 3 2 2" xfId="53970"/>
    <cellStyle name="Normal 10 2 9 3 3" xfId="36923"/>
    <cellStyle name="Normal 10 2 9 4" xfId="13917"/>
    <cellStyle name="Normal 10 2 9 4 2" xfId="19337"/>
    <cellStyle name="Normal 10 2 9 4 2 2" xfId="48198"/>
    <cellStyle name="Normal 10 2 9 4 3" xfId="42778"/>
    <cellStyle name="Normal 10 2 9 5" xfId="16657"/>
    <cellStyle name="Normal 10 2 9 5 2" xfId="45518"/>
    <cellStyle name="Normal 10 2 9 6" xfId="30882"/>
    <cellStyle name="Normal 10 20" xfId="28925"/>
    <cellStyle name="Normal 10 3" xfId="166"/>
    <cellStyle name="Normal 10 3 2" xfId="578"/>
    <cellStyle name="Normal 10 3 2 2" xfId="3465"/>
    <cellStyle name="Normal 10 3 2 2 2" xfId="9506"/>
    <cellStyle name="Normal 10 3 2 2 2 2" xfId="26553"/>
    <cellStyle name="Normal 10 3 2 2 2 2 2" xfId="55414"/>
    <cellStyle name="Normal 10 3 2 2 2 3" xfId="38367"/>
    <cellStyle name="Normal 10 3 2 2 3" xfId="20575"/>
    <cellStyle name="Normal 10 3 2 2 3 2" xfId="49436"/>
    <cellStyle name="Normal 10 3 2 2 4" xfId="32326"/>
    <cellStyle name="Normal 10 3 2 3" xfId="6620"/>
    <cellStyle name="Normal 10 3 2 3 2" xfId="23667"/>
    <cellStyle name="Normal 10 3 2 3 2 2" xfId="52528"/>
    <cellStyle name="Normal 10 3 2 3 3" xfId="35481"/>
    <cellStyle name="Normal 10 3 2 4" xfId="13888"/>
    <cellStyle name="Normal 10 3 2 4 2" xfId="17895"/>
    <cellStyle name="Normal 10 3 2 4 2 2" xfId="46756"/>
    <cellStyle name="Normal 10 3 2 4 3" xfId="42749"/>
    <cellStyle name="Normal 10 3 2 5" xfId="15215"/>
    <cellStyle name="Normal 10 3 2 5 2" xfId="44076"/>
    <cellStyle name="Normal 10 3 2 6" xfId="29440"/>
    <cellStyle name="Normal 10 3 3" xfId="2123"/>
    <cellStyle name="Normal 10 3 3 2" xfId="5010"/>
    <cellStyle name="Normal 10 3 3 2 2" xfId="11051"/>
    <cellStyle name="Normal 10 3 3 2 2 2" xfId="28098"/>
    <cellStyle name="Normal 10 3 3 2 2 2 2" xfId="56959"/>
    <cellStyle name="Normal 10 3 3 2 2 3" xfId="39912"/>
    <cellStyle name="Normal 10 3 3 2 3" xfId="22120"/>
    <cellStyle name="Normal 10 3 3 2 3 2" xfId="50981"/>
    <cellStyle name="Normal 10 3 3 2 4" xfId="33871"/>
    <cellStyle name="Normal 10 3 3 3" xfId="8165"/>
    <cellStyle name="Normal 10 3 3 3 2" xfId="25212"/>
    <cellStyle name="Normal 10 3 3 3 2 2" xfId="54073"/>
    <cellStyle name="Normal 10 3 3 3 3" xfId="37026"/>
    <cellStyle name="Normal 10 3 3 4" xfId="13933"/>
    <cellStyle name="Normal 10 3 3 4 2" xfId="19440"/>
    <cellStyle name="Normal 10 3 3 4 2 2" xfId="48301"/>
    <cellStyle name="Normal 10 3 3 4 3" xfId="42794"/>
    <cellStyle name="Normal 10 3 3 5" xfId="16760"/>
    <cellStyle name="Normal 10 3 3 5 2" xfId="45621"/>
    <cellStyle name="Normal 10 3 3 6" xfId="30985"/>
    <cellStyle name="Normal 10 3 4" xfId="3053"/>
    <cellStyle name="Normal 10 3 4 2" xfId="9094"/>
    <cellStyle name="Normal 10 3 4 2 2" xfId="26141"/>
    <cellStyle name="Normal 10 3 4 2 2 2" xfId="55002"/>
    <cellStyle name="Normal 10 3 4 2 3" xfId="37955"/>
    <cellStyle name="Normal 10 3 4 3" xfId="20163"/>
    <cellStyle name="Normal 10 3 4 3 2" xfId="49024"/>
    <cellStyle name="Normal 10 3 4 4" xfId="31914"/>
    <cellStyle name="Normal 10 3 5" xfId="6208"/>
    <cellStyle name="Normal 10 3 5 2" xfId="23255"/>
    <cellStyle name="Normal 10 3 5 2 2" xfId="52116"/>
    <cellStyle name="Normal 10 3 5 3" xfId="35069"/>
    <cellStyle name="Normal 10 3 6" xfId="13041"/>
    <cellStyle name="Normal 10 3 6 2" xfId="17586"/>
    <cellStyle name="Normal 10 3 6 2 2" xfId="46447"/>
    <cellStyle name="Normal 10 3 6 3" xfId="41902"/>
    <cellStyle name="Normal 10 3 7" xfId="14803"/>
    <cellStyle name="Normal 10 3 7 2" xfId="43664"/>
    <cellStyle name="Normal 10 3 8" xfId="29028"/>
    <cellStyle name="Normal 10 4" xfId="372"/>
    <cellStyle name="Normal 10 4 2" xfId="3259"/>
    <cellStyle name="Normal 10 4 2 2" xfId="9300"/>
    <cellStyle name="Normal 10 4 2 2 2" xfId="26347"/>
    <cellStyle name="Normal 10 4 2 2 2 2" xfId="55208"/>
    <cellStyle name="Normal 10 4 2 2 3" xfId="38161"/>
    <cellStyle name="Normal 10 4 2 3" xfId="20369"/>
    <cellStyle name="Normal 10 4 2 3 2" xfId="49230"/>
    <cellStyle name="Normal 10 4 2 4" xfId="32120"/>
    <cellStyle name="Normal 10 4 3" xfId="6414"/>
    <cellStyle name="Normal 10 4 3 2" xfId="23461"/>
    <cellStyle name="Normal 10 4 3 2 2" xfId="52322"/>
    <cellStyle name="Normal 10 4 3 3" xfId="35275"/>
    <cellStyle name="Normal 10 4 4" xfId="13571"/>
    <cellStyle name="Normal 10 4 4 2" xfId="17689"/>
    <cellStyle name="Normal 10 4 4 2 2" xfId="46550"/>
    <cellStyle name="Normal 10 4 4 3" xfId="42432"/>
    <cellStyle name="Normal 10 4 5" xfId="15009"/>
    <cellStyle name="Normal 10 4 5 2" xfId="43870"/>
    <cellStyle name="Normal 10 4 6" xfId="29234"/>
    <cellStyle name="Normal 10 5" xfId="681"/>
    <cellStyle name="Normal 10 5 2" xfId="3568"/>
    <cellStyle name="Normal 10 5 2 2" xfId="9609"/>
    <cellStyle name="Normal 10 5 2 2 2" xfId="26656"/>
    <cellStyle name="Normal 10 5 2 2 2 2" xfId="55517"/>
    <cellStyle name="Normal 10 5 2 2 3" xfId="38470"/>
    <cellStyle name="Normal 10 5 2 3" xfId="20678"/>
    <cellStyle name="Normal 10 5 2 3 2" xfId="49539"/>
    <cellStyle name="Normal 10 5 2 4" xfId="32429"/>
    <cellStyle name="Normal 10 5 3" xfId="6723"/>
    <cellStyle name="Normal 10 5 3 2" xfId="23770"/>
    <cellStyle name="Normal 10 5 3 2 2" xfId="52631"/>
    <cellStyle name="Normal 10 5 3 3" xfId="35584"/>
    <cellStyle name="Normal 10 5 4" xfId="13504"/>
    <cellStyle name="Normal 10 5 4 2" xfId="17998"/>
    <cellStyle name="Normal 10 5 4 2 2" xfId="46859"/>
    <cellStyle name="Normal 10 5 4 3" xfId="42365"/>
    <cellStyle name="Normal 10 5 5" xfId="15318"/>
    <cellStyle name="Normal 10 5 5 2" xfId="44179"/>
    <cellStyle name="Normal 10 5 6" xfId="29543"/>
    <cellStyle name="Normal 10 6" xfId="887"/>
    <cellStyle name="Normal 10 6 2" xfId="3774"/>
    <cellStyle name="Normal 10 6 2 2" xfId="9815"/>
    <cellStyle name="Normal 10 6 2 2 2" xfId="26862"/>
    <cellStyle name="Normal 10 6 2 2 2 2" xfId="55723"/>
    <cellStyle name="Normal 10 6 2 2 3" xfId="38676"/>
    <cellStyle name="Normal 10 6 2 3" xfId="20884"/>
    <cellStyle name="Normal 10 6 2 3 2" xfId="49745"/>
    <cellStyle name="Normal 10 6 2 4" xfId="32635"/>
    <cellStyle name="Normal 10 6 3" xfId="6929"/>
    <cellStyle name="Normal 10 6 3 2" xfId="23976"/>
    <cellStyle name="Normal 10 6 3 2 2" xfId="52837"/>
    <cellStyle name="Normal 10 6 3 3" xfId="35790"/>
    <cellStyle name="Normal 10 6 4" xfId="13943"/>
    <cellStyle name="Normal 10 6 4 2" xfId="18204"/>
    <cellStyle name="Normal 10 6 4 2 2" xfId="47065"/>
    <cellStyle name="Normal 10 6 4 3" xfId="42804"/>
    <cellStyle name="Normal 10 6 5" xfId="15524"/>
    <cellStyle name="Normal 10 6 5 2" xfId="44385"/>
    <cellStyle name="Normal 10 6 6" xfId="29749"/>
    <cellStyle name="Normal 10 7" xfId="1093"/>
    <cellStyle name="Normal 10 7 2" xfId="3980"/>
    <cellStyle name="Normal 10 7 2 2" xfId="10021"/>
    <cellStyle name="Normal 10 7 2 2 2" xfId="27068"/>
    <cellStyle name="Normal 10 7 2 2 2 2" xfId="55929"/>
    <cellStyle name="Normal 10 7 2 2 3" xfId="38882"/>
    <cellStyle name="Normal 10 7 2 3" xfId="21090"/>
    <cellStyle name="Normal 10 7 2 3 2" xfId="49951"/>
    <cellStyle name="Normal 10 7 2 4" xfId="32841"/>
    <cellStyle name="Normal 10 7 3" xfId="7135"/>
    <cellStyle name="Normal 10 7 3 2" xfId="24182"/>
    <cellStyle name="Normal 10 7 3 2 2" xfId="53043"/>
    <cellStyle name="Normal 10 7 3 3" xfId="35996"/>
    <cellStyle name="Normal 10 7 4" xfId="11878"/>
    <cellStyle name="Normal 10 7 4 2" xfId="18410"/>
    <cellStyle name="Normal 10 7 4 2 2" xfId="47271"/>
    <cellStyle name="Normal 10 7 4 3" xfId="40739"/>
    <cellStyle name="Normal 10 7 5" xfId="15730"/>
    <cellStyle name="Normal 10 7 5 2" xfId="44591"/>
    <cellStyle name="Normal 10 7 6" xfId="29955"/>
    <cellStyle name="Normal 10 8" xfId="1299"/>
    <cellStyle name="Normal 10 8 2" xfId="4186"/>
    <cellStyle name="Normal 10 8 2 2" xfId="10227"/>
    <cellStyle name="Normal 10 8 2 2 2" xfId="27274"/>
    <cellStyle name="Normal 10 8 2 2 2 2" xfId="56135"/>
    <cellStyle name="Normal 10 8 2 2 3" xfId="39088"/>
    <cellStyle name="Normal 10 8 2 3" xfId="21296"/>
    <cellStyle name="Normal 10 8 2 3 2" xfId="50157"/>
    <cellStyle name="Normal 10 8 2 4" xfId="33047"/>
    <cellStyle name="Normal 10 8 3" xfId="7341"/>
    <cellStyle name="Normal 10 8 3 2" xfId="24388"/>
    <cellStyle name="Normal 10 8 3 2 2" xfId="53249"/>
    <cellStyle name="Normal 10 8 3 3" xfId="36202"/>
    <cellStyle name="Normal 10 8 4" xfId="13968"/>
    <cellStyle name="Normal 10 8 4 2" xfId="18616"/>
    <cellStyle name="Normal 10 8 4 2 2" xfId="47477"/>
    <cellStyle name="Normal 10 8 4 3" xfId="42829"/>
    <cellStyle name="Normal 10 8 5" xfId="15936"/>
    <cellStyle name="Normal 10 8 5 2" xfId="44797"/>
    <cellStyle name="Normal 10 8 6" xfId="30161"/>
    <cellStyle name="Normal 10 9" xfId="1505"/>
    <cellStyle name="Normal 10 9 2" xfId="4392"/>
    <cellStyle name="Normal 10 9 2 2" xfId="10433"/>
    <cellStyle name="Normal 10 9 2 2 2" xfId="27480"/>
    <cellStyle name="Normal 10 9 2 2 2 2" xfId="56341"/>
    <cellStyle name="Normal 10 9 2 2 3" xfId="39294"/>
    <cellStyle name="Normal 10 9 2 3" xfId="21502"/>
    <cellStyle name="Normal 10 9 2 3 2" xfId="50363"/>
    <cellStyle name="Normal 10 9 2 4" xfId="33253"/>
    <cellStyle name="Normal 10 9 3" xfId="7547"/>
    <cellStyle name="Normal 10 9 3 2" xfId="24594"/>
    <cellStyle name="Normal 10 9 3 2 2" xfId="53455"/>
    <cellStyle name="Normal 10 9 3 3" xfId="36408"/>
    <cellStyle name="Normal 10 9 4" xfId="13324"/>
    <cellStyle name="Normal 10 9 4 2" xfId="18822"/>
    <cellStyle name="Normal 10 9 4 2 2" xfId="47683"/>
    <cellStyle name="Normal 10 9 4 3" xfId="42185"/>
    <cellStyle name="Normal 10 9 5" xfId="16142"/>
    <cellStyle name="Normal 10 9 5 2" xfId="45003"/>
    <cellStyle name="Normal 10 9 6" xfId="30367"/>
    <cellStyle name="Normal 11" xfId="155"/>
    <cellStyle name="Normal 11 10" xfId="1803"/>
    <cellStyle name="Normal 11 10 2" xfId="4690"/>
    <cellStyle name="Normal 11 10 2 2" xfId="10731"/>
    <cellStyle name="Normal 11 10 2 2 2" xfId="27778"/>
    <cellStyle name="Normal 11 10 2 2 2 2" xfId="56639"/>
    <cellStyle name="Normal 11 10 2 2 3" xfId="39592"/>
    <cellStyle name="Normal 11 10 2 3" xfId="21800"/>
    <cellStyle name="Normal 11 10 2 3 2" xfId="50661"/>
    <cellStyle name="Normal 11 10 2 4" xfId="33551"/>
    <cellStyle name="Normal 11 10 3" xfId="7845"/>
    <cellStyle name="Normal 11 10 3 2" xfId="24892"/>
    <cellStyle name="Normal 11 10 3 2 2" xfId="53753"/>
    <cellStyle name="Normal 11 10 3 3" xfId="36706"/>
    <cellStyle name="Normal 11 10 4" xfId="14322"/>
    <cellStyle name="Normal 11 10 4 2" xfId="19120"/>
    <cellStyle name="Normal 11 10 4 2 2" xfId="47981"/>
    <cellStyle name="Normal 11 10 4 3" xfId="43183"/>
    <cellStyle name="Normal 11 10 5" xfId="16440"/>
    <cellStyle name="Normal 11 10 5 2" xfId="45301"/>
    <cellStyle name="Normal 11 10 6" xfId="30665"/>
    <cellStyle name="Normal 11 11" xfId="2009"/>
    <cellStyle name="Normal 11 11 2" xfId="4896"/>
    <cellStyle name="Normal 11 11 2 2" xfId="10937"/>
    <cellStyle name="Normal 11 11 2 2 2" xfId="27984"/>
    <cellStyle name="Normal 11 11 2 2 2 2" xfId="56845"/>
    <cellStyle name="Normal 11 11 2 2 3" xfId="39798"/>
    <cellStyle name="Normal 11 11 2 3" xfId="22006"/>
    <cellStyle name="Normal 11 11 2 3 2" xfId="50867"/>
    <cellStyle name="Normal 11 11 2 4" xfId="33757"/>
    <cellStyle name="Normal 11 11 3" xfId="8051"/>
    <cellStyle name="Normal 11 11 3 2" xfId="25098"/>
    <cellStyle name="Normal 11 11 3 2 2" xfId="53959"/>
    <cellStyle name="Normal 11 11 3 3" xfId="36912"/>
    <cellStyle name="Normal 11 11 4" xfId="14306"/>
    <cellStyle name="Normal 11 11 4 2" xfId="19326"/>
    <cellStyle name="Normal 11 11 4 2 2" xfId="48187"/>
    <cellStyle name="Normal 11 11 4 3" xfId="43167"/>
    <cellStyle name="Normal 11 11 5" xfId="16646"/>
    <cellStyle name="Normal 11 11 5 2" xfId="45507"/>
    <cellStyle name="Normal 11 11 6" xfId="30871"/>
    <cellStyle name="Normal 11 12" xfId="2421"/>
    <cellStyle name="Normal 11 12 2" xfId="5308"/>
    <cellStyle name="Normal 11 12 2 2" xfId="11349"/>
    <cellStyle name="Normal 11 12 2 2 2" xfId="28396"/>
    <cellStyle name="Normal 11 12 2 2 2 2" xfId="57257"/>
    <cellStyle name="Normal 11 12 2 2 3" xfId="40210"/>
    <cellStyle name="Normal 11 12 2 3" xfId="22418"/>
    <cellStyle name="Normal 11 12 2 3 2" xfId="51279"/>
    <cellStyle name="Normal 11 12 2 4" xfId="34169"/>
    <cellStyle name="Normal 11 12 3" xfId="8463"/>
    <cellStyle name="Normal 11 12 3 2" xfId="25510"/>
    <cellStyle name="Normal 11 12 3 2 2" xfId="54371"/>
    <cellStyle name="Normal 11 12 3 3" xfId="37324"/>
    <cellStyle name="Normal 11 12 4" xfId="13268"/>
    <cellStyle name="Normal 11 12 4 2" xfId="19738"/>
    <cellStyle name="Normal 11 12 4 2 2" xfId="48599"/>
    <cellStyle name="Normal 11 12 4 3" xfId="42129"/>
    <cellStyle name="Normal 11 12 5" xfId="17058"/>
    <cellStyle name="Normal 11 12 5 2" xfId="45919"/>
    <cellStyle name="Normal 11 12 6" xfId="31283"/>
    <cellStyle name="Normal 11 13" xfId="2630"/>
    <cellStyle name="Normal 11 13 2" xfId="5516"/>
    <cellStyle name="Normal 11 13 2 2" xfId="11557"/>
    <cellStyle name="Normal 11 13 2 2 2" xfId="28604"/>
    <cellStyle name="Normal 11 13 2 2 2 2" xfId="57465"/>
    <cellStyle name="Normal 11 13 2 2 3" xfId="40418"/>
    <cellStyle name="Normal 11 13 2 3" xfId="22626"/>
    <cellStyle name="Normal 11 13 2 3 2" xfId="51487"/>
    <cellStyle name="Normal 11 13 2 4" xfId="34377"/>
    <cellStyle name="Normal 11 13 3" xfId="8671"/>
    <cellStyle name="Normal 11 13 3 2" xfId="25718"/>
    <cellStyle name="Normal 11 13 3 2 2" xfId="54579"/>
    <cellStyle name="Normal 11 13 3 3" xfId="37532"/>
    <cellStyle name="Normal 11 13 4" xfId="12568"/>
    <cellStyle name="Normal 11 13 4 2" xfId="19946"/>
    <cellStyle name="Normal 11 13 4 2 2" xfId="48807"/>
    <cellStyle name="Normal 11 13 4 3" xfId="41429"/>
    <cellStyle name="Normal 11 13 5" xfId="17266"/>
    <cellStyle name="Normal 11 13 5 2" xfId="46127"/>
    <cellStyle name="Normal 11 13 6" xfId="31491"/>
    <cellStyle name="Normal 11 14" xfId="3042"/>
    <cellStyle name="Normal 11 14 2" xfId="9083"/>
    <cellStyle name="Normal 11 14 2 2" xfId="26130"/>
    <cellStyle name="Normal 11 14 2 2 2" xfId="54991"/>
    <cellStyle name="Normal 11 14 2 3" xfId="37944"/>
    <cellStyle name="Normal 11 14 3" xfId="14419"/>
    <cellStyle name="Normal 11 14 3 2" xfId="20152"/>
    <cellStyle name="Normal 11 14 3 2 2" xfId="49013"/>
    <cellStyle name="Normal 11 14 3 3" xfId="43280"/>
    <cellStyle name="Normal 11 14 4" xfId="14792"/>
    <cellStyle name="Normal 11 14 4 2" xfId="43653"/>
    <cellStyle name="Normal 11 14 5" xfId="31903"/>
    <cellStyle name="Normal 11 15" xfId="2836"/>
    <cellStyle name="Normal 11 15 2" xfId="8877"/>
    <cellStyle name="Normal 11 15 2 2" xfId="25924"/>
    <cellStyle name="Normal 11 15 2 2 2" xfId="54785"/>
    <cellStyle name="Normal 11 15 2 3" xfId="37738"/>
    <cellStyle name="Normal 11 15 3" xfId="17472"/>
    <cellStyle name="Normal 11 15 3 2" xfId="46333"/>
    <cellStyle name="Normal 11 15 4" xfId="31697"/>
    <cellStyle name="Normal 11 16" xfId="5722"/>
    <cellStyle name="Normal 11 16 2" xfId="11763"/>
    <cellStyle name="Normal 11 16 2 2" xfId="28810"/>
    <cellStyle name="Normal 11 16 2 2 2" xfId="57671"/>
    <cellStyle name="Normal 11 16 2 3" xfId="40624"/>
    <cellStyle name="Normal 11 16 3" xfId="22832"/>
    <cellStyle name="Normal 11 16 3 2" xfId="51693"/>
    <cellStyle name="Normal 11 16 4" xfId="34583"/>
    <cellStyle name="Normal 11 17" xfId="5939"/>
    <cellStyle name="Normal 11 17 2" xfId="23038"/>
    <cellStyle name="Normal 11 17 2 2" xfId="51899"/>
    <cellStyle name="Normal 11 17 3" xfId="34800"/>
    <cellStyle name="Normal 11 18" xfId="6197"/>
    <cellStyle name="Normal 11 18 2" xfId="23244"/>
    <cellStyle name="Normal 11 18 2 2" xfId="52105"/>
    <cellStyle name="Normal 11 18 3" xfId="35058"/>
    <cellStyle name="Normal 11 19" xfId="14586"/>
    <cellStyle name="Normal 11 19 2" xfId="43447"/>
    <cellStyle name="Normal 11 2" xfId="361"/>
    <cellStyle name="Normal 11 2 10" xfId="2524"/>
    <cellStyle name="Normal 11 2 10 2" xfId="5411"/>
    <cellStyle name="Normal 11 2 10 2 2" xfId="11452"/>
    <cellStyle name="Normal 11 2 10 2 2 2" xfId="28499"/>
    <cellStyle name="Normal 11 2 10 2 2 2 2" xfId="57360"/>
    <cellStyle name="Normal 11 2 10 2 2 3" xfId="40313"/>
    <cellStyle name="Normal 11 2 10 2 3" xfId="22521"/>
    <cellStyle name="Normal 11 2 10 2 3 2" xfId="51382"/>
    <cellStyle name="Normal 11 2 10 2 4" xfId="34272"/>
    <cellStyle name="Normal 11 2 10 3" xfId="8566"/>
    <cellStyle name="Normal 11 2 10 3 2" xfId="25613"/>
    <cellStyle name="Normal 11 2 10 3 2 2" xfId="54474"/>
    <cellStyle name="Normal 11 2 10 3 3" xfId="37427"/>
    <cellStyle name="Normal 11 2 10 4" xfId="13763"/>
    <cellStyle name="Normal 11 2 10 4 2" xfId="19841"/>
    <cellStyle name="Normal 11 2 10 4 2 2" xfId="48702"/>
    <cellStyle name="Normal 11 2 10 4 3" xfId="42624"/>
    <cellStyle name="Normal 11 2 10 5" xfId="17161"/>
    <cellStyle name="Normal 11 2 10 5 2" xfId="46022"/>
    <cellStyle name="Normal 11 2 10 6" xfId="31386"/>
    <cellStyle name="Normal 11 2 11" xfId="2733"/>
    <cellStyle name="Normal 11 2 11 2" xfId="5619"/>
    <cellStyle name="Normal 11 2 11 2 2" xfId="11660"/>
    <cellStyle name="Normal 11 2 11 2 2 2" xfId="28707"/>
    <cellStyle name="Normal 11 2 11 2 2 2 2" xfId="57568"/>
    <cellStyle name="Normal 11 2 11 2 2 3" xfId="40521"/>
    <cellStyle name="Normal 11 2 11 2 3" xfId="22729"/>
    <cellStyle name="Normal 11 2 11 2 3 2" xfId="51590"/>
    <cellStyle name="Normal 11 2 11 2 4" xfId="34480"/>
    <cellStyle name="Normal 11 2 11 3" xfId="8774"/>
    <cellStyle name="Normal 11 2 11 3 2" xfId="25821"/>
    <cellStyle name="Normal 11 2 11 3 2 2" xfId="54682"/>
    <cellStyle name="Normal 11 2 11 3 3" xfId="37635"/>
    <cellStyle name="Normal 11 2 11 4" xfId="14397"/>
    <cellStyle name="Normal 11 2 11 4 2" xfId="20049"/>
    <cellStyle name="Normal 11 2 11 4 2 2" xfId="48910"/>
    <cellStyle name="Normal 11 2 11 4 3" xfId="43258"/>
    <cellStyle name="Normal 11 2 11 5" xfId="17369"/>
    <cellStyle name="Normal 11 2 11 5 2" xfId="46230"/>
    <cellStyle name="Normal 11 2 11 6" xfId="31594"/>
    <cellStyle name="Normal 11 2 12" xfId="3248"/>
    <cellStyle name="Normal 11 2 12 2" xfId="9289"/>
    <cellStyle name="Normal 11 2 12 2 2" xfId="26336"/>
    <cellStyle name="Normal 11 2 12 2 2 2" xfId="55197"/>
    <cellStyle name="Normal 11 2 12 2 3" xfId="38150"/>
    <cellStyle name="Normal 11 2 12 3" xfId="11992"/>
    <cellStyle name="Normal 11 2 12 3 2" xfId="20358"/>
    <cellStyle name="Normal 11 2 12 3 2 2" xfId="49219"/>
    <cellStyle name="Normal 11 2 12 3 3" xfId="40853"/>
    <cellStyle name="Normal 11 2 12 4" xfId="14998"/>
    <cellStyle name="Normal 11 2 12 4 2" xfId="43859"/>
    <cellStyle name="Normal 11 2 12 5" xfId="32109"/>
    <cellStyle name="Normal 11 2 13" xfId="2939"/>
    <cellStyle name="Normal 11 2 13 2" xfId="8980"/>
    <cellStyle name="Normal 11 2 13 2 2" xfId="26027"/>
    <cellStyle name="Normal 11 2 13 2 2 2" xfId="54888"/>
    <cellStyle name="Normal 11 2 13 2 3" xfId="37841"/>
    <cellStyle name="Normal 11 2 13 3" xfId="17575"/>
    <cellStyle name="Normal 11 2 13 3 2" xfId="46436"/>
    <cellStyle name="Normal 11 2 13 4" xfId="31800"/>
    <cellStyle name="Normal 11 2 14" xfId="5825"/>
    <cellStyle name="Normal 11 2 14 2" xfId="11866"/>
    <cellStyle name="Normal 11 2 14 2 2" xfId="28913"/>
    <cellStyle name="Normal 11 2 14 2 2 2" xfId="57774"/>
    <cellStyle name="Normal 11 2 14 2 3" xfId="40727"/>
    <cellStyle name="Normal 11 2 14 3" xfId="22935"/>
    <cellStyle name="Normal 11 2 14 3 2" xfId="51796"/>
    <cellStyle name="Normal 11 2 14 4" xfId="34686"/>
    <cellStyle name="Normal 11 2 15" xfId="6042"/>
    <cellStyle name="Normal 11 2 15 2" xfId="23141"/>
    <cellStyle name="Normal 11 2 15 2 2" xfId="52002"/>
    <cellStyle name="Normal 11 2 15 3" xfId="34903"/>
    <cellStyle name="Normal 11 2 16" xfId="6403"/>
    <cellStyle name="Normal 11 2 16 2" xfId="23450"/>
    <cellStyle name="Normal 11 2 16 2 2" xfId="52311"/>
    <cellStyle name="Normal 11 2 16 3" xfId="35264"/>
    <cellStyle name="Normal 11 2 17" xfId="14689"/>
    <cellStyle name="Normal 11 2 17 2" xfId="43550"/>
    <cellStyle name="Normal 11 2 18" xfId="29223"/>
    <cellStyle name="Normal 11 2 2" xfId="567"/>
    <cellStyle name="Normal 11 2 2 2" xfId="2318"/>
    <cellStyle name="Normal 11 2 2 2 2" xfId="5205"/>
    <cellStyle name="Normal 11 2 2 2 2 2" xfId="11246"/>
    <cellStyle name="Normal 11 2 2 2 2 2 2" xfId="28293"/>
    <cellStyle name="Normal 11 2 2 2 2 2 2 2" xfId="57154"/>
    <cellStyle name="Normal 11 2 2 2 2 2 3" xfId="40107"/>
    <cellStyle name="Normal 11 2 2 2 2 3" xfId="22315"/>
    <cellStyle name="Normal 11 2 2 2 2 3 2" xfId="51176"/>
    <cellStyle name="Normal 11 2 2 2 2 4" xfId="34066"/>
    <cellStyle name="Normal 11 2 2 2 3" xfId="8360"/>
    <cellStyle name="Normal 11 2 2 2 3 2" xfId="25407"/>
    <cellStyle name="Normal 11 2 2 2 3 2 2" xfId="54268"/>
    <cellStyle name="Normal 11 2 2 2 3 3" xfId="37221"/>
    <cellStyle name="Normal 11 2 2 2 4" xfId="12538"/>
    <cellStyle name="Normal 11 2 2 2 4 2" xfId="19635"/>
    <cellStyle name="Normal 11 2 2 2 4 2 2" xfId="48496"/>
    <cellStyle name="Normal 11 2 2 2 4 3" xfId="41399"/>
    <cellStyle name="Normal 11 2 2 2 5" xfId="16955"/>
    <cellStyle name="Normal 11 2 2 2 5 2" xfId="45816"/>
    <cellStyle name="Normal 11 2 2 2 6" xfId="31180"/>
    <cellStyle name="Normal 11 2 2 3" xfId="3454"/>
    <cellStyle name="Normal 11 2 2 3 2" xfId="9495"/>
    <cellStyle name="Normal 11 2 2 3 2 2" xfId="26542"/>
    <cellStyle name="Normal 11 2 2 3 2 2 2" xfId="55403"/>
    <cellStyle name="Normal 11 2 2 3 2 3" xfId="38356"/>
    <cellStyle name="Normal 11 2 2 3 3" xfId="20564"/>
    <cellStyle name="Normal 11 2 2 3 3 2" xfId="49425"/>
    <cellStyle name="Normal 11 2 2 3 4" xfId="32315"/>
    <cellStyle name="Normal 11 2 2 4" xfId="6609"/>
    <cellStyle name="Normal 11 2 2 4 2" xfId="23656"/>
    <cellStyle name="Normal 11 2 2 4 2 2" xfId="52517"/>
    <cellStyle name="Normal 11 2 2 4 3" xfId="35470"/>
    <cellStyle name="Normal 11 2 2 5" xfId="13904"/>
    <cellStyle name="Normal 11 2 2 5 2" xfId="17884"/>
    <cellStyle name="Normal 11 2 2 5 2 2" xfId="46745"/>
    <cellStyle name="Normal 11 2 2 5 3" xfId="42765"/>
    <cellStyle name="Normal 11 2 2 6" xfId="15204"/>
    <cellStyle name="Normal 11 2 2 6 2" xfId="44065"/>
    <cellStyle name="Normal 11 2 2 7" xfId="29429"/>
    <cellStyle name="Normal 11 2 3" xfId="876"/>
    <cellStyle name="Normal 11 2 3 2" xfId="3763"/>
    <cellStyle name="Normal 11 2 3 2 2" xfId="9804"/>
    <cellStyle name="Normal 11 2 3 2 2 2" xfId="26851"/>
    <cellStyle name="Normal 11 2 3 2 2 2 2" xfId="55712"/>
    <cellStyle name="Normal 11 2 3 2 2 3" xfId="38665"/>
    <cellStyle name="Normal 11 2 3 2 3" xfId="20873"/>
    <cellStyle name="Normal 11 2 3 2 3 2" xfId="49734"/>
    <cellStyle name="Normal 11 2 3 2 4" xfId="32624"/>
    <cellStyle name="Normal 11 2 3 3" xfId="6918"/>
    <cellStyle name="Normal 11 2 3 3 2" xfId="23965"/>
    <cellStyle name="Normal 11 2 3 3 2 2" xfId="52826"/>
    <cellStyle name="Normal 11 2 3 3 3" xfId="35779"/>
    <cellStyle name="Normal 11 2 3 4" xfId="12283"/>
    <cellStyle name="Normal 11 2 3 4 2" xfId="18193"/>
    <cellStyle name="Normal 11 2 3 4 2 2" xfId="47054"/>
    <cellStyle name="Normal 11 2 3 4 3" xfId="41144"/>
    <cellStyle name="Normal 11 2 3 5" xfId="15513"/>
    <cellStyle name="Normal 11 2 3 5 2" xfId="44374"/>
    <cellStyle name="Normal 11 2 3 6" xfId="29738"/>
    <cellStyle name="Normal 11 2 4" xfId="1082"/>
    <cellStyle name="Normal 11 2 4 2" xfId="3969"/>
    <cellStyle name="Normal 11 2 4 2 2" xfId="10010"/>
    <cellStyle name="Normal 11 2 4 2 2 2" xfId="27057"/>
    <cellStyle name="Normal 11 2 4 2 2 2 2" xfId="55918"/>
    <cellStyle name="Normal 11 2 4 2 2 3" xfId="38871"/>
    <cellStyle name="Normal 11 2 4 2 3" xfId="21079"/>
    <cellStyle name="Normal 11 2 4 2 3 2" xfId="49940"/>
    <cellStyle name="Normal 11 2 4 2 4" xfId="32830"/>
    <cellStyle name="Normal 11 2 4 3" xfId="7124"/>
    <cellStyle name="Normal 11 2 4 3 2" xfId="24171"/>
    <cellStyle name="Normal 11 2 4 3 2 2" xfId="53032"/>
    <cellStyle name="Normal 11 2 4 3 3" xfId="35985"/>
    <cellStyle name="Normal 11 2 4 4" xfId="13089"/>
    <cellStyle name="Normal 11 2 4 4 2" xfId="18399"/>
    <cellStyle name="Normal 11 2 4 4 2 2" xfId="47260"/>
    <cellStyle name="Normal 11 2 4 4 3" xfId="41950"/>
    <cellStyle name="Normal 11 2 4 5" xfId="15719"/>
    <cellStyle name="Normal 11 2 4 5 2" xfId="44580"/>
    <cellStyle name="Normal 11 2 4 6" xfId="29944"/>
    <cellStyle name="Normal 11 2 5" xfId="1288"/>
    <cellStyle name="Normal 11 2 5 2" xfId="4175"/>
    <cellStyle name="Normal 11 2 5 2 2" xfId="10216"/>
    <cellStyle name="Normal 11 2 5 2 2 2" xfId="27263"/>
    <cellStyle name="Normal 11 2 5 2 2 2 2" xfId="56124"/>
    <cellStyle name="Normal 11 2 5 2 2 3" xfId="39077"/>
    <cellStyle name="Normal 11 2 5 2 3" xfId="21285"/>
    <cellStyle name="Normal 11 2 5 2 3 2" xfId="50146"/>
    <cellStyle name="Normal 11 2 5 2 4" xfId="33036"/>
    <cellStyle name="Normal 11 2 5 3" xfId="7330"/>
    <cellStyle name="Normal 11 2 5 3 2" xfId="24377"/>
    <cellStyle name="Normal 11 2 5 3 2 2" xfId="53238"/>
    <cellStyle name="Normal 11 2 5 3 3" xfId="36191"/>
    <cellStyle name="Normal 11 2 5 4" xfId="14091"/>
    <cellStyle name="Normal 11 2 5 4 2" xfId="18605"/>
    <cellStyle name="Normal 11 2 5 4 2 2" xfId="47466"/>
    <cellStyle name="Normal 11 2 5 4 3" xfId="42952"/>
    <cellStyle name="Normal 11 2 5 5" xfId="15925"/>
    <cellStyle name="Normal 11 2 5 5 2" xfId="44786"/>
    <cellStyle name="Normal 11 2 5 6" xfId="30150"/>
    <cellStyle name="Normal 11 2 6" xfId="1494"/>
    <cellStyle name="Normal 11 2 6 2" xfId="4381"/>
    <cellStyle name="Normal 11 2 6 2 2" xfId="10422"/>
    <cellStyle name="Normal 11 2 6 2 2 2" xfId="27469"/>
    <cellStyle name="Normal 11 2 6 2 2 2 2" xfId="56330"/>
    <cellStyle name="Normal 11 2 6 2 2 3" xfId="39283"/>
    <cellStyle name="Normal 11 2 6 2 3" xfId="21491"/>
    <cellStyle name="Normal 11 2 6 2 3 2" xfId="50352"/>
    <cellStyle name="Normal 11 2 6 2 4" xfId="33242"/>
    <cellStyle name="Normal 11 2 6 3" xfId="7536"/>
    <cellStyle name="Normal 11 2 6 3 2" xfId="24583"/>
    <cellStyle name="Normal 11 2 6 3 2 2" xfId="53444"/>
    <cellStyle name="Normal 11 2 6 3 3" xfId="36397"/>
    <cellStyle name="Normal 11 2 6 4" xfId="14311"/>
    <cellStyle name="Normal 11 2 6 4 2" xfId="18811"/>
    <cellStyle name="Normal 11 2 6 4 2 2" xfId="47672"/>
    <cellStyle name="Normal 11 2 6 4 3" xfId="43172"/>
    <cellStyle name="Normal 11 2 6 5" xfId="16131"/>
    <cellStyle name="Normal 11 2 6 5 2" xfId="44992"/>
    <cellStyle name="Normal 11 2 6 6" xfId="30356"/>
    <cellStyle name="Normal 11 2 7" xfId="1700"/>
    <cellStyle name="Normal 11 2 7 2" xfId="4587"/>
    <cellStyle name="Normal 11 2 7 2 2" xfId="10628"/>
    <cellStyle name="Normal 11 2 7 2 2 2" xfId="27675"/>
    <cellStyle name="Normal 11 2 7 2 2 2 2" xfId="56536"/>
    <cellStyle name="Normal 11 2 7 2 2 3" xfId="39489"/>
    <cellStyle name="Normal 11 2 7 2 3" xfId="21697"/>
    <cellStyle name="Normal 11 2 7 2 3 2" xfId="50558"/>
    <cellStyle name="Normal 11 2 7 2 4" xfId="33448"/>
    <cellStyle name="Normal 11 2 7 3" xfId="7742"/>
    <cellStyle name="Normal 11 2 7 3 2" xfId="24789"/>
    <cellStyle name="Normal 11 2 7 3 2 2" xfId="53650"/>
    <cellStyle name="Normal 11 2 7 3 3" xfId="36603"/>
    <cellStyle name="Normal 11 2 7 4" xfId="12644"/>
    <cellStyle name="Normal 11 2 7 4 2" xfId="19017"/>
    <cellStyle name="Normal 11 2 7 4 2 2" xfId="47878"/>
    <cellStyle name="Normal 11 2 7 4 3" xfId="41505"/>
    <cellStyle name="Normal 11 2 7 5" xfId="16337"/>
    <cellStyle name="Normal 11 2 7 5 2" xfId="45198"/>
    <cellStyle name="Normal 11 2 7 6" xfId="30562"/>
    <cellStyle name="Normal 11 2 8" xfId="1906"/>
    <cellStyle name="Normal 11 2 8 2" xfId="4793"/>
    <cellStyle name="Normal 11 2 8 2 2" xfId="10834"/>
    <cellStyle name="Normal 11 2 8 2 2 2" xfId="27881"/>
    <cellStyle name="Normal 11 2 8 2 2 2 2" xfId="56742"/>
    <cellStyle name="Normal 11 2 8 2 2 3" xfId="39695"/>
    <cellStyle name="Normal 11 2 8 2 3" xfId="21903"/>
    <cellStyle name="Normal 11 2 8 2 3 2" xfId="50764"/>
    <cellStyle name="Normal 11 2 8 2 4" xfId="33654"/>
    <cellStyle name="Normal 11 2 8 3" xfId="7948"/>
    <cellStyle name="Normal 11 2 8 3 2" xfId="24995"/>
    <cellStyle name="Normal 11 2 8 3 2 2" xfId="53856"/>
    <cellStyle name="Normal 11 2 8 3 3" xfId="36809"/>
    <cellStyle name="Normal 11 2 8 4" xfId="12637"/>
    <cellStyle name="Normal 11 2 8 4 2" xfId="19223"/>
    <cellStyle name="Normal 11 2 8 4 2 2" xfId="48084"/>
    <cellStyle name="Normal 11 2 8 4 3" xfId="41498"/>
    <cellStyle name="Normal 11 2 8 5" xfId="16543"/>
    <cellStyle name="Normal 11 2 8 5 2" xfId="45404"/>
    <cellStyle name="Normal 11 2 8 6" xfId="30768"/>
    <cellStyle name="Normal 11 2 9" xfId="2112"/>
    <cellStyle name="Normal 11 2 9 2" xfId="4999"/>
    <cellStyle name="Normal 11 2 9 2 2" xfId="11040"/>
    <cellStyle name="Normal 11 2 9 2 2 2" xfId="28087"/>
    <cellStyle name="Normal 11 2 9 2 2 2 2" xfId="56948"/>
    <cellStyle name="Normal 11 2 9 2 2 3" xfId="39901"/>
    <cellStyle name="Normal 11 2 9 2 3" xfId="22109"/>
    <cellStyle name="Normal 11 2 9 2 3 2" xfId="50970"/>
    <cellStyle name="Normal 11 2 9 2 4" xfId="33860"/>
    <cellStyle name="Normal 11 2 9 3" xfId="8154"/>
    <cellStyle name="Normal 11 2 9 3 2" xfId="25201"/>
    <cellStyle name="Normal 11 2 9 3 2 2" xfId="54062"/>
    <cellStyle name="Normal 11 2 9 3 3" xfId="37015"/>
    <cellStyle name="Normal 11 2 9 4" xfId="13686"/>
    <cellStyle name="Normal 11 2 9 4 2" xfId="19429"/>
    <cellStyle name="Normal 11 2 9 4 2 2" xfId="48290"/>
    <cellStyle name="Normal 11 2 9 4 3" xfId="42547"/>
    <cellStyle name="Normal 11 2 9 5" xfId="16749"/>
    <cellStyle name="Normal 11 2 9 5 2" xfId="45610"/>
    <cellStyle name="Normal 11 2 9 6" xfId="30974"/>
    <cellStyle name="Normal 11 20" xfId="29017"/>
    <cellStyle name="Normal 11 3" xfId="258"/>
    <cellStyle name="Normal 11 3 2" xfId="670"/>
    <cellStyle name="Normal 11 3 2 2" xfId="3557"/>
    <cellStyle name="Normal 11 3 2 2 2" xfId="9598"/>
    <cellStyle name="Normal 11 3 2 2 2 2" xfId="26645"/>
    <cellStyle name="Normal 11 3 2 2 2 2 2" xfId="55506"/>
    <cellStyle name="Normal 11 3 2 2 2 3" xfId="38459"/>
    <cellStyle name="Normal 11 3 2 2 3" xfId="20667"/>
    <cellStyle name="Normal 11 3 2 2 3 2" xfId="49528"/>
    <cellStyle name="Normal 11 3 2 2 4" xfId="32418"/>
    <cellStyle name="Normal 11 3 2 3" xfId="6712"/>
    <cellStyle name="Normal 11 3 2 3 2" xfId="23759"/>
    <cellStyle name="Normal 11 3 2 3 2 2" xfId="52620"/>
    <cellStyle name="Normal 11 3 2 3 3" xfId="35573"/>
    <cellStyle name="Normal 11 3 2 4" xfId="12022"/>
    <cellStyle name="Normal 11 3 2 4 2" xfId="17987"/>
    <cellStyle name="Normal 11 3 2 4 2 2" xfId="46848"/>
    <cellStyle name="Normal 11 3 2 4 3" xfId="40883"/>
    <cellStyle name="Normal 11 3 2 5" xfId="15307"/>
    <cellStyle name="Normal 11 3 2 5 2" xfId="44168"/>
    <cellStyle name="Normal 11 3 2 6" xfId="29532"/>
    <cellStyle name="Normal 11 3 3" xfId="2215"/>
    <cellStyle name="Normal 11 3 3 2" xfId="5102"/>
    <cellStyle name="Normal 11 3 3 2 2" xfId="11143"/>
    <cellStyle name="Normal 11 3 3 2 2 2" xfId="28190"/>
    <cellStyle name="Normal 11 3 3 2 2 2 2" xfId="57051"/>
    <cellStyle name="Normal 11 3 3 2 2 3" xfId="40004"/>
    <cellStyle name="Normal 11 3 3 2 3" xfId="22212"/>
    <cellStyle name="Normal 11 3 3 2 3 2" xfId="51073"/>
    <cellStyle name="Normal 11 3 3 2 4" xfId="33963"/>
    <cellStyle name="Normal 11 3 3 3" xfId="8257"/>
    <cellStyle name="Normal 11 3 3 3 2" xfId="25304"/>
    <cellStyle name="Normal 11 3 3 3 2 2" xfId="54165"/>
    <cellStyle name="Normal 11 3 3 3 3" xfId="37118"/>
    <cellStyle name="Normal 11 3 3 4" xfId="14351"/>
    <cellStyle name="Normal 11 3 3 4 2" xfId="19532"/>
    <cellStyle name="Normal 11 3 3 4 2 2" xfId="48393"/>
    <cellStyle name="Normal 11 3 3 4 3" xfId="43212"/>
    <cellStyle name="Normal 11 3 3 5" xfId="16852"/>
    <cellStyle name="Normal 11 3 3 5 2" xfId="45713"/>
    <cellStyle name="Normal 11 3 3 6" xfId="31077"/>
    <cellStyle name="Normal 11 3 4" xfId="3145"/>
    <cellStyle name="Normal 11 3 4 2" xfId="9186"/>
    <cellStyle name="Normal 11 3 4 2 2" xfId="26233"/>
    <cellStyle name="Normal 11 3 4 2 2 2" xfId="55094"/>
    <cellStyle name="Normal 11 3 4 2 3" xfId="38047"/>
    <cellStyle name="Normal 11 3 4 3" xfId="20255"/>
    <cellStyle name="Normal 11 3 4 3 2" xfId="49116"/>
    <cellStyle name="Normal 11 3 4 4" xfId="32006"/>
    <cellStyle name="Normal 11 3 5" xfId="6300"/>
    <cellStyle name="Normal 11 3 5 2" xfId="23347"/>
    <cellStyle name="Normal 11 3 5 2 2" xfId="52208"/>
    <cellStyle name="Normal 11 3 5 3" xfId="35161"/>
    <cellStyle name="Normal 11 3 6" xfId="14409"/>
    <cellStyle name="Normal 11 3 6 2" xfId="17678"/>
    <cellStyle name="Normal 11 3 6 2 2" xfId="46539"/>
    <cellStyle name="Normal 11 3 6 3" xfId="43270"/>
    <cellStyle name="Normal 11 3 7" xfId="14895"/>
    <cellStyle name="Normal 11 3 7 2" xfId="43756"/>
    <cellStyle name="Normal 11 3 8" xfId="29120"/>
    <cellStyle name="Normal 11 4" xfId="464"/>
    <cellStyle name="Normal 11 4 2" xfId="3351"/>
    <cellStyle name="Normal 11 4 2 2" xfId="9392"/>
    <cellStyle name="Normal 11 4 2 2 2" xfId="26439"/>
    <cellStyle name="Normal 11 4 2 2 2 2" xfId="55300"/>
    <cellStyle name="Normal 11 4 2 2 3" xfId="38253"/>
    <cellStyle name="Normal 11 4 2 3" xfId="20461"/>
    <cellStyle name="Normal 11 4 2 3 2" xfId="49322"/>
    <cellStyle name="Normal 11 4 2 4" xfId="32212"/>
    <cellStyle name="Normal 11 4 3" xfId="6506"/>
    <cellStyle name="Normal 11 4 3 2" xfId="23553"/>
    <cellStyle name="Normal 11 4 3 2 2" xfId="52414"/>
    <cellStyle name="Normal 11 4 3 3" xfId="35367"/>
    <cellStyle name="Normal 11 4 4" xfId="14104"/>
    <cellStyle name="Normal 11 4 4 2" xfId="17781"/>
    <cellStyle name="Normal 11 4 4 2 2" xfId="46642"/>
    <cellStyle name="Normal 11 4 4 3" xfId="42965"/>
    <cellStyle name="Normal 11 4 5" xfId="15101"/>
    <cellStyle name="Normal 11 4 5 2" xfId="43962"/>
    <cellStyle name="Normal 11 4 6" xfId="29326"/>
    <cellStyle name="Normal 11 5" xfId="773"/>
    <cellStyle name="Normal 11 5 2" xfId="3660"/>
    <cellStyle name="Normal 11 5 2 2" xfId="9701"/>
    <cellStyle name="Normal 11 5 2 2 2" xfId="26748"/>
    <cellStyle name="Normal 11 5 2 2 2 2" xfId="55609"/>
    <cellStyle name="Normal 11 5 2 2 3" xfId="38562"/>
    <cellStyle name="Normal 11 5 2 3" xfId="20770"/>
    <cellStyle name="Normal 11 5 2 3 2" xfId="49631"/>
    <cellStyle name="Normal 11 5 2 4" xfId="32521"/>
    <cellStyle name="Normal 11 5 3" xfId="6815"/>
    <cellStyle name="Normal 11 5 3 2" xfId="23862"/>
    <cellStyle name="Normal 11 5 3 2 2" xfId="52723"/>
    <cellStyle name="Normal 11 5 3 3" xfId="35676"/>
    <cellStyle name="Normal 11 5 4" xfId="12922"/>
    <cellStyle name="Normal 11 5 4 2" xfId="18090"/>
    <cellStyle name="Normal 11 5 4 2 2" xfId="46951"/>
    <cellStyle name="Normal 11 5 4 3" xfId="41783"/>
    <cellStyle name="Normal 11 5 5" xfId="15410"/>
    <cellStyle name="Normal 11 5 5 2" xfId="44271"/>
    <cellStyle name="Normal 11 5 6" xfId="29635"/>
    <cellStyle name="Normal 11 6" xfId="979"/>
    <cellStyle name="Normal 11 6 2" xfId="3866"/>
    <cellStyle name="Normal 11 6 2 2" xfId="9907"/>
    <cellStyle name="Normal 11 6 2 2 2" xfId="26954"/>
    <cellStyle name="Normal 11 6 2 2 2 2" xfId="55815"/>
    <cellStyle name="Normal 11 6 2 2 3" xfId="38768"/>
    <cellStyle name="Normal 11 6 2 3" xfId="20976"/>
    <cellStyle name="Normal 11 6 2 3 2" xfId="49837"/>
    <cellStyle name="Normal 11 6 2 4" xfId="32727"/>
    <cellStyle name="Normal 11 6 3" xfId="7021"/>
    <cellStyle name="Normal 11 6 3 2" xfId="24068"/>
    <cellStyle name="Normal 11 6 3 2 2" xfId="52929"/>
    <cellStyle name="Normal 11 6 3 3" xfId="35882"/>
    <cellStyle name="Normal 11 6 4" xfId="13082"/>
    <cellStyle name="Normal 11 6 4 2" xfId="18296"/>
    <cellStyle name="Normal 11 6 4 2 2" xfId="47157"/>
    <cellStyle name="Normal 11 6 4 3" xfId="41943"/>
    <cellStyle name="Normal 11 6 5" xfId="15616"/>
    <cellStyle name="Normal 11 6 5 2" xfId="44477"/>
    <cellStyle name="Normal 11 6 6" xfId="29841"/>
    <cellStyle name="Normal 11 7" xfId="1185"/>
    <cellStyle name="Normal 11 7 2" xfId="4072"/>
    <cellStyle name="Normal 11 7 2 2" xfId="10113"/>
    <cellStyle name="Normal 11 7 2 2 2" xfId="27160"/>
    <cellStyle name="Normal 11 7 2 2 2 2" xfId="56021"/>
    <cellStyle name="Normal 11 7 2 2 3" xfId="38974"/>
    <cellStyle name="Normal 11 7 2 3" xfId="21182"/>
    <cellStyle name="Normal 11 7 2 3 2" xfId="50043"/>
    <cellStyle name="Normal 11 7 2 4" xfId="32933"/>
    <cellStyle name="Normal 11 7 3" xfId="7227"/>
    <cellStyle name="Normal 11 7 3 2" xfId="24274"/>
    <cellStyle name="Normal 11 7 3 2 2" xfId="53135"/>
    <cellStyle name="Normal 11 7 3 3" xfId="36088"/>
    <cellStyle name="Normal 11 7 4" xfId="13574"/>
    <cellStyle name="Normal 11 7 4 2" xfId="18502"/>
    <cellStyle name="Normal 11 7 4 2 2" xfId="47363"/>
    <cellStyle name="Normal 11 7 4 3" xfId="42435"/>
    <cellStyle name="Normal 11 7 5" xfId="15822"/>
    <cellStyle name="Normal 11 7 5 2" xfId="44683"/>
    <cellStyle name="Normal 11 7 6" xfId="30047"/>
    <cellStyle name="Normal 11 8" xfId="1391"/>
    <cellStyle name="Normal 11 8 2" xfId="4278"/>
    <cellStyle name="Normal 11 8 2 2" xfId="10319"/>
    <cellStyle name="Normal 11 8 2 2 2" xfId="27366"/>
    <cellStyle name="Normal 11 8 2 2 2 2" xfId="56227"/>
    <cellStyle name="Normal 11 8 2 2 3" xfId="39180"/>
    <cellStyle name="Normal 11 8 2 3" xfId="21388"/>
    <cellStyle name="Normal 11 8 2 3 2" xfId="50249"/>
    <cellStyle name="Normal 11 8 2 4" xfId="33139"/>
    <cellStyle name="Normal 11 8 3" xfId="7433"/>
    <cellStyle name="Normal 11 8 3 2" xfId="24480"/>
    <cellStyle name="Normal 11 8 3 2 2" xfId="53341"/>
    <cellStyle name="Normal 11 8 3 3" xfId="36294"/>
    <cellStyle name="Normal 11 8 4" xfId="12501"/>
    <cellStyle name="Normal 11 8 4 2" xfId="18708"/>
    <cellStyle name="Normal 11 8 4 2 2" xfId="47569"/>
    <cellStyle name="Normal 11 8 4 3" xfId="41362"/>
    <cellStyle name="Normal 11 8 5" xfId="16028"/>
    <cellStyle name="Normal 11 8 5 2" xfId="44889"/>
    <cellStyle name="Normal 11 8 6" xfId="30253"/>
    <cellStyle name="Normal 11 9" xfId="1597"/>
    <cellStyle name="Normal 11 9 2" xfId="4484"/>
    <cellStyle name="Normal 11 9 2 2" xfId="10525"/>
    <cellStyle name="Normal 11 9 2 2 2" xfId="27572"/>
    <cellStyle name="Normal 11 9 2 2 2 2" xfId="56433"/>
    <cellStyle name="Normal 11 9 2 2 3" xfId="39386"/>
    <cellStyle name="Normal 11 9 2 3" xfId="21594"/>
    <cellStyle name="Normal 11 9 2 3 2" xfId="50455"/>
    <cellStyle name="Normal 11 9 2 4" xfId="33345"/>
    <cellStyle name="Normal 11 9 3" xfId="7639"/>
    <cellStyle name="Normal 11 9 3 2" xfId="24686"/>
    <cellStyle name="Normal 11 9 3 2 2" xfId="53547"/>
    <cellStyle name="Normal 11 9 3 3" xfId="36500"/>
    <cellStyle name="Normal 11 9 4" xfId="12330"/>
    <cellStyle name="Normal 11 9 4 2" xfId="18914"/>
    <cellStyle name="Normal 11 9 4 2 2" xfId="47775"/>
    <cellStyle name="Normal 11 9 4 3" xfId="41191"/>
    <cellStyle name="Normal 11 9 5" xfId="16234"/>
    <cellStyle name="Normal 11 9 5 2" xfId="45095"/>
    <cellStyle name="Normal 11 9 6" xfId="30459"/>
    <cellStyle name="Normal 12" xfId="159"/>
    <cellStyle name="Normal 12 10" xfId="1807"/>
    <cellStyle name="Normal 12 10 2" xfId="4694"/>
    <cellStyle name="Normal 12 10 2 2" xfId="10735"/>
    <cellStyle name="Normal 12 10 2 2 2" xfId="27782"/>
    <cellStyle name="Normal 12 10 2 2 2 2" xfId="56643"/>
    <cellStyle name="Normal 12 10 2 2 3" xfId="39596"/>
    <cellStyle name="Normal 12 10 2 3" xfId="21804"/>
    <cellStyle name="Normal 12 10 2 3 2" xfId="50665"/>
    <cellStyle name="Normal 12 10 2 4" xfId="33555"/>
    <cellStyle name="Normal 12 10 3" xfId="7849"/>
    <cellStyle name="Normal 12 10 3 2" xfId="24896"/>
    <cellStyle name="Normal 12 10 3 2 2" xfId="53757"/>
    <cellStyle name="Normal 12 10 3 3" xfId="36710"/>
    <cellStyle name="Normal 12 10 4" xfId="14231"/>
    <cellStyle name="Normal 12 10 4 2" xfId="19124"/>
    <cellStyle name="Normal 12 10 4 2 2" xfId="47985"/>
    <cellStyle name="Normal 12 10 4 3" xfId="43092"/>
    <cellStyle name="Normal 12 10 5" xfId="16444"/>
    <cellStyle name="Normal 12 10 5 2" xfId="45305"/>
    <cellStyle name="Normal 12 10 6" xfId="30669"/>
    <cellStyle name="Normal 12 11" xfId="2013"/>
    <cellStyle name="Normal 12 11 2" xfId="4900"/>
    <cellStyle name="Normal 12 11 2 2" xfId="10941"/>
    <cellStyle name="Normal 12 11 2 2 2" xfId="27988"/>
    <cellStyle name="Normal 12 11 2 2 2 2" xfId="56849"/>
    <cellStyle name="Normal 12 11 2 2 3" xfId="39802"/>
    <cellStyle name="Normal 12 11 2 3" xfId="22010"/>
    <cellStyle name="Normal 12 11 2 3 2" xfId="50871"/>
    <cellStyle name="Normal 12 11 2 4" xfId="33761"/>
    <cellStyle name="Normal 12 11 3" xfId="8055"/>
    <cellStyle name="Normal 12 11 3 2" xfId="25102"/>
    <cellStyle name="Normal 12 11 3 2 2" xfId="53963"/>
    <cellStyle name="Normal 12 11 3 3" xfId="36916"/>
    <cellStyle name="Normal 12 11 4" xfId="13853"/>
    <cellStyle name="Normal 12 11 4 2" xfId="19330"/>
    <cellStyle name="Normal 12 11 4 2 2" xfId="48191"/>
    <cellStyle name="Normal 12 11 4 3" xfId="42714"/>
    <cellStyle name="Normal 12 11 5" xfId="16650"/>
    <cellStyle name="Normal 12 11 5 2" xfId="45511"/>
    <cellStyle name="Normal 12 11 6" xfId="30875"/>
    <cellStyle name="Normal 12 12" xfId="2425"/>
    <cellStyle name="Normal 12 12 2" xfId="5312"/>
    <cellStyle name="Normal 12 12 2 2" xfId="11353"/>
    <cellStyle name="Normal 12 12 2 2 2" xfId="28400"/>
    <cellStyle name="Normal 12 12 2 2 2 2" xfId="57261"/>
    <cellStyle name="Normal 12 12 2 2 3" xfId="40214"/>
    <cellStyle name="Normal 12 12 2 3" xfId="22422"/>
    <cellStyle name="Normal 12 12 2 3 2" xfId="51283"/>
    <cellStyle name="Normal 12 12 2 4" xfId="34173"/>
    <cellStyle name="Normal 12 12 3" xfId="8467"/>
    <cellStyle name="Normal 12 12 3 2" xfId="25514"/>
    <cellStyle name="Normal 12 12 3 2 2" xfId="54375"/>
    <cellStyle name="Normal 12 12 3 3" xfId="37328"/>
    <cellStyle name="Normal 12 12 4" xfId="14475"/>
    <cellStyle name="Normal 12 12 4 2" xfId="19742"/>
    <cellStyle name="Normal 12 12 4 2 2" xfId="48603"/>
    <cellStyle name="Normal 12 12 4 3" xfId="43336"/>
    <cellStyle name="Normal 12 12 5" xfId="17062"/>
    <cellStyle name="Normal 12 12 5 2" xfId="45923"/>
    <cellStyle name="Normal 12 12 6" xfId="31287"/>
    <cellStyle name="Normal 12 13" xfId="2634"/>
    <cellStyle name="Normal 12 13 2" xfId="5520"/>
    <cellStyle name="Normal 12 13 2 2" xfId="11561"/>
    <cellStyle name="Normal 12 13 2 2 2" xfId="28608"/>
    <cellStyle name="Normal 12 13 2 2 2 2" xfId="57469"/>
    <cellStyle name="Normal 12 13 2 2 3" xfId="40422"/>
    <cellStyle name="Normal 12 13 2 3" xfId="22630"/>
    <cellStyle name="Normal 12 13 2 3 2" xfId="51491"/>
    <cellStyle name="Normal 12 13 2 4" xfId="34381"/>
    <cellStyle name="Normal 12 13 3" xfId="8675"/>
    <cellStyle name="Normal 12 13 3 2" xfId="25722"/>
    <cellStyle name="Normal 12 13 3 2 2" xfId="54583"/>
    <cellStyle name="Normal 12 13 3 3" xfId="37536"/>
    <cellStyle name="Normal 12 13 4" xfId="13122"/>
    <cellStyle name="Normal 12 13 4 2" xfId="19950"/>
    <cellStyle name="Normal 12 13 4 2 2" xfId="48811"/>
    <cellStyle name="Normal 12 13 4 3" xfId="41983"/>
    <cellStyle name="Normal 12 13 5" xfId="17270"/>
    <cellStyle name="Normal 12 13 5 2" xfId="46131"/>
    <cellStyle name="Normal 12 13 6" xfId="31495"/>
    <cellStyle name="Normal 12 14" xfId="3046"/>
    <cellStyle name="Normal 12 14 2" xfId="9087"/>
    <cellStyle name="Normal 12 14 2 2" xfId="26134"/>
    <cellStyle name="Normal 12 14 2 2 2" xfId="54995"/>
    <cellStyle name="Normal 12 14 2 3" xfId="37948"/>
    <cellStyle name="Normal 12 14 3" xfId="12181"/>
    <cellStyle name="Normal 12 14 3 2" xfId="20156"/>
    <cellStyle name="Normal 12 14 3 2 2" xfId="49017"/>
    <cellStyle name="Normal 12 14 3 3" xfId="41042"/>
    <cellStyle name="Normal 12 14 4" xfId="14796"/>
    <cellStyle name="Normal 12 14 4 2" xfId="43657"/>
    <cellStyle name="Normal 12 14 5" xfId="31907"/>
    <cellStyle name="Normal 12 15" xfId="2840"/>
    <cellStyle name="Normal 12 15 2" xfId="8881"/>
    <cellStyle name="Normal 12 15 2 2" xfId="25928"/>
    <cellStyle name="Normal 12 15 2 2 2" xfId="54789"/>
    <cellStyle name="Normal 12 15 2 3" xfId="37742"/>
    <cellStyle name="Normal 12 15 3" xfId="17476"/>
    <cellStyle name="Normal 12 15 3 2" xfId="46337"/>
    <cellStyle name="Normal 12 15 4" xfId="31701"/>
    <cellStyle name="Normal 12 16" xfId="5726"/>
    <cellStyle name="Normal 12 16 2" xfId="11767"/>
    <cellStyle name="Normal 12 16 2 2" xfId="28814"/>
    <cellStyle name="Normal 12 16 2 2 2" xfId="57675"/>
    <cellStyle name="Normal 12 16 2 3" xfId="40628"/>
    <cellStyle name="Normal 12 16 3" xfId="22836"/>
    <cellStyle name="Normal 12 16 3 2" xfId="51697"/>
    <cellStyle name="Normal 12 16 4" xfId="34587"/>
    <cellStyle name="Normal 12 17" xfId="5943"/>
    <cellStyle name="Normal 12 17 2" xfId="23042"/>
    <cellStyle name="Normal 12 17 2 2" xfId="51903"/>
    <cellStyle name="Normal 12 17 3" xfId="34804"/>
    <cellStyle name="Normal 12 18" xfId="6201"/>
    <cellStyle name="Normal 12 18 2" xfId="23248"/>
    <cellStyle name="Normal 12 18 2 2" xfId="52109"/>
    <cellStyle name="Normal 12 18 3" xfId="35062"/>
    <cellStyle name="Normal 12 19" xfId="14590"/>
    <cellStyle name="Normal 12 19 2" xfId="43451"/>
    <cellStyle name="Normal 12 2" xfId="365"/>
    <cellStyle name="Normal 12 2 10" xfId="2528"/>
    <cellStyle name="Normal 12 2 10 2" xfId="5415"/>
    <cellStyle name="Normal 12 2 10 2 2" xfId="11456"/>
    <cellStyle name="Normal 12 2 10 2 2 2" xfId="28503"/>
    <cellStyle name="Normal 12 2 10 2 2 2 2" xfId="57364"/>
    <cellStyle name="Normal 12 2 10 2 2 3" xfId="40317"/>
    <cellStyle name="Normal 12 2 10 2 3" xfId="22525"/>
    <cellStyle name="Normal 12 2 10 2 3 2" xfId="51386"/>
    <cellStyle name="Normal 12 2 10 2 4" xfId="34276"/>
    <cellStyle name="Normal 12 2 10 3" xfId="8570"/>
    <cellStyle name="Normal 12 2 10 3 2" xfId="25617"/>
    <cellStyle name="Normal 12 2 10 3 2 2" xfId="54478"/>
    <cellStyle name="Normal 12 2 10 3 3" xfId="37431"/>
    <cellStyle name="Normal 12 2 10 4" xfId="13799"/>
    <cellStyle name="Normal 12 2 10 4 2" xfId="19845"/>
    <cellStyle name="Normal 12 2 10 4 2 2" xfId="48706"/>
    <cellStyle name="Normal 12 2 10 4 3" xfId="42660"/>
    <cellStyle name="Normal 12 2 10 5" xfId="17165"/>
    <cellStyle name="Normal 12 2 10 5 2" xfId="46026"/>
    <cellStyle name="Normal 12 2 10 6" xfId="31390"/>
    <cellStyle name="Normal 12 2 11" xfId="2737"/>
    <cellStyle name="Normal 12 2 11 2" xfId="5623"/>
    <cellStyle name="Normal 12 2 11 2 2" xfId="11664"/>
    <cellStyle name="Normal 12 2 11 2 2 2" xfId="28711"/>
    <cellStyle name="Normal 12 2 11 2 2 2 2" xfId="57572"/>
    <cellStyle name="Normal 12 2 11 2 2 3" xfId="40525"/>
    <cellStyle name="Normal 12 2 11 2 3" xfId="22733"/>
    <cellStyle name="Normal 12 2 11 2 3 2" xfId="51594"/>
    <cellStyle name="Normal 12 2 11 2 4" xfId="34484"/>
    <cellStyle name="Normal 12 2 11 3" xfId="8778"/>
    <cellStyle name="Normal 12 2 11 3 2" xfId="25825"/>
    <cellStyle name="Normal 12 2 11 3 2 2" xfId="54686"/>
    <cellStyle name="Normal 12 2 11 3 3" xfId="37639"/>
    <cellStyle name="Normal 12 2 11 4" xfId="13627"/>
    <cellStyle name="Normal 12 2 11 4 2" xfId="20053"/>
    <cellStyle name="Normal 12 2 11 4 2 2" xfId="48914"/>
    <cellStyle name="Normal 12 2 11 4 3" xfId="42488"/>
    <cellStyle name="Normal 12 2 11 5" xfId="17373"/>
    <cellStyle name="Normal 12 2 11 5 2" xfId="46234"/>
    <cellStyle name="Normal 12 2 11 6" xfId="31598"/>
    <cellStyle name="Normal 12 2 12" xfId="3252"/>
    <cellStyle name="Normal 12 2 12 2" xfId="9293"/>
    <cellStyle name="Normal 12 2 12 2 2" xfId="26340"/>
    <cellStyle name="Normal 12 2 12 2 2 2" xfId="55201"/>
    <cellStyle name="Normal 12 2 12 2 3" xfId="38154"/>
    <cellStyle name="Normal 12 2 12 3" xfId="12365"/>
    <cellStyle name="Normal 12 2 12 3 2" xfId="20362"/>
    <cellStyle name="Normal 12 2 12 3 2 2" xfId="49223"/>
    <cellStyle name="Normal 12 2 12 3 3" xfId="41226"/>
    <cellStyle name="Normal 12 2 12 4" xfId="15002"/>
    <cellStyle name="Normal 12 2 12 4 2" xfId="43863"/>
    <cellStyle name="Normal 12 2 12 5" xfId="32113"/>
    <cellStyle name="Normal 12 2 13" xfId="2943"/>
    <cellStyle name="Normal 12 2 13 2" xfId="8984"/>
    <cellStyle name="Normal 12 2 13 2 2" xfId="26031"/>
    <cellStyle name="Normal 12 2 13 2 2 2" xfId="54892"/>
    <cellStyle name="Normal 12 2 13 2 3" xfId="37845"/>
    <cellStyle name="Normal 12 2 13 3" xfId="17579"/>
    <cellStyle name="Normal 12 2 13 3 2" xfId="46440"/>
    <cellStyle name="Normal 12 2 13 4" xfId="31804"/>
    <cellStyle name="Normal 12 2 14" xfId="5829"/>
    <cellStyle name="Normal 12 2 14 2" xfId="11870"/>
    <cellStyle name="Normal 12 2 14 2 2" xfId="28917"/>
    <cellStyle name="Normal 12 2 14 2 2 2" xfId="57778"/>
    <cellStyle name="Normal 12 2 14 2 3" xfId="40731"/>
    <cellStyle name="Normal 12 2 14 3" xfId="22939"/>
    <cellStyle name="Normal 12 2 14 3 2" xfId="51800"/>
    <cellStyle name="Normal 12 2 14 4" xfId="34690"/>
    <cellStyle name="Normal 12 2 15" xfId="6046"/>
    <cellStyle name="Normal 12 2 15 2" xfId="23145"/>
    <cellStyle name="Normal 12 2 15 2 2" xfId="52006"/>
    <cellStyle name="Normal 12 2 15 3" xfId="34907"/>
    <cellStyle name="Normal 12 2 16" xfId="6407"/>
    <cellStyle name="Normal 12 2 16 2" xfId="23454"/>
    <cellStyle name="Normal 12 2 16 2 2" xfId="52315"/>
    <cellStyle name="Normal 12 2 16 3" xfId="35268"/>
    <cellStyle name="Normal 12 2 17" xfId="14693"/>
    <cellStyle name="Normal 12 2 17 2" xfId="43554"/>
    <cellStyle name="Normal 12 2 18" xfId="29227"/>
    <cellStyle name="Normal 12 2 2" xfId="571"/>
    <cellStyle name="Normal 12 2 2 2" xfId="2322"/>
    <cellStyle name="Normal 12 2 2 2 2" xfId="5209"/>
    <cellStyle name="Normal 12 2 2 2 2 2" xfId="11250"/>
    <cellStyle name="Normal 12 2 2 2 2 2 2" xfId="28297"/>
    <cellStyle name="Normal 12 2 2 2 2 2 2 2" xfId="57158"/>
    <cellStyle name="Normal 12 2 2 2 2 2 3" xfId="40111"/>
    <cellStyle name="Normal 12 2 2 2 2 3" xfId="22319"/>
    <cellStyle name="Normal 12 2 2 2 2 3 2" xfId="51180"/>
    <cellStyle name="Normal 12 2 2 2 2 4" xfId="34070"/>
    <cellStyle name="Normal 12 2 2 2 3" xfId="8364"/>
    <cellStyle name="Normal 12 2 2 2 3 2" xfId="25411"/>
    <cellStyle name="Normal 12 2 2 2 3 2 2" xfId="54272"/>
    <cellStyle name="Normal 12 2 2 2 3 3" xfId="37225"/>
    <cellStyle name="Normal 12 2 2 2 4" xfId="14390"/>
    <cellStyle name="Normal 12 2 2 2 4 2" xfId="19639"/>
    <cellStyle name="Normal 12 2 2 2 4 2 2" xfId="48500"/>
    <cellStyle name="Normal 12 2 2 2 4 3" xfId="43251"/>
    <cellStyle name="Normal 12 2 2 2 5" xfId="16959"/>
    <cellStyle name="Normal 12 2 2 2 5 2" xfId="45820"/>
    <cellStyle name="Normal 12 2 2 2 6" xfId="31184"/>
    <cellStyle name="Normal 12 2 2 3" xfId="3458"/>
    <cellStyle name="Normal 12 2 2 3 2" xfId="9499"/>
    <cellStyle name="Normal 12 2 2 3 2 2" xfId="26546"/>
    <cellStyle name="Normal 12 2 2 3 2 2 2" xfId="55407"/>
    <cellStyle name="Normal 12 2 2 3 2 3" xfId="38360"/>
    <cellStyle name="Normal 12 2 2 3 3" xfId="20568"/>
    <cellStyle name="Normal 12 2 2 3 3 2" xfId="49429"/>
    <cellStyle name="Normal 12 2 2 3 4" xfId="32319"/>
    <cellStyle name="Normal 12 2 2 4" xfId="6613"/>
    <cellStyle name="Normal 12 2 2 4 2" xfId="23660"/>
    <cellStyle name="Normal 12 2 2 4 2 2" xfId="52521"/>
    <cellStyle name="Normal 12 2 2 4 3" xfId="35474"/>
    <cellStyle name="Normal 12 2 2 5" xfId="13856"/>
    <cellStyle name="Normal 12 2 2 5 2" xfId="17888"/>
    <cellStyle name="Normal 12 2 2 5 2 2" xfId="46749"/>
    <cellStyle name="Normal 12 2 2 5 3" xfId="42717"/>
    <cellStyle name="Normal 12 2 2 6" xfId="15208"/>
    <cellStyle name="Normal 12 2 2 6 2" xfId="44069"/>
    <cellStyle name="Normal 12 2 2 7" xfId="29433"/>
    <cellStyle name="Normal 12 2 3" xfId="880"/>
    <cellStyle name="Normal 12 2 3 2" xfId="3767"/>
    <cellStyle name="Normal 12 2 3 2 2" xfId="9808"/>
    <cellStyle name="Normal 12 2 3 2 2 2" xfId="26855"/>
    <cellStyle name="Normal 12 2 3 2 2 2 2" xfId="55716"/>
    <cellStyle name="Normal 12 2 3 2 2 3" xfId="38669"/>
    <cellStyle name="Normal 12 2 3 2 3" xfId="20877"/>
    <cellStyle name="Normal 12 2 3 2 3 2" xfId="49738"/>
    <cellStyle name="Normal 12 2 3 2 4" xfId="32628"/>
    <cellStyle name="Normal 12 2 3 3" xfId="6922"/>
    <cellStyle name="Normal 12 2 3 3 2" xfId="23969"/>
    <cellStyle name="Normal 12 2 3 3 2 2" xfId="52830"/>
    <cellStyle name="Normal 12 2 3 3 3" xfId="35783"/>
    <cellStyle name="Normal 12 2 3 4" xfId="12429"/>
    <cellStyle name="Normal 12 2 3 4 2" xfId="18197"/>
    <cellStyle name="Normal 12 2 3 4 2 2" xfId="47058"/>
    <cellStyle name="Normal 12 2 3 4 3" xfId="41290"/>
    <cellStyle name="Normal 12 2 3 5" xfId="15517"/>
    <cellStyle name="Normal 12 2 3 5 2" xfId="44378"/>
    <cellStyle name="Normal 12 2 3 6" xfId="29742"/>
    <cellStyle name="Normal 12 2 4" xfId="1086"/>
    <cellStyle name="Normal 12 2 4 2" xfId="3973"/>
    <cellStyle name="Normal 12 2 4 2 2" xfId="10014"/>
    <cellStyle name="Normal 12 2 4 2 2 2" xfId="27061"/>
    <cellStyle name="Normal 12 2 4 2 2 2 2" xfId="55922"/>
    <cellStyle name="Normal 12 2 4 2 2 3" xfId="38875"/>
    <cellStyle name="Normal 12 2 4 2 3" xfId="21083"/>
    <cellStyle name="Normal 12 2 4 2 3 2" xfId="49944"/>
    <cellStyle name="Normal 12 2 4 2 4" xfId="32834"/>
    <cellStyle name="Normal 12 2 4 3" xfId="7128"/>
    <cellStyle name="Normal 12 2 4 3 2" xfId="24175"/>
    <cellStyle name="Normal 12 2 4 3 2 2" xfId="53036"/>
    <cellStyle name="Normal 12 2 4 3 3" xfId="35989"/>
    <cellStyle name="Normal 12 2 4 4" xfId="13192"/>
    <cellStyle name="Normal 12 2 4 4 2" xfId="18403"/>
    <cellStyle name="Normal 12 2 4 4 2 2" xfId="47264"/>
    <cellStyle name="Normal 12 2 4 4 3" xfId="42053"/>
    <cellStyle name="Normal 12 2 4 5" xfId="15723"/>
    <cellStyle name="Normal 12 2 4 5 2" xfId="44584"/>
    <cellStyle name="Normal 12 2 4 6" xfId="29948"/>
    <cellStyle name="Normal 12 2 5" xfId="1292"/>
    <cellStyle name="Normal 12 2 5 2" xfId="4179"/>
    <cellStyle name="Normal 12 2 5 2 2" xfId="10220"/>
    <cellStyle name="Normal 12 2 5 2 2 2" xfId="27267"/>
    <cellStyle name="Normal 12 2 5 2 2 2 2" xfId="56128"/>
    <cellStyle name="Normal 12 2 5 2 2 3" xfId="39081"/>
    <cellStyle name="Normal 12 2 5 2 3" xfId="21289"/>
    <cellStyle name="Normal 12 2 5 2 3 2" xfId="50150"/>
    <cellStyle name="Normal 12 2 5 2 4" xfId="33040"/>
    <cellStyle name="Normal 12 2 5 3" xfId="7334"/>
    <cellStyle name="Normal 12 2 5 3 2" xfId="24381"/>
    <cellStyle name="Normal 12 2 5 3 2 2" xfId="53242"/>
    <cellStyle name="Normal 12 2 5 3 3" xfId="36195"/>
    <cellStyle name="Normal 12 2 5 4" xfId="14418"/>
    <cellStyle name="Normal 12 2 5 4 2" xfId="18609"/>
    <cellStyle name="Normal 12 2 5 4 2 2" xfId="47470"/>
    <cellStyle name="Normal 12 2 5 4 3" xfId="43279"/>
    <cellStyle name="Normal 12 2 5 5" xfId="15929"/>
    <cellStyle name="Normal 12 2 5 5 2" xfId="44790"/>
    <cellStyle name="Normal 12 2 5 6" xfId="30154"/>
    <cellStyle name="Normal 12 2 6" xfId="1498"/>
    <cellStyle name="Normal 12 2 6 2" xfId="4385"/>
    <cellStyle name="Normal 12 2 6 2 2" xfId="10426"/>
    <cellStyle name="Normal 12 2 6 2 2 2" xfId="27473"/>
    <cellStyle name="Normal 12 2 6 2 2 2 2" xfId="56334"/>
    <cellStyle name="Normal 12 2 6 2 2 3" xfId="39287"/>
    <cellStyle name="Normal 12 2 6 2 3" xfId="21495"/>
    <cellStyle name="Normal 12 2 6 2 3 2" xfId="50356"/>
    <cellStyle name="Normal 12 2 6 2 4" xfId="33246"/>
    <cellStyle name="Normal 12 2 6 3" xfId="7540"/>
    <cellStyle name="Normal 12 2 6 3 2" xfId="24587"/>
    <cellStyle name="Normal 12 2 6 3 2 2" xfId="53448"/>
    <cellStyle name="Normal 12 2 6 3 3" xfId="36401"/>
    <cellStyle name="Normal 12 2 6 4" xfId="13845"/>
    <cellStyle name="Normal 12 2 6 4 2" xfId="18815"/>
    <cellStyle name="Normal 12 2 6 4 2 2" xfId="47676"/>
    <cellStyle name="Normal 12 2 6 4 3" xfId="42706"/>
    <cellStyle name="Normal 12 2 6 5" xfId="16135"/>
    <cellStyle name="Normal 12 2 6 5 2" xfId="44996"/>
    <cellStyle name="Normal 12 2 6 6" xfId="30360"/>
    <cellStyle name="Normal 12 2 7" xfId="1704"/>
    <cellStyle name="Normal 12 2 7 2" xfId="4591"/>
    <cellStyle name="Normal 12 2 7 2 2" xfId="10632"/>
    <cellStyle name="Normal 12 2 7 2 2 2" xfId="27679"/>
    <cellStyle name="Normal 12 2 7 2 2 2 2" xfId="56540"/>
    <cellStyle name="Normal 12 2 7 2 2 3" xfId="39493"/>
    <cellStyle name="Normal 12 2 7 2 3" xfId="21701"/>
    <cellStyle name="Normal 12 2 7 2 3 2" xfId="50562"/>
    <cellStyle name="Normal 12 2 7 2 4" xfId="33452"/>
    <cellStyle name="Normal 12 2 7 3" xfId="7746"/>
    <cellStyle name="Normal 12 2 7 3 2" xfId="24793"/>
    <cellStyle name="Normal 12 2 7 3 2 2" xfId="53654"/>
    <cellStyle name="Normal 12 2 7 3 3" xfId="36607"/>
    <cellStyle name="Normal 12 2 7 4" xfId="12854"/>
    <cellStyle name="Normal 12 2 7 4 2" xfId="19021"/>
    <cellStyle name="Normal 12 2 7 4 2 2" xfId="47882"/>
    <cellStyle name="Normal 12 2 7 4 3" xfId="41715"/>
    <cellStyle name="Normal 12 2 7 5" xfId="16341"/>
    <cellStyle name="Normal 12 2 7 5 2" xfId="45202"/>
    <cellStyle name="Normal 12 2 7 6" xfId="30566"/>
    <cellStyle name="Normal 12 2 8" xfId="1910"/>
    <cellStyle name="Normal 12 2 8 2" xfId="4797"/>
    <cellStyle name="Normal 12 2 8 2 2" xfId="10838"/>
    <cellStyle name="Normal 12 2 8 2 2 2" xfId="27885"/>
    <cellStyle name="Normal 12 2 8 2 2 2 2" xfId="56746"/>
    <cellStyle name="Normal 12 2 8 2 2 3" xfId="39699"/>
    <cellStyle name="Normal 12 2 8 2 3" xfId="21907"/>
    <cellStyle name="Normal 12 2 8 2 3 2" xfId="50768"/>
    <cellStyle name="Normal 12 2 8 2 4" xfId="33658"/>
    <cellStyle name="Normal 12 2 8 3" xfId="7952"/>
    <cellStyle name="Normal 12 2 8 3 2" xfId="24999"/>
    <cellStyle name="Normal 12 2 8 3 2 2" xfId="53860"/>
    <cellStyle name="Normal 12 2 8 3 3" xfId="36813"/>
    <cellStyle name="Normal 12 2 8 4" xfId="11950"/>
    <cellStyle name="Normal 12 2 8 4 2" xfId="19227"/>
    <cellStyle name="Normal 12 2 8 4 2 2" xfId="48088"/>
    <cellStyle name="Normal 12 2 8 4 3" xfId="40811"/>
    <cellStyle name="Normal 12 2 8 5" xfId="16547"/>
    <cellStyle name="Normal 12 2 8 5 2" xfId="45408"/>
    <cellStyle name="Normal 12 2 8 6" xfId="30772"/>
    <cellStyle name="Normal 12 2 9" xfId="2116"/>
    <cellStyle name="Normal 12 2 9 2" xfId="5003"/>
    <cellStyle name="Normal 12 2 9 2 2" xfId="11044"/>
    <cellStyle name="Normal 12 2 9 2 2 2" xfId="28091"/>
    <cellStyle name="Normal 12 2 9 2 2 2 2" xfId="56952"/>
    <cellStyle name="Normal 12 2 9 2 2 3" xfId="39905"/>
    <cellStyle name="Normal 12 2 9 2 3" xfId="22113"/>
    <cellStyle name="Normal 12 2 9 2 3 2" xfId="50974"/>
    <cellStyle name="Normal 12 2 9 2 4" xfId="33864"/>
    <cellStyle name="Normal 12 2 9 3" xfId="8158"/>
    <cellStyle name="Normal 12 2 9 3 2" xfId="25205"/>
    <cellStyle name="Normal 12 2 9 3 2 2" xfId="54066"/>
    <cellStyle name="Normal 12 2 9 3 3" xfId="37019"/>
    <cellStyle name="Normal 12 2 9 4" xfId="12362"/>
    <cellStyle name="Normal 12 2 9 4 2" xfId="19433"/>
    <cellStyle name="Normal 12 2 9 4 2 2" xfId="48294"/>
    <cellStyle name="Normal 12 2 9 4 3" xfId="41223"/>
    <cellStyle name="Normal 12 2 9 5" xfId="16753"/>
    <cellStyle name="Normal 12 2 9 5 2" xfId="45614"/>
    <cellStyle name="Normal 12 2 9 6" xfId="30978"/>
    <cellStyle name="Normal 12 20" xfId="29021"/>
    <cellStyle name="Normal 12 3" xfId="262"/>
    <cellStyle name="Normal 12 3 2" xfId="674"/>
    <cellStyle name="Normal 12 3 2 2" xfId="3561"/>
    <cellStyle name="Normal 12 3 2 2 2" xfId="9602"/>
    <cellStyle name="Normal 12 3 2 2 2 2" xfId="26649"/>
    <cellStyle name="Normal 12 3 2 2 2 2 2" xfId="55510"/>
    <cellStyle name="Normal 12 3 2 2 2 3" xfId="38463"/>
    <cellStyle name="Normal 12 3 2 2 3" xfId="20671"/>
    <cellStyle name="Normal 12 3 2 2 3 2" xfId="49532"/>
    <cellStyle name="Normal 12 3 2 2 4" xfId="32422"/>
    <cellStyle name="Normal 12 3 2 3" xfId="6716"/>
    <cellStyle name="Normal 12 3 2 3 2" xfId="23763"/>
    <cellStyle name="Normal 12 3 2 3 2 2" xfId="52624"/>
    <cellStyle name="Normal 12 3 2 3 3" xfId="35577"/>
    <cellStyle name="Normal 12 3 2 4" xfId="14011"/>
    <cellStyle name="Normal 12 3 2 4 2" xfId="17991"/>
    <cellStyle name="Normal 12 3 2 4 2 2" xfId="46852"/>
    <cellStyle name="Normal 12 3 2 4 3" xfId="42872"/>
    <cellStyle name="Normal 12 3 2 5" xfId="15311"/>
    <cellStyle name="Normal 12 3 2 5 2" xfId="44172"/>
    <cellStyle name="Normal 12 3 2 6" xfId="29536"/>
    <cellStyle name="Normal 12 3 3" xfId="2219"/>
    <cellStyle name="Normal 12 3 3 2" xfId="5106"/>
    <cellStyle name="Normal 12 3 3 2 2" xfId="11147"/>
    <cellStyle name="Normal 12 3 3 2 2 2" xfId="28194"/>
    <cellStyle name="Normal 12 3 3 2 2 2 2" xfId="57055"/>
    <cellStyle name="Normal 12 3 3 2 2 3" xfId="40008"/>
    <cellStyle name="Normal 12 3 3 2 3" xfId="22216"/>
    <cellStyle name="Normal 12 3 3 2 3 2" xfId="51077"/>
    <cellStyle name="Normal 12 3 3 2 4" xfId="33967"/>
    <cellStyle name="Normal 12 3 3 3" xfId="8261"/>
    <cellStyle name="Normal 12 3 3 3 2" xfId="25308"/>
    <cellStyle name="Normal 12 3 3 3 2 2" xfId="54169"/>
    <cellStyle name="Normal 12 3 3 3 3" xfId="37122"/>
    <cellStyle name="Normal 12 3 3 4" xfId="12689"/>
    <cellStyle name="Normal 12 3 3 4 2" xfId="19536"/>
    <cellStyle name="Normal 12 3 3 4 2 2" xfId="48397"/>
    <cellStyle name="Normal 12 3 3 4 3" xfId="41550"/>
    <cellStyle name="Normal 12 3 3 5" xfId="16856"/>
    <cellStyle name="Normal 12 3 3 5 2" xfId="45717"/>
    <cellStyle name="Normal 12 3 3 6" xfId="31081"/>
    <cellStyle name="Normal 12 3 4" xfId="3149"/>
    <cellStyle name="Normal 12 3 4 2" xfId="9190"/>
    <cellStyle name="Normal 12 3 4 2 2" xfId="26237"/>
    <cellStyle name="Normal 12 3 4 2 2 2" xfId="55098"/>
    <cellStyle name="Normal 12 3 4 2 3" xfId="38051"/>
    <cellStyle name="Normal 12 3 4 3" xfId="20259"/>
    <cellStyle name="Normal 12 3 4 3 2" xfId="49120"/>
    <cellStyle name="Normal 12 3 4 4" xfId="32010"/>
    <cellStyle name="Normal 12 3 5" xfId="6304"/>
    <cellStyle name="Normal 12 3 5 2" xfId="23351"/>
    <cellStyle name="Normal 12 3 5 2 2" xfId="52212"/>
    <cellStyle name="Normal 12 3 5 3" xfId="35165"/>
    <cellStyle name="Normal 12 3 6" xfId="13744"/>
    <cellStyle name="Normal 12 3 6 2" xfId="17682"/>
    <cellStyle name="Normal 12 3 6 2 2" xfId="46543"/>
    <cellStyle name="Normal 12 3 6 3" xfId="42605"/>
    <cellStyle name="Normal 12 3 7" xfId="14899"/>
    <cellStyle name="Normal 12 3 7 2" xfId="43760"/>
    <cellStyle name="Normal 12 3 8" xfId="29124"/>
    <cellStyle name="Normal 12 4" xfId="468"/>
    <cellStyle name="Normal 12 4 2" xfId="3355"/>
    <cellStyle name="Normal 12 4 2 2" xfId="9396"/>
    <cellStyle name="Normal 12 4 2 2 2" xfId="26443"/>
    <cellStyle name="Normal 12 4 2 2 2 2" xfId="55304"/>
    <cellStyle name="Normal 12 4 2 2 3" xfId="38257"/>
    <cellStyle name="Normal 12 4 2 3" xfId="20465"/>
    <cellStyle name="Normal 12 4 2 3 2" xfId="49326"/>
    <cellStyle name="Normal 12 4 2 4" xfId="32216"/>
    <cellStyle name="Normal 12 4 3" xfId="6510"/>
    <cellStyle name="Normal 12 4 3 2" xfId="23557"/>
    <cellStyle name="Normal 12 4 3 2 2" xfId="52418"/>
    <cellStyle name="Normal 12 4 3 3" xfId="35371"/>
    <cellStyle name="Normal 12 4 4" xfId="14064"/>
    <cellStyle name="Normal 12 4 4 2" xfId="17785"/>
    <cellStyle name="Normal 12 4 4 2 2" xfId="46646"/>
    <cellStyle name="Normal 12 4 4 3" xfId="42925"/>
    <cellStyle name="Normal 12 4 5" xfId="15105"/>
    <cellStyle name="Normal 12 4 5 2" xfId="43966"/>
    <cellStyle name="Normal 12 4 6" xfId="29330"/>
    <cellStyle name="Normal 12 5" xfId="777"/>
    <cellStyle name="Normal 12 5 2" xfId="3664"/>
    <cellStyle name="Normal 12 5 2 2" xfId="9705"/>
    <cellStyle name="Normal 12 5 2 2 2" xfId="26752"/>
    <cellStyle name="Normal 12 5 2 2 2 2" xfId="55613"/>
    <cellStyle name="Normal 12 5 2 2 3" xfId="38566"/>
    <cellStyle name="Normal 12 5 2 3" xfId="20774"/>
    <cellStyle name="Normal 12 5 2 3 2" xfId="49635"/>
    <cellStyle name="Normal 12 5 2 4" xfId="32525"/>
    <cellStyle name="Normal 12 5 3" xfId="6819"/>
    <cellStyle name="Normal 12 5 3 2" xfId="23866"/>
    <cellStyle name="Normal 12 5 3 2 2" xfId="52727"/>
    <cellStyle name="Normal 12 5 3 3" xfId="35680"/>
    <cellStyle name="Normal 12 5 4" xfId="12357"/>
    <cellStyle name="Normal 12 5 4 2" xfId="18094"/>
    <cellStyle name="Normal 12 5 4 2 2" xfId="46955"/>
    <cellStyle name="Normal 12 5 4 3" xfId="41218"/>
    <cellStyle name="Normal 12 5 5" xfId="15414"/>
    <cellStyle name="Normal 12 5 5 2" xfId="44275"/>
    <cellStyle name="Normal 12 5 6" xfId="29639"/>
    <cellStyle name="Normal 12 6" xfId="983"/>
    <cellStyle name="Normal 12 6 2" xfId="3870"/>
    <cellStyle name="Normal 12 6 2 2" xfId="9911"/>
    <cellStyle name="Normal 12 6 2 2 2" xfId="26958"/>
    <cellStyle name="Normal 12 6 2 2 2 2" xfId="55819"/>
    <cellStyle name="Normal 12 6 2 2 3" xfId="38772"/>
    <cellStyle name="Normal 12 6 2 3" xfId="20980"/>
    <cellStyle name="Normal 12 6 2 3 2" xfId="49841"/>
    <cellStyle name="Normal 12 6 2 4" xfId="32731"/>
    <cellStyle name="Normal 12 6 3" xfId="7025"/>
    <cellStyle name="Normal 12 6 3 2" xfId="24072"/>
    <cellStyle name="Normal 12 6 3 2 2" xfId="52933"/>
    <cellStyle name="Normal 12 6 3 3" xfId="35886"/>
    <cellStyle name="Normal 12 6 4" xfId="14336"/>
    <cellStyle name="Normal 12 6 4 2" xfId="18300"/>
    <cellStyle name="Normal 12 6 4 2 2" xfId="47161"/>
    <cellStyle name="Normal 12 6 4 3" xfId="43197"/>
    <cellStyle name="Normal 12 6 5" xfId="15620"/>
    <cellStyle name="Normal 12 6 5 2" xfId="44481"/>
    <cellStyle name="Normal 12 6 6" xfId="29845"/>
    <cellStyle name="Normal 12 7" xfId="1189"/>
    <cellStyle name="Normal 12 7 2" xfId="4076"/>
    <cellStyle name="Normal 12 7 2 2" xfId="10117"/>
    <cellStyle name="Normal 12 7 2 2 2" xfId="27164"/>
    <cellStyle name="Normal 12 7 2 2 2 2" xfId="56025"/>
    <cellStyle name="Normal 12 7 2 2 3" xfId="38978"/>
    <cellStyle name="Normal 12 7 2 3" xfId="21186"/>
    <cellStyle name="Normal 12 7 2 3 2" xfId="50047"/>
    <cellStyle name="Normal 12 7 2 4" xfId="32937"/>
    <cellStyle name="Normal 12 7 3" xfId="7231"/>
    <cellStyle name="Normal 12 7 3 2" xfId="24278"/>
    <cellStyle name="Normal 12 7 3 2 2" xfId="53139"/>
    <cellStyle name="Normal 12 7 3 3" xfId="36092"/>
    <cellStyle name="Normal 12 7 4" xfId="12417"/>
    <cellStyle name="Normal 12 7 4 2" xfId="18506"/>
    <cellStyle name="Normal 12 7 4 2 2" xfId="47367"/>
    <cellStyle name="Normal 12 7 4 3" xfId="41278"/>
    <cellStyle name="Normal 12 7 5" xfId="15826"/>
    <cellStyle name="Normal 12 7 5 2" xfId="44687"/>
    <cellStyle name="Normal 12 7 6" xfId="30051"/>
    <cellStyle name="Normal 12 8" xfId="1395"/>
    <cellStyle name="Normal 12 8 2" xfId="4282"/>
    <cellStyle name="Normal 12 8 2 2" xfId="10323"/>
    <cellStyle name="Normal 12 8 2 2 2" xfId="27370"/>
    <cellStyle name="Normal 12 8 2 2 2 2" xfId="56231"/>
    <cellStyle name="Normal 12 8 2 2 3" xfId="39184"/>
    <cellStyle name="Normal 12 8 2 3" xfId="21392"/>
    <cellStyle name="Normal 12 8 2 3 2" xfId="50253"/>
    <cellStyle name="Normal 12 8 2 4" xfId="33143"/>
    <cellStyle name="Normal 12 8 3" xfId="7437"/>
    <cellStyle name="Normal 12 8 3 2" xfId="24484"/>
    <cellStyle name="Normal 12 8 3 2 2" xfId="53345"/>
    <cellStyle name="Normal 12 8 3 3" xfId="36298"/>
    <cellStyle name="Normal 12 8 4" xfId="12378"/>
    <cellStyle name="Normal 12 8 4 2" xfId="18712"/>
    <cellStyle name="Normal 12 8 4 2 2" xfId="47573"/>
    <cellStyle name="Normal 12 8 4 3" xfId="41239"/>
    <cellStyle name="Normal 12 8 5" xfId="16032"/>
    <cellStyle name="Normal 12 8 5 2" xfId="44893"/>
    <cellStyle name="Normal 12 8 6" xfId="30257"/>
    <cellStyle name="Normal 12 9" xfId="1601"/>
    <cellStyle name="Normal 12 9 2" xfId="4488"/>
    <cellStyle name="Normal 12 9 2 2" xfId="10529"/>
    <cellStyle name="Normal 12 9 2 2 2" xfId="27576"/>
    <cellStyle name="Normal 12 9 2 2 2 2" xfId="56437"/>
    <cellStyle name="Normal 12 9 2 2 3" xfId="39390"/>
    <cellStyle name="Normal 12 9 2 3" xfId="21598"/>
    <cellStyle name="Normal 12 9 2 3 2" xfId="50459"/>
    <cellStyle name="Normal 12 9 2 4" xfId="33349"/>
    <cellStyle name="Normal 12 9 3" xfId="7643"/>
    <cellStyle name="Normal 12 9 3 2" xfId="24690"/>
    <cellStyle name="Normal 12 9 3 2 2" xfId="53551"/>
    <cellStyle name="Normal 12 9 3 3" xfId="36504"/>
    <cellStyle name="Normal 12 9 4" xfId="13754"/>
    <cellStyle name="Normal 12 9 4 2" xfId="18918"/>
    <cellStyle name="Normal 12 9 4 2 2" xfId="47779"/>
    <cellStyle name="Normal 12 9 4 3" xfId="42615"/>
    <cellStyle name="Normal 12 9 5" xfId="16238"/>
    <cellStyle name="Normal 12 9 5 2" xfId="45099"/>
    <cellStyle name="Normal 12 9 6" xfId="30463"/>
    <cellStyle name="Normal 13" xfId="2532"/>
    <cellStyle name="Normal 13 2" xfId="5419"/>
    <cellStyle name="Normal 13 2 2" xfId="11460"/>
    <cellStyle name="Normal 13 2 2 2" xfId="28507"/>
    <cellStyle name="Normal 13 2 2 2 2" xfId="57368"/>
    <cellStyle name="Normal 13 2 2 3" xfId="40321"/>
    <cellStyle name="Normal 13 2 3" xfId="22529"/>
    <cellStyle name="Normal 13 2 3 2" xfId="51390"/>
    <cellStyle name="Normal 13 2 4" xfId="34280"/>
    <cellStyle name="Normal 13 3" xfId="8574"/>
    <cellStyle name="Normal 13 3 2" xfId="25621"/>
    <cellStyle name="Normal 13 3 2 2" xfId="54482"/>
    <cellStyle name="Normal 13 3 3" xfId="37435"/>
    <cellStyle name="Normal 13 4" xfId="13551"/>
    <cellStyle name="Normal 13 4 2" xfId="19849"/>
    <cellStyle name="Normal 13 4 2 2" xfId="48710"/>
    <cellStyle name="Normal 13 4 3" xfId="42412"/>
    <cellStyle name="Normal 13 5" xfId="17169"/>
    <cellStyle name="Normal 13 5 2" xfId="46030"/>
    <cellStyle name="Normal 13 6" xfId="31394"/>
    <cellStyle name="Normal 14" xfId="57783"/>
    <cellStyle name="Normal 2" xfId="29"/>
    <cellStyle name="Normal 2 2" xfId="30"/>
    <cellStyle name="Normal 3" xfId="31"/>
    <cellStyle name="Normal 4" xfId="32"/>
    <cellStyle name="Normal 4 10" xfId="373"/>
    <cellStyle name="Normal 4 10 2" xfId="3260"/>
    <cellStyle name="Normal 4 10 2 2" xfId="9301"/>
    <cellStyle name="Normal 4 10 2 2 2" xfId="26348"/>
    <cellStyle name="Normal 4 10 2 2 2 2" xfId="55209"/>
    <cellStyle name="Normal 4 10 2 2 3" xfId="38162"/>
    <cellStyle name="Normal 4 10 2 3" xfId="20370"/>
    <cellStyle name="Normal 4 10 2 3 2" xfId="49231"/>
    <cellStyle name="Normal 4 10 2 4" xfId="32121"/>
    <cellStyle name="Normal 4 10 3" xfId="6415"/>
    <cellStyle name="Normal 4 10 3 2" xfId="23462"/>
    <cellStyle name="Normal 4 10 3 2 2" xfId="52323"/>
    <cellStyle name="Normal 4 10 3 3" xfId="35276"/>
    <cellStyle name="Normal 4 10 4" xfId="12954"/>
    <cellStyle name="Normal 4 10 4 2" xfId="17690"/>
    <cellStyle name="Normal 4 10 4 2 2" xfId="46551"/>
    <cellStyle name="Normal 4 10 4 3" xfId="41815"/>
    <cellStyle name="Normal 4 10 5" xfId="15010"/>
    <cellStyle name="Normal 4 10 5 2" xfId="43871"/>
    <cellStyle name="Normal 4 10 6" xfId="29235"/>
    <cellStyle name="Normal 4 11" xfId="682"/>
    <cellStyle name="Normal 4 11 2" xfId="3569"/>
    <cellStyle name="Normal 4 11 2 2" xfId="9610"/>
    <cellStyle name="Normal 4 11 2 2 2" xfId="26657"/>
    <cellStyle name="Normal 4 11 2 2 2 2" xfId="55518"/>
    <cellStyle name="Normal 4 11 2 2 3" xfId="38471"/>
    <cellStyle name="Normal 4 11 2 3" xfId="20679"/>
    <cellStyle name="Normal 4 11 2 3 2" xfId="49540"/>
    <cellStyle name="Normal 4 11 2 4" xfId="32430"/>
    <cellStyle name="Normal 4 11 3" xfId="6724"/>
    <cellStyle name="Normal 4 11 3 2" xfId="23771"/>
    <cellStyle name="Normal 4 11 3 2 2" xfId="52632"/>
    <cellStyle name="Normal 4 11 3 3" xfId="35585"/>
    <cellStyle name="Normal 4 11 4" xfId="12156"/>
    <cellStyle name="Normal 4 11 4 2" xfId="17999"/>
    <cellStyle name="Normal 4 11 4 2 2" xfId="46860"/>
    <cellStyle name="Normal 4 11 4 3" xfId="41017"/>
    <cellStyle name="Normal 4 11 5" xfId="15319"/>
    <cellStyle name="Normal 4 11 5 2" xfId="44180"/>
    <cellStyle name="Normal 4 11 6" xfId="29544"/>
    <cellStyle name="Normal 4 12" xfId="888"/>
    <cellStyle name="Normal 4 12 2" xfId="3775"/>
    <cellStyle name="Normal 4 12 2 2" xfId="9816"/>
    <cellStyle name="Normal 4 12 2 2 2" xfId="26863"/>
    <cellStyle name="Normal 4 12 2 2 2 2" xfId="55724"/>
    <cellStyle name="Normal 4 12 2 2 3" xfId="38677"/>
    <cellStyle name="Normal 4 12 2 3" xfId="20885"/>
    <cellStyle name="Normal 4 12 2 3 2" xfId="49746"/>
    <cellStyle name="Normal 4 12 2 4" xfId="32636"/>
    <cellStyle name="Normal 4 12 3" xfId="6930"/>
    <cellStyle name="Normal 4 12 3 2" xfId="23977"/>
    <cellStyle name="Normal 4 12 3 2 2" xfId="52838"/>
    <cellStyle name="Normal 4 12 3 3" xfId="35791"/>
    <cellStyle name="Normal 4 12 4" xfId="12261"/>
    <cellStyle name="Normal 4 12 4 2" xfId="18205"/>
    <cellStyle name="Normal 4 12 4 2 2" xfId="47066"/>
    <cellStyle name="Normal 4 12 4 3" xfId="41122"/>
    <cellStyle name="Normal 4 12 5" xfId="15525"/>
    <cellStyle name="Normal 4 12 5 2" xfId="44386"/>
    <cellStyle name="Normal 4 12 6" xfId="29750"/>
    <cellStyle name="Normal 4 13" xfId="1094"/>
    <cellStyle name="Normal 4 13 2" xfId="3981"/>
    <cellStyle name="Normal 4 13 2 2" xfId="10022"/>
    <cellStyle name="Normal 4 13 2 2 2" xfId="27069"/>
    <cellStyle name="Normal 4 13 2 2 2 2" xfId="55930"/>
    <cellStyle name="Normal 4 13 2 2 3" xfId="38883"/>
    <cellStyle name="Normal 4 13 2 3" xfId="21091"/>
    <cellStyle name="Normal 4 13 2 3 2" xfId="49952"/>
    <cellStyle name="Normal 4 13 2 4" xfId="32842"/>
    <cellStyle name="Normal 4 13 3" xfId="7136"/>
    <cellStyle name="Normal 4 13 3 2" xfId="24183"/>
    <cellStyle name="Normal 4 13 3 2 2" xfId="53044"/>
    <cellStyle name="Normal 4 13 3 3" xfId="35997"/>
    <cellStyle name="Normal 4 13 4" xfId="13956"/>
    <cellStyle name="Normal 4 13 4 2" xfId="18411"/>
    <cellStyle name="Normal 4 13 4 2 2" xfId="47272"/>
    <cellStyle name="Normal 4 13 4 3" xfId="42817"/>
    <cellStyle name="Normal 4 13 5" xfId="15731"/>
    <cellStyle name="Normal 4 13 5 2" xfId="44592"/>
    <cellStyle name="Normal 4 13 6" xfId="29956"/>
    <cellStyle name="Normal 4 14" xfId="1300"/>
    <cellStyle name="Normal 4 14 2" xfId="4187"/>
    <cellStyle name="Normal 4 14 2 2" xfId="10228"/>
    <cellStyle name="Normal 4 14 2 2 2" xfId="27275"/>
    <cellStyle name="Normal 4 14 2 2 2 2" xfId="56136"/>
    <cellStyle name="Normal 4 14 2 2 3" xfId="39089"/>
    <cellStyle name="Normal 4 14 2 3" xfId="21297"/>
    <cellStyle name="Normal 4 14 2 3 2" xfId="50158"/>
    <cellStyle name="Normal 4 14 2 4" xfId="33048"/>
    <cellStyle name="Normal 4 14 3" xfId="7342"/>
    <cellStyle name="Normal 4 14 3 2" xfId="24389"/>
    <cellStyle name="Normal 4 14 3 2 2" xfId="53250"/>
    <cellStyle name="Normal 4 14 3 3" xfId="36203"/>
    <cellStyle name="Normal 4 14 4" xfId="12719"/>
    <cellStyle name="Normal 4 14 4 2" xfId="18617"/>
    <cellStyle name="Normal 4 14 4 2 2" xfId="47478"/>
    <cellStyle name="Normal 4 14 4 3" xfId="41580"/>
    <cellStyle name="Normal 4 14 5" xfId="15937"/>
    <cellStyle name="Normal 4 14 5 2" xfId="44798"/>
    <cellStyle name="Normal 4 14 6" xfId="30162"/>
    <cellStyle name="Normal 4 15" xfId="1506"/>
    <cellStyle name="Normal 4 15 2" xfId="4393"/>
    <cellStyle name="Normal 4 15 2 2" xfId="10434"/>
    <cellStyle name="Normal 4 15 2 2 2" xfId="27481"/>
    <cellStyle name="Normal 4 15 2 2 2 2" xfId="56342"/>
    <cellStyle name="Normal 4 15 2 2 3" xfId="39295"/>
    <cellStyle name="Normal 4 15 2 3" xfId="21503"/>
    <cellStyle name="Normal 4 15 2 3 2" xfId="50364"/>
    <cellStyle name="Normal 4 15 2 4" xfId="33254"/>
    <cellStyle name="Normal 4 15 3" xfId="7548"/>
    <cellStyle name="Normal 4 15 3 2" xfId="24595"/>
    <cellStyle name="Normal 4 15 3 2 2" xfId="53456"/>
    <cellStyle name="Normal 4 15 3 3" xfId="36409"/>
    <cellStyle name="Normal 4 15 4" xfId="12448"/>
    <cellStyle name="Normal 4 15 4 2" xfId="18823"/>
    <cellStyle name="Normal 4 15 4 2 2" xfId="47684"/>
    <cellStyle name="Normal 4 15 4 3" xfId="41309"/>
    <cellStyle name="Normal 4 15 5" xfId="16143"/>
    <cellStyle name="Normal 4 15 5 2" xfId="45004"/>
    <cellStyle name="Normal 4 15 6" xfId="30368"/>
    <cellStyle name="Normal 4 16" xfId="1712"/>
    <cellStyle name="Normal 4 16 2" xfId="4599"/>
    <cellStyle name="Normal 4 16 2 2" xfId="10640"/>
    <cellStyle name="Normal 4 16 2 2 2" xfId="27687"/>
    <cellStyle name="Normal 4 16 2 2 2 2" xfId="56548"/>
    <cellStyle name="Normal 4 16 2 2 3" xfId="39501"/>
    <cellStyle name="Normal 4 16 2 3" xfId="21709"/>
    <cellStyle name="Normal 4 16 2 3 2" xfId="50570"/>
    <cellStyle name="Normal 4 16 2 4" xfId="33460"/>
    <cellStyle name="Normal 4 16 3" xfId="7754"/>
    <cellStyle name="Normal 4 16 3 2" xfId="24801"/>
    <cellStyle name="Normal 4 16 3 2 2" xfId="53662"/>
    <cellStyle name="Normal 4 16 3 3" xfId="36615"/>
    <cellStyle name="Normal 4 16 4" xfId="13145"/>
    <cellStyle name="Normal 4 16 4 2" xfId="19029"/>
    <cellStyle name="Normal 4 16 4 2 2" xfId="47890"/>
    <cellStyle name="Normal 4 16 4 3" xfId="42006"/>
    <cellStyle name="Normal 4 16 5" xfId="16349"/>
    <cellStyle name="Normal 4 16 5 2" xfId="45210"/>
    <cellStyle name="Normal 4 16 6" xfId="30574"/>
    <cellStyle name="Normal 4 17" xfId="1918"/>
    <cellStyle name="Normal 4 17 2" xfId="4805"/>
    <cellStyle name="Normal 4 17 2 2" xfId="10846"/>
    <cellStyle name="Normal 4 17 2 2 2" xfId="27893"/>
    <cellStyle name="Normal 4 17 2 2 2 2" xfId="56754"/>
    <cellStyle name="Normal 4 17 2 2 3" xfId="39707"/>
    <cellStyle name="Normal 4 17 2 3" xfId="21915"/>
    <cellStyle name="Normal 4 17 2 3 2" xfId="50776"/>
    <cellStyle name="Normal 4 17 2 4" xfId="33666"/>
    <cellStyle name="Normal 4 17 3" xfId="7960"/>
    <cellStyle name="Normal 4 17 3 2" xfId="25007"/>
    <cellStyle name="Normal 4 17 3 2 2" xfId="53868"/>
    <cellStyle name="Normal 4 17 3 3" xfId="36821"/>
    <cellStyle name="Normal 4 17 4" xfId="13238"/>
    <cellStyle name="Normal 4 17 4 2" xfId="19235"/>
    <cellStyle name="Normal 4 17 4 2 2" xfId="48096"/>
    <cellStyle name="Normal 4 17 4 3" xfId="42099"/>
    <cellStyle name="Normal 4 17 5" xfId="16555"/>
    <cellStyle name="Normal 4 17 5 2" xfId="45416"/>
    <cellStyle name="Normal 4 17 6" xfId="30780"/>
    <cellStyle name="Normal 4 18" xfId="2330"/>
    <cellStyle name="Normal 4 18 2" xfId="5217"/>
    <cellStyle name="Normal 4 18 2 2" xfId="11258"/>
    <cellStyle name="Normal 4 18 2 2 2" xfId="28305"/>
    <cellStyle name="Normal 4 18 2 2 2 2" xfId="57166"/>
    <cellStyle name="Normal 4 18 2 2 3" xfId="40119"/>
    <cellStyle name="Normal 4 18 2 3" xfId="22327"/>
    <cellStyle name="Normal 4 18 2 3 2" xfId="51188"/>
    <cellStyle name="Normal 4 18 2 4" xfId="34078"/>
    <cellStyle name="Normal 4 18 3" xfId="8372"/>
    <cellStyle name="Normal 4 18 3 2" xfId="25419"/>
    <cellStyle name="Normal 4 18 3 2 2" xfId="54280"/>
    <cellStyle name="Normal 4 18 3 3" xfId="37233"/>
    <cellStyle name="Normal 4 18 4" xfId="13926"/>
    <cellStyle name="Normal 4 18 4 2" xfId="19647"/>
    <cellStyle name="Normal 4 18 4 2 2" xfId="48508"/>
    <cellStyle name="Normal 4 18 4 3" xfId="42787"/>
    <cellStyle name="Normal 4 18 5" xfId="16967"/>
    <cellStyle name="Normal 4 18 5 2" xfId="45828"/>
    <cellStyle name="Normal 4 18 6" xfId="31192"/>
    <cellStyle name="Normal 4 19" xfId="2539"/>
    <cellStyle name="Normal 4 19 2" xfId="5425"/>
    <cellStyle name="Normal 4 19 2 2" xfId="11466"/>
    <cellStyle name="Normal 4 19 2 2 2" xfId="28513"/>
    <cellStyle name="Normal 4 19 2 2 2 2" xfId="57374"/>
    <cellStyle name="Normal 4 19 2 2 3" xfId="40327"/>
    <cellStyle name="Normal 4 19 2 3" xfId="22535"/>
    <cellStyle name="Normal 4 19 2 3 2" xfId="51396"/>
    <cellStyle name="Normal 4 19 2 4" xfId="34286"/>
    <cellStyle name="Normal 4 19 3" xfId="8580"/>
    <cellStyle name="Normal 4 19 3 2" xfId="25627"/>
    <cellStyle name="Normal 4 19 3 2 2" xfId="54488"/>
    <cellStyle name="Normal 4 19 3 3" xfId="37441"/>
    <cellStyle name="Normal 4 19 4" xfId="12916"/>
    <cellStyle name="Normal 4 19 4 2" xfId="19855"/>
    <cellStyle name="Normal 4 19 4 2 2" xfId="48716"/>
    <cellStyle name="Normal 4 19 4 3" xfId="41777"/>
    <cellStyle name="Normal 4 19 5" xfId="17175"/>
    <cellStyle name="Normal 4 19 5 2" xfId="46036"/>
    <cellStyle name="Normal 4 19 6" xfId="31400"/>
    <cellStyle name="Normal 4 2" xfId="33"/>
    <cellStyle name="Normal 4 2 10" xfId="1713"/>
    <cellStyle name="Normal 4 2 10 2" xfId="4600"/>
    <cellStyle name="Normal 4 2 10 2 2" xfId="10641"/>
    <cellStyle name="Normal 4 2 10 2 2 2" xfId="27688"/>
    <cellStyle name="Normal 4 2 10 2 2 2 2" xfId="56549"/>
    <cellStyle name="Normal 4 2 10 2 2 3" xfId="39502"/>
    <cellStyle name="Normal 4 2 10 2 3" xfId="21710"/>
    <cellStyle name="Normal 4 2 10 2 3 2" xfId="50571"/>
    <cellStyle name="Normal 4 2 10 2 4" xfId="33461"/>
    <cellStyle name="Normal 4 2 10 3" xfId="7755"/>
    <cellStyle name="Normal 4 2 10 3 2" xfId="24802"/>
    <cellStyle name="Normal 4 2 10 3 2 2" xfId="53663"/>
    <cellStyle name="Normal 4 2 10 3 3" xfId="36616"/>
    <cellStyle name="Normal 4 2 10 4" xfId="12897"/>
    <cellStyle name="Normal 4 2 10 4 2" xfId="19030"/>
    <cellStyle name="Normal 4 2 10 4 2 2" xfId="47891"/>
    <cellStyle name="Normal 4 2 10 4 3" xfId="41758"/>
    <cellStyle name="Normal 4 2 10 5" xfId="16350"/>
    <cellStyle name="Normal 4 2 10 5 2" xfId="45211"/>
    <cellStyle name="Normal 4 2 10 6" xfId="30575"/>
    <cellStyle name="Normal 4 2 11" xfId="1919"/>
    <cellStyle name="Normal 4 2 11 2" xfId="4806"/>
    <cellStyle name="Normal 4 2 11 2 2" xfId="10847"/>
    <cellStyle name="Normal 4 2 11 2 2 2" xfId="27894"/>
    <cellStyle name="Normal 4 2 11 2 2 2 2" xfId="56755"/>
    <cellStyle name="Normal 4 2 11 2 2 3" xfId="39708"/>
    <cellStyle name="Normal 4 2 11 2 3" xfId="21916"/>
    <cellStyle name="Normal 4 2 11 2 3 2" xfId="50777"/>
    <cellStyle name="Normal 4 2 11 2 4" xfId="33667"/>
    <cellStyle name="Normal 4 2 11 3" xfId="7961"/>
    <cellStyle name="Normal 4 2 11 3 2" xfId="25008"/>
    <cellStyle name="Normal 4 2 11 3 2 2" xfId="53869"/>
    <cellStyle name="Normal 4 2 11 3 3" xfId="36822"/>
    <cellStyle name="Normal 4 2 11 4" xfId="14185"/>
    <cellStyle name="Normal 4 2 11 4 2" xfId="19236"/>
    <cellStyle name="Normal 4 2 11 4 2 2" xfId="48097"/>
    <cellStyle name="Normal 4 2 11 4 3" xfId="43046"/>
    <cellStyle name="Normal 4 2 11 5" xfId="16556"/>
    <cellStyle name="Normal 4 2 11 5 2" xfId="45417"/>
    <cellStyle name="Normal 4 2 11 6" xfId="30781"/>
    <cellStyle name="Normal 4 2 12" xfId="2331"/>
    <cellStyle name="Normal 4 2 12 2" xfId="5218"/>
    <cellStyle name="Normal 4 2 12 2 2" xfId="11259"/>
    <cellStyle name="Normal 4 2 12 2 2 2" xfId="28306"/>
    <cellStyle name="Normal 4 2 12 2 2 2 2" xfId="57167"/>
    <cellStyle name="Normal 4 2 12 2 2 3" xfId="40120"/>
    <cellStyle name="Normal 4 2 12 2 3" xfId="22328"/>
    <cellStyle name="Normal 4 2 12 2 3 2" xfId="51189"/>
    <cellStyle name="Normal 4 2 12 2 4" xfId="34079"/>
    <cellStyle name="Normal 4 2 12 3" xfId="8373"/>
    <cellStyle name="Normal 4 2 12 3 2" xfId="25420"/>
    <cellStyle name="Normal 4 2 12 3 2 2" xfId="54281"/>
    <cellStyle name="Normal 4 2 12 3 3" xfId="37234"/>
    <cellStyle name="Normal 4 2 12 4" xfId="13125"/>
    <cellStyle name="Normal 4 2 12 4 2" xfId="19648"/>
    <cellStyle name="Normal 4 2 12 4 2 2" xfId="48509"/>
    <cellStyle name="Normal 4 2 12 4 3" xfId="41986"/>
    <cellStyle name="Normal 4 2 12 5" xfId="16968"/>
    <cellStyle name="Normal 4 2 12 5 2" xfId="45829"/>
    <cellStyle name="Normal 4 2 12 6" xfId="31193"/>
    <cellStyle name="Normal 4 2 13" xfId="2540"/>
    <cellStyle name="Normal 4 2 13 2" xfId="5426"/>
    <cellStyle name="Normal 4 2 13 2 2" xfId="11467"/>
    <cellStyle name="Normal 4 2 13 2 2 2" xfId="28514"/>
    <cellStyle name="Normal 4 2 13 2 2 2 2" xfId="57375"/>
    <cellStyle name="Normal 4 2 13 2 2 3" xfId="40328"/>
    <cellStyle name="Normal 4 2 13 2 3" xfId="22536"/>
    <cellStyle name="Normal 4 2 13 2 3 2" xfId="51397"/>
    <cellStyle name="Normal 4 2 13 2 4" xfId="34287"/>
    <cellStyle name="Normal 4 2 13 3" xfId="8581"/>
    <cellStyle name="Normal 4 2 13 3 2" xfId="25628"/>
    <cellStyle name="Normal 4 2 13 3 2 2" xfId="54489"/>
    <cellStyle name="Normal 4 2 13 3 3" xfId="37442"/>
    <cellStyle name="Normal 4 2 13 4" xfId="12436"/>
    <cellStyle name="Normal 4 2 13 4 2" xfId="19856"/>
    <cellStyle name="Normal 4 2 13 4 2 2" xfId="48717"/>
    <cellStyle name="Normal 4 2 13 4 3" xfId="41297"/>
    <cellStyle name="Normal 4 2 13 5" xfId="17176"/>
    <cellStyle name="Normal 4 2 13 5 2" xfId="46037"/>
    <cellStyle name="Normal 4 2 13 6" xfId="31401"/>
    <cellStyle name="Normal 4 2 14" xfId="2952"/>
    <cellStyle name="Normal 4 2 14 2" xfId="8993"/>
    <cellStyle name="Normal 4 2 14 2 2" xfId="26040"/>
    <cellStyle name="Normal 4 2 14 2 2 2" xfId="54901"/>
    <cellStyle name="Normal 4 2 14 2 3" xfId="37854"/>
    <cellStyle name="Normal 4 2 14 3" xfId="12044"/>
    <cellStyle name="Normal 4 2 14 3 2" xfId="20062"/>
    <cellStyle name="Normal 4 2 14 3 2 2" xfId="48923"/>
    <cellStyle name="Normal 4 2 14 3 3" xfId="40905"/>
    <cellStyle name="Normal 4 2 14 4" xfId="14702"/>
    <cellStyle name="Normal 4 2 14 4 2" xfId="43563"/>
    <cellStyle name="Normal 4 2 14 5" xfId="31813"/>
    <cellStyle name="Normal 4 2 15" xfId="2746"/>
    <cellStyle name="Normal 4 2 15 2" xfId="8787"/>
    <cellStyle name="Normal 4 2 15 2 2" xfId="25834"/>
    <cellStyle name="Normal 4 2 15 2 2 2" xfId="54695"/>
    <cellStyle name="Normal 4 2 15 2 3" xfId="37648"/>
    <cellStyle name="Normal 4 2 15 3" xfId="17382"/>
    <cellStyle name="Normal 4 2 15 3 2" xfId="46243"/>
    <cellStyle name="Normal 4 2 15 4" xfId="31607"/>
    <cellStyle name="Normal 4 2 16" xfId="5632"/>
    <cellStyle name="Normal 4 2 16 2" xfId="11673"/>
    <cellStyle name="Normal 4 2 16 2 2" xfId="28720"/>
    <cellStyle name="Normal 4 2 16 2 2 2" xfId="57581"/>
    <cellStyle name="Normal 4 2 16 2 3" xfId="40534"/>
    <cellStyle name="Normal 4 2 16 3" xfId="22742"/>
    <cellStyle name="Normal 4 2 16 3 2" xfId="51603"/>
    <cellStyle name="Normal 4 2 16 4" xfId="34493"/>
    <cellStyle name="Normal 4 2 17" xfId="5843"/>
    <cellStyle name="Normal 4 2 17 2" xfId="22948"/>
    <cellStyle name="Normal 4 2 17 2 2" xfId="51809"/>
    <cellStyle name="Normal 4 2 17 3" xfId="34704"/>
    <cellStyle name="Normal 4 2 18" xfId="6107"/>
    <cellStyle name="Normal 4 2 18 2" xfId="23154"/>
    <cellStyle name="Normal 4 2 18 2 2" xfId="52015"/>
    <cellStyle name="Normal 4 2 18 3" xfId="34968"/>
    <cellStyle name="Normal 4 2 19" xfId="14496"/>
    <cellStyle name="Normal 4 2 19 2" xfId="43357"/>
    <cellStyle name="Normal 4 2 2" xfId="271"/>
    <cellStyle name="Normal 4 2 2 10" xfId="2434"/>
    <cellStyle name="Normal 4 2 2 10 2" xfId="5321"/>
    <cellStyle name="Normal 4 2 2 10 2 2" xfId="11362"/>
    <cellStyle name="Normal 4 2 2 10 2 2 2" xfId="28409"/>
    <cellStyle name="Normal 4 2 2 10 2 2 2 2" xfId="57270"/>
    <cellStyle name="Normal 4 2 2 10 2 2 3" xfId="40223"/>
    <cellStyle name="Normal 4 2 2 10 2 3" xfId="22431"/>
    <cellStyle name="Normal 4 2 2 10 2 3 2" xfId="51292"/>
    <cellStyle name="Normal 4 2 2 10 2 4" xfId="34182"/>
    <cellStyle name="Normal 4 2 2 10 3" xfId="8476"/>
    <cellStyle name="Normal 4 2 2 10 3 2" xfId="25523"/>
    <cellStyle name="Normal 4 2 2 10 3 2 2" xfId="54384"/>
    <cellStyle name="Normal 4 2 2 10 3 3" xfId="37337"/>
    <cellStyle name="Normal 4 2 2 10 4" xfId="13868"/>
    <cellStyle name="Normal 4 2 2 10 4 2" xfId="19751"/>
    <cellStyle name="Normal 4 2 2 10 4 2 2" xfId="48612"/>
    <cellStyle name="Normal 4 2 2 10 4 3" xfId="42729"/>
    <cellStyle name="Normal 4 2 2 10 5" xfId="17071"/>
    <cellStyle name="Normal 4 2 2 10 5 2" xfId="45932"/>
    <cellStyle name="Normal 4 2 2 10 6" xfId="31296"/>
    <cellStyle name="Normal 4 2 2 11" xfId="2643"/>
    <cellStyle name="Normal 4 2 2 11 2" xfId="5529"/>
    <cellStyle name="Normal 4 2 2 11 2 2" xfId="11570"/>
    <cellStyle name="Normal 4 2 2 11 2 2 2" xfId="28617"/>
    <cellStyle name="Normal 4 2 2 11 2 2 2 2" xfId="57478"/>
    <cellStyle name="Normal 4 2 2 11 2 2 3" xfId="40431"/>
    <cellStyle name="Normal 4 2 2 11 2 3" xfId="22639"/>
    <cellStyle name="Normal 4 2 2 11 2 3 2" xfId="51500"/>
    <cellStyle name="Normal 4 2 2 11 2 4" xfId="34390"/>
    <cellStyle name="Normal 4 2 2 11 3" xfId="8684"/>
    <cellStyle name="Normal 4 2 2 11 3 2" xfId="25731"/>
    <cellStyle name="Normal 4 2 2 11 3 2 2" xfId="54592"/>
    <cellStyle name="Normal 4 2 2 11 3 3" xfId="37545"/>
    <cellStyle name="Normal 4 2 2 11 4" xfId="13201"/>
    <cellStyle name="Normal 4 2 2 11 4 2" xfId="19959"/>
    <cellStyle name="Normal 4 2 2 11 4 2 2" xfId="48820"/>
    <cellStyle name="Normal 4 2 2 11 4 3" xfId="42062"/>
    <cellStyle name="Normal 4 2 2 11 5" xfId="17279"/>
    <cellStyle name="Normal 4 2 2 11 5 2" xfId="46140"/>
    <cellStyle name="Normal 4 2 2 11 6" xfId="31504"/>
    <cellStyle name="Normal 4 2 2 12" xfId="3158"/>
    <cellStyle name="Normal 4 2 2 12 2" xfId="9199"/>
    <cellStyle name="Normal 4 2 2 12 2 2" xfId="26246"/>
    <cellStyle name="Normal 4 2 2 12 2 2 2" xfId="55107"/>
    <cellStyle name="Normal 4 2 2 12 2 3" xfId="38060"/>
    <cellStyle name="Normal 4 2 2 12 3" xfId="14346"/>
    <cellStyle name="Normal 4 2 2 12 3 2" xfId="20268"/>
    <cellStyle name="Normal 4 2 2 12 3 2 2" xfId="49129"/>
    <cellStyle name="Normal 4 2 2 12 3 3" xfId="43207"/>
    <cellStyle name="Normal 4 2 2 12 4" xfId="14908"/>
    <cellStyle name="Normal 4 2 2 12 4 2" xfId="43769"/>
    <cellStyle name="Normal 4 2 2 12 5" xfId="32019"/>
    <cellStyle name="Normal 4 2 2 13" xfId="2849"/>
    <cellStyle name="Normal 4 2 2 13 2" xfId="8890"/>
    <cellStyle name="Normal 4 2 2 13 2 2" xfId="25937"/>
    <cellStyle name="Normal 4 2 2 13 2 2 2" xfId="54798"/>
    <cellStyle name="Normal 4 2 2 13 2 3" xfId="37751"/>
    <cellStyle name="Normal 4 2 2 13 3" xfId="17485"/>
    <cellStyle name="Normal 4 2 2 13 3 2" xfId="46346"/>
    <cellStyle name="Normal 4 2 2 13 4" xfId="31710"/>
    <cellStyle name="Normal 4 2 2 14" xfId="5735"/>
    <cellStyle name="Normal 4 2 2 14 2" xfId="11776"/>
    <cellStyle name="Normal 4 2 2 14 2 2" xfId="28823"/>
    <cellStyle name="Normal 4 2 2 14 2 2 2" xfId="57684"/>
    <cellStyle name="Normal 4 2 2 14 2 3" xfId="40637"/>
    <cellStyle name="Normal 4 2 2 14 3" xfId="22845"/>
    <cellStyle name="Normal 4 2 2 14 3 2" xfId="51706"/>
    <cellStyle name="Normal 4 2 2 14 4" xfId="34596"/>
    <cellStyle name="Normal 4 2 2 15" xfId="5952"/>
    <cellStyle name="Normal 4 2 2 15 2" xfId="23051"/>
    <cellStyle name="Normal 4 2 2 15 2 2" xfId="51912"/>
    <cellStyle name="Normal 4 2 2 15 3" xfId="34813"/>
    <cellStyle name="Normal 4 2 2 16" xfId="6313"/>
    <cellStyle name="Normal 4 2 2 16 2" xfId="23360"/>
    <cellStyle name="Normal 4 2 2 16 2 2" xfId="52221"/>
    <cellStyle name="Normal 4 2 2 16 3" xfId="35174"/>
    <cellStyle name="Normal 4 2 2 17" xfId="14599"/>
    <cellStyle name="Normal 4 2 2 17 2" xfId="43460"/>
    <cellStyle name="Normal 4 2 2 18" xfId="29133"/>
    <cellStyle name="Normal 4 2 2 2" xfId="477"/>
    <cellStyle name="Normal 4 2 2 2 2" xfId="2228"/>
    <cellStyle name="Normal 4 2 2 2 2 2" xfId="5115"/>
    <cellStyle name="Normal 4 2 2 2 2 2 2" xfId="11156"/>
    <cellStyle name="Normal 4 2 2 2 2 2 2 2" xfId="28203"/>
    <cellStyle name="Normal 4 2 2 2 2 2 2 2 2" xfId="57064"/>
    <cellStyle name="Normal 4 2 2 2 2 2 2 3" xfId="40017"/>
    <cellStyle name="Normal 4 2 2 2 2 2 3" xfId="22225"/>
    <cellStyle name="Normal 4 2 2 2 2 2 3 2" xfId="51086"/>
    <cellStyle name="Normal 4 2 2 2 2 2 4" xfId="33976"/>
    <cellStyle name="Normal 4 2 2 2 2 3" xfId="8270"/>
    <cellStyle name="Normal 4 2 2 2 2 3 2" xfId="25317"/>
    <cellStyle name="Normal 4 2 2 2 2 3 2 2" xfId="54178"/>
    <cellStyle name="Normal 4 2 2 2 2 3 3" xfId="37131"/>
    <cellStyle name="Normal 4 2 2 2 2 4" xfId="13057"/>
    <cellStyle name="Normal 4 2 2 2 2 4 2" xfId="19545"/>
    <cellStyle name="Normal 4 2 2 2 2 4 2 2" xfId="48406"/>
    <cellStyle name="Normal 4 2 2 2 2 4 3" xfId="41918"/>
    <cellStyle name="Normal 4 2 2 2 2 5" xfId="16865"/>
    <cellStyle name="Normal 4 2 2 2 2 5 2" xfId="45726"/>
    <cellStyle name="Normal 4 2 2 2 2 6" xfId="31090"/>
    <cellStyle name="Normal 4 2 2 2 3" xfId="3364"/>
    <cellStyle name="Normal 4 2 2 2 3 2" xfId="9405"/>
    <cellStyle name="Normal 4 2 2 2 3 2 2" xfId="26452"/>
    <cellStyle name="Normal 4 2 2 2 3 2 2 2" xfId="55313"/>
    <cellStyle name="Normal 4 2 2 2 3 2 3" xfId="38266"/>
    <cellStyle name="Normal 4 2 2 2 3 3" xfId="20474"/>
    <cellStyle name="Normal 4 2 2 2 3 3 2" xfId="49335"/>
    <cellStyle name="Normal 4 2 2 2 3 4" xfId="32225"/>
    <cellStyle name="Normal 4 2 2 2 4" xfId="6519"/>
    <cellStyle name="Normal 4 2 2 2 4 2" xfId="23566"/>
    <cellStyle name="Normal 4 2 2 2 4 2 2" xfId="52427"/>
    <cellStyle name="Normal 4 2 2 2 4 3" xfId="35380"/>
    <cellStyle name="Normal 4 2 2 2 5" xfId="14000"/>
    <cellStyle name="Normal 4 2 2 2 5 2" xfId="17794"/>
    <cellStyle name="Normal 4 2 2 2 5 2 2" xfId="46655"/>
    <cellStyle name="Normal 4 2 2 2 5 3" xfId="42861"/>
    <cellStyle name="Normal 4 2 2 2 6" xfId="15114"/>
    <cellStyle name="Normal 4 2 2 2 6 2" xfId="43975"/>
    <cellStyle name="Normal 4 2 2 2 7" xfId="29339"/>
    <cellStyle name="Normal 4 2 2 3" xfId="786"/>
    <cellStyle name="Normal 4 2 2 3 2" xfId="3673"/>
    <cellStyle name="Normal 4 2 2 3 2 2" xfId="9714"/>
    <cellStyle name="Normal 4 2 2 3 2 2 2" xfId="26761"/>
    <cellStyle name="Normal 4 2 2 3 2 2 2 2" xfId="55622"/>
    <cellStyle name="Normal 4 2 2 3 2 2 3" xfId="38575"/>
    <cellStyle name="Normal 4 2 2 3 2 3" xfId="20783"/>
    <cellStyle name="Normal 4 2 2 3 2 3 2" xfId="49644"/>
    <cellStyle name="Normal 4 2 2 3 2 4" xfId="32534"/>
    <cellStyle name="Normal 4 2 2 3 3" xfId="6828"/>
    <cellStyle name="Normal 4 2 2 3 3 2" xfId="23875"/>
    <cellStyle name="Normal 4 2 2 3 3 2 2" xfId="52736"/>
    <cellStyle name="Normal 4 2 2 3 3 3" xfId="35689"/>
    <cellStyle name="Normal 4 2 2 3 4" xfId="13097"/>
    <cellStyle name="Normal 4 2 2 3 4 2" xfId="18103"/>
    <cellStyle name="Normal 4 2 2 3 4 2 2" xfId="46964"/>
    <cellStyle name="Normal 4 2 2 3 4 3" xfId="41958"/>
    <cellStyle name="Normal 4 2 2 3 5" xfId="15423"/>
    <cellStyle name="Normal 4 2 2 3 5 2" xfId="44284"/>
    <cellStyle name="Normal 4 2 2 3 6" xfId="29648"/>
    <cellStyle name="Normal 4 2 2 4" xfId="992"/>
    <cellStyle name="Normal 4 2 2 4 2" xfId="3879"/>
    <cellStyle name="Normal 4 2 2 4 2 2" xfId="9920"/>
    <cellStyle name="Normal 4 2 2 4 2 2 2" xfId="26967"/>
    <cellStyle name="Normal 4 2 2 4 2 2 2 2" xfId="55828"/>
    <cellStyle name="Normal 4 2 2 4 2 2 3" xfId="38781"/>
    <cellStyle name="Normal 4 2 2 4 2 3" xfId="20989"/>
    <cellStyle name="Normal 4 2 2 4 2 3 2" xfId="49850"/>
    <cellStyle name="Normal 4 2 2 4 2 4" xfId="32740"/>
    <cellStyle name="Normal 4 2 2 4 3" xfId="7034"/>
    <cellStyle name="Normal 4 2 2 4 3 2" xfId="24081"/>
    <cellStyle name="Normal 4 2 2 4 3 2 2" xfId="52942"/>
    <cellStyle name="Normal 4 2 2 4 3 3" xfId="35895"/>
    <cellStyle name="Normal 4 2 2 4 4" xfId="14340"/>
    <cellStyle name="Normal 4 2 2 4 4 2" xfId="18309"/>
    <cellStyle name="Normal 4 2 2 4 4 2 2" xfId="47170"/>
    <cellStyle name="Normal 4 2 2 4 4 3" xfId="43201"/>
    <cellStyle name="Normal 4 2 2 4 5" xfId="15629"/>
    <cellStyle name="Normal 4 2 2 4 5 2" xfId="44490"/>
    <cellStyle name="Normal 4 2 2 4 6" xfId="29854"/>
    <cellStyle name="Normal 4 2 2 5" xfId="1198"/>
    <cellStyle name="Normal 4 2 2 5 2" xfId="4085"/>
    <cellStyle name="Normal 4 2 2 5 2 2" xfId="10126"/>
    <cellStyle name="Normal 4 2 2 5 2 2 2" xfId="27173"/>
    <cellStyle name="Normal 4 2 2 5 2 2 2 2" xfId="56034"/>
    <cellStyle name="Normal 4 2 2 5 2 2 3" xfId="38987"/>
    <cellStyle name="Normal 4 2 2 5 2 3" xfId="21195"/>
    <cellStyle name="Normal 4 2 2 5 2 3 2" xfId="50056"/>
    <cellStyle name="Normal 4 2 2 5 2 4" xfId="32946"/>
    <cellStyle name="Normal 4 2 2 5 3" xfId="7240"/>
    <cellStyle name="Normal 4 2 2 5 3 2" xfId="24287"/>
    <cellStyle name="Normal 4 2 2 5 3 2 2" xfId="53148"/>
    <cellStyle name="Normal 4 2 2 5 3 3" xfId="36101"/>
    <cellStyle name="Normal 4 2 2 5 4" xfId="13322"/>
    <cellStyle name="Normal 4 2 2 5 4 2" xfId="18515"/>
    <cellStyle name="Normal 4 2 2 5 4 2 2" xfId="47376"/>
    <cellStyle name="Normal 4 2 2 5 4 3" xfId="42183"/>
    <cellStyle name="Normal 4 2 2 5 5" xfId="15835"/>
    <cellStyle name="Normal 4 2 2 5 5 2" xfId="44696"/>
    <cellStyle name="Normal 4 2 2 5 6" xfId="30060"/>
    <cellStyle name="Normal 4 2 2 6" xfId="1404"/>
    <cellStyle name="Normal 4 2 2 6 2" xfId="4291"/>
    <cellStyle name="Normal 4 2 2 6 2 2" xfId="10332"/>
    <cellStyle name="Normal 4 2 2 6 2 2 2" xfId="27379"/>
    <cellStyle name="Normal 4 2 2 6 2 2 2 2" xfId="56240"/>
    <cellStyle name="Normal 4 2 2 6 2 2 3" xfId="39193"/>
    <cellStyle name="Normal 4 2 2 6 2 3" xfId="21401"/>
    <cellStyle name="Normal 4 2 2 6 2 3 2" xfId="50262"/>
    <cellStyle name="Normal 4 2 2 6 2 4" xfId="33152"/>
    <cellStyle name="Normal 4 2 2 6 3" xfId="7446"/>
    <cellStyle name="Normal 4 2 2 6 3 2" xfId="24493"/>
    <cellStyle name="Normal 4 2 2 6 3 2 2" xfId="53354"/>
    <cellStyle name="Normal 4 2 2 6 3 3" xfId="36307"/>
    <cellStyle name="Normal 4 2 2 6 4" xfId="12007"/>
    <cellStyle name="Normal 4 2 2 6 4 2" xfId="18721"/>
    <cellStyle name="Normal 4 2 2 6 4 2 2" xfId="47582"/>
    <cellStyle name="Normal 4 2 2 6 4 3" xfId="40868"/>
    <cellStyle name="Normal 4 2 2 6 5" xfId="16041"/>
    <cellStyle name="Normal 4 2 2 6 5 2" xfId="44902"/>
    <cellStyle name="Normal 4 2 2 6 6" xfId="30266"/>
    <cellStyle name="Normal 4 2 2 7" xfId="1610"/>
    <cellStyle name="Normal 4 2 2 7 2" xfId="4497"/>
    <cellStyle name="Normal 4 2 2 7 2 2" xfId="10538"/>
    <cellStyle name="Normal 4 2 2 7 2 2 2" xfId="27585"/>
    <cellStyle name="Normal 4 2 2 7 2 2 2 2" xfId="56446"/>
    <cellStyle name="Normal 4 2 2 7 2 2 3" xfId="39399"/>
    <cellStyle name="Normal 4 2 2 7 2 3" xfId="21607"/>
    <cellStyle name="Normal 4 2 2 7 2 3 2" xfId="50468"/>
    <cellStyle name="Normal 4 2 2 7 2 4" xfId="33358"/>
    <cellStyle name="Normal 4 2 2 7 3" xfId="7652"/>
    <cellStyle name="Normal 4 2 2 7 3 2" xfId="24699"/>
    <cellStyle name="Normal 4 2 2 7 3 2 2" xfId="53560"/>
    <cellStyle name="Normal 4 2 2 7 3 3" xfId="36513"/>
    <cellStyle name="Normal 4 2 2 7 4" xfId="14445"/>
    <cellStyle name="Normal 4 2 2 7 4 2" xfId="18927"/>
    <cellStyle name="Normal 4 2 2 7 4 2 2" xfId="47788"/>
    <cellStyle name="Normal 4 2 2 7 4 3" xfId="43306"/>
    <cellStyle name="Normal 4 2 2 7 5" xfId="16247"/>
    <cellStyle name="Normal 4 2 2 7 5 2" xfId="45108"/>
    <cellStyle name="Normal 4 2 2 7 6" xfId="30472"/>
    <cellStyle name="Normal 4 2 2 8" xfId="1816"/>
    <cellStyle name="Normal 4 2 2 8 2" xfId="4703"/>
    <cellStyle name="Normal 4 2 2 8 2 2" xfId="10744"/>
    <cellStyle name="Normal 4 2 2 8 2 2 2" xfId="27791"/>
    <cellStyle name="Normal 4 2 2 8 2 2 2 2" xfId="56652"/>
    <cellStyle name="Normal 4 2 2 8 2 2 3" xfId="39605"/>
    <cellStyle name="Normal 4 2 2 8 2 3" xfId="21813"/>
    <cellStyle name="Normal 4 2 2 8 2 3 2" xfId="50674"/>
    <cellStyle name="Normal 4 2 2 8 2 4" xfId="33564"/>
    <cellStyle name="Normal 4 2 2 8 3" xfId="7858"/>
    <cellStyle name="Normal 4 2 2 8 3 2" xfId="24905"/>
    <cellStyle name="Normal 4 2 2 8 3 2 2" xfId="53766"/>
    <cellStyle name="Normal 4 2 2 8 3 3" xfId="36719"/>
    <cellStyle name="Normal 4 2 2 8 4" xfId="12478"/>
    <cellStyle name="Normal 4 2 2 8 4 2" xfId="19133"/>
    <cellStyle name="Normal 4 2 2 8 4 2 2" xfId="47994"/>
    <cellStyle name="Normal 4 2 2 8 4 3" xfId="41339"/>
    <cellStyle name="Normal 4 2 2 8 5" xfId="16453"/>
    <cellStyle name="Normal 4 2 2 8 5 2" xfId="45314"/>
    <cellStyle name="Normal 4 2 2 8 6" xfId="30678"/>
    <cellStyle name="Normal 4 2 2 9" xfId="2022"/>
    <cellStyle name="Normal 4 2 2 9 2" xfId="4909"/>
    <cellStyle name="Normal 4 2 2 9 2 2" xfId="10950"/>
    <cellStyle name="Normal 4 2 2 9 2 2 2" xfId="27997"/>
    <cellStyle name="Normal 4 2 2 9 2 2 2 2" xfId="56858"/>
    <cellStyle name="Normal 4 2 2 9 2 2 3" xfId="39811"/>
    <cellStyle name="Normal 4 2 2 9 2 3" xfId="22019"/>
    <cellStyle name="Normal 4 2 2 9 2 3 2" xfId="50880"/>
    <cellStyle name="Normal 4 2 2 9 2 4" xfId="33770"/>
    <cellStyle name="Normal 4 2 2 9 3" xfId="8064"/>
    <cellStyle name="Normal 4 2 2 9 3 2" xfId="25111"/>
    <cellStyle name="Normal 4 2 2 9 3 2 2" xfId="53972"/>
    <cellStyle name="Normal 4 2 2 9 3 3" xfId="36925"/>
    <cellStyle name="Normal 4 2 2 9 4" xfId="12252"/>
    <cellStyle name="Normal 4 2 2 9 4 2" xfId="19339"/>
    <cellStyle name="Normal 4 2 2 9 4 2 2" xfId="48200"/>
    <cellStyle name="Normal 4 2 2 9 4 3" xfId="41113"/>
    <cellStyle name="Normal 4 2 2 9 5" xfId="16659"/>
    <cellStyle name="Normal 4 2 2 9 5 2" xfId="45520"/>
    <cellStyle name="Normal 4 2 2 9 6" xfId="30884"/>
    <cellStyle name="Normal 4 2 20" xfId="28927"/>
    <cellStyle name="Normal 4 2 3" xfId="168"/>
    <cellStyle name="Normal 4 2 3 2" xfId="580"/>
    <cellStyle name="Normal 4 2 3 2 2" xfId="3467"/>
    <cellStyle name="Normal 4 2 3 2 2 2" xfId="9508"/>
    <cellStyle name="Normal 4 2 3 2 2 2 2" xfId="26555"/>
    <cellStyle name="Normal 4 2 3 2 2 2 2 2" xfId="55416"/>
    <cellStyle name="Normal 4 2 3 2 2 2 3" xfId="38369"/>
    <cellStyle name="Normal 4 2 3 2 2 3" xfId="20577"/>
    <cellStyle name="Normal 4 2 3 2 2 3 2" xfId="49438"/>
    <cellStyle name="Normal 4 2 3 2 2 4" xfId="32328"/>
    <cellStyle name="Normal 4 2 3 2 3" xfId="6622"/>
    <cellStyle name="Normal 4 2 3 2 3 2" xfId="23669"/>
    <cellStyle name="Normal 4 2 3 2 3 2 2" xfId="52530"/>
    <cellStyle name="Normal 4 2 3 2 3 3" xfId="35483"/>
    <cellStyle name="Normal 4 2 3 2 4" xfId="13093"/>
    <cellStyle name="Normal 4 2 3 2 4 2" xfId="17897"/>
    <cellStyle name="Normal 4 2 3 2 4 2 2" xfId="46758"/>
    <cellStyle name="Normal 4 2 3 2 4 3" xfId="41954"/>
    <cellStyle name="Normal 4 2 3 2 5" xfId="15217"/>
    <cellStyle name="Normal 4 2 3 2 5 2" xfId="44078"/>
    <cellStyle name="Normal 4 2 3 2 6" xfId="29442"/>
    <cellStyle name="Normal 4 2 3 3" xfId="2125"/>
    <cellStyle name="Normal 4 2 3 3 2" xfId="5012"/>
    <cellStyle name="Normal 4 2 3 3 2 2" xfId="11053"/>
    <cellStyle name="Normal 4 2 3 3 2 2 2" xfId="28100"/>
    <cellStyle name="Normal 4 2 3 3 2 2 2 2" xfId="56961"/>
    <cellStyle name="Normal 4 2 3 3 2 2 3" xfId="39914"/>
    <cellStyle name="Normal 4 2 3 3 2 3" xfId="22122"/>
    <cellStyle name="Normal 4 2 3 3 2 3 2" xfId="50983"/>
    <cellStyle name="Normal 4 2 3 3 2 4" xfId="33873"/>
    <cellStyle name="Normal 4 2 3 3 3" xfId="8167"/>
    <cellStyle name="Normal 4 2 3 3 3 2" xfId="25214"/>
    <cellStyle name="Normal 4 2 3 3 3 2 2" xfId="54075"/>
    <cellStyle name="Normal 4 2 3 3 3 3" xfId="37028"/>
    <cellStyle name="Normal 4 2 3 3 4" xfId="11875"/>
    <cellStyle name="Normal 4 2 3 3 4 2" xfId="19442"/>
    <cellStyle name="Normal 4 2 3 3 4 2 2" xfId="48303"/>
    <cellStyle name="Normal 4 2 3 3 4 3" xfId="40736"/>
    <cellStyle name="Normal 4 2 3 3 5" xfId="16762"/>
    <cellStyle name="Normal 4 2 3 3 5 2" xfId="45623"/>
    <cellStyle name="Normal 4 2 3 3 6" xfId="30987"/>
    <cellStyle name="Normal 4 2 3 4" xfId="3055"/>
    <cellStyle name="Normal 4 2 3 4 2" xfId="9096"/>
    <cellStyle name="Normal 4 2 3 4 2 2" xfId="26143"/>
    <cellStyle name="Normal 4 2 3 4 2 2 2" xfId="55004"/>
    <cellStyle name="Normal 4 2 3 4 2 3" xfId="37957"/>
    <cellStyle name="Normal 4 2 3 4 3" xfId="20165"/>
    <cellStyle name="Normal 4 2 3 4 3 2" xfId="49026"/>
    <cellStyle name="Normal 4 2 3 4 4" xfId="31916"/>
    <cellStyle name="Normal 4 2 3 5" xfId="6210"/>
    <cellStyle name="Normal 4 2 3 5 2" xfId="23257"/>
    <cellStyle name="Normal 4 2 3 5 2 2" xfId="52118"/>
    <cellStyle name="Normal 4 2 3 5 3" xfId="35071"/>
    <cellStyle name="Normal 4 2 3 6" xfId="12051"/>
    <cellStyle name="Normal 4 2 3 6 2" xfId="17588"/>
    <cellStyle name="Normal 4 2 3 6 2 2" xfId="46449"/>
    <cellStyle name="Normal 4 2 3 6 3" xfId="40912"/>
    <cellStyle name="Normal 4 2 3 7" xfId="14805"/>
    <cellStyle name="Normal 4 2 3 7 2" xfId="43666"/>
    <cellStyle name="Normal 4 2 3 8" xfId="29030"/>
    <cellStyle name="Normal 4 2 4" xfId="374"/>
    <cellStyle name="Normal 4 2 4 2" xfId="3261"/>
    <cellStyle name="Normal 4 2 4 2 2" xfId="9302"/>
    <cellStyle name="Normal 4 2 4 2 2 2" xfId="26349"/>
    <cellStyle name="Normal 4 2 4 2 2 2 2" xfId="55210"/>
    <cellStyle name="Normal 4 2 4 2 2 3" xfId="38163"/>
    <cellStyle name="Normal 4 2 4 2 3" xfId="20371"/>
    <cellStyle name="Normal 4 2 4 2 3 2" xfId="49232"/>
    <cellStyle name="Normal 4 2 4 2 4" xfId="32122"/>
    <cellStyle name="Normal 4 2 4 3" xfId="6416"/>
    <cellStyle name="Normal 4 2 4 3 2" xfId="23463"/>
    <cellStyle name="Normal 4 2 4 3 2 2" xfId="52324"/>
    <cellStyle name="Normal 4 2 4 3 3" xfId="35277"/>
    <cellStyle name="Normal 4 2 4 4" xfId="12008"/>
    <cellStyle name="Normal 4 2 4 4 2" xfId="17691"/>
    <cellStyle name="Normal 4 2 4 4 2 2" xfId="46552"/>
    <cellStyle name="Normal 4 2 4 4 3" xfId="40869"/>
    <cellStyle name="Normal 4 2 4 5" xfId="15011"/>
    <cellStyle name="Normal 4 2 4 5 2" xfId="43872"/>
    <cellStyle name="Normal 4 2 4 6" xfId="29236"/>
    <cellStyle name="Normal 4 2 5" xfId="683"/>
    <cellStyle name="Normal 4 2 5 2" xfId="3570"/>
    <cellStyle name="Normal 4 2 5 2 2" xfId="9611"/>
    <cellStyle name="Normal 4 2 5 2 2 2" xfId="26658"/>
    <cellStyle name="Normal 4 2 5 2 2 2 2" xfId="55519"/>
    <cellStyle name="Normal 4 2 5 2 2 3" xfId="38472"/>
    <cellStyle name="Normal 4 2 5 2 3" xfId="20680"/>
    <cellStyle name="Normal 4 2 5 2 3 2" xfId="49541"/>
    <cellStyle name="Normal 4 2 5 2 4" xfId="32431"/>
    <cellStyle name="Normal 4 2 5 3" xfId="6725"/>
    <cellStyle name="Normal 4 2 5 3 2" xfId="23772"/>
    <cellStyle name="Normal 4 2 5 3 2 2" xfId="52633"/>
    <cellStyle name="Normal 4 2 5 3 3" xfId="35586"/>
    <cellStyle name="Normal 4 2 5 4" xfId="13188"/>
    <cellStyle name="Normal 4 2 5 4 2" xfId="18000"/>
    <cellStyle name="Normal 4 2 5 4 2 2" xfId="46861"/>
    <cellStyle name="Normal 4 2 5 4 3" xfId="42049"/>
    <cellStyle name="Normal 4 2 5 5" xfId="15320"/>
    <cellStyle name="Normal 4 2 5 5 2" xfId="44181"/>
    <cellStyle name="Normal 4 2 5 6" xfId="29545"/>
    <cellStyle name="Normal 4 2 6" xfId="889"/>
    <cellStyle name="Normal 4 2 6 2" xfId="3776"/>
    <cellStyle name="Normal 4 2 6 2 2" xfId="9817"/>
    <cellStyle name="Normal 4 2 6 2 2 2" xfId="26864"/>
    <cellStyle name="Normal 4 2 6 2 2 2 2" xfId="55725"/>
    <cellStyle name="Normal 4 2 6 2 2 3" xfId="38678"/>
    <cellStyle name="Normal 4 2 6 2 3" xfId="20886"/>
    <cellStyle name="Normal 4 2 6 2 3 2" xfId="49747"/>
    <cellStyle name="Normal 4 2 6 2 4" xfId="32637"/>
    <cellStyle name="Normal 4 2 6 3" xfId="6931"/>
    <cellStyle name="Normal 4 2 6 3 2" xfId="23978"/>
    <cellStyle name="Normal 4 2 6 3 2 2" xfId="52839"/>
    <cellStyle name="Normal 4 2 6 3 3" xfId="35792"/>
    <cellStyle name="Normal 4 2 6 4" xfId="13482"/>
    <cellStyle name="Normal 4 2 6 4 2" xfId="18206"/>
    <cellStyle name="Normal 4 2 6 4 2 2" xfId="47067"/>
    <cellStyle name="Normal 4 2 6 4 3" xfId="42343"/>
    <cellStyle name="Normal 4 2 6 5" xfId="15526"/>
    <cellStyle name="Normal 4 2 6 5 2" xfId="44387"/>
    <cellStyle name="Normal 4 2 6 6" xfId="29751"/>
    <cellStyle name="Normal 4 2 7" xfId="1095"/>
    <cellStyle name="Normal 4 2 7 2" xfId="3982"/>
    <cellStyle name="Normal 4 2 7 2 2" xfId="10023"/>
    <cellStyle name="Normal 4 2 7 2 2 2" xfId="27070"/>
    <cellStyle name="Normal 4 2 7 2 2 2 2" xfId="55931"/>
    <cellStyle name="Normal 4 2 7 2 2 3" xfId="38884"/>
    <cellStyle name="Normal 4 2 7 2 3" xfId="21092"/>
    <cellStyle name="Normal 4 2 7 2 3 2" xfId="49953"/>
    <cellStyle name="Normal 4 2 7 2 4" xfId="32843"/>
    <cellStyle name="Normal 4 2 7 3" xfId="7137"/>
    <cellStyle name="Normal 4 2 7 3 2" xfId="24184"/>
    <cellStyle name="Normal 4 2 7 3 2 2" xfId="53045"/>
    <cellStyle name="Normal 4 2 7 3 3" xfId="35998"/>
    <cellStyle name="Normal 4 2 7 4" xfId="13437"/>
    <cellStyle name="Normal 4 2 7 4 2" xfId="18412"/>
    <cellStyle name="Normal 4 2 7 4 2 2" xfId="47273"/>
    <cellStyle name="Normal 4 2 7 4 3" xfId="42298"/>
    <cellStyle name="Normal 4 2 7 5" xfId="15732"/>
    <cellStyle name="Normal 4 2 7 5 2" xfId="44593"/>
    <cellStyle name="Normal 4 2 7 6" xfId="29957"/>
    <cellStyle name="Normal 4 2 8" xfId="1301"/>
    <cellStyle name="Normal 4 2 8 2" xfId="4188"/>
    <cellStyle name="Normal 4 2 8 2 2" xfId="10229"/>
    <cellStyle name="Normal 4 2 8 2 2 2" xfId="27276"/>
    <cellStyle name="Normal 4 2 8 2 2 2 2" xfId="56137"/>
    <cellStyle name="Normal 4 2 8 2 2 3" xfId="39090"/>
    <cellStyle name="Normal 4 2 8 2 3" xfId="21298"/>
    <cellStyle name="Normal 4 2 8 2 3 2" xfId="50159"/>
    <cellStyle name="Normal 4 2 8 2 4" xfId="33049"/>
    <cellStyle name="Normal 4 2 8 3" xfId="7343"/>
    <cellStyle name="Normal 4 2 8 3 2" xfId="24390"/>
    <cellStyle name="Normal 4 2 8 3 2 2" xfId="53251"/>
    <cellStyle name="Normal 4 2 8 3 3" xfId="36204"/>
    <cellStyle name="Normal 4 2 8 4" xfId="12356"/>
    <cellStyle name="Normal 4 2 8 4 2" xfId="18618"/>
    <cellStyle name="Normal 4 2 8 4 2 2" xfId="47479"/>
    <cellStyle name="Normal 4 2 8 4 3" xfId="41217"/>
    <cellStyle name="Normal 4 2 8 5" xfId="15938"/>
    <cellStyle name="Normal 4 2 8 5 2" xfId="44799"/>
    <cellStyle name="Normal 4 2 8 6" xfId="30163"/>
    <cellStyle name="Normal 4 2 9" xfId="1507"/>
    <cellStyle name="Normal 4 2 9 2" xfId="4394"/>
    <cellStyle name="Normal 4 2 9 2 2" xfId="10435"/>
    <cellStyle name="Normal 4 2 9 2 2 2" xfId="27482"/>
    <cellStyle name="Normal 4 2 9 2 2 2 2" xfId="56343"/>
    <cellStyle name="Normal 4 2 9 2 2 3" xfId="39296"/>
    <cellStyle name="Normal 4 2 9 2 3" xfId="21504"/>
    <cellStyle name="Normal 4 2 9 2 3 2" xfId="50365"/>
    <cellStyle name="Normal 4 2 9 2 4" xfId="33255"/>
    <cellStyle name="Normal 4 2 9 3" xfId="7549"/>
    <cellStyle name="Normal 4 2 9 3 2" xfId="24596"/>
    <cellStyle name="Normal 4 2 9 3 2 2" xfId="53457"/>
    <cellStyle name="Normal 4 2 9 3 3" xfId="36410"/>
    <cellStyle name="Normal 4 2 9 4" xfId="13923"/>
    <cellStyle name="Normal 4 2 9 4 2" xfId="18824"/>
    <cellStyle name="Normal 4 2 9 4 2 2" xfId="47685"/>
    <cellStyle name="Normal 4 2 9 4 3" xfId="42784"/>
    <cellStyle name="Normal 4 2 9 5" xfId="16144"/>
    <cellStyle name="Normal 4 2 9 5 2" xfId="45005"/>
    <cellStyle name="Normal 4 2 9 6" xfId="30369"/>
    <cellStyle name="Normal 4 20" xfId="2951"/>
    <cellStyle name="Normal 4 20 2" xfId="8992"/>
    <cellStyle name="Normal 4 20 2 2" xfId="26039"/>
    <cellStyle name="Normal 4 20 2 2 2" xfId="54900"/>
    <cellStyle name="Normal 4 20 2 3" xfId="37853"/>
    <cellStyle name="Normal 4 20 3" xfId="12483"/>
    <cellStyle name="Normal 4 20 3 2" xfId="20061"/>
    <cellStyle name="Normal 4 20 3 2 2" xfId="48922"/>
    <cellStyle name="Normal 4 20 3 3" xfId="41344"/>
    <cellStyle name="Normal 4 20 4" xfId="14701"/>
    <cellStyle name="Normal 4 20 4 2" xfId="43562"/>
    <cellStyle name="Normal 4 20 5" xfId="31812"/>
    <cellStyle name="Normal 4 21" xfId="2745"/>
    <cellStyle name="Normal 4 21 2" xfId="8786"/>
    <cellStyle name="Normal 4 21 2 2" xfId="25833"/>
    <cellStyle name="Normal 4 21 2 2 2" xfId="54694"/>
    <cellStyle name="Normal 4 21 2 3" xfId="37647"/>
    <cellStyle name="Normal 4 21 3" xfId="17381"/>
    <cellStyle name="Normal 4 21 3 2" xfId="46242"/>
    <cellStyle name="Normal 4 21 4" xfId="31606"/>
    <cellStyle name="Normal 4 22" xfId="5631"/>
    <cellStyle name="Normal 4 22 2" xfId="11672"/>
    <cellStyle name="Normal 4 22 2 2" xfId="28719"/>
    <cellStyle name="Normal 4 22 2 2 2" xfId="57580"/>
    <cellStyle name="Normal 4 22 2 3" xfId="40533"/>
    <cellStyle name="Normal 4 22 3" xfId="22741"/>
    <cellStyle name="Normal 4 22 3 2" xfId="51602"/>
    <cellStyle name="Normal 4 22 4" xfId="34492"/>
    <cellStyle name="Normal 4 23" xfId="5842"/>
    <cellStyle name="Normal 4 23 2" xfId="22947"/>
    <cellStyle name="Normal 4 23 2 2" xfId="51808"/>
    <cellStyle name="Normal 4 23 3" xfId="34703"/>
    <cellStyle name="Normal 4 24" xfId="6106"/>
    <cellStyle name="Normal 4 24 2" xfId="23153"/>
    <cellStyle name="Normal 4 24 2 2" xfId="52014"/>
    <cellStyle name="Normal 4 24 3" xfId="34967"/>
    <cellStyle name="Normal 4 25" xfId="14495"/>
    <cellStyle name="Normal 4 25 2" xfId="43356"/>
    <cellStyle name="Normal 4 26" xfId="28926"/>
    <cellStyle name="Normal 4 3" xfId="34"/>
    <cellStyle name="Normal 4 3 10" xfId="1714"/>
    <cellStyle name="Normal 4 3 10 2" xfId="4601"/>
    <cellStyle name="Normal 4 3 10 2 2" xfId="10642"/>
    <cellStyle name="Normal 4 3 10 2 2 2" xfId="27689"/>
    <cellStyle name="Normal 4 3 10 2 2 2 2" xfId="56550"/>
    <cellStyle name="Normal 4 3 10 2 2 3" xfId="39503"/>
    <cellStyle name="Normal 4 3 10 2 3" xfId="21711"/>
    <cellStyle name="Normal 4 3 10 2 3 2" xfId="50572"/>
    <cellStyle name="Normal 4 3 10 2 4" xfId="33462"/>
    <cellStyle name="Normal 4 3 10 3" xfId="7756"/>
    <cellStyle name="Normal 4 3 10 3 2" xfId="24803"/>
    <cellStyle name="Normal 4 3 10 3 2 2" xfId="53664"/>
    <cellStyle name="Normal 4 3 10 3 3" xfId="36617"/>
    <cellStyle name="Normal 4 3 10 4" xfId="13417"/>
    <cellStyle name="Normal 4 3 10 4 2" xfId="19031"/>
    <cellStyle name="Normal 4 3 10 4 2 2" xfId="47892"/>
    <cellStyle name="Normal 4 3 10 4 3" xfId="42278"/>
    <cellStyle name="Normal 4 3 10 5" xfId="16351"/>
    <cellStyle name="Normal 4 3 10 5 2" xfId="45212"/>
    <cellStyle name="Normal 4 3 10 6" xfId="30576"/>
    <cellStyle name="Normal 4 3 11" xfId="1920"/>
    <cellStyle name="Normal 4 3 11 2" xfId="4807"/>
    <cellStyle name="Normal 4 3 11 2 2" xfId="10848"/>
    <cellStyle name="Normal 4 3 11 2 2 2" xfId="27895"/>
    <cellStyle name="Normal 4 3 11 2 2 2 2" xfId="56756"/>
    <cellStyle name="Normal 4 3 11 2 2 3" xfId="39709"/>
    <cellStyle name="Normal 4 3 11 2 3" xfId="21917"/>
    <cellStyle name="Normal 4 3 11 2 3 2" xfId="50778"/>
    <cellStyle name="Normal 4 3 11 2 4" xfId="33668"/>
    <cellStyle name="Normal 4 3 11 3" xfId="7962"/>
    <cellStyle name="Normal 4 3 11 3 2" xfId="25009"/>
    <cellStyle name="Normal 4 3 11 3 2 2" xfId="53870"/>
    <cellStyle name="Normal 4 3 11 3 3" xfId="36823"/>
    <cellStyle name="Normal 4 3 11 4" xfId="13068"/>
    <cellStyle name="Normal 4 3 11 4 2" xfId="19237"/>
    <cellStyle name="Normal 4 3 11 4 2 2" xfId="48098"/>
    <cellStyle name="Normal 4 3 11 4 3" xfId="41929"/>
    <cellStyle name="Normal 4 3 11 5" xfId="16557"/>
    <cellStyle name="Normal 4 3 11 5 2" xfId="45418"/>
    <cellStyle name="Normal 4 3 11 6" xfId="30782"/>
    <cellStyle name="Normal 4 3 12" xfId="2332"/>
    <cellStyle name="Normal 4 3 12 2" xfId="5219"/>
    <cellStyle name="Normal 4 3 12 2 2" xfId="11260"/>
    <cellStyle name="Normal 4 3 12 2 2 2" xfId="28307"/>
    <cellStyle name="Normal 4 3 12 2 2 2 2" xfId="57168"/>
    <cellStyle name="Normal 4 3 12 2 2 3" xfId="40121"/>
    <cellStyle name="Normal 4 3 12 2 3" xfId="22329"/>
    <cellStyle name="Normal 4 3 12 2 3 2" xfId="51190"/>
    <cellStyle name="Normal 4 3 12 2 4" xfId="34080"/>
    <cellStyle name="Normal 4 3 12 3" xfId="8374"/>
    <cellStyle name="Normal 4 3 12 3 2" xfId="25421"/>
    <cellStyle name="Normal 4 3 12 3 2 2" xfId="54282"/>
    <cellStyle name="Normal 4 3 12 3 3" xfId="37235"/>
    <cellStyle name="Normal 4 3 12 4" xfId="12965"/>
    <cellStyle name="Normal 4 3 12 4 2" xfId="19649"/>
    <cellStyle name="Normal 4 3 12 4 2 2" xfId="48510"/>
    <cellStyle name="Normal 4 3 12 4 3" xfId="41826"/>
    <cellStyle name="Normal 4 3 12 5" xfId="16969"/>
    <cellStyle name="Normal 4 3 12 5 2" xfId="45830"/>
    <cellStyle name="Normal 4 3 12 6" xfId="31194"/>
    <cellStyle name="Normal 4 3 13" xfId="2541"/>
    <cellStyle name="Normal 4 3 13 2" xfId="5427"/>
    <cellStyle name="Normal 4 3 13 2 2" xfId="11468"/>
    <cellStyle name="Normal 4 3 13 2 2 2" xfId="28515"/>
    <cellStyle name="Normal 4 3 13 2 2 2 2" xfId="57376"/>
    <cellStyle name="Normal 4 3 13 2 2 3" xfId="40329"/>
    <cellStyle name="Normal 4 3 13 2 3" xfId="22537"/>
    <cellStyle name="Normal 4 3 13 2 3 2" xfId="51398"/>
    <cellStyle name="Normal 4 3 13 2 4" xfId="34288"/>
    <cellStyle name="Normal 4 3 13 3" xfId="8582"/>
    <cellStyle name="Normal 4 3 13 3 2" xfId="25629"/>
    <cellStyle name="Normal 4 3 13 3 2 2" xfId="54490"/>
    <cellStyle name="Normal 4 3 13 3 3" xfId="37443"/>
    <cellStyle name="Normal 4 3 13 4" xfId="11874"/>
    <cellStyle name="Normal 4 3 13 4 2" xfId="19857"/>
    <cellStyle name="Normal 4 3 13 4 2 2" xfId="48718"/>
    <cellStyle name="Normal 4 3 13 4 3" xfId="40735"/>
    <cellStyle name="Normal 4 3 13 5" xfId="17177"/>
    <cellStyle name="Normal 4 3 13 5 2" xfId="46038"/>
    <cellStyle name="Normal 4 3 13 6" xfId="31402"/>
    <cellStyle name="Normal 4 3 14" xfId="2953"/>
    <cellStyle name="Normal 4 3 14 2" xfId="8994"/>
    <cellStyle name="Normal 4 3 14 2 2" xfId="26041"/>
    <cellStyle name="Normal 4 3 14 2 2 2" xfId="54902"/>
    <cellStyle name="Normal 4 3 14 2 3" xfId="37855"/>
    <cellStyle name="Normal 4 3 14 3" xfId="5858"/>
    <cellStyle name="Normal 4 3 14 3 2" xfId="20063"/>
    <cellStyle name="Normal 4 3 14 3 2 2" xfId="48924"/>
    <cellStyle name="Normal 4 3 14 3 3" xfId="34719"/>
    <cellStyle name="Normal 4 3 14 4" xfId="14703"/>
    <cellStyle name="Normal 4 3 14 4 2" xfId="43564"/>
    <cellStyle name="Normal 4 3 14 5" xfId="31814"/>
    <cellStyle name="Normal 4 3 15" xfId="2747"/>
    <cellStyle name="Normal 4 3 15 2" xfId="8788"/>
    <cellStyle name="Normal 4 3 15 2 2" xfId="25835"/>
    <cellStyle name="Normal 4 3 15 2 2 2" xfId="54696"/>
    <cellStyle name="Normal 4 3 15 2 3" xfId="37649"/>
    <cellStyle name="Normal 4 3 15 3" xfId="17383"/>
    <cellStyle name="Normal 4 3 15 3 2" xfId="46244"/>
    <cellStyle name="Normal 4 3 15 4" xfId="31608"/>
    <cellStyle name="Normal 4 3 16" xfId="5633"/>
    <cellStyle name="Normal 4 3 16 2" xfId="11674"/>
    <cellStyle name="Normal 4 3 16 2 2" xfId="28721"/>
    <cellStyle name="Normal 4 3 16 2 2 2" xfId="57582"/>
    <cellStyle name="Normal 4 3 16 2 3" xfId="40535"/>
    <cellStyle name="Normal 4 3 16 3" xfId="22743"/>
    <cellStyle name="Normal 4 3 16 3 2" xfId="51604"/>
    <cellStyle name="Normal 4 3 16 4" xfId="34494"/>
    <cellStyle name="Normal 4 3 17" xfId="5844"/>
    <cellStyle name="Normal 4 3 17 2" xfId="22949"/>
    <cellStyle name="Normal 4 3 17 2 2" xfId="51810"/>
    <cellStyle name="Normal 4 3 17 3" xfId="34705"/>
    <cellStyle name="Normal 4 3 18" xfId="6108"/>
    <cellStyle name="Normal 4 3 18 2" xfId="23155"/>
    <cellStyle name="Normal 4 3 18 2 2" xfId="52016"/>
    <cellStyle name="Normal 4 3 18 3" xfId="34969"/>
    <cellStyle name="Normal 4 3 19" xfId="14497"/>
    <cellStyle name="Normal 4 3 19 2" xfId="43358"/>
    <cellStyle name="Normal 4 3 2" xfId="272"/>
    <cellStyle name="Normal 4 3 2 10" xfId="2435"/>
    <cellStyle name="Normal 4 3 2 10 2" xfId="5322"/>
    <cellStyle name="Normal 4 3 2 10 2 2" xfId="11363"/>
    <cellStyle name="Normal 4 3 2 10 2 2 2" xfId="28410"/>
    <cellStyle name="Normal 4 3 2 10 2 2 2 2" xfId="57271"/>
    <cellStyle name="Normal 4 3 2 10 2 2 3" xfId="40224"/>
    <cellStyle name="Normal 4 3 2 10 2 3" xfId="22432"/>
    <cellStyle name="Normal 4 3 2 10 2 3 2" xfId="51293"/>
    <cellStyle name="Normal 4 3 2 10 2 4" xfId="34183"/>
    <cellStyle name="Normal 4 3 2 10 3" xfId="8477"/>
    <cellStyle name="Normal 4 3 2 10 3 2" xfId="25524"/>
    <cellStyle name="Normal 4 3 2 10 3 2 2" xfId="54385"/>
    <cellStyle name="Normal 4 3 2 10 3 3" xfId="37338"/>
    <cellStyle name="Normal 4 3 2 10 4" xfId="12153"/>
    <cellStyle name="Normal 4 3 2 10 4 2" xfId="19752"/>
    <cellStyle name="Normal 4 3 2 10 4 2 2" xfId="48613"/>
    <cellStyle name="Normal 4 3 2 10 4 3" xfId="41014"/>
    <cellStyle name="Normal 4 3 2 10 5" xfId="17072"/>
    <cellStyle name="Normal 4 3 2 10 5 2" xfId="45933"/>
    <cellStyle name="Normal 4 3 2 10 6" xfId="31297"/>
    <cellStyle name="Normal 4 3 2 11" xfId="2644"/>
    <cellStyle name="Normal 4 3 2 11 2" xfId="5530"/>
    <cellStyle name="Normal 4 3 2 11 2 2" xfId="11571"/>
    <cellStyle name="Normal 4 3 2 11 2 2 2" xfId="28618"/>
    <cellStyle name="Normal 4 3 2 11 2 2 2 2" xfId="57479"/>
    <cellStyle name="Normal 4 3 2 11 2 2 3" xfId="40432"/>
    <cellStyle name="Normal 4 3 2 11 2 3" xfId="22640"/>
    <cellStyle name="Normal 4 3 2 11 2 3 2" xfId="51501"/>
    <cellStyle name="Normal 4 3 2 11 2 4" xfId="34391"/>
    <cellStyle name="Normal 4 3 2 11 3" xfId="8685"/>
    <cellStyle name="Normal 4 3 2 11 3 2" xfId="25732"/>
    <cellStyle name="Normal 4 3 2 11 3 2 2" xfId="54593"/>
    <cellStyle name="Normal 4 3 2 11 3 3" xfId="37546"/>
    <cellStyle name="Normal 4 3 2 11 4" xfId="12333"/>
    <cellStyle name="Normal 4 3 2 11 4 2" xfId="19960"/>
    <cellStyle name="Normal 4 3 2 11 4 2 2" xfId="48821"/>
    <cellStyle name="Normal 4 3 2 11 4 3" xfId="41194"/>
    <cellStyle name="Normal 4 3 2 11 5" xfId="17280"/>
    <cellStyle name="Normal 4 3 2 11 5 2" xfId="46141"/>
    <cellStyle name="Normal 4 3 2 11 6" xfId="31505"/>
    <cellStyle name="Normal 4 3 2 12" xfId="3159"/>
    <cellStyle name="Normal 4 3 2 12 2" xfId="9200"/>
    <cellStyle name="Normal 4 3 2 12 2 2" xfId="26247"/>
    <cellStyle name="Normal 4 3 2 12 2 2 2" xfId="55108"/>
    <cellStyle name="Normal 4 3 2 12 2 3" xfId="38061"/>
    <cellStyle name="Normal 4 3 2 12 3" xfId="12701"/>
    <cellStyle name="Normal 4 3 2 12 3 2" xfId="20269"/>
    <cellStyle name="Normal 4 3 2 12 3 2 2" xfId="49130"/>
    <cellStyle name="Normal 4 3 2 12 3 3" xfId="41562"/>
    <cellStyle name="Normal 4 3 2 12 4" xfId="14909"/>
    <cellStyle name="Normal 4 3 2 12 4 2" xfId="43770"/>
    <cellStyle name="Normal 4 3 2 12 5" xfId="32020"/>
    <cellStyle name="Normal 4 3 2 13" xfId="2850"/>
    <cellStyle name="Normal 4 3 2 13 2" xfId="8891"/>
    <cellStyle name="Normal 4 3 2 13 2 2" xfId="25938"/>
    <cellStyle name="Normal 4 3 2 13 2 2 2" xfId="54799"/>
    <cellStyle name="Normal 4 3 2 13 2 3" xfId="37752"/>
    <cellStyle name="Normal 4 3 2 13 3" xfId="17486"/>
    <cellStyle name="Normal 4 3 2 13 3 2" xfId="46347"/>
    <cellStyle name="Normal 4 3 2 13 4" xfId="31711"/>
    <cellStyle name="Normal 4 3 2 14" xfId="5736"/>
    <cellStyle name="Normal 4 3 2 14 2" xfId="11777"/>
    <cellStyle name="Normal 4 3 2 14 2 2" xfId="28824"/>
    <cellStyle name="Normal 4 3 2 14 2 2 2" xfId="57685"/>
    <cellStyle name="Normal 4 3 2 14 2 3" xfId="40638"/>
    <cellStyle name="Normal 4 3 2 14 3" xfId="22846"/>
    <cellStyle name="Normal 4 3 2 14 3 2" xfId="51707"/>
    <cellStyle name="Normal 4 3 2 14 4" xfId="34597"/>
    <cellStyle name="Normal 4 3 2 15" xfId="5953"/>
    <cellStyle name="Normal 4 3 2 15 2" xfId="23052"/>
    <cellStyle name="Normal 4 3 2 15 2 2" xfId="51913"/>
    <cellStyle name="Normal 4 3 2 15 3" xfId="34814"/>
    <cellStyle name="Normal 4 3 2 16" xfId="6314"/>
    <cellStyle name="Normal 4 3 2 16 2" xfId="23361"/>
    <cellStyle name="Normal 4 3 2 16 2 2" xfId="52222"/>
    <cellStyle name="Normal 4 3 2 16 3" xfId="35175"/>
    <cellStyle name="Normal 4 3 2 17" xfId="14600"/>
    <cellStyle name="Normal 4 3 2 17 2" xfId="43461"/>
    <cellStyle name="Normal 4 3 2 18" xfId="29134"/>
    <cellStyle name="Normal 4 3 2 2" xfId="478"/>
    <cellStyle name="Normal 4 3 2 2 2" xfId="2229"/>
    <cellStyle name="Normal 4 3 2 2 2 2" xfId="5116"/>
    <cellStyle name="Normal 4 3 2 2 2 2 2" xfId="11157"/>
    <cellStyle name="Normal 4 3 2 2 2 2 2 2" xfId="28204"/>
    <cellStyle name="Normal 4 3 2 2 2 2 2 2 2" xfId="57065"/>
    <cellStyle name="Normal 4 3 2 2 2 2 2 3" xfId="40018"/>
    <cellStyle name="Normal 4 3 2 2 2 2 3" xfId="22226"/>
    <cellStyle name="Normal 4 3 2 2 2 2 3 2" xfId="51087"/>
    <cellStyle name="Normal 4 3 2 2 2 2 4" xfId="33977"/>
    <cellStyle name="Normal 4 3 2 2 2 3" xfId="8271"/>
    <cellStyle name="Normal 4 3 2 2 2 3 2" xfId="25318"/>
    <cellStyle name="Normal 4 3 2 2 2 3 2 2" xfId="54179"/>
    <cellStyle name="Normal 4 3 2 2 2 3 3" xfId="37132"/>
    <cellStyle name="Normal 4 3 2 2 2 4" xfId="12809"/>
    <cellStyle name="Normal 4 3 2 2 2 4 2" xfId="19546"/>
    <cellStyle name="Normal 4 3 2 2 2 4 2 2" xfId="48407"/>
    <cellStyle name="Normal 4 3 2 2 2 4 3" xfId="41670"/>
    <cellStyle name="Normal 4 3 2 2 2 5" xfId="16866"/>
    <cellStyle name="Normal 4 3 2 2 2 5 2" xfId="45727"/>
    <cellStyle name="Normal 4 3 2 2 2 6" xfId="31091"/>
    <cellStyle name="Normal 4 3 2 2 3" xfId="3365"/>
    <cellStyle name="Normal 4 3 2 2 3 2" xfId="9406"/>
    <cellStyle name="Normal 4 3 2 2 3 2 2" xfId="26453"/>
    <cellStyle name="Normal 4 3 2 2 3 2 2 2" xfId="55314"/>
    <cellStyle name="Normal 4 3 2 2 3 2 3" xfId="38267"/>
    <cellStyle name="Normal 4 3 2 2 3 3" xfId="20475"/>
    <cellStyle name="Normal 4 3 2 2 3 3 2" xfId="49336"/>
    <cellStyle name="Normal 4 3 2 2 3 4" xfId="32226"/>
    <cellStyle name="Normal 4 3 2 2 4" xfId="6520"/>
    <cellStyle name="Normal 4 3 2 2 4 2" xfId="23567"/>
    <cellStyle name="Normal 4 3 2 2 4 2 2" xfId="52428"/>
    <cellStyle name="Normal 4 3 2 2 4 3" xfId="35381"/>
    <cellStyle name="Normal 4 3 2 2 5" xfId="12685"/>
    <cellStyle name="Normal 4 3 2 2 5 2" xfId="17795"/>
    <cellStyle name="Normal 4 3 2 2 5 2 2" xfId="46656"/>
    <cellStyle name="Normal 4 3 2 2 5 3" xfId="41546"/>
    <cellStyle name="Normal 4 3 2 2 6" xfId="15115"/>
    <cellStyle name="Normal 4 3 2 2 6 2" xfId="43976"/>
    <cellStyle name="Normal 4 3 2 2 7" xfId="29340"/>
    <cellStyle name="Normal 4 3 2 3" xfId="787"/>
    <cellStyle name="Normal 4 3 2 3 2" xfId="3674"/>
    <cellStyle name="Normal 4 3 2 3 2 2" xfId="9715"/>
    <cellStyle name="Normal 4 3 2 3 2 2 2" xfId="26762"/>
    <cellStyle name="Normal 4 3 2 3 2 2 2 2" xfId="55623"/>
    <cellStyle name="Normal 4 3 2 3 2 2 3" xfId="38576"/>
    <cellStyle name="Normal 4 3 2 3 2 3" xfId="20784"/>
    <cellStyle name="Normal 4 3 2 3 2 3 2" xfId="49645"/>
    <cellStyle name="Normal 4 3 2 3 2 4" xfId="32535"/>
    <cellStyle name="Normal 4 3 2 3 3" xfId="6829"/>
    <cellStyle name="Normal 4 3 2 3 3 2" xfId="23876"/>
    <cellStyle name="Normal 4 3 2 3 3 2 2" xfId="52737"/>
    <cellStyle name="Normal 4 3 2 3 3 3" xfId="35690"/>
    <cellStyle name="Normal 4 3 2 3 4" xfId="12803"/>
    <cellStyle name="Normal 4 3 2 3 4 2" xfId="18104"/>
    <cellStyle name="Normal 4 3 2 3 4 2 2" xfId="46965"/>
    <cellStyle name="Normal 4 3 2 3 4 3" xfId="41664"/>
    <cellStyle name="Normal 4 3 2 3 5" xfId="15424"/>
    <cellStyle name="Normal 4 3 2 3 5 2" xfId="44285"/>
    <cellStyle name="Normal 4 3 2 3 6" xfId="29649"/>
    <cellStyle name="Normal 4 3 2 4" xfId="993"/>
    <cellStyle name="Normal 4 3 2 4 2" xfId="3880"/>
    <cellStyle name="Normal 4 3 2 4 2 2" xfId="9921"/>
    <cellStyle name="Normal 4 3 2 4 2 2 2" xfId="26968"/>
    <cellStyle name="Normal 4 3 2 4 2 2 2 2" xfId="55829"/>
    <cellStyle name="Normal 4 3 2 4 2 2 3" xfId="38782"/>
    <cellStyle name="Normal 4 3 2 4 2 3" xfId="20990"/>
    <cellStyle name="Normal 4 3 2 4 2 3 2" xfId="49851"/>
    <cellStyle name="Normal 4 3 2 4 2 4" xfId="32741"/>
    <cellStyle name="Normal 4 3 2 4 3" xfId="7035"/>
    <cellStyle name="Normal 4 3 2 4 3 2" xfId="24082"/>
    <cellStyle name="Normal 4 3 2 4 3 2 2" xfId="52943"/>
    <cellStyle name="Normal 4 3 2 4 3 3" xfId="35896"/>
    <cellStyle name="Normal 4 3 2 4 4" xfId="13821"/>
    <cellStyle name="Normal 4 3 2 4 4 2" xfId="18310"/>
    <cellStyle name="Normal 4 3 2 4 4 2 2" xfId="47171"/>
    <cellStyle name="Normal 4 3 2 4 4 3" xfId="42682"/>
    <cellStyle name="Normal 4 3 2 4 5" xfId="15630"/>
    <cellStyle name="Normal 4 3 2 4 5 2" xfId="44491"/>
    <cellStyle name="Normal 4 3 2 4 6" xfId="29855"/>
    <cellStyle name="Normal 4 3 2 5" xfId="1199"/>
    <cellStyle name="Normal 4 3 2 5 2" xfId="4086"/>
    <cellStyle name="Normal 4 3 2 5 2 2" xfId="10127"/>
    <cellStyle name="Normal 4 3 2 5 2 2 2" xfId="27174"/>
    <cellStyle name="Normal 4 3 2 5 2 2 2 2" xfId="56035"/>
    <cellStyle name="Normal 4 3 2 5 2 2 3" xfId="38988"/>
    <cellStyle name="Normal 4 3 2 5 2 3" xfId="21196"/>
    <cellStyle name="Normal 4 3 2 5 2 3 2" xfId="50057"/>
    <cellStyle name="Normal 4 3 2 5 2 4" xfId="32947"/>
    <cellStyle name="Normal 4 3 2 5 3" xfId="7241"/>
    <cellStyle name="Normal 4 3 2 5 3 2" xfId="24288"/>
    <cellStyle name="Normal 4 3 2 5 3 2 2" xfId="53149"/>
    <cellStyle name="Normal 4 3 2 5 3 3" xfId="36102"/>
    <cellStyle name="Normal 4 3 2 5 4" xfId="12910"/>
    <cellStyle name="Normal 4 3 2 5 4 2" xfId="18516"/>
    <cellStyle name="Normal 4 3 2 5 4 2 2" xfId="47377"/>
    <cellStyle name="Normal 4 3 2 5 4 3" xfId="41771"/>
    <cellStyle name="Normal 4 3 2 5 5" xfId="15836"/>
    <cellStyle name="Normal 4 3 2 5 5 2" xfId="44697"/>
    <cellStyle name="Normal 4 3 2 5 6" xfId="30061"/>
    <cellStyle name="Normal 4 3 2 6" xfId="1405"/>
    <cellStyle name="Normal 4 3 2 6 2" xfId="4292"/>
    <cellStyle name="Normal 4 3 2 6 2 2" xfId="10333"/>
    <cellStyle name="Normal 4 3 2 6 2 2 2" xfId="27380"/>
    <cellStyle name="Normal 4 3 2 6 2 2 2 2" xfId="56241"/>
    <cellStyle name="Normal 4 3 2 6 2 2 3" xfId="39194"/>
    <cellStyle name="Normal 4 3 2 6 2 3" xfId="21402"/>
    <cellStyle name="Normal 4 3 2 6 2 3 2" xfId="50263"/>
    <cellStyle name="Normal 4 3 2 6 2 4" xfId="33153"/>
    <cellStyle name="Normal 4 3 2 6 3" xfId="7447"/>
    <cellStyle name="Normal 4 3 2 6 3 2" xfId="24494"/>
    <cellStyle name="Normal 4 3 2 6 3 2 2" xfId="53355"/>
    <cellStyle name="Normal 4 3 2 6 3 3" xfId="36308"/>
    <cellStyle name="Normal 4 3 2 6 4" xfId="13831"/>
    <cellStyle name="Normal 4 3 2 6 4 2" xfId="18722"/>
    <cellStyle name="Normal 4 3 2 6 4 2 2" xfId="47583"/>
    <cellStyle name="Normal 4 3 2 6 4 3" xfId="42692"/>
    <cellStyle name="Normal 4 3 2 6 5" xfId="16042"/>
    <cellStyle name="Normal 4 3 2 6 5 2" xfId="44903"/>
    <cellStyle name="Normal 4 3 2 6 6" xfId="30267"/>
    <cellStyle name="Normal 4 3 2 7" xfId="1611"/>
    <cellStyle name="Normal 4 3 2 7 2" xfId="4498"/>
    <cellStyle name="Normal 4 3 2 7 2 2" xfId="10539"/>
    <cellStyle name="Normal 4 3 2 7 2 2 2" xfId="27586"/>
    <cellStyle name="Normal 4 3 2 7 2 2 2 2" xfId="56447"/>
    <cellStyle name="Normal 4 3 2 7 2 2 3" xfId="39400"/>
    <cellStyle name="Normal 4 3 2 7 2 3" xfId="21608"/>
    <cellStyle name="Normal 4 3 2 7 2 3 2" xfId="50469"/>
    <cellStyle name="Normal 4 3 2 7 2 4" xfId="33359"/>
    <cellStyle name="Normal 4 3 2 7 3" xfId="7653"/>
    <cellStyle name="Normal 4 3 2 7 3 2" xfId="24700"/>
    <cellStyle name="Normal 4 3 2 7 3 2 2" xfId="53561"/>
    <cellStyle name="Normal 4 3 2 7 3 3" xfId="36514"/>
    <cellStyle name="Normal 4 3 2 7 4" xfId="12614"/>
    <cellStyle name="Normal 4 3 2 7 4 2" xfId="18928"/>
    <cellStyle name="Normal 4 3 2 7 4 2 2" xfId="47789"/>
    <cellStyle name="Normal 4 3 2 7 4 3" xfId="41475"/>
    <cellStyle name="Normal 4 3 2 7 5" xfId="16248"/>
    <cellStyle name="Normal 4 3 2 7 5 2" xfId="45109"/>
    <cellStyle name="Normal 4 3 2 7 6" xfId="30473"/>
    <cellStyle name="Normal 4 3 2 8" xfId="1817"/>
    <cellStyle name="Normal 4 3 2 8 2" xfId="4704"/>
    <cellStyle name="Normal 4 3 2 8 2 2" xfId="10745"/>
    <cellStyle name="Normal 4 3 2 8 2 2 2" xfId="27792"/>
    <cellStyle name="Normal 4 3 2 8 2 2 2 2" xfId="56653"/>
    <cellStyle name="Normal 4 3 2 8 2 2 3" xfId="39606"/>
    <cellStyle name="Normal 4 3 2 8 2 3" xfId="21814"/>
    <cellStyle name="Normal 4 3 2 8 2 3 2" xfId="50675"/>
    <cellStyle name="Normal 4 3 2 8 2 4" xfId="33565"/>
    <cellStyle name="Normal 4 3 2 8 3" xfId="7859"/>
    <cellStyle name="Normal 4 3 2 8 3 2" xfId="24906"/>
    <cellStyle name="Normal 4 3 2 8 3 2 2" xfId="53767"/>
    <cellStyle name="Normal 4 3 2 8 3 3" xfId="36720"/>
    <cellStyle name="Normal 4 3 2 8 4" xfId="14260"/>
    <cellStyle name="Normal 4 3 2 8 4 2" xfId="19134"/>
    <cellStyle name="Normal 4 3 2 8 4 2 2" xfId="47995"/>
    <cellStyle name="Normal 4 3 2 8 4 3" xfId="43121"/>
    <cellStyle name="Normal 4 3 2 8 5" xfId="16454"/>
    <cellStyle name="Normal 4 3 2 8 5 2" xfId="45315"/>
    <cellStyle name="Normal 4 3 2 8 6" xfId="30679"/>
    <cellStyle name="Normal 4 3 2 9" xfId="2023"/>
    <cellStyle name="Normal 4 3 2 9 2" xfId="4910"/>
    <cellStyle name="Normal 4 3 2 9 2 2" xfId="10951"/>
    <cellStyle name="Normal 4 3 2 9 2 2 2" xfId="27998"/>
    <cellStyle name="Normal 4 3 2 9 2 2 2 2" xfId="56859"/>
    <cellStyle name="Normal 4 3 2 9 2 2 3" xfId="39812"/>
    <cellStyle name="Normal 4 3 2 9 2 3" xfId="22020"/>
    <cellStyle name="Normal 4 3 2 9 2 3 2" xfId="50881"/>
    <cellStyle name="Normal 4 3 2 9 2 4" xfId="33771"/>
    <cellStyle name="Normal 4 3 2 9 3" xfId="8065"/>
    <cellStyle name="Normal 4 3 2 9 3 2" xfId="25112"/>
    <cellStyle name="Normal 4 3 2 9 3 2 2" xfId="53973"/>
    <cellStyle name="Normal 4 3 2 9 3 3" xfId="36926"/>
    <cellStyle name="Normal 4 3 2 9 4" xfId="12137"/>
    <cellStyle name="Normal 4 3 2 9 4 2" xfId="19340"/>
    <cellStyle name="Normal 4 3 2 9 4 2 2" xfId="48201"/>
    <cellStyle name="Normal 4 3 2 9 4 3" xfId="40998"/>
    <cellStyle name="Normal 4 3 2 9 5" xfId="16660"/>
    <cellStyle name="Normal 4 3 2 9 5 2" xfId="45521"/>
    <cellStyle name="Normal 4 3 2 9 6" xfId="30885"/>
    <cellStyle name="Normal 4 3 20" xfId="28928"/>
    <cellStyle name="Normal 4 3 3" xfId="169"/>
    <cellStyle name="Normal 4 3 3 2" xfId="581"/>
    <cellStyle name="Normal 4 3 3 2 2" xfId="3468"/>
    <cellStyle name="Normal 4 3 3 2 2 2" xfId="9509"/>
    <cellStyle name="Normal 4 3 3 2 2 2 2" xfId="26556"/>
    <cellStyle name="Normal 4 3 3 2 2 2 2 2" xfId="55417"/>
    <cellStyle name="Normal 4 3 3 2 2 2 3" xfId="38370"/>
    <cellStyle name="Normal 4 3 3 2 2 3" xfId="20578"/>
    <cellStyle name="Normal 4 3 3 2 2 3 2" xfId="49439"/>
    <cellStyle name="Normal 4 3 3 2 2 4" xfId="32329"/>
    <cellStyle name="Normal 4 3 3 2 3" xfId="6623"/>
    <cellStyle name="Normal 4 3 3 2 3 2" xfId="23670"/>
    <cellStyle name="Normal 4 3 3 2 3 2 2" xfId="52531"/>
    <cellStyle name="Normal 4 3 3 2 3 3" xfId="35484"/>
    <cellStyle name="Normal 4 3 3 2 4" xfId="12463"/>
    <cellStyle name="Normal 4 3 3 2 4 2" xfId="17898"/>
    <cellStyle name="Normal 4 3 3 2 4 2 2" xfId="46759"/>
    <cellStyle name="Normal 4 3 3 2 4 3" xfId="41324"/>
    <cellStyle name="Normal 4 3 3 2 5" xfId="15218"/>
    <cellStyle name="Normal 4 3 3 2 5 2" xfId="44079"/>
    <cellStyle name="Normal 4 3 3 2 6" xfId="29443"/>
    <cellStyle name="Normal 4 3 3 3" xfId="2126"/>
    <cellStyle name="Normal 4 3 3 3 2" xfId="5013"/>
    <cellStyle name="Normal 4 3 3 3 2 2" xfId="11054"/>
    <cellStyle name="Normal 4 3 3 3 2 2 2" xfId="28101"/>
    <cellStyle name="Normal 4 3 3 3 2 2 2 2" xfId="56962"/>
    <cellStyle name="Normal 4 3 3 3 2 2 3" xfId="39915"/>
    <cellStyle name="Normal 4 3 3 3 2 3" xfId="22123"/>
    <cellStyle name="Normal 4 3 3 3 2 3 2" xfId="50984"/>
    <cellStyle name="Normal 4 3 3 3 2 4" xfId="33874"/>
    <cellStyle name="Normal 4 3 3 3 3" xfId="8168"/>
    <cellStyle name="Normal 4 3 3 3 3 2" xfId="25215"/>
    <cellStyle name="Normal 4 3 3 3 3 2 2" xfId="54076"/>
    <cellStyle name="Normal 4 3 3 3 3 3" xfId="37029"/>
    <cellStyle name="Normal 4 3 3 3 4" xfId="11888"/>
    <cellStyle name="Normal 4 3 3 3 4 2" xfId="19443"/>
    <cellStyle name="Normal 4 3 3 3 4 2 2" xfId="48304"/>
    <cellStyle name="Normal 4 3 3 3 4 3" xfId="40749"/>
    <cellStyle name="Normal 4 3 3 3 5" xfId="16763"/>
    <cellStyle name="Normal 4 3 3 3 5 2" xfId="45624"/>
    <cellStyle name="Normal 4 3 3 3 6" xfId="30988"/>
    <cellStyle name="Normal 4 3 3 4" xfId="3056"/>
    <cellStyle name="Normal 4 3 3 4 2" xfId="9097"/>
    <cellStyle name="Normal 4 3 3 4 2 2" xfId="26144"/>
    <cellStyle name="Normal 4 3 3 4 2 2 2" xfId="55005"/>
    <cellStyle name="Normal 4 3 3 4 2 3" xfId="37958"/>
    <cellStyle name="Normal 4 3 3 4 3" xfId="20166"/>
    <cellStyle name="Normal 4 3 3 4 3 2" xfId="49027"/>
    <cellStyle name="Normal 4 3 3 4 4" xfId="31917"/>
    <cellStyle name="Normal 4 3 3 5" xfId="6211"/>
    <cellStyle name="Normal 4 3 3 5 2" xfId="23258"/>
    <cellStyle name="Normal 4 3 3 5 2 2" xfId="52119"/>
    <cellStyle name="Normal 4 3 3 5 3" xfId="35072"/>
    <cellStyle name="Normal 4 3 3 6" xfId="14073"/>
    <cellStyle name="Normal 4 3 3 6 2" xfId="17589"/>
    <cellStyle name="Normal 4 3 3 6 2 2" xfId="46450"/>
    <cellStyle name="Normal 4 3 3 6 3" xfId="42934"/>
    <cellStyle name="Normal 4 3 3 7" xfId="14806"/>
    <cellStyle name="Normal 4 3 3 7 2" xfId="43667"/>
    <cellStyle name="Normal 4 3 3 8" xfId="29031"/>
    <cellStyle name="Normal 4 3 4" xfId="375"/>
    <cellStyle name="Normal 4 3 4 2" xfId="3262"/>
    <cellStyle name="Normal 4 3 4 2 2" xfId="9303"/>
    <cellStyle name="Normal 4 3 4 2 2 2" xfId="26350"/>
    <cellStyle name="Normal 4 3 4 2 2 2 2" xfId="55211"/>
    <cellStyle name="Normal 4 3 4 2 2 3" xfId="38164"/>
    <cellStyle name="Normal 4 3 4 2 3" xfId="20372"/>
    <cellStyle name="Normal 4 3 4 2 3 2" xfId="49233"/>
    <cellStyle name="Normal 4 3 4 2 4" xfId="32123"/>
    <cellStyle name="Normal 4 3 4 3" xfId="6417"/>
    <cellStyle name="Normal 4 3 4 3 2" xfId="23464"/>
    <cellStyle name="Normal 4 3 4 3 2 2" xfId="52325"/>
    <cellStyle name="Normal 4 3 4 3 3" xfId="35278"/>
    <cellStyle name="Normal 4 3 4 4" xfId="14249"/>
    <cellStyle name="Normal 4 3 4 4 2" xfId="17692"/>
    <cellStyle name="Normal 4 3 4 4 2 2" xfId="46553"/>
    <cellStyle name="Normal 4 3 4 4 3" xfId="43110"/>
    <cellStyle name="Normal 4 3 4 5" xfId="15012"/>
    <cellStyle name="Normal 4 3 4 5 2" xfId="43873"/>
    <cellStyle name="Normal 4 3 4 6" xfId="29237"/>
    <cellStyle name="Normal 4 3 5" xfId="684"/>
    <cellStyle name="Normal 4 3 5 2" xfId="3571"/>
    <cellStyle name="Normal 4 3 5 2 2" xfId="9612"/>
    <cellStyle name="Normal 4 3 5 2 2 2" xfId="26659"/>
    <cellStyle name="Normal 4 3 5 2 2 2 2" xfId="55520"/>
    <cellStyle name="Normal 4 3 5 2 2 3" xfId="38473"/>
    <cellStyle name="Normal 4 3 5 2 3" xfId="20681"/>
    <cellStyle name="Normal 4 3 5 2 3 2" xfId="49542"/>
    <cellStyle name="Normal 4 3 5 2 4" xfId="32432"/>
    <cellStyle name="Normal 4 3 5 3" xfId="6726"/>
    <cellStyle name="Normal 4 3 5 3 2" xfId="23773"/>
    <cellStyle name="Normal 4 3 5 3 2 2" xfId="52634"/>
    <cellStyle name="Normal 4 3 5 3 3" xfId="35587"/>
    <cellStyle name="Normal 4 3 5 4" xfId="12533"/>
    <cellStyle name="Normal 4 3 5 4 2" xfId="18001"/>
    <cellStyle name="Normal 4 3 5 4 2 2" xfId="46862"/>
    <cellStyle name="Normal 4 3 5 4 3" xfId="41394"/>
    <cellStyle name="Normal 4 3 5 5" xfId="15321"/>
    <cellStyle name="Normal 4 3 5 5 2" xfId="44182"/>
    <cellStyle name="Normal 4 3 5 6" xfId="29546"/>
    <cellStyle name="Normal 4 3 6" xfId="890"/>
    <cellStyle name="Normal 4 3 6 2" xfId="3777"/>
    <cellStyle name="Normal 4 3 6 2 2" xfId="9818"/>
    <cellStyle name="Normal 4 3 6 2 2 2" xfId="26865"/>
    <cellStyle name="Normal 4 3 6 2 2 2 2" xfId="55726"/>
    <cellStyle name="Normal 4 3 6 2 2 3" xfId="38679"/>
    <cellStyle name="Normal 4 3 6 2 3" xfId="20887"/>
    <cellStyle name="Normal 4 3 6 2 3 2" xfId="49748"/>
    <cellStyle name="Normal 4 3 6 2 4" xfId="32638"/>
    <cellStyle name="Normal 4 3 6 3" xfId="6932"/>
    <cellStyle name="Normal 4 3 6 3 2" xfId="23979"/>
    <cellStyle name="Normal 4 3 6 3 2 2" xfId="52840"/>
    <cellStyle name="Normal 4 3 6 3 3" xfId="35793"/>
    <cellStyle name="Normal 4 3 6 4" xfId="13053"/>
    <cellStyle name="Normal 4 3 6 4 2" xfId="18207"/>
    <cellStyle name="Normal 4 3 6 4 2 2" xfId="47068"/>
    <cellStyle name="Normal 4 3 6 4 3" xfId="41914"/>
    <cellStyle name="Normal 4 3 6 5" xfId="15527"/>
    <cellStyle name="Normal 4 3 6 5 2" xfId="44388"/>
    <cellStyle name="Normal 4 3 6 6" xfId="29752"/>
    <cellStyle name="Normal 4 3 7" xfId="1096"/>
    <cellStyle name="Normal 4 3 7 2" xfId="3983"/>
    <cellStyle name="Normal 4 3 7 2 2" xfId="10024"/>
    <cellStyle name="Normal 4 3 7 2 2 2" xfId="27071"/>
    <cellStyle name="Normal 4 3 7 2 2 2 2" xfId="55932"/>
    <cellStyle name="Normal 4 3 7 2 2 3" xfId="38885"/>
    <cellStyle name="Normal 4 3 7 2 3" xfId="21093"/>
    <cellStyle name="Normal 4 3 7 2 3 2" xfId="49954"/>
    <cellStyle name="Normal 4 3 7 2 4" xfId="32844"/>
    <cellStyle name="Normal 4 3 7 3" xfId="7138"/>
    <cellStyle name="Normal 4 3 7 3 2" xfId="24185"/>
    <cellStyle name="Normal 4 3 7 3 2 2" xfId="53046"/>
    <cellStyle name="Normal 4 3 7 3 3" xfId="35999"/>
    <cellStyle name="Normal 4 3 7 4" xfId="14022"/>
    <cellStyle name="Normal 4 3 7 4 2" xfId="18413"/>
    <cellStyle name="Normal 4 3 7 4 2 2" xfId="47274"/>
    <cellStyle name="Normal 4 3 7 4 3" xfId="42883"/>
    <cellStyle name="Normal 4 3 7 5" xfId="15733"/>
    <cellStyle name="Normal 4 3 7 5 2" xfId="44594"/>
    <cellStyle name="Normal 4 3 7 6" xfId="29958"/>
    <cellStyle name="Normal 4 3 8" xfId="1302"/>
    <cellStyle name="Normal 4 3 8 2" xfId="4189"/>
    <cellStyle name="Normal 4 3 8 2 2" xfId="10230"/>
    <cellStyle name="Normal 4 3 8 2 2 2" xfId="27277"/>
    <cellStyle name="Normal 4 3 8 2 2 2 2" xfId="56138"/>
    <cellStyle name="Normal 4 3 8 2 2 3" xfId="39091"/>
    <cellStyle name="Normal 4 3 8 2 3" xfId="21299"/>
    <cellStyle name="Normal 4 3 8 2 3 2" xfId="50160"/>
    <cellStyle name="Normal 4 3 8 2 4" xfId="33050"/>
    <cellStyle name="Normal 4 3 8 3" xfId="7344"/>
    <cellStyle name="Normal 4 3 8 3 2" xfId="24391"/>
    <cellStyle name="Normal 4 3 8 3 2 2" xfId="53252"/>
    <cellStyle name="Normal 4 3 8 3 3" xfId="36205"/>
    <cellStyle name="Normal 4 3 8 4" xfId="12879"/>
    <cellStyle name="Normal 4 3 8 4 2" xfId="18619"/>
    <cellStyle name="Normal 4 3 8 4 2 2" xfId="47480"/>
    <cellStyle name="Normal 4 3 8 4 3" xfId="41740"/>
    <cellStyle name="Normal 4 3 8 5" xfId="15939"/>
    <cellStyle name="Normal 4 3 8 5 2" xfId="44800"/>
    <cellStyle name="Normal 4 3 8 6" xfId="30164"/>
    <cellStyle name="Normal 4 3 9" xfId="1508"/>
    <cellStyle name="Normal 4 3 9 2" xfId="4395"/>
    <cellStyle name="Normal 4 3 9 2 2" xfId="10436"/>
    <cellStyle name="Normal 4 3 9 2 2 2" xfId="27483"/>
    <cellStyle name="Normal 4 3 9 2 2 2 2" xfId="56344"/>
    <cellStyle name="Normal 4 3 9 2 2 3" xfId="39297"/>
    <cellStyle name="Normal 4 3 9 2 3" xfId="21505"/>
    <cellStyle name="Normal 4 3 9 2 3 2" xfId="50366"/>
    <cellStyle name="Normal 4 3 9 2 4" xfId="33256"/>
    <cellStyle name="Normal 4 3 9 3" xfId="7550"/>
    <cellStyle name="Normal 4 3 9 3 2" xfId="24597"/>
    <cellStyle name="Normal 4 3 9 3 2 2" xfId="53458"/>
    <cellStyle name="Normal 4 3 9 3 3" xfId="36411"/>
    <cellStyle name="Normal 4 3 9 4" xfId="13879"/>
    <cellStyle name="Normal 4 3 9 4 2" xfId="18825"/>
    <cellStyle name="Normal 4 3 9 4 2 2" xfId="47686"/>
    <cellStyle name="Normal 4 3 9 4 3" xfId="42740"/>
    <cellStyle name="Normal 4 3 9 5" xfId="16145"/>
    <cellStyle name="Normal 4 3 9 5 2" xfId="45006"/>
    <cellStyle name="Normal 4 3 9 6" xfId="30370"/>
    <cellStyle name="Normal 4 4" xfId="35"/>
    <cellStyle name="Normal 4 4 10" xfId="1715"/>
    <cellStyle name="Normal 4 4 10 2" xfId="4602"/>
    <cellStyle name="Normal 4 4 10 2 2" xfId="10643"/>
    <cellStyle name="Normal 4 4 10 2 2 2" xfId="27690"/>
    <cellStyle name="Normal 4 4 10 2 2 2 2" xfId="56551"/>
    <cellStyle name="Normal 4 4 10 2 2 3" xfId="39504"/>
    <cellStyle name="Normal 4 4 10 2 3" xfId="21712"/>
    <cellStyle name="Normal 4 4 10 2 3 2" xfId="50573"/>
    <cellStyle name="Normal 4 4 10 2 4" xfId="33463"/>
    <cellStyle name="Normal 4 4 10 3" xfId="7757"/>
    <cellStyle name="Normal 4 4 10 3 2" xfId="24804"/>
    <cellStyle name="Normal 4 4 10 3 2 2" xfId="53665"/>
    <cellStyle name="Normal 4 4 10 3 3" xfId="36618"/>
    <cellStyle name="Normal 4 4 10 4" xfId="6059"/>
    <cellStyle name="Normal 4 4 10 4 2" xfId="19032"/>
    <cellStyle name="Normal 4 4 10 4 2 2" xfId="47893"/>
    <cellStyle name="Normal 4 4 10 4 3" xfId="34920"/>
    <cellStyle name="Normal 4 4 10 5" xfId="16352"/>
    <cellStyle name="Normal 4 4 10 5 2" xfId="45213"/>
    <cellStyle name="Normal 4 4 10 6" xfId="30577"/>
    <cellStyle name="Normal 4 4 11" xfId="1921"/>
    <cellStyle name="Normal 4 4 11 2" xfId="4808"/>
    <cellStyle name="Normal 4 4 11 2 2" xfId="10849"/>
    <cellStyle name="Normal 4 4 11 2 2 2" xfId="27896"/>
    <cellStyle name="Normal 4 4 11 2 2 2 2" xfId="56757"/>
    <cellStyle name="Normal 4 4 11 2 2 3" xfId="39710"/>
    <cellStyle name="Normal 4 4 11 2 3" xfId="21918"/>
    <cellStyle name="Normal 4 4 11 2 3 2" xfId="50779"/>
    <cellStyle name="Normal 4 4 11 2 4" xfId="33669"/>
    <cellStyle name="Normal 4 4 11 3" xfId="7963"/>
    <cellStyle name="Normal 4 4 11 3 2" xfId="25010"/>
    <cellStyle name="Normal 4 4 11 3 2 2" xfId="53871"/>
    <cellStyle name="Normal 4 4 11 3 3" xfId="36824"/>
    <cellStyle name="Normal 4 4 11 4" xfId="12793"/>
    <cellStyle name="Normal 4 4 11 4 2" xfId="19238"/>
    <cellStyle name="Normal 4 4 11 4 2 2" xfId="48099"/>
    <cellStyle name="Normal 4 4 11 4 3" xfId="41654"/>
    <cellStyle name="Normal 4 4 11 5" xfId="16558"/>
    <cellStyle name="Normal 4 4 11 5 2" xfId="45419"/>
    <cellStyle name="Normal 4 4 11 6" xfId="30783"/>
    <cellStyle name="Normal 4 4 12" xfId="2333"/>
    <cellStyle name="Normal 4 4 12 2" xfId="5220"/>
    <cellStyle name="Normal 4 4 12 2 2" xfId="11261"/>
    <cellStyle name="Normal 4 4 12 2 2 2" xfId="28308"/>
    <cellStyle name="Normal 4 4 12 2 2 2 2" xfId="57169"/>
    <cellStyle name="Normal 4 4 12 2 2 3" xfId="40122"/>
    <cellStyle name="Normal 4 4 12 2 3" xfId="22330"/>
    <cellStyle name="Normal 4 4 12 2 3 2" xfId="51191"/>
    <cellStyle name="Normal 4 4 12 2 4" xfId="34081"/>
    <cellStyle name="Normal 4 4 12 3" xfId="8375"/>
    <cellStyle name="Normal 4 4 12 3 2" xfId="25422"/>
    <cellStyle name="Normal 4 4 12 3 2 2" xfId="54283"/>
    <cellStyle name="Normal 4 4 12 3 3" xfId="37236"/>
    <cellStyle name="Normal 4 4 12 4" xfId="12296"/>
    <cellStyle name="Normal 4 4 12 4 2" xfId="19650"/>
    <cellStyle name="Normal 4 4 12 4 2 2" xfId="48511"/>
    <cellStyle name="Normal 4 4 12 4 3" xfId="41157"/>
    <cellStyle name="Normal 4 4 12 5" xfId="16970"/>
    <cellStyle name="Normal 4 4 12 5 2" xfId="45831"/>
    <cellStyle name="Normal 4 4 12 6" xfId="31195"/>
    <cellStyle name="Normal 4 4 13" xfId="2542"/>
    <cellStyle name="Normal 4 4 13 2" xfId="5428"/>
    <cellStyle name="Normal 4 4 13 2 2" xfId="11469"/>
    <cellStyle name="Normal 4 4 13 2 2 2" xfId="28516"/>
    <cellStyle name="Normal 4 4 13 2 2 2 2" xfId="57377"/>
    <cellStyle name="Normal 4 4 13 2 2 3" xfId="40330"/>
    <cellStyle name="Normal 4 4 13 2 3" xfId="22538"/>
    <cellStyle name="Normal 4 4 13 2 3 2" xfId="51399"/>
    <cellStyle name="Normal 4 4 13 2 4" xfId="34289"/>
    <cellStyle name="Normal 4 4 13 3" xfId="8583"/>
    <cellStyle name="Normal 4 4 13 3 2" xfId="25630"/>
    <cellStyle name="Normal 4 4 13 3 2 2" xfId="54491"/>
    <cellStyle name="Normal 4 4 13 3 3" xfId="37444"/>
    <cellStyle name="Normal 4 4 13 4" xfId="13072"/>
    <cellStyle name="Normal 4 4 13 4 2" xfId="19858"/>
    <cellStyle name="Normal 4 4 13 4 2 2" xfId="48719"/>
    <cellStyle name="Normal 4 4 13 4 3" xfId="41933"/>
    <cellStyle name="Normal 4 4 13 5" xfId="17178"/>
    <cellStyle name="Normal 4 4 13 5 2" xfId="46039"/>
    <cellStyle name="Normal 4 4 13 6" xfId="31403"/>
    <cellStyle name="Normal 4 4 14" xfId="2954"/>
    <cellStyle name="Normal 4 4 14 2" xfId="8995"/>
    <cellStyle name="Normal 4 4 14 2 2" xfId="26042"/>
    <cellStyle name="Normal 4 4 14 2 2 2" xfId="54903"/>
    <cellStyle name="Normal 4 4 14 2 3" xfId="37856"/>
    <cellStyle name="Normal 4 4 14 3" xfId="13645"/>
    <cellStyle name="Normal 4 4 14 3 2" xfId="20064"/>
    <cellStyle name="Normal 4 4 14 3 2 2" xfId="48925"/>
    <cellStyle name="Normal 4 4 14 3 3" xfId="42506"/>
    <cellStyle name="Normal 4 4 14 4" xfId="14704"/>
    <cellStyle name="Normal 4 4 14 4 2" xfId="43565"/>
    <cellStyle name="Normal 4 4 14 5" xfId="31815"/>
    <cellStyle name="Normal 4 4 15" xfId="2748"/>
    <cellStyle name="Normal 4 4 15 2" xfId="8789"/>
    <cellStyle name="Normal 4 4 15 2 2" xfId="25836"/>
    <cellStyle name="Normal 4 4 15 2 2 2" xfId="54697"/>
    <cellStyle name="Normal 4 4 15 2 3" xfId="37650"/>
    <cellStyle name="Normal 4 4 15 3" xfId="17384"/>
    <cellStyle name="Normal 4 4 15 3 2" xfId="46245"/>
    <cellStyle name="Normal 4 4 15 4" xfId="31609"/>
    <cellStyle name="Normal 4 4 16" xfId="5634"/>
    <cellStyle name="Normal 4 4 16 2" xfId="11675"/>
    <cellStyle name="Normal 4 4 16 2 2" xfId="28722"/>
    <cellStyle name="Normal 4 4 16 2 2 2" xfId="57583"/>
    <cellStyle name="Normal 4 4 16 2 3" xfId="40536"/>
    <cellStyle name="Normal 4 4 16 3" xfId="22744"/>
    <cellStyle name="Normal 4 4 16 3 2" xfId="51605"/>
    <cellStyle name="Normal 4 4 16 4" xfId="34495"/>
    <cellStyle name="Normal 4 4 17" xfId="5845"/>
    <cellStyle name="Normal 4 4 17 2" xfId="22950"/>
    <cellStyle name="Normal 4 4 17 2 2" xfId="51811"/>
    <cellStyle name="Normal 4 4 17 3" xfId="34706"/>
    <cellStyle name="Normal 4 4 18" xfId="6109"/>
    <cellStyle name="Normal 4 4 18 2" xfId="23156"/>
    <cellStyle name="Normal 4 4 18 2 2" xfId="52017"/>
    <cellStyle name="Normal 4 4 18 3" xfId="34970"/>
    <cellStyle name="Normal 4 4 19" xfId="14498"/>
    <cellStyle name="Normal 4 4 19 2" xfId="43359"/>
    <cellStyle name="Normal 4 4 2" xfId="273"/>
    <cellStyle name="Normal 4 4 2 10" xfId="2436"/>
    <cellStyle name="Normal 4 4 2 10 2" xfId="5323"/>
    <cellStyle name="Normal 4 4 2 10 2 2" xfId="11364"/>
    <cellStyle name="Normal 4 4 2 10 2 2 2" xfId="28411"/>
    <cellStyle name="Normal 4 4 2 10 2 2 2 2" xfId="57272"/>
    <cellStyle name="Normal 4 4 2 10 2 2 3" xfId="40225"/>
    <cellStyle name="Normal 4 4 2 10 2 3" xfId="22433"/>
    <cellStyle name="Normal 4 4 2 10 2 3 2" xfId="51294"/>
    <cellStyle name="Normal 4 4 2 10 2 4" xfId="34184"/>
    <cellStyle name="Normal 4 4 2 10 3" xfId="8478"/>
    <cellStyle name="Normal 4 4 2 10 3 2" xfId="25525"/>
    <cellStyle name="Normal 4 4 2 10 3 2 2" xfId="54386"/>
    <cellStyle name="Normal 4 4 2 10 3 3" xfId="37339"/>
    <cellStyle name="Normal 4 4 2 10 4" xfId="12724"/>
    <cellStyle name="Normal 4 4 2 10 4 2" xfId="19753"/>
    <cellStyle name="Normal 4 4 2 10 4 2 2" xfId="48614"/>
    <cellStyle name="Normal 4 4 2 10 4 3" xfId="41585"/>
    <cellStyle name="Normal 4 4 2 10 5" xfId="17073"/>
    <cellStyle name="Normal 4 4 2 10 5 2" xfId="45934"/>
    <cellStyle name="Normal 4 4 2 10 6" xfId="31298"/>
    <cellStyle name="Normal 4 4 2 11" xfId="2645"/>
    <cellStyle name="Normal 4 4 2 11 2" xfId="5531"/>
    <cellStyle name="Normal 4 4 2 11 2 2" xfId="11572"/>
    <cellStyle name="Normal 4 4 2 11 2 2 2" xfId="28619"/>
    <cellStyle name="Normal 4 4 2 11 2 2 2 2" xfId="57480"/>
    <cellStyle name="Normal 4 4 2 11 2 2 3" xfId="40433"/>
    <cellStyle name="Normal 4 4 2 11 2 3" xfId="22641"/>
    <cellStyle name="Normal 4 4 2 11 2 3 2" xfId="51502"/>
    <cellStyle name="Normal 4 4 2 11 2 4" xfId="34392"/>
    <cellStyle name="Normal 4 4 2 11 3" xfId="8686"/>
    <cellStyle name="Normal 4 4 2 11 3 2" xfId="25733"/>
    <cellStyle name="Normal 4 4 2 11 3 2 2" xfId="54594"/>
    <cellStyle name="Normal 4 4 2 11 3 3" xfId="37547"/>
    <cellStyle name="Normal 4 4 2 11 4" xfId="5834"/>
    <cellStyle name="Normal 4 4 2 11 4 2" xfId="19961"/>
    <cellStyle name="Normal 4 4 2 11 4 2 2" xfId="48822"/>
    <cellStyle name="Normal 4 4 2 11 4 3" xfId="34695"/>
    <cellStyle name="Normal 4 4 2 11 5" xfId="17281"/>
    <cellStyle name="Normal 4 4 2 11 5 2" xfId="46142"/>
    <cellStyle name="Normal 4 4 2 11 6" xfId="31506"/>
    <cellStyle name="Normal 4 4 2 12" xfId="3160"/>
    <cellStyle name="Normal 4 4 2 12 2" xfId="9201"/>
    <cellStyle name="Normal 4 4 2 12 2 2" xfId="26248"/>
    <cellStyle name="Normal 4 4 2 12 2 2 2" xfId="55109"/>
    <cellStyle name="Normal 4 4 2 12 2 3" xfId="38062"/>
    <cellStyle name="Normal 4 4 2 12 3" xfId="13521"/>
    <cellStyle name="Normal 4 4 2 12 3 2" xfId="20270"/>
    <cellStyle name="Normal 4 4 2 12 3 2 2" xfId="49131"/>
    <cellStyle name="Normal 4 4 2 12 3 3" xfId="42382"/>
    <cellStyle name="Normal 4 4 2 12 4" xfId="14910"/>
    <cellStyle name="Normal 4 4 2 12 4 2" xfId="43771"/>
    <cellStyle name="Normal 4 4 2 12 5" xfId="32021"/>
    <cellStyle name="Normal 4 4 2 13" xfId="2851"/>
    <cellStyle name="Normal 4 4 2 13 2" xfId="8892"/>
    <cellStyle name="Normal 4 4 2 13 2 2" xfId="25939"/>
    <cellStyle name="Normal 4 4 2 13 2 2 2" xfId="54800"/>
    <cellStyle name="Normal 4 4 2 13 2 3" xfId="37753"/>
    <cellStyle name="Normal 4 4 2 13 3" xfId="17487"/>
    <cellStyle name="Normal 4 4 2 13 3 2" xfId="46348"/>
    <cellStyle name="Normal 4 4 2 13 4" xfId="31712"/>
    <cellStyle name="Normal 4 4 2 14" xfId="5737"/>
    <cellStyle name="Normal 4 4 2 14 2" xfId="11778"/>
    <cellStyle name="Normal 4 4 2 14 2 2" xfId="28825"/>
    <cellStyle name="Normal 4 4 2 14 2 2 2" xfId="57686"/>
    <cellStyle name="Normal 4 4 2 14 2 3" xfId="40639"/>
    <cellStyle name="Normal 4 4 2 14 3" xfId="22847"/>
    <cellStyle name="Normal 4 4 2 14 3 2" xfId="51708"/>
    <cellStyle name="Normal 4 4 2 14 4" xfId="34598"/>
    <cellStyle name="Normal 4 4 2 15" xfId="5954"/>
    <cellStyle name="Normal 4 4 2 15 2" xfId="23053"/>
    <cellStyle name="Normal 4 4 2 15 2 2" xfId="51914"/>
    <cellStyle name="Normal 4 4 2 15 3" xfId="34815"/>
    <cellStyle name="Normal 4 4 2 16" xfId="6315"/>
    <cellStyle name="Normal 4 4 2 16 2" xfId="23362"/>
    <cellStyle name="Normal 4 4 2 16 2 2" xfId="52223"/>
    <cellStyle name="Normal 4 4 2 16 3" xfId="35176"/>
    <cellStyle name="Normal 4 4 2 17" xfId="14601"/>
    <cellStyle name="Normal 4 4 2 17 2" xfId="43462"/>
    <cellStyle name="Normal 4 4 2 18" xfId="29135"/>
    <cellStyle name="Normal 4 4 2 2" xfId="479"/>
    <cellStyle name="Normal 4 4 2 2 2" xfId="2230"/>
    <cellStyle name="Normal 4 4 2 2 2 2" xfId="5117"/>
    <cellStyle name="Normal 4 4 2 2 2 2 2" xfId="11158"/>
    <cellStyle name="Normal 4 4 2 2 2 2 2 2" xfId="28205"/>
    <cellStyle name="Normal 4 4 2 2 2 2 2 2 2" xfId="57066"/>
    <cellStyle name="Normal 4 4 2 2 2 2 2 3" xfId="40019"/>
    <cellStyle name="Normal 4 4 2 2 2 2 3" xfId="22227"/>
    <cellStyle name="Normal 4 4 2 2 2 2 3 2" xfId="51088"/>
    <cellStyle name="Normal 4 4 2 2 2 2 4" xfId="33978"/>
    <cellStyle name="Normal 4 4 2 2 2 3" xfId="8272"/>
    <cellStyle name="Normal 4 4 2 2 2 3 2" xfId="25319"/>
    <cellStyle name="Normal 4 4 2 2 2 3 2 2" xfId="54180"/>
    <cellStyle name="Normal 4 4 2 2 2 3 3" xfId="37133"/>
    <cellStyle name="Normal 4 4 2 2 2 4" xfId="11941"/>
    <cellStyle name="Normal 4 4 2 2 2 4 2" xfId="19547"/>
    <cellStyle name="Normal 4 4 2 2 2 4 2 2" xfId="48408"/>
    <cellStyle name="Normal 4 4 2 2 2 4 3" xfId="40802"/>
    <cellStyle name="Normal 4 4 2 2 2 5" xfId="16867"/>
    <cellStyle name="Normal 4 4 2 2 2 5 2" xfId="45728"/>
    <cellStyle name="Normal 4 4 2 2 2 6" xfId="31092"/>
    <cellStyle name="Normal 4 4 2 2 3" xfId="3366"/>
    <cellStyle name="Normal 4 4 2 2 3 2" xfId="9407"/>
    <cellStyle name="Normal 4 4 2 2 3 2 2" xfId="26454"/>
    <cellStyle name="Normal 4 4 2 2 3 2 2 2" xfId="55315"/>
    <cellStyle name="Normal 4 4 2 2 3 2 3" xfId="38268"/>
    <cellStyle name="Normal 4 4 2 2 3 3" xfId="20476"/>
    <cellStyle name="Normal 4 4 2 2 3 3 2" xfId="49337"/>
    <cellStyle name="Normal 4 4 2 2 3 4" xfId="32227"/>
    <cellStyle name="Normal 4 4 2 2 4" xfId="6521"/>
    <cellStyle name="Normal 4 4 2 2 4 2" xfId="23568"/>
    <cellStyle name="Normal 4 4 2 2 4 2 2" xfId="52429"/>
    <cellStyle name="Normal 4 4 2 2 4 3" xfId="35382"/>
    <cellStyle name="Normal 4 4 2 2 5" xfId="12989"/>
    <cellStyle name="Normal 4 4 2 2 5 2" xfId="17796"/>
    <cellStyle name="Normal 4 4 2 2 5 2 2" xfId="46657"/>
    <cellStyle name="Normal 4 4 2 2 5 3" xfId="41850"/>
    <cellStyle name="Normal 4 4 2 2 6" xfId="15116"/>
    <cellStyle name="Normal 4 4 2 2 6 2" xfId="43977"/>
    <cellStyle name="Normal 4 4 2 2 7" xfId="29341"/>
    <cellStyle name="Normal 4 4 2 3" xfId="788"/>
    <cellStyle name="Normal 4 4 2 3 2" xfId="3675"/>
    <cellStyle name="Normal 4 4 2 3 2 2" xfId="9716"/>
    <cellStyle name="Normal 4 4 2 3 2 2 2" xfId="26763"/>
    <cellStyle name="Normal 4 4 2 3 2 2 2 2" xfId="55624"/>
    <cellStyle name="Normal 4 4 2 3 2 2 3" xfId="38577"/>
    <cellStyle name="Normal 4 4 2 3 2 3" xfId="20785"/>
    <cellStyle name="Normal 4 4 2 3 2 3 2" xfId="49646"/>
    <cellStyle name="Normal 4 4 2 3 2 4" xfId="32536"/>
    <cellStyle name="Normal 4 4 2 3 3" xfId="6830"/>
    <cellStyle name="Normal 4 4 2 3 3 2" xfId="23877"/>
    <cellStyle name="Normal 4 4 2 3 3 2 2" xfId="52738"/>
    <cellStyle name="Normal 4 4 2 3 3 3" xfId="35691"/>
    <cellStyle name="Normal 4 4 2 3 4" xfId="14062"/>
    <cellStyle name="Normal 4 4 2 3 4 2" xfId="18105"/>
    <cellStyle name="Normal 4 4 2 3 4 2 2" xfId="46966"/>
    <cellStyle name="Normal 4 4 2 3 4 3" xfId="42923"/>
    <cellStyle name="Normal 4 4 2 3 5" xfId="15425"/>
    <cellStyle name="Normal 4 4 2 3 5 2" xfId="44286"/>
    <cellStyle name="Normal 4 4 2 3 6" xfId="29650"/>
    <cellStyle name="Normal 4 4 2 4" xfId="994"/>
    <cellStyle name="Normal 4 4 2 4 2" xfId="3881"/>
    <cellStyle name="Normal 4 4 2 4 2 2" xfId="9922"/>
    <cellStyle name="Normal 4 4 2 4 2 2 2" xfId="26969"/>
    <cellStyle name="Normal 4 4 2 4 2 2 2 2" xfId="55830"/>
    <cellStyle name="Normal 4 4 2 4 2 2 3" xfId="38783"/>
    <cellStyle name="Normal 4 4 2 4 2 3" xfId="20991"/>
    <cellStyle name="Normal 4 4 2 4 2 3 2" xfId="49852"/>
    <cellStyle name="Normal 4 4 2 4 2 4" xfId="32742"/>
    <cellStyle name="Normal 4 4 2 4 3" xfId="7036"/>
    <cellStyle name="Normal 4 4 2 4 3 2" xfId="24083"/>
    <cellStyle name="Normal 4 4 2 4 3 2 2" xfId="52944"/>
    <cellStyle name="Normal 4 4 2 4 3 3" xfId="35897"/>
    <cellStyle name="Normal 4 4 2 4 4" xfId="12768"/>
    <cellStyle name="Normal 4 4 2 4 4 2" xfId="18311"/>
    <cellStyle name="Normal 4 4 2 4 4 2 2" xfId="47172"/>
    <cellStyle name="Normal 4 4 2 4 4 3" xfId="41629"/>
    <cellStyle name="Normal 4 4 2 4 5" xfId="15631"/>
    <cellStyle name="Normal 4 4 2 4 5 2" xfId="44492"/>
    <cellStyle name="Normal 4 4 2 4 6" xfId="29856"/>
    <cellStyle name="Normal 4 4 2 5" xfId="1200"/>
    <cellStyle name="Normal 4 4 2 5 2" xfId="4087"/>
    <cellStyle name="Normal 4 4 2 5 2 2" xfId="10128"/>
    <cellStyle name="Normal 4 4 2 5 2 2 2" xfId="27175"/>
    <cellStyle name="Normal 4 4 2 5 2 2 2 2" xfId="56036"/>
    <cellStyle name="Normal 4 4 2 5 2 2 3" xfId="38989"/>
    <cellStyle name="Normal 4 4 2 5 2 3" xfId="21197"/>
    <cellStyle name="Normal 4 4 2 5 2 3 2" xfId="50058"/>
    <cellStyle name="Normal 4 4 2 5 2 4" xfId="32948"/>
    <cellStyle name="Normal 4 4 2 5 3" xfId="7242"/>
    <cellStyle name="Normal 4 4 2 5 3 2" xfId="24289"/>
    <cellStyle name="Normal 4 4 2 5 3 2 2" xfId="53150"/>
    <cellStyle name="Normal 4 4 2 5 3 3" xfId="36103"/>
    <cellStyle name="Normal 4 4 2 5 4" xfId="14379"/>
    <cellStyle name="Normal 4 4 2 5 4 2" xfId="18517"/>
    <cellStyle name="Normal 4 4 2 5 4 2 2" xfId="47378"/>
    <cellStyle name="Normal 4 4 2 5 4 3" xfId="43240"/>
    <cellStyle name="Normal 4 4 2 5 5" xfId="15837"/>
    <cellStyle name="Normal 4 4 2 5 5 2" xfId="44698"/>
    <cellStyle name="Normal 4 4 2 5 6" xfId="30062"/>
    <cellStyle name="Normal 4 4 2 6" xfId="1406"/>
    <cellStyle name="Normal 4 4 2 6 2" xfId="4293"/>
    <cellStyle name="Normal 4 4 2 6 2 2" xfId="10334"/>
    <cellStyle name="Normal 4 4 2 6 2 2 2" xfId="27381"/>
    <cellStyle name="Normal 4 4 2 6 2 2 2 2" xfId="56242"/>
    <cellStyle name="Normal 4 4 2 6 2 2 3" xfId="39195"/>
    <cellStyle name="Normal 4 4 2 6 2 3" xfId="21403"/>
    <cellStyle name="Normal 4 4 2 6 2 3 2" xfId="50264"/>
    <cellStyle name="Normal 4 4 2 6 2 4" xfId="33154"/>
    <cellStyle name="Normal 4 4 2 6 3" xfId="7448"/>
    <cellStyle name="Normal 4 4 2 6 3 2" xfId="24495"/>
    <cellStyle name="Normal 4 4 2 6 3 2 2" xfId="53356"/>
    <cellStyle name="Normal 4 4 2 6 3 3" xfId="36309"/>
    <cellStyle name="Normal 4 4 2 6 4" xfId="14092"/>
    <cellStyle name="Normal 4 4 2 6 4 2" xfId="18723"/>
    <cellStyle name="Normal 4 4 2 6 4 2 2" xfId="47584"/>
    <cellStyle name="Normal 4 4 2 6 4 3" xfId="42953"/>
    <cellStyle name="Normal 4 4 2 6 5" xfId="16043"/>
    <cellStyle name="Normal 4 4 2 6 5 2" xfId="44904"/>
    <cellStyle name="Normal 4 4 2 6 6" xfId="30268"/>
    <cellStyle name="Normal 4 4 2 7" xfId="1612"/>
    <cellStyle name="Normal 4 4 2 7 2" xfId="4499"/>
    <cellStyle name="Normal 4 4 2 7 2 2" xfId="10540"/>
    <cellStyle name="Normal 4 4 2 7 2 2 2" xfId="27587"/>
    <cellStyle name="Normal 4 4 2 7 2 2 2 2" xfId="56448"/>
    <cellStyle name="Normal 4 4 2 7 2 2 3" xfId="39401"/>
    <cellStyle name="Normal 4 4 2 7 2 3" xfId="21609"/>
    <cellStyle name="Normal 4 4 2 7 2 3 2" xfId="50470"/>
    <cellStyle name="Normal 4 4 2 7 2 4" xfId="33360"/>
    <cellStyle name="Normal 4 4 2 7 3" xfId="7654"/>
    <cellStyle name="Normal 4 4 2 7 3 2" xfId="24701"/>
    <cellStyle name="Normal 4 4 2 7 3 2 2" xfId="53562"/>
    <cellStyle name="Normal 4 4 2 7 3 3" xfId="36515"/>
    <cellStyle name="Normal 4 4 2 7 4" xfId="12317"/>
    <cellStyle name="Normal 4 4 2 7 4 2" xfId="18929"/>
    <cellStyle name="Normal 4 4 2 7 4 2 2" xfId="47790"/>
    <cellStyle name="Normal 4 4 2 7 4 3" xfId="41178"/>
    <cellStyle name="Normal 4 4 2 7 5" xfId="16249"/>
    <cellStyle name="Normal 4 4 2 7 5 2" xfId="45110"/>
    <cellStyle name="Normal 4 4 2 7 6" xfId="30474"/>
    <cellStyle name="Normal 4 4 2 8" xfId="1818"/>
    <cellStyle name="Normal 4 4 2 8 2" xfId="4705"/>
    <cellStyle name="Normal 4 4 2 8 2 2" xfId="10746"/>
    <cellStyle name="Normal 4 4 2 8 2 2 2" xfId="27793"/>
    <cellStyle name="Normal 4 4 2 8 2 2 2 2" xfId="56654"/>
    <cellStyle name="Normal 4 4 2 8 2 2 3" xfId="39607"/>
    <cellStyle name="Normal 4 4 2 8 2 3" xfId="21815"/>
    <cellStyle name="Normal 4 4 2 8 2 3 2" xfId="50676"/>
    <cellStyle name="Normal 4 4 2 8 2 4" xfId="33566"/>
    <cellStyle name="Normal 4 4 2 8 3" xfId="7860"/>
    <cellStyle name="Normal 4 4 2 8 3 2" xfId="24907"/>
    <cellStyle name="Normal 4 4 2 8 3 2 2" xfId="53768"/>
    <cellStyle name="Normal 4 4 2 8 3 3" xfId="36721"/>
    <cellStyle name="Normal 4 4 2 8 4" xfId="6072"/>
    <cellStyle name="Normal 4 4 2 8 4 2" xfId="19135"/>
    <cellStyle name="Normal 4 4 2 8 4 2 2" xfId="47996"/>
    <cellStyle name="Normal 4 4 2 8 4 3" xfId="34933"/>
    <cellStyle name="Normal 4 4 2 8 5" xfId="16455"/>
    <cellStyle name="Normal 4 4 2 8 5 2" xfId="45316"/>
    <cellStyle name="Normal 4 4 2 8 6" xfId="30680"/>
    <cellStyle name="Normal 4 4 2 9" xfId="2024"/>
    <cellStyle name="Normal 4 4 2 9 2" xfId="4911"/>
    <cellStyle name="Normal 4 4 2 9 2 2" xfId="10952"/>
    <cellStyle name="Normal 4 4 2 9 2 2 2" xfId="27999"/>
    <cellStyle name="Normal 4 4 2 9 2 2 2 2" xfId="56860"/>
    <cellStyle name="Normal 4 4 2 9 2 2 3" xfId="39813"/>
    <cellStyle name="Normal 4 4 2 9 2 3" xfId="22021"/>
    <cellStyle name="Normal 4 4 2 9 2 3 2" xfId="50882"/>
    <cellStyle name="Normal 4 4 2 9 2 4" xfId="33772"/>
    <cellStyle name="Normal 4 4 2 9 3" xfId="8066"/>
    <cellStyle name="Normal 4 4 2 9 3 2" xfId="25113"/>
    <cellStyle name="Normal 4 4 2 9 3 2 2" xfId="53974"/>
    <cellStyle name="Normal 4 4 2 9 3 3" xfId="36927"/>
    <cellStyle name="Normal 4 4 2 9 4" xfId="12555"/>
    <cellStyle name="Normal 4 4 2 9 4 2" xfId="19341"/>
    <cellStyle name="Normal 4 4 2 9 4 2 2" xfId="48202"/>
    <cellStyle name="Normal 4 4 2 9 4 3" xfId="41416"/>
    <cellStyle name="Normal 4 4 2 9 5" xfId="16661"/>
    <cellStyle name="Normal 4 4 2 9 5 2" xfId="45522"/>
    <cellStyle name="Normal 4 4 2 9 6" xfId="30886"/>
    <cellStyle name="Normal 4 4 20" xfId="28929"/>
    <cellStyle name="Normal 4 4 3" xfId="170"/>
    <cellStyle name="Normal 4 4 3 2" xfId="582"/>
    <cellStyle name="Normal 4 4 3 2 2" xfId="3469"/>
    <cellStyle name="Normal 4 4 3 2 2 2" xfId="9510"/>
    <cellStyle name="Normal 4 4 3 2 2 2 2" xfId="26557"/>
    <cellStyle name="Normal 4 4 3 2 2 2 2 2" xfId="55418"/>
    <cellStyle name="Normal 4 4 3 2 2 2 3" xfId="38371"/>
    <cellStyle name="Normal 4 4 3 2 2 3" xfId="20579"/>
    <cellStyle name="Normal 4 4 3 2 2 3 2" xfId="49440"/>
    <cellStyle name="Normal 4 4 3 2 2 4" xfId="32330"/>
    <cellStyle name="Normal 4 4 3 2 3" xfId="6624"/>
    <cellStyle name="Normal 4 4 3 2 3 2" xfId="23671"/>
    <cellStyle name="Normal 4 4 3 2 3 2 2" xfId="52532"/>
    <cellStyle name="Normal 4 4 3 2 3 3" xfId="35485"/>
    <cellStyle name="Normal 4 4 3 2 4" xfId="13170"/>
    <cellStyle name="Normal 4 4 3 2 4 2" xfId="17899"/>
    <cellStyle name="Normal 4 4 3 2 4 2 2" xfId="46760"/>
    <cellStyle name="Normal 4 4 3 2 4 3" xfId="42031"/>
    <cellStyle name="Normal 4 4 3 2 5" xfId="15219"/>
    <cellStyle name="Normal 4 4 3 2 5 2" xfId="44080"/>
    <cellStyle name="Normal 4 4 3 2 6" xfId="29444"/>
    <cellStyle name="Normal 4 4 3 3" xfId="2127"/>
    <cellStyle name="Normal 4 4 3 3 2" xfId="5014"/>
    <cellStyle name="Normal 4 4 3 3 2 2" xfId="11055"/>
    <cellStyle name="Normal 4 4 3 3 2 2 2" xfId="28102"/>
    <cellStyle name="Normal 4 4 3 3 2 2 2 2" xfId="56963"/>
    <cellStyle name="Normal 4 4 3 3 2 2 3" xfId="39916"/>
    <cellStyle name="Normal 4 4 3 3 2 3" xfId="22124"/>
    <cellStyle name="Normal 4 4 3 3 2 3 2" xfId="50985"/>
    <cellStyle name="Normal 4 4 3 3 2 4" xfId="33875"/>
    <cellStyle name="Normal 4 4 3 3 3" xfId="8169"/>
    <cellStyle name="Normal 4 4 3 3 3 2" xfId="25216"/>
    <cellStyle name="Normal 4 4 3 3 3 2 2" xfId="54077"/>
    <cellStyle name="Normal 4 4 3 3 3 3" xfId="37030"/>
    <cellStyle name="Normal 4 4 3 3 4" xfId="13990"/>
    <cellStyle name="Normal 4 4 3 3 4 2" xfId="19444"/>
    <cellStyle name="Normal 4 4 3 3 4 2 2" xfId="48305"/>
    <cellStyle name="Normal 4 4 3 3 4 3" xfId="42851"/>
    <cellStyle name="Normal 4 4 3 3 5" xfId="16764"/>
    <cellStyle name="Normal 4 4 3 3 5 2" xfId="45625"/>
    <cellStyle name="Normal 4 4 3 3 6" xfId="30989"/>
    <cellStyle name="Normal 4 4 3 4" xfId="3057"/>
    <cellStyle name="Normal 4 4 3 4 2" xfId="9098"/>
    <cellStyle name="Normal 4 4 3 4 2 2" xfId="26145"/>
    <cellStyle name="Normal 4 4 3 4 2 2 2" xfId="55006"/>
    <cellStyle name="Normal 4 4 3 4 2 3" xfId="37959"/>
    <cellStyle name="Normal 4 4 3 4 3" xfId="20167"/>
    <cellStyle name="Normal 4 4 3 4 3 2" xfId="49028"/>
    <cellStyle name="Normal 4 4 3 4 4" xfId="31918"/>
    <cellStyle name="Normal 4 4 3 5" xfId="6212"/>
    <cellStyle name="Normal 4 4 3 5 2" xfId="23259"/>
    <cellStyle name="Normal 4 4 3 5 2 2" xfId="52120"/>
    <cellStyle name="Normal 4 4 3 5 3" xfId="35073"/>
    <cellStyle name="Normal 4 4 3 6" xfId="11883"/>
    <cellStyle name="Normal 4 4 3 6 2" xfId="17590"/>
    <cellStyle name="Normal 4 4 3 6 2 2" xfId="46451"/>
    <cellStyle name="Normal 4 4 3 6 3" xfId="40744"/>
    <cellStyle name="Normal 4 4 3 7" xfId="14807"/>
    <cellStyle name="Normal 4 4 3 7 2" xfId="43668"/>
    <cellStyle name="Normal 4 4 3 8" xfId="29032"/>
    <cellStyle name="Normal 4 4 4" xfId="376"/>
    <cellStyle name="Normal 4 4 4 2" xfId="3263"/>
    <cellStyle name="Normal 4 4 4 2 2" xfId="9304"/>
    <cellStyle name="Normal 4 4 4 2 2 2" xfId="26351"/>
    <cellStyle name="Normal 4 4 4 2 2 2 2" xfId="55212"/>
    <cellStyle name="Normal 4 4 4 2 2 3" xfId="38165"/>
    <cellStyle name="Normal 4 4 4 2 3" xfId="20373"/>
    <cellStyle name="Normal 4 4 4 2 3 2" xfId="49234"/>
    <cellStyle name="Normal 4 4 4 2 4" xfId="32124"/>
    <cellStyle name="Normal 4 4 4 3" xfId="6418"/>
    <cellStyle name="Normal 4 4 4 3 2" xfId="23465"/>
    <cellStyle name="Normal 4 4 4 3 2 2" xfId="52326"/>
    <cellStyle name="Normal 4 4 4 3 3" xfId="35279"/>
    <cellStyle name="Normal 4 4 4 4" xfId="13840"/>
    <cellStyle name="Normal 4 4 4 4 2" xfId="17693"/>
    <cellStyle name="Normal 4 4 4 4 2 2" xfId="46554"/>
    <cellStyle name="Normal 4 4 4 4 3" xfId="42701"/>
    <cellStyle name="Normal 4 4 4 5" xfId="15013"/>
    <cellStyle name="Normal 4 4 4 5 2" xfId="43874"/>
    <cellStyle name="Normal 4 4 4 6" xfId="29238"/>
    <cellStyle name="Normal 4 4 5" xfId="685"/>
    <cellStyle name="Normal 4 4 5 2" xfId="3572"/>
    <cellStyle name="Normal 4 4 5 2 2" xfId="9613"/>
    <cellStyle name="Normal 4 4 5 2 2 2" xfId="26660"/>
    <cellStyle name="Normal 4 4 5 2 2 2 2" xfId="55521"/>
    <cellStyle name="Normal 4 4 5 2 2 3" xfId="38474"/>
    <cellStyle name="Normal 4 4 5 2 3" xfId="20682"/>
    <cellStyle name="Normal 4 4 5 2 3 2" xfId="49543"/>
    <cellStyle name="Normal 4 4 5 2 4" xfId="32433"/>
    <cellStyle name="Normal 4 4 5 3" xfId="6727"/>
    <cellStyle name="Normal 4 4 5 3 2" xfId="23774"/>
    <cellStyle name="Normal 4 4 5 3 2 2" xfId="52635"/>
    <cellStyle name="Normal 4 4 5 3 3" xfId="35588"/>
    <cellStyle name="Normal 4 4 5 4" xfId="14459"/>
    <cellStyle name="Normal 4 4 5 4 2" xfId="18002"/>
    <cellStyle name="Normal 4 4 5 4 2 2" xfId="46863"/>
    <cellStyle name="Normal 4 4 5 4 3" xfId="43320"/>
    <cellStyle name="Normal 4 4 5 5" xfId="15322"/>
    <cellStyle name="Normal 4 4 5 5 2" xfId="44183"/>
    <cellStyle name="Normal 4 4 5 6" xfId="29547"/>
    <cellStyle name="Normal 4 4 6" xfId="891"/>
    <cellStyle name="Normal 4 4 6 2" xfId="3778"/>
    <cellStyle name="Normal 4 4 6 2 2" xfId="9819"/>
    <cellStyle name="Normal 4 4 6 2 2 2" xfId="26866"/>
    <cellStyle name="Normal 4 4 6 2 2 2 2" xfId="55727"/>
    <cellStyle name="Normal 4 4 6 2 2 3" xfId="38680"/>
    <cellStyle name="Normal 4 4 6 2 3" xfId="20888"/>
    <cellStyle name="Normal 4 4 6 2 3 2" xfId="49749"/>
    <cellStyle name="Normal 4 4 6 2 4" xfId="32639"/>
    <cellStyle name="Normal 4 4 6 3" xfId="6933"/>
    <cellStyle name="Normal 4 4 6 3 2" xfId="23980"/>
    <cellStyle name="Normal 4 4 6 3 2 2" xfId="52841"/>
    <cellStyle name="Normal 4 4 6 3 3" xfId="35794"/>
    <cellStyle name="Normal 4 4 6 4" xfId="12119"/>
    <cellStyle name="Normal 4 4 6 4 2" xfId="18208"/>
    <cellStyle name="Normal 4 4 6 4 2 2" xfId="47069"/>
    <cellStyle name="Normal 4 4 6 4 3" xfId="40980"/>
    <cellStyle name="Normal 4 4 6 5" xfId="15528"/>
    <cellStyle name="Normal 4 4 6 5 2" xfId="44389"/>
    <cellStyle name="Normal 4 4 6 6" xfId="29753"/>
    <cellStyle name="Normal 4 4 7" xfId="1097"/>
    <cellStyle name="Normal 4 4 7 2" xfId="3984"/>
    <cellStyle name="Normal 4 4 7 2 2" xfId="10025"/>
    <cellStyle name="Normal 4 4 7 2 2 2" xfId="27072"/>
    <cellStyle name="Normal 4 4 7 2 2 2 2" xfId="55933"/>
    <cellStyle name="Normal 4 4 7 2 2 3" xfId="38886"/>
    <cellStyle name="Normal 4 4 7 2 3" xfId="21094"/>
    <cellStyle name="Normal 4 4 7 2 3 2" xfId="49955"/>
    <cellStyle name="Normal 4 4 7 2 4" xfId="32845"/>
    <cellStyle name="Normal 4 4 7 3" xfId="7139"/>
    <cellStyle name="Normal 4 4 7 3 2" xfId="24186"/>
    <cellStyle name="Normal 4 4 7 3 2 2" xfId="53047"/>
    <cellStyle name="Normal 4 4 7 3 3" xfId="36000"/>
    <cellStyle name="Normal 4 4 7 4" xfId="13402"/>
    <cellStyle name="Normal 4 4 7 4 2" xfId="18414"/>
    <cellStyle name="Normal 4 4 7 4 2 2" xfId="47275"/>
    <cellStyle name="Normal 4 4 7 4 3" xfId="42263"/>
    <cellStyle name="Normal 4 4 7 5" xfId="15734"/>
    <cellStyle name="Normal 4 4 7 5 2" xfId="44595"/>
    <cellStyle name="Normal 4 4 7 6" xfId="29959"/>
    <cellStyle name="Normal 4 4 8" xfId="1303"/>
    <cellStyle name="Normal 4 4 8 2" xfId="4190"/>
    <cellStyle name="Normal 4 4 8 2 2" xfId="10231"/>
    <cellStyle name="Normal 4 4 8 2 2 2" xfId="27278"/>
    <cellStyle name="Normal 4 4 8 2 2 2 2" xfId="56139"/>
    <cellStyle name="Normal 4 4 8 2 2 3" xfId="39092"/>
    <cellStyle name="Normal 4 4 8 2 3" xfId="21300"/>
    <cellStyle name="Normal 4 4 8 2 3 2" xfId="50161"/>
    <cellStyle name="Normal 4 4 8 2 4" xfId="33051"/>
    <cellStyle name="Normal 4 4 8 3" xfId="7345"/>
    <cellStyle name="Normal 4 4 8 3 2" xfId="24392"/>
    <cellStyle name="Normal 4 4 8 3 2 2" xfId="53253"/>
    <cellStyle name="Normal 4 4 8 3 3" xfId="36206"/>
    <cellStyle name="Normal 4 4 8 4" xfId="13932"/>
    <cellStyle name="Normal 4 4 8 4 2" xfId="18620"/>
    <cellStyle name="Normal 4 4 8 4 2 2" xfId="47481"/>
    <cellStyle name="Normal 4 4 8 4 3" xfId="42793"/>
    <cellStyle name="Normal 4 4 8 5" xfId="15940"/>
    <cellStyle name="Normal 4 4 8 5 2" xfId="44801"/>
    <cellStyle name="Normal 4 4 8 6" xfId="30165"/>
    <cellStyle name="Normal 4 4 9" xfId="1509"/>
    <cellStyle name="Normal 4 4 9 2" xfId="4396"/>
    <cellStyle name="Normal 4 4 9 2 2" xfId="10437"/>
    <cellStyle name="Normal 4 4 9 2 2 2" xfId="27484"/>
    <cellStyle name="Normal 4 4 9 2 2 2 2" xfId="56345"/>
    <cellStyle name="Normal 4 4 9 2 2 3" xfId="39298"/>
    <cellStyle name="Normal 4 4 9 2 3" xfId="21506"/>
    <cellStyle name="Normal 4 4 9 2 3 2" xfId="50367"/>
    <cellStyle name="Normal 4 4 9 2 4" xfId="33257"/>
    <cellStyle name="Normal 4 4 9 3" xfId="7551"/>
    <cellStyle name="Normal 4 4 9 3 2" xfId="24598"/>
    <cellStyle name="Normal 4 4 9 3 2 2" xfId="53459"/>
    <cellStyle name="Normal 4 4 9 3 3" xfId="36412"/>
    <cellStyle name="Normal 4 4 9 4" xfId="13493"/>
    <cellStyle name="Normal 4 4 9 4 2" xfId="18826"/>
    <cellStyle name="Normal 4 4 9 4 2 2" xfId="47687"/>
    <cellStyle name="Normal 4 4 9 4 3" xfId="42354"/>
    <cellStyle name="Normal 4 4 9 5" xfId="16146"/>
    <cellStyle name="Normal 4 4 9 5 2" xfId="45007"/>
    <cellStyle name="Normal 4 4 9 6" xfId="30371"/>
    <cellStyle name="Normal 4 5" xfId="36"/>
    <cellStyle name="Normal 4 5 10" xfId="1716"/>
    <cellStyle name="Normal 4 5 10 2" xfId="4603"/>
    <cellStyle name="Normal 4 5 10 2 2" xfId="10644"/>
    <cellStyle name="Normal 4 5 10 2 2 2" xfId="27691"/>
    <cellStyle name="Normal 4 5 10 2 2 2 2" xfId="56552"/>
    <cellStyle name="Normal 4 5 10 2 2 3" xfId="39505"/>
    <cellStyle name="Normal 4 5 10 2 3" xfId="21713"/>
    <cellStyle name="Normal 4 5 10 2 3 2" xfId="50574"/>
    <cellStyle name="Normal 4 5 10 2 4" xfId="33464"/>
    <cellStyle name="Normal 4 5 10 3" xfId="7758"/>
    <cellStyle name="Normal 4 5 10 3 2" xfId="24805"/>
    <cellStyle name="Normal 4 5 10 3 2 2" xfId="53666"/>
    <cellStyle name="Normal 4 5 10 3 3" xfId="36619"/>
    <cellStyle name="Normal 4 5 10 4" xfId="14301"/>
    <cellStyle name="Normal 4 5 10 4 2" xfId="19033"/>
    <cellStyle name="Normal 4 5 10 4 2 2" xfId="47894"/>
    <cellStyle name="Normal 4 5 10 4 3" xfId="43162"/>
    <cellStyle name="Normal 4 5 10 5" xfId="16353"/>
    <cellStyle name="Normal 4 5 10 5 2" xfId="45214"/>
    <cellStyle name="Normal 4 5 10 6" xfId="30578"/>
    <cellStyle name="Normal 4 5 11" xfId="1922"/>
    <cellStyle name="Normal 4 5 11 2" xfId="4809"/>
    <cellStyle name="Normal 4 5 11 2 2" xfId="10850"/>
    <cellStyle name="Normal 4 5 11 2 2 2" xfId="27897"/>
    <cellStyle name="Normal 4 5 11 2 2 2 2" xfId="56758"/>
    <cellStyle name="Normal 4 5 11 2 2 3" xfId="39711"/>
    <cellStyle name="Normal 4 5 11 2 3" xfId="21919"/>
    <cellStyle name="Normal 4 5 11 2 3 2" xfId="50780"/>
    <cellStyle name="Normal 4 5 11 2 4" xfId="33670"/>
    <cellStyle name="Normal 4 5 11 3" xfId="7964"/>
    <cellStyle name="Normal 4 5 11 3 2" xfId="25011"/>
    <cellStyle name="Normal 4 5 11 3 2 2" xfId="53872"/>
    <cellStyle name="Normal 4 5 11 3 3" xfId="36825"/>
    <cellStyle name="Normal 4 5 11 4" xfId="11914"/>
    <cellStyle name="Normal 4 5 11 4 2" xfId="19239"/>
    <cellStyle name="Normal 4 5 11 4 2 2" xfId="48100"/>
    <cellStyle name="Normal 4 5 11 4 3" xfId="40775"/>
    <cellStyle name="Normal 4 5 11 5" xfId="16559"/>
    <cellStyle name="Normal 4 5 11 5 2" xfId="45420"/>
    <cellStyle name="Normal 4 5 11 6" xfId="30784"/>
    <cellStyle name="Normal 4 5 12" xfId="2334"/>
    <cellStyle name="Normal 4 5 12 2" xfId="5221"/>
    <cellStyle name="Normal 4 5 12 2 2" xfId="11262"/>
    <cellStyle name="Normal 4 5 12 2 2 2" xfId="28309"/>
    <cellStyle name="Normal 4 5 12 2 2 2 2" xfId="57170"/>
    <cellStyle name="Normal 4 5 12 2 2 3" xfId="40123"/>
    <cellStyle name="Normal 4 5 12 2 3" xfId="22331"/>
    <cellStyle name="Normal 4 5 12 2 3 2" xfId="51192"/>
    <cellStyle name="Normal 4 5 12 2 4" xfId="34082"/>
    <cellStyle name="Normal 4 5 12 3" xfId="8376"/>
    <cellStyle name="Normal 4 5 12 3 2" xfId="25423"/>
    <cellStyle name="Normal 4 5 12 3 2 2" xfId="54284"/>
    <cellStyle name="Normal 4 5 12 3 3" xfId="37237"/>
    <cellStyle name="Normal 4 5 12 4" xfId="11932"/>
    <cellStyle name="Normal 4 5 12 4 2" xfId="19651"/>
    <cellStyle name="Normal 4 5 12 4 2 2" xfId="48512"/>
    <cellStyle name="Normal 4 5 12 4 3" xfId="40793"/>
    <cellStyle name="Normal 4 5 12 5" xfId="16971"/>
    <cellStyle name="Normal 4 5 12 5 2" xfId="45832"/>
    <cellStyle name="Normal 4 5 12 6" xfId="31196"/>
    <cellStyle name="Normal 4 5 13" xfId="2543"/>
    <cellStyle name="Normal 4 5 13 2" xfId="5429"/>
    <cellStyle name="Normal 4 5 13 2 2" xfId="11470"/>
    <cellStyle name="Normal 4 5 13 2 2 2" xfId="28517"/>
    <cellStyle name="Normal 4 5 13 2 2 2 2" xfId="57378"/>
    <cellStyle name="Normal 4 5 13 2 2 3" xfId="40331"/>
    <cellStyle name="Normal 4 5 13 2 3" xfId="22539"/>
    <cellStyle name="Normal 4 5 13 2 3 2" xfId="51400"/>
    <cellStyle name="Normal 4 5 13 2 4" xfId="34290"/>
    <cellStyle name="Normal 4 5 13 3" xfId="8584"/>
    <cellStyle name="Normal 4 5 13 3 2" xfId="25631"/>
    <cellStyle name="Normal 4 5 13 3 2 2" xfId="54492"/>
    <cellStyle name="Normal 4 5 13 3 3" xfId="37445"/>
    <cellStyle name="Normal 4 5 13 4" xfId="12655"/>
    <cellStyle name="Normal 4 5 13 4 2" xfId="19859"/>
    <cellStyle name="Normal 4 5 13 4 2 2" xfId="48720"/>
    <cellStyle name="Normal 4 5 13 4 3" xfId="41516"/>
    <cellStyle name="Normal 4 5 13 5" xfId="17179"/>
    <cellStyle name="Normal 4 5 13 5 2" xfId="46040"/>
    <cellStyle name="Normal 4 5 13 6" xfId="31404"/>
    <cellStyle name="Normal 4 5 14" xfId="2955"/>
    <cellStyle name="Normal 4 5 14 2" xfId="8996"/>
    <cellStyle name="Normal 4 5 14 2 2" xfId="26043"/>
    <cellStyle name="Normal 4 5 14 2 2 2" xfId="54904"/>
    <cellStyle name="Normal 4 5 14 2 3" xfId="37857"/>
    <cellStyle name="Normal 4 5 14 3" xfId="14158"/>
    <cellStyle name="Normal 4 5 14 3 2" xfId="20065"/>
    <cellStyle name="Normal 4 5 14 3 2 2" xfId="48926"/>
    <cellStyle name="Normal 4 5 14 3 3" xfId="43019"/>
    <cellStyle name="Normal 4 5 14 4" xfId="14705"/>
    <cellStyle name="Normal 4 5 14 4 2" xfId="43566"/>
    <cellStyle name="Normal 4 5 14 5" xfId="31816"/>
    <cellStyle name="Normal 4 5 15" xfId="2749"/>
    <cellStyle name="Normal 4 5 15 2" xfId="8790"/>
    <cellStyle name="Normal 4 5 15 2 2" xfId="25837"/>
    <cellStyle name="Normal 4 5 15 2 2 2" xfId="54698"/>
    <cellStyle name="Normal 4 5 15 2 3" xfId="37651"/>
    <cellStyle name="Normal 4 5 15 3" xfId="17385"/>
    <cellStyle name="Normal 4 5 15 3 2" xfId="46246"/>
    <cellStyle name="Normal 4 5 15 4" xfId="31610"/>
    <cellStyle name="Normal 4 5 16" xfId="5635"/>
    <cellStyle name="Normal 4 5 16 2" xfId="11676"/>
    <cellStyle name="Normal 4 5 16 2 2" xfId="28723"/>
    <cellStyle name="Normal 4 5 16 2 2 2" xfId="57584"/>
    <cellStyle name="Normal 4 5 16 2 3" xfId="40537"/>
    <cellStyle name="Normal 4 5 16 3" xfId="22745"/>
    <cellStyle name="Normal 4 5 16 3 2" xfId="51606"/>
    <cellStyle name="Normal 4 5 16 4" xfId="34496"/>
    <cellStyle name="Normal 4 5 17" xfId="5846"/>
    <cellStyle name="Normal 4 5 17 2" xfId="22951"/>
    <cellStyle name="Normal 4 5 17 2 2" xfId="51812"/>
    <cellStyle name="Normal 4 5 17 3" xfId="34707"/>
    <cellStyle name="Normal 4 5 18" xfId="6110"/>
    <cellStyle name="Normal 4 5 18 2" xfId="23157"/>
    <cellStyle name="Normal 4 5 18 2 2" xfId="52018"/>
    <cellStyle name="Normal 4 5 18 3" xfId="34971"/>
    <cellStyle name="Normal 4 5 19" xfId="14499"/>
    <cellStyle name="Normal 4 5 19 2" xfId="43360"/>
    <cellStyle name="Normal 4 5 2" xfId="274"/>
    <cellStyle name="Normal 4 5 2 10" xfId="2437"/>
    <cellStyle name="Normal 4 5 2 10 2" xfId="5324"/>
    <cellStyle name="Normal 4 5 2 10 2 2" xfId="11365"/>
    <cellStyle name="Normal 4 5 2 10 2 2 2" xfId="28412"/>
    <cellStyle name="Normal 4 5 2 10 2 2 2 2" xfId="57273"/>
    <cellStyle name="Normal 4 5 2 10 2 2 3" xfId="40226"/>
    <cellStyle name="Normal 4 5 2 10 2 3" xfId="22434"/>
    <cellStyle name="Normal 4 5 2 10 2 3 2" xfId="51295"/>
    <cellStyle name="Normal 4 5 2 10 2 4" xfId="34185"/>
    <cellStyle name="Normal 4 5 2 10 3" xfId="8479"/>
    <cellStyle name="Normal 4 5 2 10 3 2" xfId="25526"/>
    <cellStyle name="Normal 4 5 2 10 3 2 2" xfId="54387"/>
    <cellStyle name="Normal 4 5 2 10 3 3" xfId="37340"/>
    <cellStyle name="Normal 4 5 2 10 4" xfId="12541"/>
    <cellStyle name="Normal 4 5 2 10 4 2" xfId="19754"/>
    <cellStyle name="Normal 4 5 2 10 4 2 2" xfId="48615"/>
    <cellStyle name="Normal 4 5 2 10 4 3" xfId="41402"/>
    <cellStyle name="Normal 4 5 2 10 5" xfId="17074"/>
    <cellStyle name="Normal 4 5 2 10 5 2" xfId="45935"/>
    <cellStyle name="Normal 4 5 2 10 6" xfId="31299"/>
    <cellStyle name="Normal 4 5 2 11" xfId="2646"/>
    <cellStyle name="Normal 4 5 2 11 2" xfId="5532"/>
    <cellStyle name="Normal 4 5 2 11 2 2" xfId="11573"/>
    <cellStyle name="Normal 4 5 2 11 2 2 2" xfId="28620"/>
    <cellStyle name="Normal 4 5 2 11 2 2 2 2" xfId="57481"/>
    <cellStyle name="Normal 4 5 2 11 2 2 3" xfId="40434"/>
    <cellStyle name="Normal 4 5 2 11 2 3" xfId="22642"/>
    <cellStyle name="Normal 4 5 2 11 2 3 2" xfId="51503"/>
    <cellStyle name="Normal 4 5 2 11 2 4" xfId="34393"/>
    <cellStyle name="Normal 4 5 2 11 3" xfId="8687"/>
    <cellStyle name="Normal 4 5 2 11 3 2" xfId="25734"/>
    <cellStyle name="Normal 4 5 2 11 3 2 2" xfId="54595"/>
    <cellStyle name="Normal 4 5 2 11 3 3" xfId="37548"/>
    <cellStyle name="Normal 4 5 2 11 4" xfId="13144"/>
    <cellStyle name="Normal 4 5 2 11 4 2" xfId="19962"/>
    <cellStyle name="Normal 4 5 2 11 4 2 2" xfId="48823"/>
    <cellStyle name="Normal 4 5 2 11 4 3" xfId="42005"/>
    <cellStyle name="Normal 4 5 2 11 5" xfId="17282"/>
    <cellStyle name="Normal 4 5 2 11 5 2" xfId="46143"/>
    <cellStyle name="Normal 4 5 2 11 6" xfId="31507"/>
    <cellStyle name="Normal 4 5 2 12" xfId="3161"/>
    <cellStyle name="Normal 4 5 2 12 2" xfId="9202"/>
    <cellStyle name="Normal 4 5 2 12 2 2" xfId="26249"/>
    <cellStyle name="Normal 4 5 2 12 2 2 2" xfId="55110"/>
    <cellStyle name="Normal 4 5 2 12 2 3" xfId="38063"/>
    <cellStyle name="Normal 4 5 2 12 3" xfId="12164"/>
    <cellStyle name="Normal 4 5 2 12 3 2" xfId="20271"/>
    <cellStyle name="Normal 4 5 2 12 3 2 2" xfId="49132"/>
    <cellStyle name="Normal 4 5 2 12 3 3" xfId="41025"/>
    <cellStyle name="Normal 4 5 2 12 4" xfId="14911"/>
    <cellStyle name="Normal 4 5 2 12 4 2" xfId="43772"/>
    <cellStyle name="Normal 4 5 2 12 5" xfId="32022"/>
    <cellStyle name="Normal 4 5 2 13" xfId="2852"/>
    <cellStyle name="Normal 4 5 2 13 2" xfId="8893"/>
    <cellStyle name="Normal 4 5 2 13 2 2" xfId="25940"/>
    <cellStyle name="Normal 4 5 2 13 2 2 2" xfId="54801"/>
    <cellStyle name="Normal 4 5 2 13 2 3" xfId="37754"/>
    <cellStyle name="Normal 4 5 2 13 3" xfId="17488"/>
    <cellStyle name="Normal 4 5 2 13 3 2" xfId="46349"/>
    <cellStyle name="Normal 4 5 2 13 4" xfId="31713"/>
    <cellStyle name="Normal 4 5 2 14" xfId="5738"/>
    <cellStyle name="Normal 4 5 2 14 2" xfId="11779"/>
    <cellStyle name="Normal 4 5 2 14 2 2" xfId="28826"/>
    <cellStyle name="Normal 4 5 2 14 2 2 2" xfId="57687"/>
    <cellStyle name="Normal 4 5 2 14 2 3" xfId="40640"/>
    <cellStyle name="Normal 4 5 2 14 3" xfId="22848"/>
    <cellStyle name="Normal 4 5 2 14 3 2" xfId="51709"/>
    <cellStyle name="Normal 4 5 2 14 4" xfId="34599"/>
    <cellStyle name="Normal 4 5 2 15" xfId="5955"/>
    <cellStyle name="Normal 4 5 2 15 2" xfId="23054"/>
    <cellStyle name="Normal 4 5 2 15 2 2" xfId="51915"/>
    <cellStyle name="Normal 4 5 2 15 3" xfId="34816"/>
    <cellStyle name="Normal 4 5 2 16" xfId="6316"/>
    <cellStyle name="Normal 4 5 2 16 2" xfId="23363"/>
    <cellStyle name="Normal 4 5 2 16 2 2" xfId="52224"/>
    <cellStyle name="Normal 4 5 2 16 3" xfId="35177"/>
    <cellStyle name="Normal 4 5 2 17" xfId="14602"/>
    <cellStyle name="Normal 4 5 2 17 2" xfId="43463"/>
    <cellStyle name="Normal 4 5 2 18" xfId="29136"/>
    <cellStyle name="Normal 4 5 2 2" xfId="480"/>
    <cellStyle name="Normal 4 5 2 2 2" xfId="2231"/>
    <cellStyle name="Normal 4 5 2 2 2 2" xfId="5118"/>
    <cellStyle name="Normal 4 5 2 2 2 2 2" xfId="11159"/>
    <cellStyle name="Normal 4 5 2 2 2 2 2 2" xfId="28206"/>
    <cellStyle name="Normal 4 5 2 2 2 2 2 2 2" xfId="57067"/>
    <cellStyle name="Normal 4 5 2 2 2 2 2 3" xfId="40020"/>
    <cellStyle name="Normal 4 5 2 2 2 2 3" xfId="22228"/>
    <cellStyle name="Normal 4 5 2 2 2 2 3 2" xfId="51089"/>
    <cellStyle name="Normal 4 5 2 2 2 2 4" xfId="33979"/>
    <cellStyle name="Normal 4 5 2 2 2 3" xfId="8273"/>
    <cellStyle name="Normal 4 5 2 2 2 3 2" xfId="25320"/>
    <cellStyle name="Normal 4 5 2 2 2 3 2 2" xfId="54181"/>
    <cellStyle name="Normal 4 5 2 2 2 3 3" xfId="37134"/>
    <cellStyle name="Normal 4 5 2 2 2 4" xfId="14137"/>
    <cellStyle name="Normal 4 5 2 2 2 4 2" xfId="19548"/>
    <cellStyle name="Normal 4 5 2 2 2 4 2 2" xfId="48409"/>
    <cellStyle name="Normal 4 5 2 2 2 4 3" xfId="42998"/>
    <cellStyle name="Normal 4 5 2 2 2 5" xfId="16868"/>
    <cellStyle name="Normal 4 5 2 2 2 5 2" xfId="45729"/>
    <cellStyle name="Normal 4 5 2 2 2 6" xfId="31093"/>
    <cellStyle name="Normal 4 5 2 2 3" xfId="3367"/>
    <cellStyle name="Normal 4 5 2 2 3 2" xfId="9408"/>
    <cellStyle name="Normal 4 5 2 2 3 2 2" xfId="26455"/>
    <cellStyle name="Normal 4 5 2 2 3 2 2 2" xfId="55316"/>
    <cellStyle name="Normal 4 5 2 2 3 2 3" xfId="38269"/>
    <cellStyle name="Normal 4 5 2 2 3 3" xfId="20477"/>
    <cellStyle name="Normal 4 5 2 2 3 3 2" xfId="49338"/>
    <cellStyle name="Normal 4 5 2 2 3 4" xfId="32228"/>
    <cellStyle name="Normal 4 5 2 2 4" xfId="6522"/>
    <cellStyle name="Normal 4 5 2 2 4 2" xfId="23569"/>
    <cellStyle name="Normal 4 5 2 2 4 2 2" xfId="52430"/>
    <cellStyle name="Normal 4 5 2 2 4 3" xfId="35383"/>
    <cellStyle name="Normal 4 5 2 2 5" xfId="13408"/>
    <cellStyle name="Normal 4 5 2 2 5 2" xfId="17797"/>
    <cellStyle name="Normal 4 5 2 2 5 2 2" xfId="46658"/>
    <cellStyle name="Normal 4 5 2 2 5 3" xfId="42269"/>
    <cellStyle name="Normal 4 5 2 2 6" xfId="15117"/>
    <cellStyle name="Normal 4 5 2 2 6 2" xfId="43978"/>
    <cellStyle name="Normal 4 5 2 2 7" xfId="29342"/>
    <cellStyle name="Normal 4 5 2 3" xfId="789"/>
    <cellStyle name="Normal 4 5 2 3 2" xfId="3676"/>
    <cellStyle name="Normal 4 5 2 3 2 2" xfId="9717"/>
    <cellStyle name="Normal 4 5 2 3 2 2 2" xfId="26764"/>
    <cellStyle name="Normal 4 5 2 3 2 2 2 2" xfId="55625"/>
    <cellStyle name="Normal 4 5 2 3 2 2 3" xfId="38578"/>
    <cellStyle name="Normal 4 5 2 3 2 3" xfId="20786"/>
    <cellStyle name="Normal 4 5 2 3 2 3 2" xfId="49647"/>
    <cellStyle name="Normal 4 5 2 3 2 4" xfId="32537"/>
    <cellStyle name="Normal 4 5 2 3 3" xfId="6831"/>
    <cellStyle name="Normal 4 5 2 3 3 2" xfId="23878"/>
    <cellStyle name="Normal 4 5 2 3 3 2 2" xfId="52739"/>
    <cellStyle name="Normal 4 5 2 3 3 3" xfId="35692"/>
    <cellStyle name="Normal 4 5 2 3 4" xfId="14199"/>
    <cellStyle name="Normal 4 5 2 3 4 2" xfId="18106"/>
    <cellStyle name="Normal 4 5 2 3 4 2 2" xfId="46967"/>
    <cellStyle name="Normal 4 5 2 3 4 3" xfId="43060"/>
    <cellStyle name="Normal 4 5 2 3 5" xfId="15426"/>
    <cellStyle name="Normal 4 5 2 3 5 2" xfId="44287"/>
    <cellStyle name="Normal 4 5 2 3 6" xfId="29651"/>
    <cellStyle name="Normal 4 5 2 4" xfId="995"/>
    <cellStyle name="Normal 4 5 2 4 2" xfId="3882"/>
    <cellStyle name="Normal 4 5 2 4 2 2" xfId="9923"/>
    <cellStyle name="Normal 4 5 2 4 2 2 2" xfId="26970"/>
    <cellStyle name="Normal 4 5 2 4 2 2 2 2" xfId="55831"/>
    <cellStyle name="Normal 4 5 2 4 2 2 3" xfId="38784"/>
    <cellStyle name="Normal 4 5 2 4 2 3" xfId="20992"/>
    <cellStyle name="Normal 4 5 2 4 2 3 2" xfId="49853"/>
    <cellStyle name="Normal 4 5 2 4 2 4" xfId="32743"/>
    <cellStyle name="Normal 4 5 2 4 3" xfId="7037"/>
    <cellStyle name="Normal 4 5 2 4 3 2" xfId="24084"/>
    <cellStyle name="Normal 4 5 2 4 3 2 2" xfId="52945"/>
    <cellStyle name="Normal 4 5 2 4 3 3" xfId="35898"/>
    <cellStyle name="Normal 4 5 2 4 4" xfId="11893"/>
    <cellStyle name="Normal 4 5 2 4 4 2" xfId="18312"/>
    <cellStyle name="Normal 4 5 2 4 4 2 2" xfId="47173"/>
    <cellStyle name="Normal 4 5 2 4 4 3" xfId="40754"/>
    <cellStyle name="Normal 4 5 2 4 5" xfId="15632"/>
    <cellStyle name="Normal 4 5 2 4 5 2" xfId="44493"/>
    <cellStyle name="Normal 4 5 2 4 6" xfId="29857"/>
    <cellStyle name="Normal 4 5 2 5" xfId="1201"/>
    <cellStyle name="Normal 4 5 2 5 2" xfId="4088"/>
    <cellStyle name="Normal 4 5 2 5 2 2" xfId="10129"/>
    <cellStyle name="Normal 4 5 2 5 2 2 2" xfId="27176"/>
    <cellStyle name="Normal 4 5 2 5 2 2 2 2" xfId="56037"/>
    <cellStyle name="Normal 4 5 2 5 2 2 3" xfId="38990"/>
    <cellStyle name="Normal 4 5 2 5 2 3" xfId="21198"/>
    <cellStyle name="Normal 4 5 2 5 2 3 2" xfId="50059"/>
    <cellStyle name="Normal 4 5 2 5 2 4" xfId="32949"/>
    <cellStyle name="Normal 4 5 2 5 3" xfId="7243"/>
    <cellStyle name="Normal 4 5 2 5 3 2" xfId="24290"/>
    <cellStyle name="Normal 4 5 2 5 3 2 2" xfId="53151"/>
    <cellStyle name="Normal 4 5 2 5 3 3" xfId="36104"/>
    <cellStyle name="Normal 4 5 2 5 4" xfId="13646"/>
    <cellStyle name="Normal 4 5 2 5 4 2" xfId="18518"/>
    <cellStyle name="Normal 4 5 2 5 4 2 2" xfId="47379"/>
    <cellStyle name="Normal 4 5 2 5 4 3" xfId="42507"/>
    <cellStyle name="Normal 4 5 2 5 5" xfId="15838"/>
    <cellStyle name="Normal 4 5 2 5 5 2" xfId="44699"/>
    <cellStyle name="Normal 4 5 2 5 6" xfId="30063"/>
    <cellStyle name="Normal 4 5 2 6" xfId="1407"/>
    <cellStyle name="Normal 4 5 2 6 2" xfId="4294"/>
    <cellStyle name="Normal 4 5 2 6 2 2" xfId="10335"/>
    <cellStyle name="Normal 4 5 2 6 2 2 2" xfId="27382"/>
    <cellStyle name="Normal 4 5 2 6 2 2 2 2" xfId="56243"/>
    <cellStyle name="Normal 4 5 2 6 2 2 3" xfId="39196"/>
    <cellStyle name="Normal 4 5 2 6 2 3" xfId="21404"/>
    <cellStyle name="Normal 4 5 2 6 2 3 2" xfId="50265"/>
    <cellStyle name="Normal 4 5 2 6 2 4" xfId="33155"/>
    <cellStyle name="Normal 4 5 2 6 3" xfId="7449"/>
    <cellStyle name="Normal 4 5 2 6 3 2" xfId="24496"/>
    <cellStyle name="Normal 4 5 2 6 3 2 2" xfId="53357"/>
    <cellStyle name="Normal 4 5 2 6 3 3" xfId="36310"/>
    <cellStyle name="Normal 4 5 2 6 4" xfId="13326"/>
    <cellStyle name="Normal 4 5 2 6 4 2" xfId="18724"/>
    <cellStyle name="Normal 4 5 2 6 4 2 2" xfId="47585"/>
    <cellStyle name="Normal 4 5 2 6 4 3" xfId="42187"/>
    <cellStyle name="Normal 4 5 2 6 5" xfId="16044"/>
    <cellStyle name="Normal 4 5 2 6 5 2" xfId="44905"/>
    <cellStyle name="Normal 4 5 2 6 6" xfId="30269"/>
    <cellStyle name="Normal 4 5 2 7" xfId="1613"/>
    <cellStyle name="Normal 4 5 2 7 2" xfId="4500"/>
    <cellStyle name="Normal 4 5 2 7 2 2" xfId="10541"/>
    <cellStyle name="Normal 4 5 2 7 2 2 2" xfId="27588"/>
    <cellStyle name="Normal 4 5 2 7 2 2 2 2" xfId="56449"/>
    <cellStyle name="Normal 4 5 2 7 2 2 3" xfId="39402"/>
    <cellStyle name="Normal 4 5 2 7 2 3" xfId="21610"/>
    <cellStyle name="Normal 4 5 2 7 2 3 2" xfId="50471"/>
    <cellStyle name="Normal 4 5 2 7 2 4" xfId="33361"/>
    <cellStyle name="Normal 4 5 2 7 3" xfId="7655"/>
    <cellStyle name="Normal 4 5 2 7 3 2" xfId="24702"/>
    <cellStyle name="Normal 4 5 2 7 3 2 2" xfId="53563"/>
    <cellStyle name="Normal 4 5 2 7 3 3" xfId="36516"/>
    <cellStyle name="Normal 4 5 2 7 4" xfId="12406"/>
    <cellStyle name="Normal 4 5 2 7 4 2" xfId="18930"/>
    <cellStyle name="Normal 4 5 2 7 4 2 2" xfId="47791"/>
    <cellStyle name="Normal 4 5 2 7 4 3" xfId="41267"/>
    <cellStyle name="Normal 4 5 2 7 5" xfId="16250"/>
    <cellStyle name="Normal 4 5 2 7 5 2" xfId="45111"/>
    <cellStyle name="Normal 4 5 2 7 6" xfId="30475"/>
    <cellStyle name="Normal 4 5 2 8" xfId="1819"/>
    <cellStyle name="Normal 4 5 2 8 2" xfId="4706"/>
    <cellStyle name="Normal 4 5 2 8 2 2" xfId="10747"/>
    <cellStyle name="Normal 4 5 2 8 2 2 2" xfId="27794"/>
    <cellStyle name="Normal 4 5 2 8 2 2 2 2" xfId="56655"/>
    <cellStyle name="Normal 4 5 2 8 2 2 3" xfId="39608"/>
    <cellStyle name="Normal 4 5 2 8 2 3" xfId="21816"/>
    <cellStyle name="Normal 4 5 2 8 2 3 2" xfId="50677"/>
    <cellStyle name="Normal 4 5 2 8 2 4" xfId="33567"/>
    <cellStyle name="Normal 4 5 2 8 3" xfId="7861"/>
    <cellStyle name="Normal 4 5 2 8 3 2" xfId="24908"/>
    <cellStyle name="Normal 4 5 2 8 3 2 2" xfId="53769"/>
    <cellStyle name="Normal 4 5 2 8 3 3" xfId="36722"/>
    <cellStyle name="Normal 4 5 2 8 4" xfId="12111"/>
    <cellStyle name="Normal 4 5 2 8 4 2" xfId="19136"/>
    <cellStyle name="Normal 4 5 2 8 4 2 2" xfId="47997"/>
    <cellStyle name="Normal 4 5 2 8 4 3" xfId="40972"/>
    <cellStyle name="Normal 4 5 2 8 5" xfId="16456"/>
    <cellStyle name="Normal 4 5 2 8 5 2" xfId="45317"/>
    <cellStyle name="Normal 4 5 2 8 6" xfId="30681"/>
    <cellStyle name="Normal 4 5 2 9" xfId="2025"/>
    <cellStyle name="Normal 4 5 2 9 2" xfId="4912"/>
    <cellStyle name="Normal 4 5 2 9 2 2" xfId="10953"/>
    <cellStyle name="Normal 4 5 2 9 2 2 2" xfId="28000"/>
    <cellStyle name="Normal 4 5 2 9 2 2 2 2" xfId="56861"/>
    <cellStyle name="Normal 4 5 2 9 2 2 3" xfId="39814"/>
    <cellStyle name="Normal 4 5 2 9 2 3" xfId="22022"/>
    <cellStyle name="Normal 4 5 2 9 2 3 2" xfId="50883"/>
    <cellStyle name="Normal 4 5 2 9 2 4" xfId="33773"/>
    <cellStyle name="Normal 4 5 2 9 3" xfId="8067"/>
    <cellStyle name="Normal 4 5 2 9 3 2" xfId="25114"/>
    <cellStyle name="Normal 4 5 2 9 3 2 2" xfId="53975"/>
    <cellStyle name="Normal 4 5 2 9 3 3" xfId="36928"/>
    <cellStyle name="Normal 4 5 2 9 4" xfId="12149"/>
    <cellStyle name="Normal 4 5 2 9 4 2" xfId="19342"/>
    <cellStyle name="Normal 4 5 2 9 4 2 2" xfId="48203"/>
    <cellStyle name="Normal 4 5 2 9 4 3" xfId="41010"/>
    <cellStyle name="Normal 4 5 2 9 5" xfId="16662"/>
    <cellStyle name="Normal 4 5 2 9 5 2" xfId="45523"/>
    <cellStyle name="Normal 4 5 2 9 6" xfId="30887"/>
    <cellStyle name="Normal 4 5 20" xfId="28930"/>
    <cellStyle name="Normal 4 5 3" xfId="171"/>
    <cellStyle name="Normal 4 5 3 2" xfId="583"/>
    <cellStyle name="Normal 4 5 3 2 2" xfId="3470"/>
    <cellStyle name="Normal 4 5 3 2 2 2" xfId="9511"/>
    <cellStyle name="Normal 4 5 3 2 2 2 2" xfId="26558"/>
    <cellStyle name="Normal 4 5 3 2 2 2 2 2" xfId="55419"/>
    <cellStyle name="Normal 4 5 3 2 2 2 3" xfId="38372"/>
    <cellStyle name="Normal 4 5 3 2 2 3" xfId="20580"/>
    <cellStyle name="Normal 4 5 3 2 2 3 2" xfId="49441"/>
    <cellStyle name="Normal 4 5 3 2 2 4" xfId="32331"/>
    <cellStyle name="Normal 4 5 3 2 3" xfId="6625"/>
    <cellStyle name="Normal 4 5 3 2 3 2" xfId="23672"/>
    <cellStyle name="Normal 4 5 3 2 3 2 2" xfId="52533"/>
    <cellStyle name="Normal 4 5 3 2 3 3" xfId="35486"/>
    <cellStyle name="Normal 4 5 3 2 4" xfId="12882"/>
    <cellStyle name="Normal 4 5 3 2 4 2" xfId="17900"/>
    <cellStyle name="Normal 4 5 3 2 4 2 2" xfId="46761"/>
    <cellStyle name="Normal 4 5 3 2 4 3" xfId="41743"/>
    <cellStyle name="Normal 4 5 3 2 5" xfId="15220"/>
    <cellStyle name="Normal 4 5 3 2 5 2" xfId="44081"/>
    <cellStyle name="Normal 4 5 3 2 6" xfId="29445"/>
    <cellStyle name="Normal 4 5 3 3" xfId="2128"/>
    <cellStyle name="Normal 4 5 3 3 2" xfId="5015"/>
    <cellStyle name="Normal 4 5 3 3 2 2" xfId="11056"/>
    <cellStyle name="Normal 4 5 3 3 2 2 2" xfId="28103"/>
    <cellStyle name="Normal 4 5 3 3 2 2 2 2" xfId="56964"/>
    <cellStyle name="Normal 4 5 3 3 2 2 3" xfId="39917"/>
    <cellStyle name="Normal 4 5 3 3 2 3" xfId="22125"/>
    <cellStyle name="Normal 4 5 3 3 2 3 2" xfId="50986"/>
    <cellStyle name="Normal 4 5 3 3 2 4" xfId="33876"/>
    <cellStyle name="Normal 4 5 3 3 3" xfId="8170"/>
    <cellStyle name="Normal 4 5 3 3 3 2" xfId="25217"/>
    <cellStyle name="Normal 4 5 3 3 3 2 2" xfId="54078"/>
    <cellStyle name="Normal 4 5 3 3 3 3" xfId="37031"/>
    <cellStyle name="Normal 4 5 3 3 4" xfId="14437"/>
    <cellStyle name="Normal 4 5 3 3 4 2" xfId="19445"/>
    <cellStyle name="Normal 4 5 3 3 4 2 2" xfId="48306"/>
    <cellStyle name="Normal 4 5 3 3 4 3" xfId="43298"/>
    <cellStyle name="Normal 4 5 3 3 5" xfId="16765"/>
    <cellStyle name="Normal 4 5 3 3 5 2" xfId="45626"/>
    <cellStyle name="Normal 4 5 3 3 6" xfId="30990"/>
    <cellStyle name="Normal 4 5 3 4" xfId="3058"/>
    <cellStyle name="Normal 4 5 3 4 2" xfId="9099"/>
    <cellStyle name="Normal 4 5 3 4 2 2" xfId="26146"/>
    <cellStyle name="Normal 4 5 3 4 2 2 2" xfId="55007"/>
    <cellStyle name="Normal 4 5 3 4 2 3" xfId="37960"/>
    <cellStyle name="Normal 4 5 3 4 3" xfId="20168"/>
    <cellStyle name="Normal 4 5 3 4 3 2" xfId="49029"/>
    <cellStyle name="Normal 4 5 3 4 4" xfId="31919"/>
    <cellStyle name="Normal 4 5 3 5" xfId="6213"/>
    <cellStyle name="Normal 4 5 3 5 2" xfId="23260"/>
    <cellStyle name="Normal 4 5 3 5 2 2" xfId="52121"/>
    <cellStyle name="Normal 4 5 3 5 3" xfId="35074"/>
    <cellStyle name="Normal 4 5 3 6" xfId="14139"/>
    <cellStyle name="Normal 4 5 3 6 2" xfId="17591"/>
    <cellStyle name="Normal 4 5 3 6 2 2" xfId="46452"/>
    <cellStyle name="Normal 4 5 3 6 3" xfId="43000"/>
    <cellStyle name="Normal 4 5 3 7" xfId="14808"/>
    <cellStyle name="Normal 4 5 3 7 2" xfId="43669"/>
    <cellStyle name="Normal 4 5 3 8" xfId="29033"/>
    <cellStyle name="Normal 4 5 4" xfId="377"/>
    <cellStyle name="Normal 4 5 4 2" xfId="3264"/>
    <cellStyle name="Normal 4 5 4 2 2" xfId="9305"/>
    <cellStyle name="Normal 4 5 4 2 2 2" xfId="26352"/>
    <cellStyle name="Normal 4 5 4 2 2 2 2" xfId="55213"/>
    <cellStyle name="Normal 4 5 4 2 2 3" xfId="38166"/>
    <cellStyle name="Normal 4 5 4 2 3" xfId="20374"/>
    <cellStyle name="Normal 4 5 4 2 3 2" xfId="49235"/>
    <cellStyle name="Normal 4 5 4 2 4" xfId="32125"/>
    <cellStyle name="Normal 4 5 4 3" xfId="6419"/>
    <cellStyle name="Normal 4 5 4 3 2" xfId="23466"/>
    <cellStyle name="Normal 4 5 4 3 2 2" xfId="52327"/>
    <cellStyle name="Normal 4 5 4 3 3" xfId="35280"/>
    <cellStyle name="Normal 4 5 4 4" xfId="13694"/>
    <cellStyle name="Normal 4 5 4 4 2" xfId="17694"/>
    <cellStyle name="Normal 4 5 4 4 2 2" xfId="46555"/>
    <cellStyle name="Normal 4 5 4 4 3" xfId="42555"/>
    <cellStyle name="Normal 4 5 4 5" xfId="15014"/>
    <cellStyle name="Normal 4 5 4 5 2" xfId="43875"/>
    <cellStyle name="Normal 4 5 4 6" xfId="29239"/>
    <cellStyle name="Normal 4 5 5" xfId="686"/>
    <cellStyle name="Normal 4 5 5 2" xfId="3573"/>
    <cellStyle name="Normal 4 5 5 2 2" xfId="9614"/>
    <cellStyle name="Normal 4 5 5 2 2 2" xfId="26661"/>
    <cellStyle name="Normal 4 5 5 2 2 2 2" xfId="55522"/>
    <cellStyle name="Normal 4 5 5 2 2 3" xfId="38475"/>
    <cellStyle name="Normal 4 5 5 2 3" xfId="20683"/>
    <cellStyle name="Normal 4 5 5 2 3 2" xfId="49544"/>
    <cellStyle name="Normal 4 5 5 2 4" xfId="32434"/>
    <cellStyle name="Normal 4 5 5 3" xfId="6728"/>
    <cellStyle name="Normal 4 5 5 3 2" xfId="23775"/>
    <cellStyle name="Normal 4 5 5 3 2 2" xfId="52636"/>
    <cellStyle name="Normal 4 5 5 3 3" xfId="35589"/>
    <cellStyle name="Normal 4 5 5 4" xfId="11916"/>
    <cellStyle name="Normal 4 5 5 4 2" xfId="18003"/>
    <cellStyle name="Normal 4 5 5 4 2 2" xfId="46864"/>
    <cellStyle name="Normal 4 5 5 4 3" xfId="40777"/>
    <cellStyle name="Normal 4 5 5 5" xfId="15323"/>
    <cellStyle name="Normal 4 5 5 5 2" xfId="44184"/>
    <cellStyle name="Normal 4 5 5 6" xfId="29548"/>
    <cellStyle name="Normal 4 5 6" xfId="892"/>
    <cellStyle name="Normal 4 5 6 2" xfId="3779"/>
    <cellStyle name="Normal 4 5 6 2 2" xfId="9820"/>
    <cellStyle name="Normal 4 5 6 2 2 2" xfId="26867"/>
    <cellStyle name="Normal 4 5 6 2 2 2 2" xfId="55728"/>
    <cellStyle name="Normal 4 5 6 2 2 3" xfId="38681"/>
    <cellStyle name="Normal 4 5 6 2 3" xfId="20889"/>
    <cellStyle name="Normal 4 5 6 2 3 2" xfId="49750"/>
    <cellStyle name="Normal 4 5 6 2 4" xfId="32640"/>
    <cellStyle name="Normal 4 5 6 3" xfId="6934"/>
    <cellStyle name="Normal 4 5 6 3 2" xfId="23981"/>
    <cellStyle name="Normal 4 5 6 3 2 2" xfId="52842"/>
    <cellStyle name="Normal 4 5 6 3 3" xfId="35795"/>
    <cellStyle name="Normal 4 5 6 4" xfId="11995"/>
    <cellStyle name="Normal 4 5 6 4 2" xfId="18209"/>
    <cellStyle name="Normal 4 5 6 4 2 2" xfId="47070"/>
    <cellStyle name="Normal 4 5 6 4 3" xfId="40856"/>
    <cellStyle name="Normal 4 5 6 5" xfId="15529"/>
    <cellStyle name="Normal 4 5 6 5 2" xfId="44390"/>
    <cellStyle name="Normal 4 5 6 6" xfId="29754"/>
    <cellStyle name="Normal 4 5 7" xfId="1098"/>
    <cellStyle name="Normal 4 5 7 2" xfId="3985"/>
    <cellStyle name="Normal 4 5 7 2 2" xfId="10026"/>
    <cellStyle name="Normal 4 5 7 2 2 2" xfId="27073"/>
    <cellStyle name="Normal 4 5 7 2 2 2 2" xfId="55934"/>
    <cellStyle name="Normal 4 5 7 2 2 3" xfId="38887"/>
    <cellStyle name="Normal 4 5 7 2 3" xfId="21095"/>
    <cellStyle name="Normal 4 5 7 2 3 2" xfId="49956"/>
    <cellStyle name="Normal 4 5 7 2 4" xfId="32846"/>
    <cellStyle name="Normal 4 5 7 3" xfId="7140"/>
    <cellStyle name="Normal 4 5 7 3 2" xfId="24187"/>
    <cellStyle name="Normal 4 5 7 3 2 2" xfId="53048"/>
    <cellStyle name="Normal 4 5 7 3 3" xfId="36001"/>
    <cellStyle name="Normal 4 5 7 4" xfId="12042"/>
    <cellStyle name="Normal 4 5 7 4 2" xfId="18415"/>
    <cellStyle name="Normal 4 5 7 4 2 2" xfId="47276"/>
    <cellStyle name="Normal 4 5 7 4 3" xfId="40903"/>
    <cellStyle name="Normal 4 5 7 5" xfId="15735"/>
    <cellStyle name="Normal 4 5 7 5 2" xfId="44596"/>
    <cellStyle name="Normal 4 5 7 6" xfId="29960"/>
    <cellStyle name="Normal 4 5 8" xfId="1304"/>
    <cellStyle name="Normal 4 5 8 2" xfId="4191"/>
    <cellStyle name="Normal 4 5 8 2 2" xfId="10232"/>
    <cellStyle name="Normal 4 5 8 2 2 2" xfId="27279"/>
    <cellStyle name="Normal 4 5 8 2 2 2 2" xfId="56140"/>
    <cellStyle name="Normal 4 5 8 2 2 3" xfId="39093"/>
    <cellStyle name="Normal 4 5 8 2 3" xfId="21301"/>
    <cellStyle name="Normal 4 5 8 2 3 2" xfId="50162"/>
    <cellStyle name="Normal 4 5 8 2 4" xfId="33052"/>
    <cellStyle name="Normal 4 5 8 3" xfId="7346"/>
    <cellStyle name="Normal 4 5 8 3 2" xfId="24393"/>
    <cellStyle name="Normal 4 5 8 3 2 2" xfId="53254"/>
    <cellStyle name="Normal 4 5 8 3 3" xfId="36207"/>
    <cellStyle name="Normal 4 5 8 4" xfId="13172"/>
    <cellStyle name="Normal 4 5 8 4 2" xfId="18621"/>
    <cellStyle name="Normal 4 5 8 4 2 2" xfId="47482"/>
    <cellStyle name="Normal 4 5 8 4 3" xfId="42033"/>
    <cellStyle name="Normal 4 5 8 5" xfId="15941"/>
    <cellStyle name="Normal 4 5 8 5 2" xfId="44802"/>
    <cellStyle name="Normal 4 5 8 6" xfId="30166"/>
    <cellStyle name="Normal 4 5 9" xfId="1510"/>
    <cellStyle name="Normal 4 5 9 2" xfId="4397"/>
    <cellStyle name="Normal 4 5 9 2 2" xfId="10438"/>
    <cellStyle name="Normal 4 5 9 2 2 2" xfId="27485"/>
    <cellStyle name="Normal 4 5 9 2 2 2 2" xfId="56346"/>
    <cellStyle name="Normal 4 5 9 2 2 3" xfId="39299"/>
    <cellStyle name="Normal 4 5 9 2 3" xfId="21507"/>
    <cellStyle name="Normal 4 5 9 2 3 2" xfId="50368"/>
    <cellStyle name="Normal 4 5 9 2 4" xfId="33258"/>
    <cellStyle name="Normal 4 5 9 3" xfId="7552"/>
    <cellStyle name="Normal 4 5 9 3 2" xfId="24599"/>
    <cellStyle name="Normal 4 5 9 3 2 2" xfId="53460"/>
    <cellStyle name="Normal 4 5 9 3 3" xfId="36413"/>
    <cellStyle name="Normal 4 5 9 4" xfId="13231"/>
    <cellStyle name="Normal 4 5 9 4 2" xfId="18827"/>
    <cellStyle name="Normal 4 5 9 4 2 2" xfId="47688"/>
    <cellStyle name="Normal 4 5 9 4 3" xfId="42092"/>
    <cellStyle name="Normal 4 5 9 5" xfId="16147"/>
    <cellStyle name="Normal 4 5 9 5 2" xfId="45008"/>
    <cellStyle name="Normal 4 5 9 6" xfId="30372"/>
    <cellStyle name="Normal 4 6" xfId="37"/>
    <cellStyle name="Normal 4 6 10" xfId="1717"/>
    <cellStyle name="Normal 4 6 10 2" xfId="4604"/>
    <cellStyle name="Normal 4 6 10 2 2" xfId="10645"/>
    <cellStyle name="Normal 4 6 10 2 2 2" xfId="27692"/>
    <cellStyle name="Normal 4 6 10 2 2 2 2" xfId="56553"/>
    <cellStyle name="Normal 4 6 10 2 2 3" xfId="39506"/>
    <cellStyle name="Normal 4 6 10 2 3" xfId="21714"/>
    <cellStyle name="Normal 4 6 10 2 3 2" xfId="50575"/>
    <cellStyle name="Normal 4 6 10 2 4" xfId="33465"/>
    <cellStyle name="Normal 4 6 10 3" xfId="7759"/>
    <cellStyle name="Normal 4 6 10 3 2" xfId="24806"/>
    <cellStyle name="Normal 4 6 10 3 2 2" xfId="53667"/>
    <cellStyle name="Normal 4 6 10 3 3" xfId="36620"/>
    <cellStyle name="Normal 4 6 10 4" xfId="11940"/>
    <cellStyle name="Normal 4 6 10 4 2" xfId="19034"/>
    <cellStyle name="Normal 4 6 10 4 2 2" xfId="47895"/>
    <cellStyle name="Normal 4 6 10 4 3" xfId="40801"/>
    <cellStyle name="Normal 4 6 10 5" xfId="16354"/>
    <cellStyle name="Normal 4 6 10 5 2" xfId="45215"/>
    <cellStyle name="Normal 4 6 10 6" xfId="30579"/>
    <cellStyle name="Normal 4 6 11" xfId="1923"/>
    <cellStyle name="Normal 4 6 11 2" xfId="4810"/>
    <cellStyle name="Normal 4 6 11 2 2" xfId="10851"/>
    <cellStyle name="Normal 4 6 11 2 2 2" xfId="27898"/>
    <cellStyle name="Normal 4 6 11 2 2 2 2" xfId="56759"/>
    <cellStyle name="Normal 4 6 11 2 2 3" xfId="39712"/>
    <cellStyle name="Normal 4 6 11 2 3" xfId="21920"/>
    <cellStyle name="Normal 4 6 11 2 3 2" xfId="50781"/>
    <cellStyle name="Normal 4 6 11 2 4" xfId="33671"/>
    <cellStyle name="Normal 4 6 11 3" xfId="7965"/>
    <cellStyle name="Normal 4 6 11 3 2" xfId="25012"/>
    <cellStyle name="Normal 4 6 11 3 2 2" xfId="53873"/>
    <cellStyle name="Normal 4 6 11 3 3" xfId="36826"/>
    <cellStyle name="Normal 4 6 11 4" xfId="14227"/>
    <cellStyle name="Normal 4 6 11 4 2" xfId="19240"/>
    <cellStyle name="Normal 4 6 11 4 2 2" xfId="48101"/>
    <cellStyle name="Normal 4 6 11 4 3" xfId="43088"/>
    <cellStyle name="Normal 4 6 11 5" xfId="16560"/>
    <cellStyle name="Normal 4 6 11 5 2" xfId="45421"/>
    <cellStyle name="Normal 4 6 11 6" xfId="30785"/>
    <cellStyle name="Normal 4 6 12" xfId="2335"/>
    <cellStyle name="Normal 4 6 12 2" xfId="5222"/>
    <cellStyle name="Normal 4 6 12 2 2" xfId="11263"/>
    <cellStyle name="Normal 4 6 12 2 2 2" xfId="28310"/>
    <cellStyle name="Normal 4 6 12 2 2 2 2" xfId="57171"/>
    <cellStyle name="Normal 4 6 12 2 2 3" xfId="40124"/>
    <cellStyle name="Normal 4 6 12 2 3" xfId="22332"/>
    <cellStyle name="Normal 4 6 12 2 3 2" xfId="51193"/>
    <cellStyle name="Normal 4 6 12 2 4" xfId="34083"/>
    <cellStyle name="Normal 4 6 12 3" xfId="8377"/>
    <cellStyle name="Normal 4 6 12 3 2" xfId="25424"/>
    <cellStyle name="Normal 4 6 12 3 2 2" xfId="54285"/>
    <cellStyle name="Normal 4 6 12 3 3" xfId="37238"/>
    <cellStyle name="Normal 4 6 12 4" xfId="14456"/>
    <cellStyle name="Normal 4 6 12 4 2" xfId="19652"/>
    <cellStyle name="Normal 4 6 12 4 2 2" xfId="48513"/>
    <cellStyle name="Normal 4 6 12 4 3" xfId="43317"/>
    <cellStyle name="Normal 4 6 12 5" xfId="16972"/>
    <cellStyle name="Normal 4 6 12 5 2" xfId="45833"/>
    <cellStyle name="Normal 4 6 12 6" xfId="31197"/>
    <cellStyle name="Normal 4 6 13" xfId="2544"/>
    <cellStyle name="Normal 4 6 13 2" xfId="5430"/>
    <cellStyle name="Normal 4 6 13 2 2" xfId="11471"/>
    <cellStyle name="Normal 4 6 13 2 2 2" xfId="28518"/>
    <cellStyle name="Normal 4 6 13 2 2 2 2" xfId="57379"/>
    <cellStyle name="Normal 4 6 13 2 2 3" xfId="40332"/>
    <cellStyle name="Normal 4 6 13 2 3" xfId="22540"/>
    <cellStyle name="Normal 4 6 13 2 3 2" xfId="51401"/>
    <cellStyle name="Normal 4 6 13 2 4" xfId="34291"/>
    <cellStyle name="Normal 4 6 13 3" xfId="8585"/>
    <cellStyle name="Normal 4 6 13 3 2" xfId="25632"/>
    <cellStyle name="Normal 4 6 13 3 2 2" xfId="54493"/>
    <cellStyle name="Normal 4 6 13 3 3" xfId="37446"/>
    <cellStyle name="Normal 4 6 13 4" xfId="13310"/>
    <cellStyle name="Normal 4 6 13 4 2" xfId="19860"/>
    <cellStyle name="Normal 4 6 13 4 2 2" xfId="48721"/>
    <cellStyle name="Normal 4 6 13 4 3" xfId="42171"/>
    <cellStyle name="Normal 4 6 13 5" xfId="17180"/>
    <cellStyle name="Normal 4 6 13 5 2" xfId="46041"/>
    <cellStyle name="Normal 4 6 13 6" xfId="31405"/>
    <cellStyle name="Normal 4 6 14" xfId="2956"/>
    <cellStyle name="Normal 4 6 14 2" xfId="8997"/>
    <cellStyle name="Normal 4 6 14 2 2" xfId="26044"/>
    <cellStyle name="Normal 4 6 14 2 2 2" xfId="54905"/>
    <cellStyle name="Normal 4 6 14 2 3" xfId="37858"/>
    <cellStyle name="Normal 4 6 14 3" xfId="14201"/>
    <cellStyle name="Normal 4 6 14 3 2" xfId="20066"/>
    <cellStyle name="Normal 4 6 14 3 2 2" xfId="48927"/>
    <cellStyle name="Normal 4 6 14 3 3" xfId="43062"/>
    <cellStyle name="Normal 4 6 14 4" xfId="14706"/>
    <cellStyle name="Normal 4 6 14 4 2" xfId="43567"/>
    <cellStyle name="Normal 4 6 14 5" xfId="31817"/>
    <cellStyle name="Normal 4 6 15" xfId="2750"/>
    <cellStyle name="Normal 4 6 15 2" xfId="8791"/>
    <cellStyle name="Normal 4 6 15 2 2" xfId="25838"/>
    <cellStyle name="Normal 4 6 15 2 2 2" xfId="54699"/>
    <cellStyle name="Normal 4 6 15 2 3" xfId="37652"/>
    <cellStyle name="Normal 4 6 15 3" xfId="17386"/>
    <cellStyle name="Normal 4 6 15 3 2" xfId="46247"/>
    <cellStyle name="Normal 4 6 15 4" xfId="31611"/>
    <cellStyle name="Normal 4 6 16" xfId="5636"/>
    <cellStyle name="Normal 4 6 16 2" xfId="11677"/>
    <cellStyle name="Normal 4 6 16 2 2" xfId="28724"/>
    <cellStyle name="Normal 4 6 16 2 2 2" xfId="57585"/>
    <cellStyle name="Normal 4 6 16 2 3" xfId="40538"/>
    <cellStyle name="Normal 4 6 16 3" xfId="22746"/>
    <cellStyle name="Normal 4 6 16 3 2" xfId="51607"/>
    <cellStyle name="Normal 4 6 16 4" xfId="34497"/>
    <cellStyle name="Normal 4 6 17" xfId="5847"/>
    <cellStyle name="Normal 4 6 17 2" xfId="22952"/>
    <cellStyle name="Normal 4 6 17 2 2" xfId="51813"/>
    <cellStyle name="Normal 4 6 17 3" xfId="34708"/>
    <cellStyle name="Normal 4 6 18" xfId="6111"/>
    <cellStyle name="Normal 4 6 18 2" xfId="23158"/>
    <cellStyle name="Normal 4 6 18 2 2" xfId="52019"/>
    <cellStyle name="Normal 4 6 18 3" xfId="34972"/>
    <cellStyle name="Normal 4 6 19" xfId="14500"/>
    <cellStyle name="Normal 4 6 19 2" xfId="43361"/>
    <cellStyle name="Normal 4 6 2" xfId="275"/>
    <cellStyle name="Normal 4 6 2 10" xfId="2438"/>
    <cellStyle name="Normal 4 6 2 10 2" xfId="5325"/>
    <cellStyle name="Normal 4 6 2 10 2 2" xfId="11366"/>
    <cellStyle name="Normal 4 6 2 10 2 2 2" xfId="28413"/>
    <cellStyle name="Normal 4 6 2 10 2 2 2 2" xfId="57274"/>
    <cellStyle name="Normal 4 6 2 10 2 2 3" xfId="40227"/>
    <cellStyle name="Normal 4 6 2 10 2 3" xfId="22435"/>
    <cellStyle name="Normal 4 6 2 10 2 3 2" xfId="51296"/>
    <cellStyle name="Normal 4 6 2 10 2 4" xfId="34186"/>
    <cellStyle name="Normal 4 6 2 10 3" xfId="8480"/>
    <cellStyle name="Normal 4 6 2 10 3 2" xfId="25527"/>
    <cellStyle name="Normal 4 6 2 10 3 2 2" xfId="54388"/>
    <cellStyle name="Normal 4 6 2 10 3 3" xfId="37341"/>
    <cellStyle name="Normal 4 6 2 10 4" xfId="13527"/>
    <cellStyle name="Normal 4 6 2 10 4 2" xfId="19755"/>
    <cellStyle name="Normal 4 6 2 10 4 2 2" xfId="48616"/>
    <cellStyle name="Normal 4 6 2 10 4 3" xfId="42388"/>
    <cellStyle name="Normal 4 6 2 10 5" xfId="17075"/>
    <cellStyle name="Normal 4 6 2 10 5 2" xfId="45936"/>
    <cellStyle name="Normal 4 6 2 10 6" xfId="31300"/>
    <cellStyle name="Normal 4 6 2 11" xfId="2647"/>
    <cellStyle name="Normal 4 6 2 11 2" xfId="5533"/>
    <cellStyle name="Normal 4 6 2 11 2 2" xfId="11574"/>
    <cellStyle name="Normal 4 6 2 11 2 2 2" xfId="28621"/>
    <cellStyle name="Normal 4 6 2 11 2 2 2 2" xfId="57482"/>
    <cellStyle name="Normal 4 6 2 11 2 2 3" xfId="40435"/>
    <cellStyle name="Normal 4 6 2 11 2 3" xfId="22643"/>
    <cellStyle name="Normal 4 6 2 11 2 3 2" xfId="51504"/>
    <cellStyle name="Normal 4 6 2 11 2 4" xfId="34394"/>
    <cellStyle name="Normal 4 6 2 11 3" xfId="8688"/>
    <cellStyle name="Normal 4 6 2 11 3 2" xfId="25735"/>
    <cellStyle name="Normal 4 6 2 11 3 2 2" xfId="54596"/>
    <cellStyle name="Normal 4 6 2 11 3 3" xfId="37549"/>
    <cellStyle name="Normal 4 6 2 11 4" xfId="14216"/>
    <cellStyle name="Normal 4 6 2 11 4 2" xfId="19963"/>
    <cellStyle name="Normal 4 6 2 11 4 2 2" xfId="48824"/>
    <cellStyle name="Normal 4 6 2 11 4 3" xfId="43077"/>
    <cellStyle name="Normal 4 6 2 11 5" xfId="17283"/>
    <cellStyle name="Normal 4 6 2 11 5 2" xfId="46144"/>
    <cellStyle name="Normal 4 6 2 11 6" xfId="31508"/>
    <cellStyle name="Normal 4 6 2 12" xfId="3162"/>
    <cellStyle name="Normal 4 6 2 12 2" xfId="9203"/>
    <cellStyle name="Normal 4 6 2 12 2 2" xfId="26250"/>
    <cellStyle name="Normal 4 6 2 12 2 2 2" xfId="55111"/>
    <cellStyle name="Normal 4 6 2 12 2 3" xfId="38064"/>
    <cellStyle name="Normal 4 6 2 12 3" xfId="12344"/>
    <cellStyle name="Normal 4 6 2 12 3 2" xfId="20272"/>
    <cellStyle name="Normal 4 6 2 12 3 2 2" xfId="49133"/>
    <cellStyle name="Normal 4 6 2 12 3 3" xfId="41205"/>
    <cellStyle name="Normal 4 6 2 12 4" xfId="14912"/>
    <cellStyle name="Normal 4 6 2 12 4 2" xfId="43773"/>
    <cellStyle name="Normal 4 6 2 12 5" xfId="32023"/>
    <cellStyle name="Normal 4 6 2 13" xfId="2853"/>
    <cellStyle name="Normal 4 6 2 13 2" xfId="8894"/>
    <cellStyle name="Normal 4 6 2 13 2 2" xfId="25941"/>
    <cellStyle name="Normal 4 6 2 13 2 2 2" xfId="54802"/>
    <cellStyle name="Normal 4 6 2 13 2 3" xfId="37755"/>
    <cellStyle name="Normal 4 6 2 13 3" xfId="17489"/>
    <cellStyle name="Normal 4 6 2 13 3 2" xfId="46350"/>
    <cellStyle name="Normal 4 6 2 13 4" xfId="31714"/>
    <cellStyle name="Normal 4 6 2 14" xfId="5739"/>
    <cellStyle name="Normal 4 6 2 14 2" xfId="11780"/>
    <cellStyle name="Normal 4 6 2 14 2 2" xfId="28827"/>
    <cellStyle name="Normal 4 6 2 14 2 2 2" xfId="57688"/>
    <cellStyle name="Normal 4 6 2 14 2 3" xfId="40641"/>
    <cellStyle name="Normal 4 6 2 14 3" xfId="22849"/>
    <cellStyle name="Normal 4 6 2 14 3 2" xfId="51710"/>
    <cellStyle name="Normal 4 6 2 14 4" xfId="34600"/>
    <cellStyle name="Normal 4 6 2 15" xfId="5956"/>
    <cellStyle name="Normal 4 6 2 15 2" xfId="23055"/>
    <cellStyle name="Normal 4 6 2 15 2 2" xfId="51916"/>
    <cellStyle name="Normal 4 6 2 15 3" xfId="34817"/>
    <cellStyle name="Normal 4 6 2 16" xfId="6317"/>
    <cellStyle name="Normal 4 6 2 16 2" xfId="23364"/>
    <cellStyle name="Normal 4 6 2 16 2 2" xfId="52225"/>
    <cellStyle name="Normal 4 6 2 16 3" xfId="35178"/>
    <cellStyle name="Normal 4 6 2 17" xfId="14603"/>
    <cellStyle name="Normal 4 6 2 17 2" xfId="43464"/>
    <cellStyle name="Normal 4 6 2 18" xfId="29137"/>
    <cellStyle name="Normal 4 6 2 2" xfId="481"/>
    <cellStyle name="Normal 4 6 2 2 2" xfId="2232"/>
    <cellStyle name="Normal 4 6 2 2 2 2" xfId="5119"/>
    <cellStyle name="Normal 4 6 2 2 2 2 2" xfId="11160"/>
    <cellStyle name="Normal 4 6 2 2 2 2 2 2" xfId="28207"/>
    <cellStyle name="Normal 4 6 2 2 2 2 2 2 2" xfId="57068"/>
    <cellStyle name="Normal 4 6 2 2 2 2 2 3" xfId="40021"/>
    <cellStyle name="Normal 4 6 2 2 2 2 3" xfId="22229"/>
    <cellStyle name="Normal 4 6 2 2 2 2 3 2" xfId="51090"/>
    <cellStyle name="Normal 4 6 2 2 2 2 4" xfId="33980"/>
    <cellStyle name="Normal 4 6 2 2 2 3" xfId="8274"/>
    <cellStyle name="Normal 4 6 2 2 2 3 2" xfId="25321"/>
    <cellStyle name="Normal 4 6 2 2 2 3 2 2" xfId="54182"/>
    <cellStyle name="Normal 4 6 2 2 2 3 3" xfId="37135"/>
    <cellStyle name="Normal 4 6 2 2 2 4" xfId="13294"/>
    <cellStyle name="Normal 4 6 2 2 2 4 2" xfId="19549"/>
    <cellStyle name="Normal 4 6 2 2 2 4 2 2" xfId="48410"/>
    <cellStyle name="Normal 4 6 2 2 2 4 3" xfId="42155"/>
    <cellStyle name="Normal 4 6 2 2 2 5" xfId="16869"/>
    <cellStyle name="Normal 4 6 2 2 2 5 2" xfId="45730"/>
    <cellStyle name="Normal 4 6 2 2 2 6" xfId="31094"/>
    <cellStyle name="Normal 4 6 2 2 3" xfId="3368"/>
    <cellStyle name="Normal 4 6 2 2 3 2" xfId="9409"/>
    <cellStyle name="Normal 4 6 2 2 3 2 2" xfId="26456"/>
    <cellStyle name="Normal 4 6 2 2 3 2 2 2" xfId="55317"/>
    <cellStyle name="Normal 4 6 2 2 3 2 3" xfId="38270"/>
    <cellStyle name="Normal 4 6 2 2 3 3" xfId="20478"/>
    <cellStyle name="Normal 4 6 2 2 3 3 2" xfId="49339"/>
    <cellStyle name="Normal 4 6 2 2 3 4" xfId="32229"/>
    <cellStyle name="Normal 4 6 2 2 4" xfId="6523"/>
    <cellStyle name="Normal 4 6 2 2 4 2" xfId="23570"/>
    <cellStyle name="Normal 4 6 2 2 4 2 2" xfId="52431"/>
    <cellStyle name="Normal 4 6 2 2 4 3" xfId="35384"/>
    <cellStyle name="Normal 4 6 2 2 5" xfId="14321"/>
    <cellStyle name="Normal 4 6 2 2 5 2" xfId="17798"/>
    <cellStyle name="Normal 4 6 2 2 5 2 2" xfId="46659"/>
    <cellStyle name="Normal 4 6 2 2 5 3" xfId="43182"/>
    <cellStyle name="Normal 4 6 2 2 6" xfId="15118"/>
    <cellStyle name="Normal 4 6 2 2 6 2" xfId="43979"/>
    <cellStyle name="Normal 4 6 2 2 7" xfId="29343"/>
    <cellStyle name="Normal 4 6 2 3" xfId="790"/>
    <cellStyle name="Normal 4 6 2 3 2" xfId="3677"/>
    <cellStyle name="Normal 4 6 2 3 2 2" xfId="9718"/>
    <cellStyle name="Normal 4 6 2 3 2 2 2" xfId="26765"/>
    <cellStyle name="Normal 4 6 2 3 2 2 2 2" xfId="55626"/>
    <cellStyle name="Normal 4 6 2 3 2 2 3" xfId="38579"/>
    <cellStyle name="Normal 4 6 2 3 2 3" xfId="20787"/>
    <cellStyle name="Normal 4 6 2 3 2 3 2" xfId="49648"/>
    <cellStyle name="Normal 4 6 2 3 2 4" xfId="32538"/>
    <cellStyle name="Normal 4 6 2 3 3" xfId="6832"/>
    <cellStyle name="Normal 4 6 2 3 3 2" xfId="23879"/>
    <cellStyle name="Normal 4 6 2 3 3 2 2" xfId="52740"/>
    <cellStyle name="Normal 4 6 2 3 3 3" xfId="35693"/>
    <cellStyle name="Normal 4 6 2 3 4" xfId="14448"/>
    <cellStyle name="Normal 4 6 2 3 4 2" xfId="18107"/>
    <cellStyle name="Normal 4 6 2 3 4 2 2" xfId="46968"/>
    <cellStyle name="Normal 4 6 2 3 4 3" xfId="43309"/>
    <cellStyle name="Normal 4 6 2 3 5" xfId="15427"/>
    <cellStyle name="Normal 4 6 2 3 5 2" xfId="44288"/>
    <cellStyle name="Normal 4 6 2 3 6" xfId="29652"/>
    <cellStyle name="Normal 4 6 2 4" xfId="996"/>
    <cellStyle name="Normal 4 6 2 4 2" xfId="3883"/>
    <cellStyle name="Normal 4 6 2 4 2 2" xfId="9924"/>
    <cellStyle name="Normal 4 6 2 4 2 2 2" xfId="26971"/>
    <cellStyle name="Normal 4 6 2 4 2 2 2 2" xfId="55832"/>
    <cellStyle name="Normal 4 6 2 4 2 2 3" xfId="38785"/>
    <cellStyle name="Normal 4 6 2 4 2 3" xfId="20993"/>
    <cellStyle name="Normal 4 6 2 4 2 3 2" xfId="49854"/>
    <cellStyle name="Normal 4 6 2 4 2 4" xfId="32744"/>
    <cellStyle name="Normal 4 6 2 4 3" xfId="7038"/>
    <cellStyle name="Normal 4 6 2 4 3 2" xfId="24085"/>
    <cellStyle name="Normal 4 6 2 4 3 2 2" xfId="52946"/>
    <cellStyle name="Normal 4 6 2 4 3 3" xfId="35899"/>
    <cellStyle name="Normal 4 6 2 4 4" xfId="13356"/>
    <cellStyle name="Normal 4 6 2 4 4 2" xfId="18313"/>
    <cellStyle name="Normal 4 6 2 4 4 2 2" xfId="47174"/>
    <cellStyle name="Normal 4 6 2 4 4 3" xfId="42217"/>
    <cellStyle name="Normal 4 6 2 4 5" xfId="15633"/>
    <cellStyle name="Normal 4 6 2 4 5 2" xfId="44494"/>
    <cellStyle name="Normal 4 6 2 4 6" xfId="29858"/>
    <cellStyle name="Normal 4 6 2 5" xfId="1202"/>
    <cellStyle name="Normal 4 6 2 5 2" xfId="4089"/>
    <cellStyle name="Normal 4 6 2 5 2 2" xfId="10130"/>
    <cellStyle name="Normal 4 6 2 5 2 2 2" xfId="27177"/>
    <cellStyle name="Normal 4 6 2 5 2 2 2 2" xfId="56038"/>
    <cellStyle name="Normal 4 6 2 5 2 2 3" xfId="38991"/>
    <cellStyle name="Normal 4 6 2 5 2 3" xfId="21199"/>
    <cellStyle name="Normal 4 6 2 5 2 3 2" xfId="50060"/>
    <cellStyle name="Normal 4 6 2 5 2 4" xfId="32950"/>
    <cellStyle name="Normal 4 6 2 5 3" xfId="7244"/>
    <cellStyle name="Normal 4 6 2 5 3 2" xfId="24291"/>
    <cellStyle name="Normal 4 6 2 5 3 2 2" xfId="53152"/>
    <cellStyle name="Normal 4 6 2 5 3 3" xfId="36105"/>
    <cellStyle name="Normal 4 6 2 5 4" xfId="12393"/>
    <cellStyle name="Normal 4 6 2 5 4 2" xfId="18519"/>
    <cellStyle name="Normal 4 6 2 5 4 2 2" xfId="47380"/>
    <cellStyle name="Normal 4 6 2 5 4 3" xfId="41254"/>
    <cellStyle name="Normal 4 6 2 5 5" xfId="15839"/>
    <cellStyle name="Normal 4 6 2 5 5 2" xfId="44700"/>
    <cellStyle name="Normal 4 6 2 5 6" xfId="30064"/>
    <cellStyle name="Normal 4 6 2 6" xfId="1408"/>
    <cellStyle name="Normal 4 6 2 6 2" xfId="4295"/>
    <cellStyle name="Normal 4 6 2 6 2 2" xfId="10336"/>
    <cellStyle name="Normal 4 6 2 6 2 2 2" xfId="27383"/>
    <cellStyle name="Normal 4 6 2 6 2 2 2 2" xfId="56244"/>
    <cellStyle name="Normal 4 6 2 6 2 2 3" xfId="39197"/>
    <cellStyle name="Normal 4 6 2 6 2 3" xfId="21405"/>
    <cellStyle name="Normal 4 6 2 6 2 3 2" xfId="50266"/>
    <cellStyle name="Normal 4 6 2 6 2 4" xfId="33156"/>
    <cellStyle name="Normal 4 6 2 6 3" xfId="7450"/>
    <cellStyle name="Normal 4 6 2 6 3 2" xfId="24497"/>
    <cellStyle name="Normal 4 6 2 6 3 2 2" xfId="53358"/>
    <cellStyle name="Normal 4 6 2 6 3 3" xfId="36311"/>
    <cellStyle name="Normal 4 6 2 6 4" xfId="14361"/>
    <cellStyle name="Normal 4 6 2 6 4 2" xfId="18725"/>
    <cellStyle name="Normal 4 6 2 6 4 2 2" xfId="47586"/>
    <cellStyle name="Normal 4 6 2 6 4 3" xfId="43222"/>
    <cellStyle name="Normal 4 6 2 6 5" xfId="16045"/>
    <cellStyle name="Normal 4 6 2 6 5 2" xfId="44906"/>
    <cellStyle name="Normal 4 6 2 6 6" xfId="30270"/>
    <cellStyle name="Normal 4 6 2 7" xfId="1614"/>
    <cellStyle name="Normal 4 6 2 7 2" xfId="4501"/>
    <cellStyle name="Normal 4 6 2 7 2 2" xfId="10542"/>
    <cellStyle name="Normal 4 6 2 7 2 2 2" xfId="27589"/>
    <cellStyle name="Normal 4 6 2 7 2 2 2 2" xfId="56450"/>
    <cellStyle name="Normal 4 6 2 7 2 2 3" xfId="39403"/>
    <cellStyle name="Normal 4 6 2 7 2 3" xfId="21611"/>
    <cellStyle name="Normal 4 6 2 7 2 3 2" xfId="50472"/>
    <cellStyle name="Normal 4 6 2 7 2 4" xfId="33362"/>
    <cellStyle name="Normal 4 6 2 7 3" xfId="7656"/>
    <cellStyle name="Normal 4 6 2 7 3 2" xfId="24703"/>
    <cellStyle name="Normal 4 6 2 7 3 2 2" xfId="53564"/>
    <cellStyle name="Normal 4 6 2 7 3 3" xfId="36517"/>
    <cellStyle name="Normal 4 6 2 7 4" xfId="12150"/>
    <cellStyle name="Normal 4 6 2 7 4 2" xfId="18931"/>
    <cellStyle name="Normal 4 6 2 7 4 2 2" xfId="47792"/>
    <cellStyle name="Normal 4 6 2 7 4 3" xfId="41011"/>
    <cellStyle name="Normal 4 6 2 7 5" xfId="16251"/>
    <cellStyle name="Normal 4 6 2 7 5 2" xfId="45112"/>
    <cellStyle name="Normal 4 6 2 7 6" xfId="30476"/>
    <cellStyle name="Normal 4 6 2 8" xfId="1820"/>
    <cellStyle name="Normal 4 6 2 8 2" xfId="4707"/>
    <cellStyle name="Normal 4 6 2 8 2 2" xfId="10748"/>
    <cellStyle name="Normal 4 6 2 8 2 2 2" xfId="27795"/>
    <cellStyle name="Normal 4 6 2 8 2 2 2 2" xfId="56656"/>
    <cellStyle name="Normal 4 6 2 8 2 2 3" xfId="39609"/>
    <cellStyle name="Normal 4 6 2 8 2 3" xfId="21817"/>
    <cellStyle name="Normal 4 6 2 8 2 3 2" xfId="50678"/>
    <cellStyle name="Normal 4 6 2 8 2 4" xfId="33568"/>
    <cellStyle name="Normal 4 6 2 8 3" xfId="7862"/>
    <cellStyle name="Normal 4 6 2 8 3 2" xfId="24909"/>
    <cellStyle name="Normal 4 6 2 8 3 2 2" xfId="53770"/>
    <cellStyle name="Normal 4 6 2 8 3 3" xfId="36723"/>
    <cellStyle name="Normal 4 6 2 8 4" xfId="13612"/>
    <cellStyle name="Normal 4 6 2 8 4 2" xfId="19137"/>
    <cellStyle name="Normal 4 6 2 8 4 2 2" xfId="47998"/>
    <cellStyle name="Normal 4 6 2 8 4 3" xfId="42473"/>
    <cellStyle name="Normal 4 6 2 8 5" xfId="16457"/>
    <cellStyle name="Normal 4 6 2 8 5 2" xfId="45318"/>
    <cellStyle name="Normal 4 6 2 8 6" xfId="30682"/>
    <cellStyle name="Normal 4 6 2 9" xfId="2026"/>
    <cellStyle name="Normal 4 6 2 9 2" xfId="4913"/>
    <cellStyle name="Normal 4 6 2 9 2 2" xfId="10954"/>
    <cellStyle name="Normal 4 6 2 9 2 2 2" xfId="28001"/>
    <cellStyle name="Normal 4 6 2 9 2 2 2 2" xfId="56862"/>
    <cellStyle name="Normal 4 6 2 9 2 2 3" xfId="39815"/>
    <cellStyle name="Normal 4 6 2 9 2 3" xfId="22023"/>
    <cellStyle name="Normal 4 6 2 9 2 3 2" xfId="50884"/>
    <cellStyle name="Normal 4 6 2 9 2 4" xfId="33774"/>
    <cellStyle name="Normal 4 6 2 9 3" xfId="8068"/>
    <cellStyle name="Normal 4 6 2 9 3 2" xfId="25115"/>
    <cellStyle name="Normal 4 6 2 9 3 2 2" xfId="53976"/>
    <cellStyle name="Normal 4 6 2 9 3 3" xfId="36929"/>
    <cellStyle name="Normal 4 6 2 9 4" xfId="12786"/>
    <cellStyle name="Normal 4 6 2 9 4 2" xfId="19343"/>
    <cellStyle name="Normal 4 6 2 9 4 2 2" xfId="48204"/>
    <cellStyle name="Normal 4 6 2 9 4 3" xfId="41647"/>
    <cellStyle name="Normal 4 6 2 9 5" xfId="16663"/>
    <cellStyle name="Normal 4 6 2 9 5 2" xfId="45524"/>
    <cellStyle name="Normal 4 6 2 9 6" xfId="30888"/>
    <cellStyle name="Normal 4 6 20" xfId="28931"/>
    <cellStyle name="Normal 4 6 3" xfId="172"/>
    <cellStyle name="Normal 4 6 3 2" xfId="584"/>
    <cellStyle name="Normal 4 6 3 2 2" xfId="3471"/>
    <cellStyle name="Normal 4 6 3 2 2 2" xfId="9512"/>
    <cellStyle name="Normal 4 6 3 2 2 2 2" xfId="26559"/>
    <cellStyle name="Normal 4 6 3 2 2 2 2 2" xfId="55420"/>
    <cellStyle name="Normal 4 6 3 2 2 2 3" xfId="38373"/>
    <cellStyle name="Normal 4 6 3 2 2 3" xfId="20581"/>
    <cellStyle name="Normal 4 6 3 2 2 3 2" xfId="49442"/>
    <cellStyle name="Normal 4 6 3 2 2 4" xfId="32332"/>
    <cellStyle name="Normal 4 6 3 2 3" xfId="6626"/>
    <cellStyle name="Normal 4 6 3 2 3 2" xfId="23673"/>
    <cellStyle name="Normal 4 6 3 2 3 2 2" xfId="52534"/>
    <cellStyle name="Normal 4 6 3 2 3 3" xfId="35487"/>
    <cellStyle name="Normal 4 6 3 2 4" xfId="12432"/>
    <cellStyle name="Normal 4 6 3 2 4 2" xfId="17901"/>
    <cellStyle name="Normal 4 6 3 2 4 2 2" xfId="46762"/>
    <cellStyle name="Normal 4 6 3 2 4 3" xfId="41293"/>
    <cellStyle name="Normal 4 6 3 2 5" xfId="15221"/>
    <cellStyle name="Normal 4 6 3 2 5 2" xfId="44082"/>
    <cellStyle name="Normal 4 6 3 2 6" xfId="29446"/>
    <cellStyle name="Normal 4 6 3 3" xfId="2129"/>
    <cellStyle name="Normal 4 6 3 3 2" xfId="5016"/>
    <cellStyle name="Normal 4 6 3 3 2 2" xfId="11057"/>
    <cellStyle name="Normal 4 6 3 3 2 2 2" xfId="28104"/>
    <cellStyle name="Normal 4 6 3 3 2 2 2 2" xfId="56965"/>
    <cellStyle name="Normal 4 6 3 3 2 2 3" xfId="39918"/>
    <cellStyle name="Normal 4 6 3 3 2 3" xfId="22126"/>
    <cellStyle name="Normal 4 6 3 3 2 3 2" xfId="50987"/>
    <cellStyle name="Normal 4 6 3 3 2 4" xfId="33877"/>
    <cellStyle name="Normal 4 6 3 3 3" xfId="8171"/>
    <cellStyle name="Normal 4 6 3 3 3 2" xfId="25218"/>
    <cellStyle name="Normal 4 6 3 3 3 2 2" xfId="54079"/>
    <cellStyle name="Normal 4 6 3 3 3 3" xfId="37032"/>
    <cellStyle name="Normal 4 6 3 3 4" xfId="14050"/>
    <cellStyle name="Normal 4 6 3 3 4 2" xfId="19446"/>
    <cellStyle name="Normal 4 6 3 3 4 2 2" xfId="48307"/>
    <cellStyle name="Normal 4 6 3 3 4 3" xfId="42911"/>
    <cellStyle name="Normal 4 6 3 3 5" xfId="16766"/>
    <cellStyle name="Normal 4 6 3 3 5 2" xfId="45627"/>
    <cellStyle name="Normal 4 6 3 3 6" xfId="30991"/>
    <cellStyle name="Normal 4 6 3 4" xfId="3059"/>
    <cellStyle name="Normal 4 6 3 4 2" xfId="9100"/>
    <cellStyle name="Normal 4 6 3 4 2 2" xfId="26147"/>
    <cellStyle name="Normal 4 6 3 4 2 2 2" xfId="55008"/>
    <cellStyle name="Normal 4 6 3 4 2 3" xfId="37961"/>
    <cellStyle name="Normal 4 6 3 4 3" xfId="20169"/>
    <cellStyle name="Normal 4 6 3 4 3 2" xfId="49030"/>
    <cellStyle name="Normal 4 6 3 4 4" xfId="31920"/>
    <cellStyle name="Normal 4 6 3 5" xfId="6214"/>
    <cellStyle name="Normal 4 6 3 5 2" xfId="23261"/>
    <cellStyle name="Normal 4 6 3 5 2 2" xfId="52122"/>
    <cellStyle name="Normal 4 6 3 5 3" xfId="35075"/>
    <cellStyle name="Normal 4 6 3 6" xfId="13512"/>
    <cellStyle name="Normal 4 6 3 6 2" xfId="17592"/>
    <cellStyle name="Normal 4 6 3 6 2 2" xfId="46453"/>
    <cellStyle name="Normal 4 6 3 6 3" xfId="42373"/>
    <cellStyle name="Normal 4 6 3 7" xfId="14809"/>
    <cellStyle name="Normal 4 6 3 7 2" xfId="43670"/>
    <cellStyle name="Normal 4 6 3 8" xfId="29034"/>
    <cellStyle name="Normal 4 6 4" xfId="378"/>
    <cellStyle name="Normal 4 6 4 2" xfId="3265"/>
    <cellStyle name="Normal 4 6 4 2 2" xfId="9306"/>
    <cellStyle name="Normal 4 6 4 2 2 2" xfId="26353"/>
    <cellStyle name="Normal 4 6 4 2 2 2 2" xfId="55214"/>
    <cellStyle name="Normal 4 6 4 2 2 3" xfId="38167"/>
    <cellStyle name="Normal 4 6 4 2 3" xfId="20375"/>
    <cellStyle name="Normal 4 6 4 2 3 2" xfId="49236"/>
    <cellStyle name="Normal 4 6 4 2 4" xfId="32126"/>
    <cellStyle name="Normal 4 6 4 3" xfId="6420"/>
    <cellStyle name="Normal 4 6 4 3 2" xfId="23467"/>
    <cellStyle name="Normal 4 6 4 3 2 2" xfId="52328"/>
    <cellStyle name="Normal 4 6 4 3 3" xfId="35281"/>
    <cellStyle name="Normal 4 6 4 4" xfId="12844"/>
    <cellStyle name="Normal 4 6 4 4 2" xfId="17695"/>
    <cellStyle name="Normal 4 6 4 4 2 2" xfId="46556"/>
    <cellStyle name="Normal 4 6 4 4 3" xfId="41705"/>
    <cellStyle name="Normal 4 6 4 5" xfId="15015"/>
    <cellStyle name="Normal 4 6 4 5 2" xfId="43876"/>
    <cellStyle name="Normal 4 6 4 6" xfId="29240"/>
    <cellStyle name="Normal 4 6 5" xfId="687"/>
    <cellStyle name="Normal 4 6 5 2" xfId="3574"/>
    <cellStyle name="Normal 4 6 5 2 2" xfId="9615"/>
    <cellStyle name="Normal 4 6 5 2 2 2" xfId="26662"/>
    <cellStyle name="Normal 4 6 5 2 2 2 2" xfId="55523"/>
    <cellStyle name="Normal 4 6 5 2 2 3" xfId="38476"/>
    <cellStyle name="Normal 4 6 5 2 3" xfId="20684"/>
    <cellStyle name="Normal 4 6 5 2 3 2" xfId="49545"/>
    <cellStyle name="Normal 4 6 5 2 4" xfId="32435"/>
    <cellStyle name="Normal 4 6 5 3" xfId="6729"/>
    <cellStyle name="Normal 4 6 5 3 2" xfId="23776"/>
    <cellStyle name="Normal 4 6 5 3 2 2" xfId="52637"/>
    <cellStyle name="Normal 4 6 5 3 3" xfId="35590"/>
    <cellStyle name="Normal 4 6 5 4" xfId="13318"/>
    <cellStyle name="Normal 4 6 5 4 2" xfId="18004"/>
    <cellStyle name="Normal 4 6 5 4 2 2" xfId="46865"/>
    <cellStyle name="Normal 4 6 5 4 3" xfId="42179"/>
    <cellStyle name="Normal 4 6 5 5" xfId="15324"/>
    <cellStyle name="Normal 4 6 5 5 2" xfId="44185"/>
    <cellStyle name="Normal 4 6 5 6" xfId="29549"/>
    <cellStyle name="Normal 4 6 6" xfId="893"/>
    <cellStyle name="Normal 4 6 6 2" xfId="3780"/>
    <cellStyle name="Normal 4 6 6 2 2" xfId="9821"/>
    <cellStyle name="Normal 4 6 6 2 2 2" xfId="26868"/>
    <cellStyle name="Normal 4 6 6 2 2 2 2" xfId="55729"/>
    <cellStyle name="Normal 4 6 6 2 2 3" xfId="38682"/>
    <cellStyle name="Normal 4 6 6 2 3" xfId="20890"/>
    <cellStyle name="Normal 4 6 6 2 3 2" xfId="49751"/>
    <cellStyle name="Normal 4 6 6 2 4" xfId="32641"/>
    <cellStyle name="Normal 4 6 6 3" xfId="6935"/>
    <cellStyle name="Normal 4 6 6 3 2" xfId="23982"/>
    <cellStyle name="Normal 4 6 6 3 2 2" xfId="52843"/>
    <cellStyle name="Normal 4 6 6 3 3" xfId="35796"/>
    <cellStyle name="Normal 4 6 6 4" xfId="13219"/>
    <cellStyle name="Normal 4 6 6 4 2" xfId="18210"/>
    <cellStyle name="Normal 4 6 6 4 2 2" xfId="47071"/>
    <cellStyle name="Normal 4 6 6 4 3" xfId="42080"/>
    <cellStyle name="Normal 4 6 6 5" xfId="15530"/>
    <cellStyle name="Normal 4 6 6 5 2" xfId="44391"/>
    <cellStyle name="Normal 4 6 6 6" xfId="29755"/>
    <cellStyle name="Normal 4 6 7" xfId="1099"/>
    <cellStyle name="Normal 4 6 7 2" xfId="3986"/>
    <cellStyle name="Normal 4 6 7 2 2" xfId="10027"/>
    <cellStyle name="Normal 4 6 7 2 2 2" xfId="27074"/>
    <cellStyle name="Normal 4 6 7 2 2 2 2" xfId="55935"/>
    <cellStyle name="Normal 4 6 7 2 2 3" xfId="38888"/>
    <cellStyle name="Normal 4 6 7 2 3" xfId="21096"/>
    <cellStyle name="Normal 4 6 7 2 3 2" xfId="49957"/>
    <cellStyle name="Normal 4 6 7 2 4" xfId="32847"/>
    <cellStyle name="Normal 4 6 7 3" xfId="7141"/>
    <cellStyle name="Normal 4 6 7 3 2" xfId="24188"/>
    <cellStyle name="Normal 4 6 7 3 2 2" xfId="53049"/>
    <cellStyle name="Normal 4 6 7 3 3" xfId="36002"/>
    <cellStyle name="Normal 4 6 7 4" xfId="12139"/>
    <cellStyle name="Normal 4 6 7 4 2" xfId="18416"/>
    <cellStyle name="Normal 4 6 7 4 2 2" xfId="47277"/>
    <cellStyle name="Normal 4 6 7 4 3" xfId="41000"/>
    <cellStyle name="Normal 4 6 7 5" xfId="15736"/>
    <cellStyle name="Normal 4 6 7 5 2" xfId="44597"/>
    <cellStyle name="Normal 4 6 7 6" xfId="29961"/>
    <cellStyle name="Normal 4 6 8" xfId="1305"/>
    <cellStyle name="Normal 4 6 8 2" xfId="4192"/>
    <cellStyle name="Normal 4 6 8 2 2" xfId="10233"/>
    <cellStyle name="Normal 4 6 8 2 2 2" xfId="27280"/>
    <cellStyle name="Normal 4 6 8 2 2 2 2" xfId="56141"/>
    <cellStyle name="Normal 4 6 8 2 2 3" xfId="39094"/>
    <cellStyle name="Normal 4 6 8 2 3" xfId="21302"/>
    <cellStyle name="Normal 4 6 8 2 3 2" xfId="50163"/>
    <cellStyle name="Normal 4 6 8 2 4" xfId="33053"/>
    <cellStyle name="Normal 4 6 8 3" xfId="7347"/>
    <cellStyle name="Normal 4 6 8 3 2" xfId="24394"/>
    <cellStyle name="Normal 4 6 8 3 2 2" xfId="53255"/>
    <cellStyle name="Normal 4 6 8 3 3" xfId="36208"/>
    <cellStyle name="Normal 4 6 8 4" xfId="14261"/>
    <cellStyle name="Normal 4 6 8 4 2" xfId="18622"/>
    <cellStyle name="Normal 4 6 8 4 2 2" xfId="47483"/>
    <cellStyle name="Normal 4 6 8 4 3" xfId="43122"/>
    <cellStyle name="Normal 4 6 8 5" xfId="15942"/>
    <cellStyle name="Normal 4 6 8 5 2" xfId="44803"/>
    <cellStyle name="Normal 4 6 8 6" xfId="30167"/>
    <cellStyle name="Normal 4 6 9" xfId="1511"/>
    <cellStyle name="Normal 4 6 9 2" xfId="4398"/>
    <cellStyle name="Normal 4 6 9 2 2" xfId="10439"/>
    <cellStyle name="Normal 4 6 9 2 2 2" xfId="27486"/>
    <cellStyle name="Normal 4 6 9 2 2 2 2" xfId="56347"/>
    <cellStyle name="Normal 4 6 9 2 2 3" xfId="39300"/>
    <cellStyle name="Normal 4 6 9 2 3" xfId="21508"/>
    <cellStyle name="Normal 4 6 9 2 3 2" xfId="50369"/>
    <cellStyle name="Normal 4 6 9 2 4" xfId="33259"/>
    <cellStyle name="Normal 4 6 9 3" xfId="7553"/>
    <cellStyle name="Normal 4 6 9 3 2" xfId="24600"/>
    <cellStyle name="Normal 4 6 9 3 2 2" xfId="53461"/>
    <cellStyle name="Normal 4 6 9 3 3" xfId="36414"/>
    <cellStyle name="Normal 4 6 9 4" xfId="14374"/>
    <cellStyle name="Normal 4 6 9 4 2" xfId="18828"/>
    <cellStyle name="Normal 4 6 9 4 2 2" xfId="47689"/>
    <cellStyle name="Normal 4 6 9 4 3" xfId="43235"/>
    <cellStyle name="Normal 4 6 9 5" xfId="16148"/>
    <cellStyle name="Normal 4 6 9 5 2" xfId="45009"/>
    <cellStyle name="Normal 4 6 9 6" xfId="30373"/>
    <cellStyle name="Normal 4 7" xfId="38"/>
    <cellStyle name="Normal 4 7 10" xfId="1718"/>
    <cellStyle name="Normal 4 7 10 2" xfId="4605"/>
    <cellStyle name="Normal 4 7 10 2 2" xfId="10646"/>
    <cellStyle name="Normal 4 7 10 2 2 2" xfId="27693"/>
    <cellStyle name="Normal 4 7 10 2 2 2 2" xfId="56554"/>
    <cellStyle name="Normal 4 7 10 2 2 3" xfId="39507"/>
    <cellStyle name="Normal 4 7 10 2 3" xfId="21715"/>
    <cellStyle name="Normal 4 7 10 2 3 2" xfId="50576"/>
    <cellStyle name="Normal 4 7 10 2 4" xfId="33466"/>
    <cellStyle name="Normal 4 7 10 3" xfId="7760"/>
    <cellStyle name="Normal 4 7 10 3 2" xfId="24807"/>
    <cellStyle name="Normal 4 7 10 3 2 2" xfId="53668"/>
    <cellStyle name="Normal 4 7 10 3 3" xfId="36621"/>
    <cellStyle name="Normal 4 7 10 4" xfId="12859"/>
    <cellStyle name="Normal 4 7 10 4 2" xfId="19035"/>
    <cellStyle name="Normal 4 7 10 4 2 2" xfId="47896"/>
    <cellStyle name="Normal 4 7 10 4 3" xfId="41720"/>
    <cellStyle name="Normal 4 7 10 5" xfId="16355"/>
    <cellStyle name="Normal 4 7 10 5 2" xfId="45216"/>
    <cellStyle name="Normal 4 7 10 6" xfId="30580"/>
    <cellStyle name="Normal 4 7 11" xfId="1924"/>
    <cellStyle name="Normal 4 7 11 2" xfId="4811"/>
    <cellStyle name="Normal 4 7 11 2 2" xfId="10852"/>
    <cellStyle name="Normal 4 7 11 2 2 2" xfId="27899"/>
    <cellStyle name="Normal 4 7 11 2 2 2 2" xfId="56760"/>
    <cellStyle name="Normal 4 7 11 2 2 3" xfId="39713"/>
    <cellStyle name="Normal 4 7 11 2 3" xfId="21921"/>
    <cellStyle name="Normal 4 7 11 2 3 2" xfId="50782"/>
    <cellStyle name="Normal 4 7 11 2 4" xfId="33672"/>
    <cellStyle name="Normal 4 7 11 3" xfId="7966"/>
    <cellStyle name="Normal 4 7 11 3 2" xfId="25013"/>
    <cellStyle name="Normal 4 7 11 3 2 2" xfId="53874"/>
    <cellStyle name="Normal 4 7 11 3 3" xfId="36827"/>
    <cellStyle name="Normal 4 7 11 4" xfId="14029"/>
    <cellStyle name="Normal 4 7 11 4 2" xfId="19241"/>
    <cellStyle name="Normal 4 7 11 4 2 2" xfId="48102"/>
    <cellStyle name="Normal 4 7 11 4 3" xfId="42890"/>
    <cellStyle name="Normal 4 7 11 5" xfId="16561"/>
    <cellStyle name="Normal 4 7 11 5 2" xfId="45422"/>
    <cellStyle name="Normal 4 7 11 6" xfId="30786"/>
    <cellStyle name="Normal 4 7 12" xfId="2336"/>
    <cellStyle name="Normal 4 7 12 2" xfId="5223"/>
    <cellStyle name="Normal 4 7 12 2 2" xfId="11264"/>
    <cellStyle name="Normal 4 7 12 2 2 2" xfId="28311"/>
    <cellStyle name="Normal 4 7 12 2 2 2 2" xfId="57172"/>
    <cellStyle name="Normal 4 7 12 2 2 3" xfId="40125"/>
    <cellStyle name="Normal 4 7 12 2 3" xfId="22333"/>
    <cellStyle name="Normal 4 7 12 2 3 2" xfId="51194"/>
    <cellStyle name="Normal 4 7 12 2 4" xfId="34084"/>
    <cellStyle name="Normal 4 7 12 3" xfId="8378"/>
    <cellStyle name="Normal 4 7 12 3 2" xfId="25425"/>
    <cellStyle name="Normal 4 7 12 3 2 2" xfId="54286"/>
    <cellStyle name="Normal 4 7 12 3 3" xfId="37239"/>
    <cellStyle name="Normal 4 7 12 4" xfId="13809"/>
    <cellStyle name="Normal 4 7 12 4 2" xfId="19653"/>
    <cellStyle name="Normal 4 7 12 4 2 2" xfId="48514"/>
    <cellStyle name="Normal 4 7 12 4 3" xfId="42670"/>
    <cellStyle name="Normal 4 7 12 5" xfId="16973"/>
    <cellStyle name="Normal 4 7 12 5 2" xfId="45834"/>
    <cellStyle name="Normal 4 7 12 6" xfId="31198"/>
    <cellStyle name="Normal 4 7 13" xfId="2545"/>
    <cellStyle name="Normal 4 7 13 2" xfId="5431"/>
    <cellStyle name="Normal 4 7 13 2 2" xfId="11472"/>
    <cellStyle name="Normal 4 7 13 2 2 2" xfId="28519"/>
    <cellStyle name="Normal 4 7 13 2 2 2 2" xfId="57380"/>
    <cellStyle name="Normal 4 7 13 2 2 3" xfId="40333"/>
    <cellStyle name="Normal 4 7 13 2 3" xfId="22541"/>
    <cellStyle name="Normal 4 7 13 2 3 2" xfId="51402"/>
    <cellStyle name="Normal 4 7 13 2 4" xfId="34292"/>
    <cellStyle name="Normal 4 7 13 3" xfId="8586"/>
    <cellStyle name="Normal 4 7 13 3 2" xfId="25633"/>
    <cellStyle name="Normal 4 7 13 3 2 2" xfId="54494"/>
    <cellStyle name="Normal 4 7 13 3 3" xfId="37447"/>
    <cellStyle name="Normal 4 7 13 4" xfId="12239"/>
    <cellStyle name="Normal 4 7 13 4 2" xfId="19861"/>
    <cellStyle name="Normal 4 7 13 4 2 2" xfId="48722"/>
    <cellStyle name="Normal 4 7 13 4 3" xfId="41100"/>
    <cellStyle name="Normal 4 7 13 5" xfId="17181"/>
    <cellStyle name="Normal 4 7 13 5 2" xfId="46042"/>
    <cellStyle name="Normal 4 7 13 6" xfId="31406"/>
    <cellStyle name="Normal 4 7 14" xfId="2957"/>
    <cellStyle name="Normal 4 7 14 2" xfId="8998"/>
    <cellStyle name="Normal 4 7 14 2 2" xfId="26045"/>
    <cellStyle name="Normal 4 7 14 2 2 2" xfId="54906"/>
    <cellStyle name="Normal 4 7 14 2 3" xfId="37859"/>
    <cellStyle name="Normal 4 7 14 3" xfId="13303"/>
    <cellStyle name="Normal 4 7 14 3 2" xfId="20067"/>
    <cellStyle name="Normal 4 7 14 3 2 2" xfId="48928"/>
    <cellStyle name="Normal 4 7 14 3 3" xfId="42164"/>
    <cellStyle name="Normal 4 7 14 4" xfId="14707"/>
    <cellStyle name="Normal 4 7 14 4 2" xfId="43568"/>
    <cellStyle name="Normal 4 7 14 5" xfId="31818"/>
    <cellStyle name="Normal 4 7 15" xfId="2751"/>
    <cellStyle name="Normal 4 7 15 2" xfId="8792"/>
    <cellStyle name="Normal 4 7 15 2 2" xfId="25839"/>
    <cellStyle name="Normal 4 7 15 2 2 2" xfId="54700"/>
    <cellStyle name="Normal 4 7 15 2 3" xfId="37653"/>
    <cellStyle name="Normal 4 7 15 3" xfId="17387"/>
    <cellStyle name="Normal 4 7 15 3 2" xfId="46248"/>
    <cellStyle name="Normal 4 7 15 4" xfId="31612"/>
    <cellStyle name="Normal 4 7 16" xfId="5637"/>
    <cellStyle name="Normal 4 7 16 2" xfId="11678"/>
    <cellStyle name="Normal 4 7 16 2 2" xfId="28725"/>
    <cellStyle name="Normal 4 7 16 2 2 2" xfId="57586"/>
    <cellStyle name="Normal 4 7 16 2 3" xfId="40539"/>
    <cellStyle name="Normal 4 7 16 3" xfId="22747"/>
    <cellStyle name="Normal 4 7 16 3 2" xfId="51608"/>
    <cellStyle name="Normal 4 7 16 4" xfId="34498"/>
    <cellStyle name="Normal 4 7 17" xfId="5848"/>
    <cellStyle name="Normal 4 7 17 2" xfId="22953"/>
    <cellStyle name="Normal 4 7 17 2 2" xfId="51814"/>
    <cellStyle name="Normal 4 7 17 3" xfId="34709"/>
    <cellStyle name="Normal 4 7 18" xfId="6112"/>
    <cellStyle name="Normal 4 7 18 2" xfId="23159"/>
    <cellStyle name="Normal 4 7 18 2 2" xfId="52020"/>
    <cellStyle name="Normal 4 7 18 3" xfId="34973"/>
    <cellStyle name="Normal 4 7 19" xfId="14501"/>
    <cellStyle name="Normal 4 7 19 2" xfId="43362"/>
    <cellStyle name="Normal 4 7 2" xfId="276"/>
    <cellStyle name="Normal 4 7 2 10" xfId="2439"/>
    <cellStyle name="Normal 4 7 2 10 2" xfId="5326"/>
    <cellStyle name="Normal 4 7 2 10 2 2" xfId="11367"/>
    <cellStyle name="Normal 4 7 2 10 2 2 2" xfId="28414"/>
    <cellStyle name="Normal 4 7 2 10 2 2 2 2" xfId="57275"/>
    <cellStyle name="Normal 4 7 2 10 2 2 3" xfId="40228"/>
    <cellStyle name="Normal 4 7 2 10 2 3" xfId="22436"/>
    <cellStyle name="Normal 4 7 2 10 2 3 2" xfId="51297"/>
    <cellStyle name="Normal 4 7 2 10 2 4" xfId="34187"/>
    <cellStyle name="Normal 4 7 2 10 3" xfId="8481"/>
    <cellStyle name="Normal 4 7 2 10 3 2" xfId="25528"/>
    <cellStyle name="Normal 4 7 2 10 3 2 2" xfId="54389"/>
    <cellStyle name="Normal 4 7 2 10 3 3" xfId="37342"/>
    <cellStyle name="Normal 4 7 2 10 4" xfId="12673"/>
    <cellStyle name="Normal 4 7 2 10 4 2" xfId="19756"/>
    <cellStyle name="Normal 4 7 2 10 4 2 2" xfId="48617"/>
    <cellStyle name="Normal 4 7 2 10 4 3" xfId="41534"/>
    <cellStyle name="Normal 4 7 2 10 5" xfId="17076"/>
    <cellStyle name="Normal 4 7 2 10 5 2" xfId="45937"/>
    <cellStyle name="Normal 4 7 2 10 6" xfId="31301"/>
    <cellStyle name="Normal 4 7 2 11" xfId="2648"/>
    <cellStyle name="Normal 4 7 2 11 2" xfId="5534"/>
    <cellStyle name="Normal 4 7 2 11 2 2" xfId="11575"/>
    <cellStyle name="Normal 4 7 2 11 2 2 2" xfId="28622"/>
    <cellStyle name="Normal 4 7 2 11 2 2 2 2" xfId="57483"/>
    <cellStyle name="Normal 4 7 2 11 2 2 3" xfId="40436"/>
    <cellStyle name="Normal 4 7 2 11 2 3" xfId="22644"/>
    <cellStyle name="Normal 4 7 2 11 2 3 2" xfId="51505"/>
    <cellStyle name="Normal 4 7 2 11 2 4" xfId="34395"/>
    <cellStyle name="Normal 4 7 2 11 3" xfId="8689"/>
    <cellStyle name="Normal 4 7 2 11 3 2" xfId="25736"/>
    <cellStyle name="Normal 4 7 2 11 3 2 2" xfId="54597"/>
    <cellStyle name="Normal 4 7 2 11 3 3" xfId="37550"/>
    <cellStyle name="Normal 4 7 2 11 4" xfId="12576"/>
    <cellStyle name="Normal 4 7 2 11 4 2" xfId="19964"/>
    <cellStyle name="Normal 4 7 2 11 4 2 2" xfId="48825"/>
    <cellStyle name="Normal 4 7 2 11 4 3" xfId="41437"/>
    <cellStyle name="Normal 4 7 2 11 5" xfId="17284"/>
    <cellStyle name="Normal 4 7 2 11 5 2" xfId="46145"/>
    <cellStyle name="Normal 4 7 2 11 6" xfId="31509"/>
    <cellStyle name="Normal 4 7 2 12" xfId="3163"/>
    <cellStyle name="Normal 4 7 2 12 2" xfId="9204"/>
    <cellStyle name="Normal 4 7 2 12 2 2" xfId="26251"/>
    <cellStyle name="Normal 4 7 2 12 2 2 2" xfId="55112"/>
    <cellStyle name="Normal 4 7 2 12 2 3" xfId="38065"/>
    <cellStyle name="Normal 4 7 2 12 3" xfId="14486"/>
    <cellStyle name="Normal 4 7 2 12 3 2" xfId="20273"/>
    <cellStyle name="Normal 4 7 2 12 3 2 2" xfId="49134"/>
    <cellStyle name="Normal 4 7 2 12 3 3" xfId="43347"/>
    <cellStyle name="Normal 4 7 2 12 4" xfId="14913"/>
    <cellStyle name="Normal 4 7 2 12 4 2" xfId="43774"/>
    <cellStyle name="Normal 4 7 2 12 5" xfId="32024"/>
    <cellStyle name="Normal 4 7 2 13" xfId="2854"/>
    <cellStyle name="Normal 4 7 2 13 2" xfId="8895"/>
    <cellStyle name="Normal 4 7 2 13 2 2" xfId="25942"/>
    <cellStyle name="Normal 4 7 2 13 2 2 2" xfId="54803"/>
    <cellStyle name="Normal 4 7 2 13 2 3" xfId="37756"/>
    <cellStyle name="Normal 4 7 2 13 3" xfId="17490"/>
    <cellStyle name="Normal 4 7 2 13 3 2" xfId="46351"/>
    <cellStyle name="Normal 4 7 2 13 4" xfId="31715"/>
    <cellStyle name="Normal 4 7 2 14" xfId="5740"/>
    <cellStyle name="Normal 4 7 2 14 2" xfId="11781"/>
    <cellStyle name="Normal 4 7 2 14 2 2" xfId="28828"/>
    <cellStyle name="Normal 4 7 2 14 2 2 2" xfId="57689"/>
    <cellStyle name="Normal 4 7 2 14 2 3" xfId="40642"/>
    <cellStyle name="Normal 4 7 2 14 3" xfId="22850"/>
    <cellStyle name="Normal 4 7 2 14 3 2" xfId="51711"/>
    <cellStyle name="Normal 4 7 2 14 4" xfId="34601"/>
    <cellStyle name="Normal 4 7 2 15" xfId="5957"/>
    <cellStyle name="Normal 4 7 2 15 2" xfId="23056"/>
    <cellStyle name="Normal 4 7 2 15 2 2" xfId="51917"/>
    <cellStyle name="Normal 4 7 2 15 3" xfId="34818"/>
    <cellStyle name="Normal 4 7 2 16" xfId="6318"/>
    <cellStyle name="Normal 4 7 2 16 2" xfId="23365"/>
    <cellStyle name="Normal 4 7 2 16 2 2" xfId="52226"/>
    <cellStyle name="Normal 4 7 2 16 3" xfId="35179"/>
    <cellStyle name="Normal 4 7 2 17" xfId="14604"/>
    <cellStyle name="Normal 4 7 2 17 2" xfId="43465"/>
    <cellStyle name="Normal 4 7 2 18" xfId="29138"/>
    <cellStyle name="Normal 4 7 2 2" xfId="482"/>
    <cellStyle name="Normal 4 7 2 2 2" xfId="2233"/>
    <cellStyle name="Normal 4 7 2 2 2 2" xfId="5120"/>
    <cellStyle name="Normal 4 7 2 2 2 2 2" xfId="11161"/>
    <cellStyle name="Normal 4 7 2 2 2 2 2 2" xfId="28208"/>
    <cellStyle name="Normal 4 7 2 2 2 2 2 2 2" xfId="57069"/>
    <cellStyle name="Normal 4 7 2 2 2 2 2 3" xfId="40022"/>
    <cellStyle name="Normal 4 7 2 2 2 2 3" xfId="22230"/>
    <cellStyle name="Normal 4 7 2 2 2 2 3 2" xfId="51091"/>
    <cellStyle name="Normal 4 7 2 2 2 2 4" xfId="33981"/>
    <cellStyle name="Normal 4 7 2 2 2 3" xfId="8275"/>
    <cellStyle name="Normal 4 7 2 2 2 3 2" xfId="25322"/>
    <cellStyle name="Normal 4 7 2 2 2 3 2 2" xfId="54183"/>
    <cellStyle name="Normal 4 7 2 2 2 3 3" xfId="37136"/>
    <cellStyle name="Normal 4 7 2 2 2 4" xfId="12604"/>
    <cellStyle name="Normal 4 7 2 2 2 4 2" xfId="19550"/>
    <cellStyle name="Normal 4 7 2 2 2 4 2 2" xfId="48411"/>
    <cellStyle name="Normal 4 7 2 2 2 4 3" xfId="41465"/>
    <cellStyle name="Normal 4 7 2 2 2 5" xfId="16870"/>
    <cellStyle name="Normal 4 7 2 2 2 5 2" xfId="45731"/>
    <cellStyle name="Normal 4 7 2 2 2 6" xfId="31095"/>
    <cellStyle name="Normal 4 7 2 2 3" xfId="3369"/>
    <cellStyle name="Normal 4 7 2 2 3 2" xfId="9410"/>
    <cellStyle name="Normal 4 7 2 2 3 2 2" xfId="26457"/>
    <cellStyle name="Normal 4 7 2 2 3 2 2 2" xfId="55318"/>
    <cellStyle name="Normal 4 7 2 2 3 2 3" xfId="38271"/>
    <cellStyle name="Normal 4 7 2 2 3 3" xfId="20479"/>
    <cellStyle name="Normal 4 7 2 2 3 3 2" xfId="49340"/>
    <cellStyle name="Normal 4 7 2 2 3 4" xfId="32230"/>
    <cellStyle name="Normal 4 7 2 2 4" xfId="6524"/>
    <cellStyle name="Normal 4 7 2 2 4 2" xfId="23571"/>
    <cellStyle name="Normal 4 7 2 2 4 2 2" xfId="52432"/>
    <cellStyle name="Normal 4 7 2 2 4 3" xfId="35385"/>
    <cellStyle name="Normal 4 7 2 2 5" xfId="14433"/>
    <cellStyle name="Normal 4 7 2 2 5 2" xfId="17799"/>
    <cellStyle name="Normal 4 7 2 2 5 2 2" xfId="46660"/>
    <cellStyle name="Normal 4 7 2 2 5 3" xfId="43294"/>
    <cellStyle name="Normal 4 7 2 2 6" xfId="15119"/>
    <cellStyle name="Normal 4 7 2 2 6 2" xfId="43980"/>
    <cellStyle name="Normal 4 7 2 2 7" xfId="29344"/>
    <cellStyle name="Normal 4 7 2 3" xfId="791"/>
    <cellStyle name="Normal 4 7 2 3 2" xfId="3678"/>
    <cellStyle name="Normal 4 7 2 3 2 2" xfId="9719"/>
    <cellStyle name="Normal 4 7 2 3 2 2 2" xfId="26766"/>
    <cellStyle name="Normal 4 7 2 3 2 2 2 2" xfId="55627"/>
    <cellStyle name="Normal 4 7 2 3 2 2 3" xfId="38580"/>
    <cellStyle name="Normal 4 7 2 3 2 3" xfId="20788"/>
    <cellStyle name="Normal 4 7 2 3 2 3 2" xfId="49649"/>
    <cellStyle name="Normal 4 7 2 3 2 4" xfId="32539"/>
    <cellStyle name="Normal 4 7 2 3 3" xfId="6833"/>
    <cellStyle name="Normal 4 7 2 3 3 2" xfId="23880"/>
    <cellStyle name="Normal 4 7 2 3 3 2 2" xfId="52741"/>
    <cellStyle name="Normal 4 7 2 3 3 3" xfId="35694"/>
    <cellStyle name="Normal 4 7 2 3 4" xfId="14430"/>
    <cellStyle name="Normal 4 7 2 3 4 2" xfId="18108"/>
    <cellStyle name="Normal 4 7 2 3 4 2 2" xfId="46969"/>
    <cellStyle name="Normal 4 7 2 3 4 3" xfId="43291"/>
    <cellStyle name="Normal 4 7 2 3 5" xfId="15428"/>
    <cellStyle name="Normal 4 7 2 3 5 2" xfId="44289"/>
    <cellStyle name="Normal 4 7 2 3 6" xfId="29653"/>
    <cellStyle name="Normal 4 7 2 4" xfId="997"/>
    <cellStyle name="Normal 4 7 2 4 2" xfId="3884"/>
    <cellStyle name="Normal 4 7 2 4 2 2" xfId="9925"/>
    <cellStyle name="Normal 4 7 2 4 2 2 2" xfId="26972"/>
    <cellStyle name="Normal 4 7 2 4 2 2 2 2" xfId="55833"/>
    <cellStyle name="Normal 4 7 2 4 2 2 3" xfId="38786"/>
    <cellStyle name="Normal 4 7 2 4 2 3" xfId="20994"/>
    <cellStyle name="Normal 4 7 2 4 2 3 2" xfId="49855"/>
    <cellStyle name="Normal 4 7 2 4 2 4" xfId="32745"/>
    <cellStyle name="Normal 4 7 2 4 3" xfId="7039"/>
    <cellStyle name="Normal 4 7 2 4 3 2" xfId="24086"/>
    <cellStyle name="Normal 4 7 2 4 3 2 2" xfId="52947"/>
    <cellStyle name="Normal 4 7 2 4 3 3" xfId="35900"/>
    <cellStyle name="Normal 4 7 2 4 4" xfId="12237"/>
    <cellStyle name="Normal 4 7 2 4 4 2" xfId="18314"/>
    <cellStyle name="Normal 4 7 2 4 4 2 2" xfId="47175"/>
    <cellStyle name="Normal 4 7 2 4 4 3" xfId="41098"/>
    <cellStyle name="Normal 4 7 2 4 5" xfId="15634"/>
    <cellStyle name="Normal 4 7 2 4 5 2" xfId="44495"/>
    <cellStyle name="Normal 4 7 2 4 6" xfId="29859"/>
    <cellStyle name="Normal 4 7 2 5" xfId="1203"/>
    <cellStyle name="Normal 4 7 2 5 2" xfId="4090"/>
    <cellStyle name="Normal 4 7 2 5 2 2" xfId="10131"/>
    <cellStyle name="Normal 4 7 2 5 2 2 2" xfId="27178"/>
    <cellStyle name="Normal 4 7 2 5 2 2 2 2" xfId="56039"/>
    <cellStyle name="Normal 4 7 2 5 2 2 3" xfId="38992"/>
    <cellStyle name="Normal 4 7 2 5 2 3" xfId="21200"/>
    <cellStyle name="Normal 4 7 2 5 2 3 2" xfId="50061"/>
    <cellStyle name="Normal 4 7 2 5 2 4" xfId="32951"/>
    <cellStyle name="Normal 4 7 2 5 3" xfId="7245"/>
    <cellStyle name="Normal 4 7 2 5 3 2" xfId="24292"/>
    <cellStyle name="Normal 4 7 2 5 3 2 2" xfId="53153"/>
    <cellStyle name="Normal 4 7 2 5 3 3" xfId="36106"/>
    <cellStyle name="Normal 4 7 2 5 4" xfId="13304"/>
    <cellStyle name="Normal 4 7 2 5 4 2" xfId="18520"/>
    <cellStyle name="Normal 4 7 2 5 4 2 2" xfId="47381"/>
    <cellStyle name="Normal 4 7 2 5 4 3" xfId="42165"/>
    <cellStyle name="Normal 4 7 2 5 5" xfId="15840"/>
    <cellStyle name="Normal 4 7 2 5 5 2" xfId="44701"/>
    <cellStyle name="Normal 4 7 2 5 6" xfId="30065"/>
    <cellStyle name="Normal 4 7 2 6" xfId="1409"/>
    <cellStyle name="Normal 4 7 2 6 2" xfId="4296"/>
    <cellStyle name="Normal 4 7 2 6 2 2" xfId="10337"/>
    <cellStyle name="Normal 4 7 2 6 2 2 2" xfId="27384"/>
    <cellStyle name="Normal 4 7 2 6 2 2 2 2" xfId="56245"/>
    <cellStyle name="Normal 4 7 2 6 2 2 3" xfId="39198"/>
    <cellStyle name="Normal 4 7 2 6 2 3" xfId="21406"/>
    <cellStyle name="Normal 4 7 2 6 2 3 2" xfId="50267"/>
    <cellStyle name="Normal 4 7 2 6 2 4" xfId="33157"/>
    <cellStyle name="Normal 4 7 2 6 3" xfId="7451"/>
    <cellStyle name="Normal 4 7 2 6 3 2" xfId="24498"/>
    <cellStyle name="Normal 4 7 2 6 3 2 2" xfId="53359"/>
    <cellStyle name="Normal 4 7 2 6 3 3" xfId="36312"/>
    <cellStyle name="Normal 4 7 2 6 4" xfId="12909"/>
    <cellStyle name="Normal 4 7 2 6 4 2" xfId="18726"/>
    <cellStyle name="Normal 4 7 2 6 4 2 2" xfId="47587"/>
    <cellStyle name="Normal 4 7 2 6 4 3" xfId="41770"/>
    <cellStyle name="Normal 4 7 2 6 5" xfId="16046"/>
    <cellStyle name="Normal 4 7 2 6 5 2" xfId="44907"/>
    <cellStyle name="Normal 4 7 2 6 6" xfId="30271"/>
    <cellStyle name="Normal 4 7 2 7" xfId="1615"/>
    <cellStyle name="Normal 4 7 2 7 2" xfId="4502"/>
    <cellStyle name="Normal 4 7 2 7 2 2" xfId="10543"/>
    <cellStyle name="Normal 4 7 2 7 2 2 2" xfId="27590"/>
    <cellStyle name="Normal 4 7 2 7 2 2 2 2" xfId="56451"/>
    <cellStyle name="Normal 4 7 2 7 2 2 3" xfId="39404"/>
    <cellStyle name="Normal 4 7 2 7 2 3" xfId="21612"/>
    <cellStyle name="Normal 4 7 2 7 2 3 2" xfId="50473"/>
    <cellStyle name="Normal 4 7 2 7 2 4" xfId="33363"/>
    <cellStyle name="Normal 4 7 2 7 3" xfId="7657"/>
    <cellStyle name="Normal 4 7 2 7 3 2" xfId="24704"/>
    <cellStyle name="Normal 4 7 2 7 3 2 2" xfId="53565"/>
    <cellStyle name="Normal 4 7 2 7 3 3" xfId="36518"/>
    <cellStyle name="Normal 4 7 2 7 4" xfId="14173"/>
    <cellStyle name="Normal 4 7 2 7 4 2" xfId="18932"/>
    <cellStyle name="Normal 4 7 2 7 4 2 2" xfId="47793"/>
    <cellStyle name="Normal 4 7 2 7 4 3" xfId="43034"/>
    <cellStyle name="Normal 4 7 2 7 5" xfId="16252"/>
    <cellStyle name="Normal 4 7 2 7 5 2" xfId="45113"/>
    <cellStyle name="Normal 4 7 2 7 6" xfId="30477"/>
    <cellStyle name="Normal 4 7 2 8" xfId="1821"/>
    <cellStyle name="Normal 4 7 2 8 2" xfId="4708"/>
    <cellStyle name="Normal 4 7 2 8 2 2" xfId="10749"/>
    <cellStyle name="Normal 4 7 2 8 2 2 2" xfId="27796"/>
    <cellStyle name="Normal 4 7 2 8 2 2 2 2" xfId="56657"/>
    <cellStyle name="Normal 4 7 2 8 2 2 3" xfId="39610"/>
    <cellStyle name="Normal 4 7 2 8 2 3" xfId="21818"/>
    <cellStyle name="Normal 4 7 2 8 2 3 2" xfId="50679"/>
    <cellStyle name="Normal 4 7 2 8 2 4" xfId="33569"/>
    <cellStyle name="Normal 4 7 2 8 3" xfId="7863"/>
    <cellStyle name="Normal 4 7 2 8 3 2" xfId="24910"/>
    <cellStyle name="Normal 4 7 2 8 3 2 2" xfId="53771"/>
    <cellStyle name="Normal 4 7 2 8 3 3" xfId="36724"/>
    <cellStyle name="Normal 4 7 2 8 4" xfId="14314"/>
    <cellStyle name="Normal 4 7 2 8 4 2" xfId="19138"/>
    <cellStyle name="Normal 4 7 2 8 4 2 2" xfId="47999"/>
    <cellStyle name="Normal 4 7 2 8 4 3" xfId="43175"/>
    <cellStyle name="Normal 4 7 2 8 5" xfId="16458"/>
    <cellStyle name="Normal 4 7 2 8 5 2" xfId="45319"/>
    <cellStyle name="Normal 4 7 2 8 6" xfId="30683"/>
    <cellStyle name="Normal 4 7 2 9" xfId="2027"/>
    <cellStyle name="Normal 4 7 2 9 2" xfId="4914"/>
    <cellStyle name="Normal 4 7 2 9 2 2" xfId="10955"/>
    <cellStyle name="Normal 4 7 2 9 2 2 2" xfId="28002"/>
    <cellStyle name="Normal 4 7 2 9 2 2 2 2" xfId="56863"/>
    <cellStyle name="Normal 4 7 2 9 2 2 3" xfId="39816"/>
    <cellStyle name="Normal 4 7 2 9 2 3" xfId="22024"/>
    <cellStyle name="Normal 4 7 2 9 2 3 2" xfId="50885"/>
    <cellStyle name="Normal 4 7 2 9 2 4" xfId="33775"/>
    <cellStyle name="Normal 4 7 2 9 3" xfId="8069"/>
    <cellStyle name="Normal 4 7 2 9 3 2" xfId="25116"/>
    <cellStyle name="Normal 4 7 2 9 3 2 2" xfId="53977"/>
    <cellStyle name="Normal 4 7 2 9 3 3" xfId="36930"/>
    <cellStyle name="Normal 4 7 2 9 4" xfId="14482"/>
    <cellStyle name="Normal 4 7 2 9 4 2" xfId="19344"/>
    <cellStyle name="Normal 4 7 2 9 4 2 2" xfId="48205"/>
    <cellStyle name="Normal 4 7 2 9 4 3" xfId="43343"/>
    <cellStyle name="Normal 4 7 2 9 5" xfId="16664"/>
    <cellStyle name="Normal 4 7 2 9 5 2" xfId="45525"/>
    <cellStyle name="Normal 4 7 2 9 6" xfId="30889"/>
    <cellStyle name="Normal 4 7 20" xfId="28932"/>
    <cellStyle name="Normal 4 7 3" xfId="173"/>
    <cellStyle name="Normal 4 7 3 2" xfId="585"/>
    <cellStyle name="Normal 4 7 3 2 2" xfId="3472"/>
    <cellStyle name="Normal 4 7 3 2 2 2" xfId="9513"/>
    <cellStyle name="Normal 4 7 3 2 2 2 2" xfId="26560"/>
    <cellStyle name="Normal 4 7 3 2 2 2 2 2" xfId="55421"/>
    <cellStyle name="Normal 4 7 3 2 2 2 3" xfId="38374"/>
    <cellStyle name="Normal 4 7 3 2 2 3" xfId="20582"/>
    <cellStyle name="Normal 4 7 3 2 2 3 2" xfId="49443"/>
    <cellStyle name="Normal 4 7 3 2 2 4" xfId="32333"/>
    <cellStyle name="Normal 4 7 3 2 3" xfId="6627"/>
    <cellStyle name="Normal 4 7 3 2 3 2" xfId="23674"/>
    <cellStyle name="Normal 4 7 3 2 3 2 2" xfId="52535"/>
    <cellStyle name="Normal 4 7 3 2 3 3" xfId="35488"/>
    <cellStyle name="Normal 4 7 3 2 4" xfId="12403"/>
    <cellStyle name="Normal 4 7 3 2 4 2" xfId="17902"/>
    <cellStyle name="Normal 4 7 3 2 4 2 2" xfId="46763"/>
    <cellStyle name="Normal 4 7 3 2 4 3" xfId="41264"/>
    <cellStyle name="Normal 4 7 3 2 5" xfId="15222"/>
    <cellStyle name="Normal 4 7 3 2 5 2" xfId="44083"/>
    <cellStyle name="Normal 4 7 3 2 6" xfId="29447"/>
    <cellStyle name="Normal 4 7 3 3" xfId="2130"/>
    <cellStyle name="Normal 4 7 3 3 2" xfId="5017"/>
    <cellStyle name="Normal 4 7 3 3 2 2" xfId="11058"/>
    <cellStyle name="Normal 4 7 3 3 2 2 2" xfId="28105"/>
    <cellStyle name="Normal 4 7 3 3 2 2 2 2" xfId="56966"/>
    <cellStyle name="Normal 4 7 3 3 2 2 3" xfId="39919"/>
    <cellStyle name="Normal 4 7 3 3 2 3" xfId="22127"/>
    <cellStyle name="Normal 4 7 3 3 2 3 2" xfId="50988"/>
    <cellStyle name="Normal 4 7 3 3 2 4" xfId="33878"/>
    <cellStyle name="Normal 4 7 3 3 3" xfId="8172"/>
    <cellStyle name="Normal 4 7 3 3 3 2" xfId="25219"/>
    <cellStyle name="Normal 4 7 3 3 3 2 2" xfId="54080"/>
    <cellStyle name="Normal 4 7 3 3 3 3" xfId="37033"/>
    <cellStyle name="Normal 4 7 3 3 4" xfId="13877"/>
    <cellStyle name="Normal 4 7 3 3 4 2" xfId="19447"/>
    <cellStyle name="Normal 4 7 3 3 4 2 2" xfId="48308"/>
    <cellStyle name="Normal 4 7 3 3 4 3" xfId="42738"/>
    <cellStyle name="Normal 4 7 3 3 5" xfId="16767"/>
    <cellStyle name="Normal 4 7 3 3 5 2" xfId="45628"/>
    <cellStyle name="Normal 4 7 3 3 6" xfId="30992"/>
    <cellStyle name="Normal 4 7 3 4" xfId="3060"/>
    <cellStyle name="Normal 4 7 3 4 2" xfId="9101"/>
    <cellStyle name="Normal 4 7 3 4 2 2" xfId="26148"/>
    <cellStyle name="Normal 4 7 3 4 2 2 2" xfId="55009"/>
    <cellStyle name="Normal 4 7 3 4 2 3" xfId="37962"/>
    <cellStyle name="Normal 4 7 3 4 3" xfId="20170"/>
    <cellStyle name="Normal 4 7 3 4 3 2" xfId="49031"/>
    <cellStyle name="Normal 4 7 3 4 4" xfId="31921"/>
    <cellStyle name="Normal 4 7 3 5" xfId="6215"/>
    <cellStyle name="Normal 4 7 3 5 2" xfId="23262"/>
    <cellStyle name="Normal 4 7 3 5 2 2" xfId="52123"/>
    <cellStyle name="Normal 4 7 3 5 3" xfId="35076"/>
    <cellStyle name="Normal 4 7 3 6" xfId="14383"/>
    <cellStyle name="Normal 4 7 3 6 2" xfId="17593"/>
    <cellStyle name="Normal 4 7 3 6 2 2" xfId="46454"/>
    <cellStyle name="Normal 4 7 3 6 3" xfId="43244"/>
    <cellStyle name="Normal 4 7 3 7" xfId="14810"/>
    <cellStyle name="Normal 4 7 3 7 2" xfId="43671"/>
    <cellStyle name="Normal 4 7 3 8" xfId="29035"/>
    <cellStyle name="Normal 4 7 4" xfId="379"/>
    <cellStyle name="Normal 4 7 4 2" xfId="3266"/>
    <cellStyle name="Normal 4 7 4 2 2" xfId="9307"/>
    <cellStyle name="Normal 4 7 4 2 2 2" xfId="26354"/>
    <cellStyle name="Normal 4 7 4 2 2 2 2" xfId="55215"/>
    <cellStyle name="Normal 4 7 4 2 2 3" xfId="38168"/>
    <cellStyle name="Normal 4 7 4 2 3" xfId="20376"/>
    <cellStyle name="Normal 4 7 4 2 3 2" xfId="49237"/>
    <cellStyle name="Normal 4 7 4 2 4" xfId="32127"/>
    <cellStyle name="Normal 4 7 4 3" xfId="6421"/>
    <cellStyle name="Normal 4 7 4 3 2" xfId="23468"/>
    <cellStyle name="Normal 4 7 4 3 2 2" xfId="52329"/>
    <cellStyle name="Normal 4 7 4 3 3" xfId="35282"/>
    <cellStyle name="Normal 4 7 4 4" xfId="13929"/>
    <cellStyle name="Normal 4 7 4 4 2" xfId="17696"/>
    <cellStyle name="Normal 4 7 4 4 2 2" xfId="46557"/>
    <cellStyle name="Normal 4 7 4 4 3" xfId="42790"/>
    <cellStyle name="Normal 4 7 4 5" xfId="15016"/>
    <cellStyle name="Normal 4 7 4 5 2" xfId="43877"/>
    <cellStyle name="Normal 4 7 4 6" xfId="29241"/>
    <cellStyle name="Normal 4 7 5" xfId="688"/>
    <cellStyle name="Normal 4 7 5 2" xfId="3575"/>
    <cellStyle name="Normal 4 7 5 2 2" xfId="9616"/>
    <cellStyle name="Normal 4 7 5 2 2 2" xfId="26663"/>
    <cellStyle name="Normal 4 7 5 2 2 2 2" xfId="55524"/>
    <cellStyle name="Normal 4 7 5 2 2 3" xfId="38477"/>
    <cellStyle name="Normal 4 7 5 2 3" xfId="20685"/>
    <cellStyle name="Normal 4 7 5 2 3 2" xfId="49546"/>
    <cellStyle name="Normal 4 7 5 2 4" xfId="32436"/>
    <cellStyle name="Normal 4 7 5 3" xfId="6730"/>
    <cellStyle name="Normal 4 7 5 3 2" xfId="23777"/>
    <cellStyle name="Normal 4 7 5 3 2 2" xfId="52638"/>
    <cellStyle name="Normal 4 7 5 3 3" xfId="35591"/>
    <cellStyle name="Normal 4 7 5 4" xfId="12482"/>
    <cellStyle name="Normal 4 7 5 4 2" xfId="18005"/>
    <cellStyle name="Normal 4 7 5 4 2 2" xfId="46866"/>
    <cellStyle name="Normal 4 7 5 4 3" xfId="41343"/>
    <cellStyle name="Normal 4 7 5 5" xfId="15325"/>
    <cellStyle name="Normal 4 7 5 5 2" xfId="44186"/>
    <cellStyle name="Normal 4 7 5 6" xfId="29550"/>
    <cellStyle name="Normal 4 7 6" xfId="894"/>
    <cellStyle name="Normal 4 7 6 2" xfId="3781"/>
    <cellStyle name="Normal 4 7 6 2 2" xfId="9822"/>
    <cellStyle name="Normal 4 7 6 2 2 2" xfId="26869"/>
    <cellStyle name="Normal 4 7 6 2 2 2 2" xfId="55730"/>
    <cellStyle name="Normal 4 7 6 2 2 3" xfId="38683"/>
    <cellStyle name="Normal 4 7 6 2 3" xfId="20891"/>
    <cellStyle name="Normal 4 7 6 2 3 2" xfId="49752"/>
    <cellStyle name="Normal 4 7 6 2 4" xfId="32642"/>
    <cellStyle name="Normal 4 7 6 3" xfId="6936"/>
    <cellStyle name="Normal 4 7 6 3 2" xfId="23983"/>
    <cellStyle name="Normal 4 7 6 3 2 2" xfId="52844"/>
    <cellStyle name="Normal 4 7 6 3 3" xfId="35797"/>
    <cellStyle name="Normal 4 7 6 4" xfId="12127"/>
    <cellStyle name="Normal 4 7 6 4 2" xfId="18211"/>
    <cellStyle name="Normal 4 7 6 4 2 2" xfId="47072"/>
    <cellStyle name="Normal 4 7 6 4 3" xfId="40988"/>
    <cellStyle name="Normal 4 7 6 5" xfId="15531"/>
    <cellStyle name="Normal 4 7 6 5 2" xfId="44392"/>
    <cellStyle name="Normal 4 7 6 6" xfId="29756"/>
    <cellStyle name="Normal 4 7 7" xfId="1100"/>
    <cellStyle name="Normal 4 7 7 2" xfId="3987"/>
    <cellStyle name="Normal 4 7 7 2 2" xfId="10028"/>
    <cellStyle name="Normal 4 7 7 2 2 2" xfId="27075"/>
    <cellStyle name="Normal 4 7 7 2 2 2 2" xfId="55936"/>
    <cellStyle name="Normal 4 7 7 2 2 3" xfId="38889"/>
    <cellStyle name="Normal 4 7 7 2 3" xfId="21097"/>
    <cellStyle name="Normal 4 7 7 2 3 2" xfId="49958"/>
    <cellStyle name="Normal 4 7 7 2 4" xfId="32848"/>
    <cellStyle name="Normal 4 7 7 3" xfId="7142"/>
    <cellStyle name="Normal 4 7 7 3 2" xfId="24189"/>
    <cellStyle name="Normal 4 7 7 3 2 2" xfId="53050"/>
    <cellStyle name="Normal 4 7 7 3 3" xfId="36003"/>
    <cellStyle name="Normal 4 7 7 4" xfId="13863"/>
    <cellStyle name="Normal 4 7 7 4 2" xfId="18417"/>
    <cellStyle name="Normal 4 7 7 4 2 2" xfId="47278"/>
    <cellStyle name="Normal 4 7 7 4 3" xfId="42724"/>
    <cellStyle name="Normal 4 7 7 5" xfId="15737"/>
    <cellStyle name="Normal 4 7 7 5 2" xfId="44598"/>
    <cellStyle name="Normal 4 7 7 6" xfId="29962"/>
    <cellStyle name="Normal 4 7 8" xfId="1306"/>
    <cellStyle name="Normal 4 7 8 2" xfId="4193"/>
    <cellStyle name="Normal 4 7 8 2 2" xfId="10234"/>
    <cellStyle name="Normal 4 7 8 2 2 2" xfId="27281"/>
    <cellStyle name="Normal 4 7 8 2 2 2 2" xfId="56142"/>
    <cellStyle name="Normal 4 7 8 2 2 3" xfId="39095"/>
    <cellStyle name="Normal 4 7 8 2 3" xfId="21303"/>
    <cellStyle name="Normal 4 7 8 2 3 2" xfId="50164"/>
    <cellStyle name="Normal 4 7 8 2 4" xfId="33054"/>
    <cellStyle name="Normal 4 7 8 3" xfId="7348"/>
    <cellStyle name="Normal 4 7 8 3 2" xfId="24395"/>
    <cellStyle name="Normal 4 7 8 3 2 2" xfId="53256"/>
    <cellStyle name="Normal 4 7 8 3 3" xfId="36209"/>
    <cellStyle name="Normal 4 7 8 4" xfId="14115"/>
    <cellStyle name="Normal 4 7 8 4 2" xfId="18623"/>
    <cellStyle name="Normal 4 7 8 4 2 2" xfId="47484"/>
    <cellStyle name="Normal 4 7 8 4 3" xfId="42976"/>
    <cellStyle name="Normal 4 7 8 5" xfId="15943"/>
    <cellStyle name="Normal 4 7 8 5 2" xfId="44804"/>
    <cellStyle name="Normal 4 7 8 6" xfId="30168"/>
    <cellStyle name="Normal 4 7 9" xfId="1512"/>
    <cellStyle name="Normal 4 7 9 2" xfId="4399"/>
    <cellStyle name="Normal 4 7 9 2 2" xfId="10440"/>
    <cellStyle name="Normal 4 7 9 2 2 2" xfId="27487"/>
    <cellStyle name="Normal 4 7 9 2 2 2 2" xfId="56348"/>
    <cellStyle name="Normal 4 7 9 2 2 3" xfId="39301"/>
    <cellStyle name="Normal 4 7 9 2 3" xfId="21509"/>
    <cellStyle name="Normal 4 7 9 2 3 2" xfId="50370"/>
    <cellStyle name="Normal 4 7 9 2 4" xfId="33260"/>
    <cellStyle name="Normal 4 7 9 3" xfId="7554"/>
    <cellStyle name="Normal 4 7 9 3 2" xfId="24601"/>
    <cellStyle name="Normal 4 7 9 3 2 2" xfId="53462"/>
    <cellStyle name="Normal 4 7 9 3 3" xfId="36415"/>
    <cellStyle name="Normal 4 7 9 4" xfId="13765"/>
    <cellStyle name="Normal 4 7 9 4 2" xfId="18829"/>
    <cellStyle name="Normal 4 7 9 4 2 2" xfId="47690"/>
    <cellStyle name="Normal 4 7 9 4 3" xfId="42626"/>
    <cellStyle name="Normal 4 7 9 5" xfId="16149"/>
    <cellStyle name="Normal 4 7 9 5 2" xfId="45010"/>
    <cellStyle name="Normal 4 7 9 6" xfId="30374"/>
    <cellStyle name="Normal 4 8" xfId="270"/>
    <cellStyle name="Normal 4 8 10" xfId="2433"/>
    <cellStyle name="Normal 4 8 10 2" xfId="5320"/>
    <cellStyle name="Normal 4 8 10 2 2" xfId="11361"/>
    <cellStyle name="Normal 4 8 10 2 2 2" xfId="28408"/>
    <cellStyle name="Normal 4 8 10 2 2 2 2" xfId="57269"/>
    <cellStyle name="Normal 4 8 10 2 2 3" xfId="40222"/>
    <cellStyle name="Normal 4 8 10 2 3" xfId="22430"/>
    <cellStyle name="Normal 4 8 10 2 3 2" xfId="51291"/>
    <cellStyle name="Normal 4 8 10 2 4" xfId="34181"/>
    <cellStyle name="Normal 4 8 10 3" xfId="8475"/>
    <cellStyle name="Normal 4 8 10 3 2" xfId="25522"/>
    <cellStyle name="Normal 4 8 10 3 2 2" xfId="54383"/>
    <cellStyle name="Normal 4 8 10 3 3" xfId="37336"/>
    <cellStyle name="Normal 4 8 10 4" xfId="13789"/>
    <cellStyle name="Normal 4 8 10 4 2" xfId="19750"/>
    <cellStyle name="Normal 4 8 10 4 2 2" xfId="48611"/>
    <cellStyle name="Normal 4 8 10 4 3" xfId="42650"/>
    <cellStyle name="Normal 4 8 10 5" xfId="17070"/>
    <cellStyle name="Normal 4 8 10 5 2" xfId="45931"/>
    <cellStyle name="Normal 4 8 10 6" xfId="31295"/>
    <cellStyle name="Normal 4 8 11" xfId="2642"/>
    <cellStyle name="Normal 4 8 11 2" xfId="5528"/>
    <cellStyle name="Normal 4 8 11 2 2" xfId="11569"/>
    <cellStyle name="Normal 4 8 11 2 2 2" xfId="28616"/>
    <cellStyle name="Normal 4 8 11 2 2 2 2" xfId="57477"/>
    <cellStyle name="Normal 4 8 11 2 2 3" xfId="40430"/>
    <cellStyle name="Normal 4 8 11 2 3" xfId="22638"/>
    <cellStyle name="Normal 4 8 11 2 3 2" xfId="51499"/>
    <cellStyle name="Normal 4 8 11 2 4" xfId="34389"/>
    <cellStyle name="Normal 4 8 11 3" xfId="8683"/>
    <cellStyle name="Normal 4 8 11 3 2" xfId="25730"/>
    <cellStyle name="Normal 4 8 11 3 2 2" xfId="54591"/>
    <cellStyle name="Normal 4 8 11 3 3" xfId="37544"/>
    <cellStyle name="Normal 4 8 11 4" xfId="12723"/>
    <cellStyle name="Normal 4 8 11 4 2" xfId="19958"/>
    <cellStyle name="Normal 4 8 11 4 2 2" xfId="48819"/>
    <cellStyle name="Normal 4 8 11 4 3" xfId="41584"/>
    <cellStyle name="Normal 4 8 11 5" xfId="17278"/>
    <cellStyle name="Normal 4 8 11 5 2" xfId="46139"/>
    <cellStyle name="Normal 4 8 11 6" xfId="31503"/>
    <cellStyle name="Normal 4 8 12" xfId="3157"/>
    <cellStyle name="Normal 4 8 12 2" xfId="9198"/>
    <cellStyle name="Normal 4 8 12 2 2" xfId="26245"/>
    <cellStyle name="Normal 4 8 12 2 2 2" xfId="55106"/>
    <cellStyle name="Normal 4 8 12 2 3" xfId="38059"/>
    <cellStyle name="Normal 4 8 12 3" xfId="13719"/>
    <cellStyle name="Normal 4 8 12 3 2" xfId="20267"/>
    <cellStyle name="Normal 4 8 12 3 2 2" xfId="49128"/>
    <cellStyle name="Normal 4 8 12 3 3" xfId="42580"/>
    <cellStyle name="Normal 4 8 12 4" xfId="14907"/>
    <cellStyle name="Normal 4 8 12 4 2" xfId="43768"/>
    <cellStyle name="Normal 4 8 12 5" xfId="32018"/>
    <cellStyle name="Normal 4 8 13" xfId="2848"/>
    <cellStyle name="Normal 4 8 13 2" xfId="8889"/>
    <cellStyle name="Normal 4 8 13 2 2" xfId="25936"/>
    <cellStyle name="Normal 4 8 13 2 2 2" xfId="54797"/>
    <cellStyle name="Normal 4 8 13 2 3" xfId="37750"/>
    <cellStyle name="Normal 4 8 13 3" xfId="17484"/>
    <cellStyle name="Normal 4 8 13 3 2" xfId="46345"/>
    <cellStyle name="Normal 4 8 13 4" xfId="31709"/>
    <cellStyle name="Normal 4 8 14" xfId="5734"/>
    <cellStyle name="Normal 4 8 14 2" xfId="11775"/>
    <cellStyle name="Normal 4 8 14 2 2" xfId="28822"/>
    <cellStyle name="Normal 4 8 14 2 2 2" xfId="57683"/>
    <cellStyle name="Normal 4 8 14 2 3" xfId="40636"/>
    <cellStyle name="Normal 4 8 14 3" xfId="22844"/>
    <cellStyle name="Normal 4 8 14 3 2" xfId="51705"/>
    <cellStyle name="Normal 4 8 14 4" xfId="34595"/>
    <cellStyle name="Normal 4 8 15" xfId="5951"/>
    <cellStyle name="Normal 4 8 15 2" xfId="23050"/>
    <cellStyle name="Normal 4 8 15 2 2" xfId="51911"/>
    <cellStyle name="Normal 4 8 15 3" xfId="34812"/>
    <cellStyle name="Normal 4 8 16" xfId="6312"/>
    <cellStyle name="Normal 4 8 16 2" xfId="23359"/>
    <cellStyle name="Normal 4 8 16 2 2" xfId="52220"/>
    <cellStyle name="Normal 4 8 16 3" xfId="35173"/>
    <cellStyle name="Normal 4 8 17" xfId="14598"/>
    <cellStyle name="Normal 4 8 17 2" xfId="43459"/>
    <cellStyle name="Normal 4 8 18" xfId="29132"/>
    <cellStyle name="Normal 4 8 2" xfId="476"/>
    <cellStyle name="Normal 4 8 2 2" xfId="2227"/>
    <cellStyle name="Normal 4 8 2 2 2" xfId="5114"/>
    <cellStyle name="Normal 4 8 2 2 2 2" xfId="11155"/>
    <cellStyle name="Normal 4 8 2 2 2 2 2" xfId="28202"/>
    <cellStyle name="Normal 4 8 2 2 2 2 2 2" xfId="57063"/>
    <cellStyle name="Normal 4 8 2 2 2 2 3" xfId="40016"/>
    <cellStyle name="Normal 4 8 2 2 2 3" xfId="22224"/>
    <cellStyle name="Normal 4 8 2 2 2 3 2" xfId="51085"/>
    <cellStyle name="Normal 4 8 2 2 2 4" xfId="33975"/>
    <cellStyle name="Normal 4 8 2 2 3" xfId="8269"/>
    <cellStyle name="Normal 4 8 2 2 3 2" xfId="25316"/>
    <cellStyle name="Normal 4 8 2 2 3 2 2" xfId="54177"/>
    <cellStyle name="Normal 4 8 2 2 3 3" xfId="37130"/>
    <cellStyle name="Normal 4 8 2 2 4" xfId="13491"/>
    <cellStyle name="Normal 4 8 2 2 4 2" xfId="19544"/>
    <cellStyle name="Normal 4 8 2 2 4 2 2" xfId="48405"/>
    <cellStyle name="Normal 4 8 2 2 4 3" xfId="42352"/>
    <cellStyle name="Normal 4 8 2 2 5" xfId="16864"/>
    <cellStyle name="Normal 4 8 2 2 5 2" xfId="45725"/>
    <cellStyle name="Normal 4 8 2 2 6" xfId="31089"/>
    <cellStyle name="Normal 4 8 2 3" xfId="3363"/>
    <cellStyle name="Normal 4 8 2 3 2" xfId="9404"/>
    <cellStyle name="Normal 4 8 2 3 2 2" xfId="26451"/>
    <cellStyle name="Normal 4 8 2 3 2 2 2" xfId="55312"/>
    <cellStyle name="Normal 4 8 2 3 2 3" xfId="38265"/>
    <cellStyle name="Normal 4 8 2 3 3" xfId="20473"/>
    <cellStyle name="Normal 4 8 2 3 3 2" xfId="49334"/>
    <cellStyle name="Normal 4 8 2 3 4" xfId="32224"/>
    <cellStyle name="Normal 4 8 2 4" xfId="6518"/>
    <cellStyle name="Normal 4 8 2 4 2" xfId="23565"/>
    <cellStyle name="Normal 4 8 2 4 2 2" xfId="52426"/>
    <cellStyle name="Normal 4 8 2 4 3" xfId="35379"/>
    <cellStyle name="Normal 4 8 2 5" xfId="14164"/>
    <cellStyle name="Normal 4 8 2 5 2" xfId="17793"/>
    <cellStyle name="Normal 4 8 2 5 2 2" xfId="46654"/>
    <cellStyle name="Normal 4 8 2 5 3" xfId="43025"/>
    <cellStyle name="Normal 4 8 2 6" xfId="15113"/>
    <cellStyle name="Normal 4 8 2 6 2" xfId="43974"/>
    <cellStyle name="Normal 4 8 2 7" xfId="29338"/>
    <cellStyle name="Normal 4 8 3" xfId="785"/>
    <cellStyle name="Normal 4 8 3 2" xfId="3672"/>
    <cellStyle name="Normal 4 8 3 2 2" xfId="9713"/>
    <cellStyle name="Normal 4 8 3 2 2 2" xfId="26760"/>
    <cellStyle name="Normal 4 8 3 2 2 2 2" xfId="55621"/>
    <cellStyle name="Normal 4 8 3 2 2 3" xfId="38574"/>
    <cellStyle name="Normal 4 8 3 2 3" xfId="20782"/>
    <cellStyle name="Normal 4 8 3 2 3 2" xfId="49643"/>
    <cellStyle name="Normal 4 8 3 2 4" xfId="32533"/>
    <cellStyle name="Normal 4 8 3 3" xfId="6827"/>
    <cellStyle name="Normal 4 8 3 3 2" xfId="23874"/>
    <cellStyle name="Normal 4 8 3 3 2 2" xfId="52735"/>
    <cellStyle name="Normal 4 8 3 3 3" xfId="35688"/>
    <cellStyle name="Normal 4 8 3 4" xfId="13777"/>
    <cellStyle name="Normal 4 8 3 4 2" xfId="18102"/>
    <cellStyle name="Normal 4 8 3 4 2 2" xfId="46963"/>
    <cellStyle name="Normal 4 8 3 4 3" xfId="42638"/>
    <cellStyle name="Normal 4 8 3 5" xfId="15422"/>
    <cellStyle name="Normal 4 8 3 5 2" xfId="44283"/>
    <cellStyle name="Normal 4 8 3 6" xfId="29647"/>
    <cellStyle name="Normal 4 8 4" xfId="991"/>
    <cellStyle name="Normal 4 8 4 2" xfId="3878"/>
    <cellStyle name="Normal 4 8 4 2 2" xfId="9919"/>
    <cellStyle name="Normal 4 8 4 2 2 2" xfId="26966"/>
    <cellStyle name="Normal 4 8 4 2 2 2 2" xfId="55827"/>
    <cellStyle name="Normal 4 8 4 2 2 3" xfId="38780"/>
    <cellStyle name="Normal 4 8 4 2 3" xfId="20988"/>
    <cellStyle name="Normal 4 8 4 2 3 2" xfId="49849"/>
    <cellStyle name="Normal 4 8 4 2 4" xfId="32739"/>
    <cellStyle name="Normal 4 8 4 3" xfId="7033"/>
    <cellStyle name="Normal 4 8 4 3 2" xfId="24080"/>
    <cellStyle name="Normal 4 8 4 3 2 2" xfId="52941"/>
    <cellStyle name="Normal 4 8 4 3 3" xfId="35894"/>
    <cellStyle name="Normal 4 8 4 4" xfId="14403"/>
    <cellStyle name="Normal 4 8 4 4 2" xfId="18308"/>
    <cellStyle name="Normal 4 8 4 4 2 2" xfId="47169"/>
    <cellStyle name="Normal 4 8 4 4 3" xfId="43264"/>
    <cellStyle name="Normal 4 8 4 5" xfId="15628"/>
    <cellStyle name="Normal 4 8 4 5 2" xfId="44489"/>
    <cellStyle name="Normal 4 8 4 6" xfId="29853"/>
    <cellStyle name="Normal 4 8 5" xfId="1197"/>
    <cellStyle name="Normal 4 8 5 2" xfId="4084"/>
    <cellStyle name="Normal 4 8 5 2 2" xfId="10125"/>
    <cellStyle name="Normal 4 8 5 2 2 2" xfId="27172"/>
    <cellStyle name="Normal 4 8 5 2 2 2 2" xfId="56033"/>
    <cellStyle name="Normal 4 8 5 2 2 3" xfId="38986"/>
    <cellStyle name="Normal 4 8 5 2 3" xfId="21194"/>
    <cellStyle name="Normal 4 8 5 2 3 2" xfId="50055"/>
    <cellStyle name="Normal 4 8 5 2 4" xfId="32945"/>
    <cellStyle name="Normal 4 8 5 3" xfId="7239"/>
    <cellStyle name="Normal 4 8 5 3 2" xfId="24286"/>
    <cellStyle name="Normal 4 8 5 3 2 2" xfId="53147"/>
    <cellStyle name="Normal 4 8 5 3 3" xfId="36100"/>
    <cellStyle name="Normal 4 8 5 4" xfId="13169"/>
    <cellStyle name="Normal 4 8 5 4 2" xfId="18514"/>
    <cellStyle name="Normal 4 8 5 4 2 2" xfId="47375"/>
    <cellStyle name="Normal 4 8 5 4 3" xfId="42030"/>
    <cellStyle name="Normal 4 8 5 5" xfId="15834"/>
    <cellStyle name="Normal 4 8 5 5 2" xfId="44695"/>
    <cellStyle name="Normal 4 8 5 6" xfId="30059"/>
    <cellStyle name="Normal 4 8 6" xfId="1403"/>
    <cellStyle name="Normal 4 8 6 2" xfId="4290"/>
    <cellStyle name="Normal 4 8 6 2 2" xfId="10331"/>
    <cellStyle name="Normal 4 8 6 2 2 2" xfId="27378"/>
    <cellStyle name="Normal 4 8 6 2 2 2 2" xfId="56239"/>
    <cellStyle name="Normal 4 8 6 2 2 3" xfId="39192"/>
    <cellStyle name="Normal 4 8 6 2 3" xfId="21400"/>
    <cellStyle name="Normal 4 8 6 2 3 2" xfId="50261"/>
    <cellStyle name="Normal 4 8 6 2 4" xfId="33151"/>
    <cellStyle name="Normal 4 8 6 3" xfId="7445"/>
    <cellStyle name="Normal 4 8 6 3 2" xfId="24492"/>
    <cellStyle name="Normal 4 8 6 3 2 2" xfId="53353"/>
    <cellStyle name="Normal 4 8 6 3 3" xfId="36306"/>
    <cellStyle name="Normal 4 8 6 4" xfId="13538"/>
    <cellStyle name="Normal 4 8 6 4 2" xfId="18720"/>
    <cellStyle name="Normal 4 8 6 4 2 2" xfId="47581"/>
    <cellStyle name="Normal 4 8 6 4 3" xfId="42399"/>
    <cellStyle name="Normal 4 8 6 5" xfId="16040"/>
    <cellStyle name="Normal 4 8 6 5 2" xfId="44901"/>
    <cellStyle name="Normal 4 8 6 6" xfId="30265"/>
    <cellStyle name="Normal 4 8 7" xfId="1609"/>
    <cellStyle name="Normal 4 8 7 2" xfId="4496"/>
    <cellStyle name="Normal 4 8 7 2 2" xfId="10537"/>
    <cellStyle name="Normal 4 8 7 2 2 2" xfId="27584"/>
    <cellStyle name="Normal 4 8 7 2 2 2 2" xfId="56445"/>
    <cellStyle name="Normal 4 8 7 2 2 3" xfId="39398"/>
    <cellStyle name="Normal 4 8 7 2 3" xfId="21606"/>
    <cellStyle name="Normal 4 8 7 2 3 2" xfId="50467"/>
    <cellStyle name="Normal 4 8 7 2 4" xfId="33357"/>
    <cellStyle name="Normal 4 8 7 3" xfId="7651"/>
    <cellStyle name="Normal 4 8 7 3 2" xfId="24698"/>
    <cellStyle name="Normal 4 8 7 3 2 2" xfId="53559"/>
    <cellStyle name="Normal 4 8 7 3 3" xfId="36512"/>
    <cellStyle name="Normal 4 8 7 4" xfId="13607"/>
    <cellStyle name="Normal 4 8 7 4 2" xfId="18926"/>
    <cellStyle name="Normal 4 8 7 4 2 2" xfId="47787"/>
    <cellStyle name="Normal 4 8 7 4 3" xfId="42468"/>
    <cellStyle name="Normal 4 8 7 5" xfId="16246"/>
    <cellStyle name="Normal 4 8 7 5 2" xfId="45107"/>
    <cellStyle name="Normal 4 8 7 6" xfId="30471"/>
    <cellStyle name="Normal 4 8 8" xfId="1815"/>
    <cellStyle name="Normal 4 8 8 2" xfId="4702"/>
    <cellStyle name="Normal 4 8 8 2 2" xfId="10743"/>
    <cellStyle name="Normal 4 8 8 2 2 2" xfId="27790"/>
    <cellStyle name="Normal 4 8 8 2 2 2 2" xfId="56651"/>
    <cellStyle name="Normal 4 8 8 2 2 3" xfId="39604"/>
    <cellStyle name="Normal 4 8 8 2 3" xfId="21812"/>
    <cellStyle name="Normal 4 8 8 2 3 2" xfId="50673"/>
    <cellStyle name="Normal 4 8 8 2 4" xfId="33563"/>
    <cellStyle name="Normal 4 8 8 3" xfId="7857"/>
    <cellStyle name="Normal 4 8 8 3 2" xfId="24904"/>
    <cellStyle name="Normal 4 8 8 3 2 2" xfId="53765"/>
    <cellStyle name="Normal 4 8 8 3 3" xfId="36718"/>
    <cellStyle name="Normal 4 8 8 4" xfId="13688"/>
    <cellStyle name="Normal 4 8 8 4 2" xfId="19132"/>
    <cellStyle name="Normal 4 8 8 4 2 2" xfId="47993"/>
    <cellStyle name="Normal 4 8 8 4 3" xfId="42549"/>
    <cellStyle name="Normal 4 8 8 5" xfId="16452"/>
    <cellStyle name="Normal 4 8 8 5 2" xfId="45313"/>
    <cellStyle name="Normal 4 8 8 6" xfId="30677"/>
    <cellStyle name="Normal 4 8 9" xfId="2021"/>
    <cellStyle name="Normal 4 8 9 2" xfId="4908"/>
    <cellStyle name="Normal 4 8 9 2 2" xfId="10949"/>
    <cellStyle name="Normal 4 8 9 2 2 2" xfId="27996"/>
    <cellStyle name="Normal 4 8 9 2 2 2 2" xfId="56857"/>
    <cellStyle name="Normal 4 8 9 2 2 3" xfId="39810"/>
    <cellStyle name="Normal 4 8 9 2 3" xfId="22018"/>
    <cellStyle name="Normal 4 8 9 2 3 2" xfId="50879"/>
    <cellStyle name="Normal 4 8 9 2 4" xfId="33769"/>
    <cellStyle name="Normal 4 8 9 3" xfId="8063"/>
    <cellStyle name="Normal 4 8 9 3 2" xfId="25110"/>
    <cellStyle name="Normal 4 8 9 3 2 2" xfId="53971"/>
    <cellStyle name="Normal 4 8 9 3 3" xfId="36924"/>
    <cellStyle name="Normal 4 8 9 4" xfId="14417"/>
    <cellStyle name="Normal 4 8 9 4 2" xfId="19338"/>
    <cellStyle name="Normal 4 8 9 4 2 2" xfId="48199"/>
    <cellStyle name="Normal 4 8 9 4 3" xfId="43278"/>
    <cellStyle name="Normal 4 8 9 5" xfId="16658"/>
    <cellStyle name="Normal 4 8 9 5 2" xfId="45519"/>
    <cellStyle name="Normal 4 8 9 6" xfId="30883"/>
    <cellStyle name="Normal 4 9" xfId="167"/>
    <cellStyle name="Normal 4 9 2" xfId="579"/>
    <cellStyle name="Normal 4 9 2 2" xfId="3466"/>
    <cellStyle name="Normal 4 9 2 2 2" xfId="9507"/>
    <cellStyle name="Normal 4 9 2 2 2 2" xfId="26554"/>
    <cellStyle name="Normal 4 9 2 2 2 2 2" xfId="55415"/>
    <cellStyle name="Normal 4 9 2 2 2 3" xfId="38368"/>
    <cellStyle name="Normal 4 9 2 2 3" xfId="20576"/>
    <cellStyle name="Normal 4 9 2 2 3 2" xfId="49437"/>
    <cellStyle name="Normal 4 9 2 2 4" xfId="32327"/>
    <cellStyle name="Normal 4 9 2 3" xfId="6621"/>
    <cellStyle name="Normal 4 9 2 3 2" xfId="23668"/>
    <cellStyle name="Normal 4 9 2 3 2 2" xfId="52529"/>
    <cellStyle name="Normal 4 9 2 3 3" xfId="35482"/>
    <cellStyle name="Normal 4 9 2 4" xfId="14450"/>
    <cellStyle name="Normal 4 9 2 4 2" xfId="17896"/>
    <cellStyle name="Normal 4 9 2 4 2 2" xfId="46757"/>
    <cellStyle name="Normal 4 9 2 4 3" xfId="43311"/>
    <cellStyle name="Normal 4 9 2 5" xfId="15216"/>
    <cellStyle name="Normal 4 9 2 5 2" xfId="44077"/>
    <cellStyle name="Normal 4 9 2 6" xfId="29441"/>
    <cellStyle name="Normal 4 9 3" xfId="2124"/>
    <cellStyle name="Normal 4 9 3 2" xfId="5011"/>
    <cellStyle name="Normal 4 9 3 2 2" xfId="11052"/>
    <cellStyle name="Normal 4 9 3 2 2 2" xfId="28099"/>
    <cellStyle name="Normal 4 9 3 2 2 2 2" xfId="56960"/>
    <cellStyle name="Normal 4 9 3 2 2 3" xfId="39913"/>
    <cellStyle name="Normal 4 9 3 2 3" xfId="22121"/>
    <cellStyle name="Normal 4 9 3 2 3 2" xfId="50982"/>
    <cellStyle name="Normal 4 9 3 2 4" xfId="33872"/>
    <cellStyle name="Normal 4 9 3 3" xfId="8166"/>
    <cellStyle name="Normal 4 9 3 3 2" xfId="25213"/>
    <cellStyle name="Normal 4 9 3 3 2 2" xfId="54074"/>
    <cellStyle name="Normal 4 9 3 3 3" xfId="37027"/>
    <cellStyle name="Normal 4 9 3 4" xfId="13156"/>
    <cellStyle name="Normal 4 9 3 4 2" xfId="19441"/>
    <cellStyle name="Normal 4 9 3 4 2 2" xfId="48302"/>
    <cellStyle name="Normal 4 9 3 4 3" xfId="42017"/>
    <cellStyle name="Normal 4 9 3 5" xfId="16761"/>
    <cellStyle name="Normal 4 9 3 5 2" xfId="45622"/>
    <cellStyle name="Normal 4 9 3 6" xfId="30986"/>
    <cellStyle name="Normal 4 9 4" xfId="3054"/>
    <cellStyle name="Normal 4 9 4 2" xfId="9095"/>
    <cellStyle name="Normal 4 9 4 2 2" xfId="26142"/>
    <cellStyle name="Normal 4 9 4 2 2 2" xfId="55003"/>
    <cellStyle name="Normal 4 9 4 2 3" xfId="37956"/>
    <cellStyle name="Normal 4 9 4 3" xfId="20164"/>
    <cellStyle name="Normal 4 9 4 3 2" xfId="49025"/>
    <cellStyle name="Normal 4 9 4 4" xfId="31915"/>
    <cellStyle name="Normal 4 9 5" xfId="6209"/>
    <cellStyle name="Normal 4 9 5 2" xfId="23256"/>
    <cellStyle name="Normal 4 9 5 2 2" xfId="52117"/>
    <cellStyle name="Normal 4 9 5 3" xfId="35070"/>
    <cellStyle name="Normal 4 9 6" xfId="13622"/>
    <cellStyle name="Normal 4 9 6 2" xfId="17587"/>
    <cellStyle name="Normal 4 9 6 2 2" xfId="46448"/>
    <cellStyle name="Normal 4 9 6 3" xfId="42483"/>
    <cellStyle name="Normal 4 9 7" xfId="14804"/>
    <cellStyle name="Normal 4 9 7 2" xfId="43665"/>
    <cellStyle name="Normal 4 9 8" xfId="29029"/>
    <cellStyle name="Normal 5" xfId="39"/>
    <cellStyle name="Normal 5 10" xfId="1513"/>
    <cellStyle name="Normal 5 10 2" xfId="4400"/>
    <cellStyle name="Normal 5 10 2 2" xfId="10441"/>
    <cellStyle name="Normal 5 10 2 2 2" xfId="27488"/>
    <cellStyle name="Normal 5 10 2 2 2 2" xfId="56349"/>
    <cellStyle name="Normal 5 10 2 2 3" xfId="39302"/>
    <cellStyle name="Normal 5 10 2 3" xfId="21510"/>
    <cellStyle name="Normal 5 10 2 3 2" xfId="50371"/>
    <cellStyle name="Normal 5 10 2 4" xfId="33261"/>
    <cellStyle name="Normal 5 10 3" xfId="7555"/>
    <cellStyle name="Normal 5 10 3 2" xfId="24602"/>
    <cellStyle name="Normal 5 10 3 2 2" xfId="53463"/>
    <cellStyle name="Normal 5 10 3 3" xfId="36416"/>
    <cellStyle name="Normal 5 10 4" xfId="13042"/>
    <cellStyle name="Normal 5 10 4 2" xfId="18830"/>
    <cellStyle name="Normal 5 10 4 2 2" xfId="47691"/>
    <cellStyle name="Normal 5 10 4 3" xfId="41903"/>
    <cellStyle name="Normal 5 10 5" xfId="16150"/>
    <cellStyle name="Normal 5 10 5 2" xfId="45011"/>
    <cellStyle name="Normal 5 10 6" xfId="30375"/>
    <cellStyle name="Normal 5 11" xfId="1719"/>
    <cellStyle name="Normal 5 11 2" xfId="4606"/>
    <cellStyle name="Normal 5 11 2 2" xfId="10647"/>
    <cellStyle name="Normal 5 11 2 2 2" xfId="27694"/>
    <cellStyle name="Normal 5 11 2 2 2 2" xfId="56555"/>
    <cellStyle name="Normal 5 11 2 2 3" xfId="39508"/>
    <cellStyle name="Normal 5 11 2 3" xfId="21716"/>
    <cellStyle name="Normal 5 11 2 3 2" xfId="50577"/>
    <cellStyle name="Normal 5 11 2 4" xfId="33467"/>
    <cellStyle name="Normal 5 11 3" xfId="7761"/>
    <cellStyle name="Normal 5 11 3 2" xfId="24808"/>
    <cellStyle name="Normal 5 11 3 2 2" xfId="53669"/>
    <cellStyle name="Normal 5 11 3 3" xfId="36622"/>
    <cellStyle name="Normal 5 11 4" xfId="12468"/>
    <cellStyle name="Normal 5 11 4 2" xfId="19036"/>
    <cellStyle name="Normal 5 11 4 2 2" xfId="47897"/>
    <cellStyle name="Normal 5 11 4 3" xfId="41329"/>
    <cellStyle name="Normal 5 11 5" xfId="16356"/>
    <cellStyle name="Normal 5 11 5 2" xfId="45217"/>
    <cellStyle name="Normal 5 11 6" xfId="30581"/>
    <cellStyle name="Normal 5 12" xfId="1925"/>
    <cellStyle name="Normal 5 12 2" xfId="4812"/>
    <cellStyle name="Normal 5 12 2 2" xfId="10853"/>
    <cellStyle name="Normal 5 12 2 2 2" xfId="27900"/>
    <cellStyle name="Normal 5 12 2 2 2 2" xfId="56761"/>
    <cellStyle name="Normal 5 12 2 2 3" xfId="39714"/>
    <cellStyle name="Normal 5 12 2 3" xfId="21922"/>
    <cellStyle name="Normal 5 12 2 3 2" xfId="50783"/>
    <cellStyle name="Normal 5 12 2 4" xfId="33673"/>
    <cellStyle name="Normal 5 12 3" xfId="7967"/>
    <cellStyle name="Normal 5 12 3 2" xfId="25014"/>
    <cellStyle name="Normal 5 12 3 2 2" xfId="53875"/>
    <cellStyle name="Normal 5 12 3 3" xfId="36828"/>
    <cellStyle name="Normal 5 12 4" xfId="13033"/>
    <cellStyle name="Normal 5 12 4 2" xfId="19242"/>
    <cellStyle name="Normal 5 12 4 2 2" xfId="48103"/>
    <cellStyle name="Normal 5 12 4 3" xfId="41894"/>
    <cellStyle name="Normal 5 12 5" xfId="16562"/>
    <cellStyle name="Normal 5 12 5 2" xfId="45423"/>
    <cellStyle name="Normal 5 12 6" xfId="30787"/>
    <cellStyle name="Normal 5 13" xfId="2337"/>
    <cellStyle name="Normal 5 13 2" xfId="5224"/>
    <cellStyle name="Normal 5 13 2 2" xfId="11265"/>
    <cellStyle name="Normal 5 13 2 2 2" xfId="28312"/>
    <cellStyle name="Normal 5 13 2 2 2 2" xfId="57173"/>
    <cellStyle name="Normal 5 13 2 2 3" xfId="40126"/>
    <cellStyle name="Normal 5 13 2 3" xfId="22334"/>
    <cellStyle name="Normal 5 13 2 3 2" xfId="51195"/>
    <cellStyle name="Normal 5 13 2 4" xfId="34085"/>
    <cellStyle name="Normal 5 13 3" xfId="8379"/>
    <cellStyle name="Normal 5 13 3 2" xfId="25426"/>
    <cellStyle name="Normal 5 13 3 2 2" xfId="54287"/>
    <cellStyle name="Normal 5 13 3 3" xfId="37240"/>
    <cellStyle name="Normal 5 13 4" xfId="14372"/>
    <cellStyle name="Normal 5 13 4 2" xfId="19654"/>
    <cellStyle name="Normal 5 13 4 2 2" xfId="48515"/>
    <cellStyle name="Normal 5 13 4 3" xfId="43233"/>
    <cellStyle name="Normal 5 13 5" xfId="16974"/>
    <cellStyle name="Normal 5 13 5 2" xfId="45835"/>
    <cellStyle name="Normal 5 13 6" xfId="31199"/>
    <cellStyle name="Normal 5 14" xfId="2546"/>
    <cellStyle name="Normal 5 14 2" xfId="5432"/>
    <cellStyle name="Normal 5 14 2 2" xfId="11473"/>
    <cellStyle name="Normal 5 14 2 2 2" xfId="28520"/>
    <cellStyle name="Normal 5 14 2 2 2 2" xfId="57381"/>
    <cellStyle name="Normal 5 14 2 2 3" xfId="40334"/>
    <cellStyle name="Normal 5 14 2 3" xfId="22542"/>
    <cellStyle name="Normal 5 14 2 3 2" xfId="51403"/>
    <cellStyle name="Normal 5 14 2 4" xfId="34293"/>
    <cellStyle name="Normal 5 14 3" xfId="8587"/>
    <cellStyle name="Normal 5 14 3 2" xfId="25634"/>
    <cellStyle name="Normal 5 14 3 2 2" xfId="54495"/>
    <cellStyle name="Normal 5 14 3 3" xfId="37448"/>
    <cellStyle name="Normal 5 14 4" xfId="14077"/>
    <cellStyle name="Normal 5 14 4 2" xfId="19862"/>
    <cellStyle name="Normal 5 14 4 2 2" xfId="48723"/>
    <cellStyle name="Normal 5 14 4 3" xfId="42938"/>
    <cellStyle name="Normal 5 14 5" xfId="17182"/>
    <cellStyle name="Normal 5 14 5 2" xfId="46043"/>
    <cellStyle name="Normal 5 14 6" xfId="31407"/>
    <cellStyle name="Normal 5 15" xfId="2958"/>
    <cellStyle name="Normal 5 15 2" xfId="8999"/>
    <cellStyle name="Normal 5 15 2 2" xfId="26046"/>
    <cellStyle name="Normal 5 15 2 2 2" xfId="54907"/>
    <cellStyle name="Normal 5 15 2 3" xfId="37860"/>
    <cellStyle name="Normal 5 15 3" xfId="12629"/>
    <cellStyle name="Normal 5 15 3 2" xfId="20068"/>
    <cellStyle name="Normal 5 15 3 2 2" xfId="48929"/>
    <cellStyle name="Normal 5 15 3 3" xfId="41490"/>
    <cellStyle name="Normal 5 15 4" xfId="14708"/>
    <cellStyle name="Normal 5 15 4 2" xfId="43569"/>
    <cellStyle name="Normal 5 15 5" xfId="31819"/>
    <cellStyle name="Normal 5 16" xfId="2752"/>
    <cellStyle name="Normal 5 16 2" xfId="8793"/>
    <cellStyle name="Normal 5 16 2 2" xfId="25840"/>
    <cellStyle name="Normal 5 16 2 2 2" xfId="54701"/>
    <cellStyle name="Normal 5 16 2 3" xfId="37654"/>
    <cellStyle name="Normal 5 16 3" xfId="17388"/>
    <cellStyle name="Normal 5 16 3 2" xfId="46249"/>
    <cellStyle name="Normal 5 16 4" xfId="31613"/>
    <cellStyle name="Normal 5 17" xfId="5638"/>
    <cellStyle name="Normal 5 17 2" xfId="11679"/>
    <cellStyle name="Normal 5 17 2 2" xfId="28726"/>
    <cellStyle name="Normal 5 17 2 2 2" xfId="57587"/>
    <cellStyle name="Normal 5 17 2 3" xfId="40540"/>
    <cellStyle name="Normal 5 17 3" xfId="22748"/>
    <cellStyle name="Normal 5 17 3 2" xfId="51609"/>
    <cellStyle name="Normal 5 17 4" xfId="34499"/>
    <cellStyle name="Normal 5 18" xfId="5849"/>
    <cellStyle name="Normal 5 18 2" xfId="22954"/>
    <cellStyle name="Normal 5 18 2 2" xfId="51815"/>
    <cellStyle name="Normal 5 18 3" xfId="34710"/>
    <cellStyle name="Normal 5 19" xfId="6113"/>
    <cellStyle name="Normal 5 19 2" xfId="23160"/>
    <cellStyle name="Normal 5 19 2 2" xfId="52021"/>
    <cellStyle name="Normal 5 19 3" xfId="34974"/>
    <cellStyle name="Normal 5 2" xfId="40"/>
    <cellStyle name="Normal 5 20" xfId="14502"/>
    <cellStyle name="Normal 5 20 2" xfId="43363"/>
    <cellStyle name="Normal 5 21" xfId="28933"/>
    <cellStyle name="Normal 5 3" xfId="277"/>
    <cellStyle name="Normal 5 3 10" xfId="2440"/>
    <cellStyle name="Normal 5 3 10 2" xfId="5327"/>
    <cellStyle name="Normal 5 3 10 2 2" xfId="11368"/>
    <cellStyle name="Normal 5 3 10 2 2 2" xfId="28415"/>
    <cellStyle name="Normal 5 3 10 2 2 2 2" xfId="57276"/>
    <cellStyle name="Normal 5 3 10 2 2 3" xfId="40229"/>
    <cellStyle name="Normal 5 3 10 2 3" xfId="22437"/>
    <cellStyle name="Normal 5 3 10 2 3 2" xfId="51298"/>
    <cellStyle name="Normal 5 3 10 2 4" xfId="34188"/>
    <cellStyle name="Normal 5 3 10 3" xfId="8482"/>
    <cellStyle name="Normal 5 3 10 3 2" xfId="25529"/>
    <cellStyle name="Normal 5 3 10 3 2 2" xfId="54390"/>
    <cellStyle name="Normal 5 3 10 3 3" xfId="37343"/>
    <cellStyle name="Normal 5 3 10 4" xfId="14045"/>
    <cellStyle name="Normal 5 3 10 4 2" xfId="19757"/>
    <cellStyle name="Normal 5 3 10 4 2 2" xfId="48618"/>
    <cellStyle name="Normal 5 3 10 4 3" xfId="42906"/>
    <cellStyle name="Normal 5 3 10 5" xfId="17077"/>
    <cellStyle name="Normal 5 3 10 5 2" xfId="45938"/>
    <cellStyle name="Normal 5 3 10 6" xfId="31302"/>
    <cellStyle name="Normal 5 3 11" xfId="2649"/>
    <cellStyle name="Normal 5 3 11 2" xfId="5535"/>
    <cellStyle name="Normal 5 3 11 2 2" xfId="11576"/>
    <cellStyle name="Normal 5 3 11 2 2 2" xfId="28623"/>
    <cellStyle name="Normal 5 3 11 2 2 2 2" xfId="57484"/>
    <cellStyle name="Normal 5 3 11 2 2 3" xfId="40437"/>
    <cellStyle name="Normal 5 3 11 2 3" xfId="22645"/>
    <cellStyle name="Normal 5 3 11 2 3 2" xfId="51506"/>
    <cellStyle name="Normal 5 3 11 2 4" xfId="34396"/>
    <cellStyle name="Normal 5 3 11 3" xfId="8690"/>
    <cellStyle name="Normal 5 3 11 3 2" xfId="25737"/>
    <cellStyle name="Normal 5 3 11 3 2 2" xfId="54598"/>
    <cellStyle name="Normal 5 3 11 3 3" xfId="37551"/>
    <cellStyle name="Normal 5 3 11 4" xfId="12531"/>
    <cellStyle name="Normal 5 3 11 4 2" xfId="19965"/>
    <cellStyle name="Normal 5 3 11 4 2 2" xfId="48826"/>
    <cellStyle name="Normal 5 3 11 4 3" xfId="41392"/>
    <cellStyle name="Normal 5 3 11 5" xfId="17285"/>
    <cellStyle name="Normal 5 3 11 5 2" xfId="46146"/>
    <cellStyle name="Normal 5 3 11 6" xfId="31510"/>
    <cellStyle name="Normal 5 3 12" xfId="3164"/>
    <cellStyle name="Normal 5 3 12 2" xfId="9205"/>
    <cellStyle name="Normal 5 3 12 2 2" xfId="26252"/>
    <cellStyle name="Normal 5 3 12 2 2 2" xfId="55113"/>
    <cellStyle name="Normal 5 3 12 2 3" xfId="38066"/>
    <cellStyle name="Normal 5 3 12 3" xfId="14108"/>
    <cellStyle name="Normal 5 3 12 3 2" xfId="20274"/>
    <cellStyle name="Normal 5 3 12 3 2 2" xfId="49135"/>
    <cellStyle name="Normal 5 3 12 3 3" xfId="42969"/>
    <cellStyle name="Normal 5 3 12 4" xfId="14914"/>
    <cellStyle name="Normal 5 3 12 4 2" xfId="43775"/>
    <cellStyle name="Normal 5 3 12 5" xfId="32025"/>
    <cellStyle name="Normal 5 3 13" xfId="2855"/>
    <cellStyle name="Normal 5 3 13 2" xfId="8896"/>
    <cellStyle name="Normal 5 3 13 2 2" xfId="25943"/>
    <cellStyle name="Normal 5 3 13 2 2 2" xfId="54804"/>
    <cellStyle name="Normal 5 3 13 2 3" xfId="37757"/>
    <cellStyle name="Normal 5 3 13 3" xfId="17491"/>
    <cellStyle name="Normal 5 3 13 3 2" xfId="46352"/>
    <cellStyle name="Normal 5 3 13 4" xfId="31716"/>
    <cellStyle name="Normal 5 3 14" xfId="5741"/>
    <cellStyle name="Normal 5 3 14 2" xfId="11782"/>
    <cellStyle name="Normal 5 3 14 2 2" xfId="28829"/>
    <cellStyle name="Normal 5 3 14 2 2 2" xfId="57690"/>
    <cellStyle name="Normal 5 3 14 2 3" xfId="40643"/>
    <cellStyle name="Normal 5 3 14 3" xfId="22851"/>
    <cellStyle name="Normal 5 3 14 3 2" xfId="51712"/>
    <cellStyle name="Normal 5 3 14 4" xfId="34602"/>
    <cellStyle name="Normal 5 3 15" xfId="5958"/>
    <cellStyle name="Normal 5 3 15 2" xfId="23057"/>
    <cellStyle name="Normal 5 3 15 2 2" xfId="51918"/>
    <cellStyle name="Normal 5 3 15 3" xfId="34819"/>
    <cellStyle name="Normal 5 3 16" xfId="6319"/>
    <cellStyle name="Normal 5 3 16 2" xfId="23366"/>
    <cellStyle name="Normal 5 3 16 2 2" xfId="52227"/>
    <cellStyle name="Normal 5 3 16 3" xfId="35180"/>
    <cellStyle name="Normal 5 3 17" xfId="14605"/>
    <cellStyle name="Normal 5 3 17 2" xfId="43466"/>
    <cellStyle name="Normal 5 3 18" xfId="29139"/>
    <cellStyle name="Normal 5 3 2" xfId="483"/>
    <cellStyle name="Normal 5 3 2 2" xfId="2234"/>
    <cellStyle name="Normal 5 3 2 2 2" xfId="5121"/>
    <cellStyle name="Normal 5 3 2 2 2 2" xfId="11162"/>
    <cellStyle name="Normal 5 3 2 2 2 2 2" xfId="28209"/>
    <cellStyle name="Normal 5 3 2 2 2 2 2 2" xfId="57070"/>
    <cellStyle name="Normal 5 3 2 2 2 2 3" xfId="40023"/>
    <cellStyle name="Normal 5 3 2 2 2 3" xfId="22231"/>
    <cellStyle name="Normal 5 3 2 2 2 3 2" xfId="51092"/>
    <cellStyle name="Normal 5 3 2 2 2 4" xfId="33982"/>
    <cellStyle name="Normal 5 3 2 2 3" xfId="8276"/>
    <cellStyle name="Normal 5 3 2 2 3 2" xfId="25323"/>
    <cellStyle name="Normal 5 3 2 2 3 2 2" xfId="54184"/>
    <cellStyle name="Normal 5 3 2 2 3 3" xfId="37137"/>
    <cellStyle name="Normal 5 3 2 2 4" xfId="13177"/>
    <cellStyle name="Normal 5 3 2 2 4 2" xfId="19551"/>
    <cellStyle name="Normal 5 3 2 2 4 2 2" xfId="48412"/>
    <cellStyle name="Normal 5 3 2 2 4 3" xfId="42038"/>
    <cellStyle name="Normal 5 3 2 2 5" xfId="16871"/>
    <cellStyle name="Normal 5 3 2 2 5 2" xfId="45732"/>
    <cellStyle name="Normal 5 3 2 2 6" xfId="31096"/>
    <cellStyle name="Normal 5 3 2 3" xfId="3370"/>
    <cellStyle name="Normal 5 3 2 3 2" xfId="9411"/>
    <cellStyle name="Normal 5 3 2 3 2 2" xfId="26458"/>
    <cellStyle name="Normal 5 3 2 3 2 2 2" xfId="55319"/>
    <cellStyle name="Normal 5 3 2 3 2 3" xfId="38272"/>
    <cellStyle name="Normal 5 3 2 3 3" xfId="20480"/>
    <cellStyle name="Normal 5 3 2 3 3 2" xfId="49341"/>
    <cellStyle name="Normal 5 3 2 3 4" xfId="32231"/>
    <cellStyle name="Normal 5 3 2 4" xfId="6525"/>
    <cellStyle name="Normal 5 3 2 4 2" xfId="23572"/>
    <cellStyle name="Normal 5 3 2 4 2 2" xfId="52433"/>
    <cellStyle name="Normal 5 3 2 4 3" xfId="35386"/>
    <cellStyle name="Normal 5 3 2 5" xfId="13601"/>
    <cellStyle name="Normal 5 3 2 5 2" xfId="17800"/>
    <cellStyle name="Normal 5 3 2 5 2 2" xfId="46661"/>
    <cellStyle name="Normal 5 3 2 5 3" xfId="42462"/>
    <cellStyle name="Normal 5 3 2 6" xfId="15120"/>
    <cellStyle name="Normal 5 3 2 6 2" xfId="43981"/>
    <cellStyle name="Normal 5 3 2 7" xfId="29345"/>
    <cellStyle name="Normal 5 3 3" xfId="792"/>
    <cellStyle name="Normal 5 3 3 2" xfId="3679"/>
    <cellStyle name="Normal 5 3 3 2 2" xfId="9720"/>
    <cellStyle name="Normal 5 3 3 2 2 2" xfId="26767"/>
    <cellStyle name="Normal 5 3 3 2 2 2 2" xfId="55628"/>
    <cellStyle name="Normal 5 3 3 2 2 3" xfId="38581"/>
    <cellStyle name="Normal 5 3 3 2 3" xfId="20789"/>
    <cellStyle name="Normal 5 3 3 2 3 2" xfId="49650"/>
    <cellStyle name="Normal 5 3 3 2 4" xfId="32540"/>
    <cellStyle name="Normal 5 3 3 3" xfId="6834"/>
    <cellStyle name="Normal 5 3 3 3 2" xfId="23881"/>
    <cellStyle name="Normal 5 3 3 3 2 2" xfId="52742"/>
    <cellStyle name="Normal 5 3 3 3 3" xfId="35695"/>
    <cellStyle name="Normal 5 3 3 4" xfId="14380"/>
    <cellStyle name="Normal 5 3 3 4 2" xfId="18109"/>
    <cellStyle name="Normal 5 3 3 4 2 2" xfId="46970"/>
    <cellStyle name="Normal 5 3 3 4 3" xfId="43241"/>
    <cellStyle name="Normal 5 3 3 5" xfId="15429"/>
    <cellStyle name="Normal 5 3 3 5 2" xfId="44290"/>
    <cellStyle name="Normal 5 3 3 6" xfId="29654"/>
    <cellStyle name="Normal 5 3 4" xfId="998"/>
    <cellStyle name="Normal 5 3 4 2" xfId="3885"/>
    <cellStyle name="Normal 5 3 4 2 2" xfId="9926"/>
    <cellStyle name="Normal 5 3 4 2 2 2" xfId="26973"/>
    <cellStyle name="Normal 5 3 4 2 2 2 2" xfId="55834"/>
    <cellStyle name="Normal 5 3 4 2 2 3" xfId="38787"/>
    <cellStyle name="Normal 5 3 4 2 3" xfId="20995"/>
    <cellStyle name="Normal 5 3 4 2 3 2" xfId="49856"/>
    <cellStyle name="Normal 5 3 4 2 4" xfId="32746"/>
    <cellStyle name="Normal 5 3 4 3" xfId="7040"/>
    <cellStyle name="Normal 5 3 4 3 2" xfId="24087"/>
    <cellStyle name="Normal 5 3 4 3 2 2" xfId="52948"/>
    <cellStyle name="Normal 5 3 4 3 3" xfId="35901"/>
    <cellStyle name="Normal 5 3 4 4" xfId="12209"/>
    <cellStyle name="Normal 5 3 4 4 2" xfId="18315"/>
    <cellStyle name="Normal 5 3 4 4 2 2" xfId="47176"/>
    <cellStyle name="Normal 5 3 4 4 3" xfId="41070"/>
    <cellStyle name="Normal 5 3 4 5" xfId="15635"/>
    <cellStyle name="Normal 5 3 4 5 2" xfId="44496"/>
    <cellStyle name="Normal 5 3 4 6" xfId="29860"/>
    <cellStyle name="Normal 5 3 5" xfId="1204"/>
    <cellStyle name="Normal 5 3 5 2" xfId="4091"/>
    <cellStyle name="Normal 5 3 5 2 2" xfId="10132"/>
    <cellStyle name="Normal 5 3 5 2 2 2" xfId="27179"/>
    <cellStyle name="Normal 5 3 5 2 2 2 2" xfId="56040"/>
    <cellStyle name="Normal 5 3 5 2 2 3" xfId="38993"/>
    <cellStyle name="Normal 5 3 5 2 3" xfId="21201"/>
    <cellStyle name="Normal 5 3 5 2 3 2" xfId="50062"/>
    <cellStyle name="Normal 5 3 5 2 4" xfId="32952"/>
    <cellStyle name="Normal 5 3 5 3" xfId="7246"/>
    <cellStyle name="Normal 5 3 5 3 2" xfId="24293"/>
    <cellStyle name="Normal 5 3 5 3 2 2" xfId="53154"/>
    <cellStyle name="Normal 5 3 5 3 3" xfId="36107"/>
    <cellStyle name="Normal 5 3 5 4" xfId="12094"/>
    <cellStyle name="Normal 5 3 5 4 2" xfId="18521"/>
    <cellStyle name="Normal 5 3 5 4 2 2" xfId="47382"/>
    <cellStyle name="Normal 5 3 5 4 3" xfId="40955"/>
    <cellStyle name="Normal 5 3 5 5" xfId="15841"/>
    <cellStyle name="Normal 5 3 5 5 2" xfId="44702"/>
    <cellStyle name="Normal 5 3 5 6" xfId="30066"/>
    <cellStyle name="Normal 5 3 6" xfId="1410"/>
    <cellStyle name="Normal 5 3 6 2" xfId="4297"/>
    <cellStyle name="Normal 5 3 6 2 2" xfId="10338"/>
    <cellStyle name="Normal 5 3 6 2 2 2" xfId="27385"/>
    <cellStyle name="Normal 5 3 6 2 2 2 2" xfId="56246"/>
    <cellStyle name="Normal 5 3 6 2 2 3" xfId="39199"/>
    <cellStyle name="Normal 5 3 6 2 3" xfId="21407"/>
    <cellStyle name="Normal 5 3 6 2 3 2" xfId="50268"/>
    <cellStyle name="Normal 5 3 6 2 4" xfId="33158"/>
    <cellStyle name="Normal 5 3 6 3" xfId="7452"/>
    <cellStyle name="Normal 5 3 6 3 2" xfId="24499"/>
    <cellStyle name="Normal 5 3 6 3 2 2" xfId="53360"/>
    <cellStyle name="Normal 5 3 6 3 3" xfId="36313"/>
    <cellStyle name="Normal 5 3 6 4" xfId="12154"/>
    <cellStyle name="Normal 5 3 6 4 2" xfId="18727"/>
    <cellStyle name="Normal 5 3 6 4 2 2" xfId="47588"/>
    <cellStyle name="Normal 5 3 6 4 3" xfId="41015"/>
    <cellStyle name="Normal 5 3 6 5" xfId="16047"/>
    <cellStyle name="Normal 5 3 6 5 2" xfId="44908"/>
    <cellStyle name="Normal 5 3 6 6" xfId="30272"/>
    <cellStyle name="Normal 5 3 7" xfId="1616"/>
    <cellStyle name="Normal 5 3 7 2" xfId="4503"/>
    <cellStyle name="Normal 5 3 7 2 2" xfId="10544"/>
    <cellStyle name="Normal 5 3 7 2 2 2" xfId="27591"/>
    <cellStyle name="Normal 5 3 7 2 2 2 2" xfId="56452"/>
    <cellStyle name="Normal 5 3 7 2 2 3" xfId="39405"/>
    <cellStyle name="Normal 5 3 7 2 3" xfId="21613"/>
    <cellStyle name="Normal 5 3 7 2 3 2" xfId="50474"/>
    <cellStyle name="Normal 5 3 7 2 4" xfId="33364"/>
    <cellStyle name="Normal 5 3 7 3" xfId="7658"/>
    <cellStyle name="Normal 5 3 7 3 2" xfId="24705"/>
    <cellStyle name="Normal 5 3 7 3 2 2" xfId="53566"/>
    <cellStyle name="Normal 5 3 7 3 3" xfId="36519"/>
    <cellStyle name="Normal 5 3 7 4" xfId="14079"/>
    <cellStyle name="Normal 5 3 7 4 2" xfId="18933"/>
    <cellStyle name="Normal 5 3 7 4 2 2" xfId="47794"/>
    <cellStyle name="Normal 5 3 7 4 3" xfId="42940"/>
    <cellStyle name="Normal 5 3 7 5" xfId="16253"/>
    <cellStyle name="Normal 5 3 7 5 2" xfId="45114"/>
    <cellStyle name="Normal 5 3 7 6" xfId="30478"/>
    <cellStyle name="Normal 5 3 8" xfId="1822"/>
    <cellStyle name="Normal 5 3 8 2" xfId="4709"/>
    <cellStyle name="Normal 5 3 8 2 2" xfId="10750"/>
    <cellStyle name="Normal 5 3 8 2 2 2" xfId="27797"/>
    <cellStyle name="Normal 5 3 8 2 2 2 2" xfId="56658"/>
    <cellStyle name="Normal 5 3 8 2 2 3" xfId="39611"/>
    <cellStyle name="Normal 5 3 8 2 3" xfId="21819"/>
    <cellStyle name="Normal 5 3 8 2 3 2" xfId="50680"/>
    <cellStyle name="Normal 5 3 8 2 4" xfId="33570"/>
    <cellStyle name="Normal 5 3 8 3" xfId="7864"/>
    <cellStyle name="Normal 5 3 8 3 2" xfId="24911"/>
    <cellStyle name="Normal 5 3 8 3 2 2" xfId="53772"/>
    <cellStyle name="Normal 5 3 8 3 3" xfId="36725"/>
    <cellStyle name="Normal 5 3 8 4" xfId="12010"/>
    <cellStyle name="Normal 5 3 8 4 2" xfId="19139"/>
    <cellStyle name="Normal 5 3 8 4 2 2" xfId="48000"/>
    <cellStyle name="Normal 5 3 8 4 3" xfId="40871"/>
    <cellStyle name="Normal 5 3 8 5" xfId="16459"/>
    <cellStyle name="Normal 5 3 8 5 2" xfId="45320"/>
    <cellStyle name="Normal 5 3 8 6" xfId="30684"/>
    <cellStyle name="Normal 5 3 9" xfId="2028"/>
    <cellStyle name="Normal 5 3 9 2" xfId="4915"/>
    <cellStyle name="Normal 5 3 9 2 2" xfId="10956"/>
    <cellStyle name="Normal 5 3 9 2 2 2" xfId="28003"/>
    <cellStyle name="Normal 5 3 9 2 2 2 2" xfId="56864"/>
    <cellStyle name="Normal 5 3 9 2 2 3" xfId="39817"/>
    <cellStyle name="Normal 5 3 9 2 3" xfId="22025"/>
    <cellStyle name="Normal 5 3 9 2 3 2" xfId="50886"/>
    <cellStyle name="Normal 5 3 9 2 4" xfId="33776"/>
    <cellStyle name="Normal 5 3 9 3" xfId="8070"/>
    <cellStyle name="Normal 5 3 9 3 2" xfId="25117"/>
    <cellStyle name="Normal 5 3 9 3 2 2" xfId="53978"/>
    <cellStyle name="Normal 5 3 9 3 3" xfId="36931"/>
    <cellStyle name="Normal 5 3 9 4" xfId="12652"/>
    <cellStyle name="Normal 5 3 9 4 2" xfId="19345"/>
    <cellStyle name="Normal 5 3 9 4 2 2" xfId="48206"/>
    <cellStyle name="Normal 5 3 9 4 3" xfId="41513"/>
    <cellStyle name="Normal 5 3 9 5" xfId="16665"/>
    <cellStyle name="Normal 5 3 9 5 2" xfId="45526"/>
    <cellStyle name="Normal 5 3 9 6" xfId="30890"/>
    <cellStyle name="Normal 5 4" xfId="174"/>
    <cellStyle name="Normal 5 4 2" xfId="586"/>
    <cellStyle name="Normal 5 4 2 2" xfId="3473"/>
    <cellStyle name="Normal 5 4 2 2 2" xfId="9514"/>
    <cellStyle name="Normal 5 4 2 2 2 2" xfId="26561"/>
    <cellStyle name="Normal 5 4 2 2 2 2 2" xfId="55422"/>
    <cellStyle name="Normal 5 4 2 2 2 3" xfId="38375"/>
    <cellStyle name="Normal 5 4 2 2 3" xfId="20583"/>
    <cellStyle name="Normal 5 4 2 2 3 2" xfId="49444"/>
    <cellStyle name="Normal 5 4 2 2 4" xfId="32334"/>
    <cellStyle name="Normal 5 4 2 3" xfId="6628"/>
    <cellStyle name="Normal 5 4 2 3 2" xfId="23675"/>
    <cellStyle name="Normal 5 4 2 3 2 2" xfId="52536"/>
    <cellStyle name="Normal 5 4 2 3 3" xfId="35489"/>
    <cellStyle name="Normal 5 4 2 4" xfId="12302"/>
    <cellStyle name="Normal 5 4 2 4 2" xfId="17903"/>
    <cellStyle name="Normal 5 4 2 4 2 2" xfId="46764"/>
    <cellStyle name="Normal 5 4 2 4 3" xfId="41163"/>
    <cellStyle name="Normal 5 4 2 5" xfId="15223"/>
    <cellStyle name="Normal 5 4 2 5 2" xfId="44084"/>
    <cellStyle name="Normal 5 4 2 6" xfId="29448"/>
    <cellStyle name="Normal 5 4 3" xfId="2131"/>
    <cellStyle name="Normal 5 4 3 2" xfId="5018"/>
    <cellStyle name="Normal 5 4 3 2 2" xfId="11059"/>
    <cellStyle name="Normal 5 4 3 2 2 2" xfId="28106"/>
    <cellStyle name="Normal 5 4 3 2 2 2 2" xfId="56967"/>
    <cellStyle name="Normal 5 4 3 2 2 3" xfId="39920"/>
    <cellStyle name="Normal 5 4 3 2 3" xfId="22128"/>
    <cellStyle name="Normal 5 4 3 2 3 2" xfId="50989"/>
    <cellStyle name="Normal 5 4 3 2 4" xfId="33879"/>
    <cellStyle name="Normal 5 4 3 3" xfId="8173"/>
    <cellStyle name="Normal 5 4 3 3 2" xfId="25220"/>
    <cellStyle name="Normal 5 4 3 3 2 2" xfId="54081"/>
    <cellStyle name="Normal 5 4 3 3 3" xfId="37034"/>
    <cellStyle name="Normal 5 4 3 4" xfId="13578"/>
    <cellStyle name="Normal 5 4 3 4 2" xfId="19448"/>
    <cellStyle name="Normal 5 4 3 4 2 2" xfId="48309"/>
    <cellStyle name="Normal 5 4 3 4 3" xfId="42439"/>
    <cellStyle name="Normal 5 4 3 5" xfId="16768"/>
    <cellStyle name="Normal 5 4 3 5 2" xfId="45629"/>
    <cellStyle name="Normal 5 4 3 6" xfId="30993"/>
    <cellStyle name="Normal 5 4 4" xfId="3061"/>
    <cellStyle name="Normal 5 4 4 2" xfId="9102"/>
    <cellStyle name="Normal 5 4 4 2 2" xfId="26149"/>
    <cellStyle name="Normal 5 4 4 2 2 2" xfId="55010"/>
    <cellStyle name="Normal 5 4 4 2 3" xfId="37963"/>
    <cellStyle name="Normal 5 4 4 3" xfId="20171"/>
    <cellStyle name="Normal 5 4 4 3 2" xfId="49032"/>
    <cellStyle name="Normal 5 4 4 4" xfId="31922"/>
    <cellStyle name="Normal 5 4 5" xfId="6216"/>
    <cellStyle name="Normal 5 4 5 2" xfId="23263"/>
    <cellStyle name="Normal 5 4 5 2 2" xfId="52124"/>
    <cellStyle name="Normal 5 4 5 3" xfId="35077"/>
    <cellStyle name="Normal 5 4 6" xfId="13759"/>
    <cellStyle name="Normal 5 4 6 2" xfId="17594"/>
    <cellStyle name="Normal 5 4 6 2 2" xfId="46455"/>
    <cellStyle name="Normal 5 4 6 3" xfId="42620"/>
    <cellStyle name="Normal 5 4 7" xfId="14811"/>
    <cellStyle name="Normal 5 4 7 2" xfId="43672"/>
    <cellStyle name="Normal 5 4 8" xfId="29036"/>
    <cellStyle name="Normal 5 5" xfId="380"/>
    <cellStyle name="Normal 5 5 2" xfId="3267"/>
    <cellStyle name="Normal 5 5 2 2" xfId="9308"/>
    <cellStyle name="Normal 5 5 2 2 2" xfId="26355"/>
    <cellStyle name="Normal 5 5 2 2 2 2" xfId="55216"/>
    <cellStyle name="Normal 5 5 2 2 3" xfId="38169"/>
    <cellStyle name="Normal 5 5 2 3" xfId="20377"/>
    <cellStyle name="Normal 5 5 2 3 2" xfId="49238"/>
    <cellStyle name="Normal 5 5 2 4" xfId="32128"/>
    <cellStyle name="Normal 5 5 3" xfId="6422"/>
    <cellStyle name="Normal 5 5 3 2" xfId="23469"/>
    <cellStyle name="Normal 5 5 3 2 2" xfId="52330"/>
    <cellStyle name="Normal 5 5 3 3" xfId="35283"/>
    <cellStyle name="Normal 5 5 4" xfId="14259"/>
    <cellStyle name="Normal 5 5 4 2" xfId="17697"/>
    <cellStyle name="Normal 5 5 4 2 2" xfId="46558"/>
    <cellStyle name="Normal 5 5 4 3" xfId="43120"/>
    <cellStyle name="Normal 5 5 5" xfId="15017"/>
    <cellStyle name="Normal 5 5 5 2" xfId="43878"/>
    <cellStyle name="Normal 5 5 6" xfId="29242"/>
    <cellStyle name="Normal 5 6" xfId="689"/>
    <cellStyle name="Normal 5 6 2" xfId="3576"/>
    <cellStyle name="Normal 5 6 2 2" xfId="9617"/>
    <cellStyle name="Normal 5 6 2 2 2" xfId="26664"/>
    <cellStyle name="Normal 5 6 2 2 2 2" xfId="55525"/>
    <cellStyle name="Normal 5 6 2 2 3" xfId="38478"/>
    <cellStyle name="Normal 5 6 2 3" xfId="20686"/>
    <cellStyle name="Normal 5 6 2 3 2" xfId="49547"/>
    <cellStyle name="Normal 5 6 2 4" xfId="32437"/>
    <cellStyle name="Normal 5 6 3" xfId="6731"/>
    <cellStyle name="Normal 5 6 3 2" xfId="23778"/>
    <cellStyle name="Normal 5 6 3 2 2" xfId="52639"/>
    <cellStyle name="Normal 5 6 3 3" xfId="35592"/>
    <cellStyle name="Normal 5 6 4" xfId="12223"/>
    <cellStyle name="Normal 5 6 4 2" xfId="18006"/>
    <cellStyle name="Normal 5 6 4 2 2" xfId="46867"/>
    <cellStyle name="Normal 5 6 4 3" xfId="41084"/>
    <cellStyle name="Normal 5 6 5" xfId="15326"/>
    <cellStyle name="Normal 5 6 5 2" xfId="44187"/>
    <cellStyle name="Normal 5 6 6" xfId="29551"/>
    <cellStyle name="Normal 5 7" xfId="895"/>
    <cellStyle name="Normal 5 7 2" xfId="3782"/>
    <cellStyle name="Normal 5 7 2 2" xfId="9823"/>
    <cellStyle name="Normal 5 7 2 2 2" xfId="26870"/>
    <cellStyle name="Normal 5 7 2 2 2 2" xfId="55731"/>
    <cellStyle name="Normal 5 7 2 2 3" xfId="38684"/>
    <cellStyle name="Normal 5 7 2 3" xfId="20892"/>
    <cellStyle name="Normal 5 7 2 3 2" xfId="49753"/>
    <cellStyle name="Normal 5 7 2 4" xfId="32643"/>
    <cellStyle name="Normal 5 7 3" xfId="6937"/>
    <cellStyle name="Normal 5 7 3 2" xfId="23984"/>
    <cellStyle name="Normal 5 7 3 2 2" xfId="52845"/>
    <cellStyle name="Normal 5 7 3 3" xfId="35798"/>
    <cellStyle name="Normal 5 7 4" xfId="13800"/>
    <cellStyle name="Normal 5 7 4 2" xfId="18212"/>
    <cellStyle name="Normal 5 7 4 2 2" xfId="47073"/>
    <cellStyle name="Normal 5 7 4 3" xfId="42661"/>
    <cellStyle name="Normal 5 7 5" xfId="15532"/>
    <cellStyle name="Normal 5 7 5 2" xfId="44393"/>
    <cellStyle name="Normal 5 7 6" xfId="29757"/>
    <cellStyle name="Normal 5 8" xfId="1101"/>
    <cellStyle name="Normal 5 8 2" xfId="3988"/>
    <cellStyle name="Normal 5 8 2 2" xfId="10029"/>
    <cellStyle name="Normal 5 8 2 2 2" xfId="27076"/>
    <cellStyle name="Normal 5 8 2 2 2 2" xfId="55937"/>
    <cellStyle name="Normal 5 8 2 2 3" xfId="38890"/>
    <cellStyle name="Normal 5 8 2 3" xfId="21098"/>
    <cellStyle name="Normal 5 8 2 3 2" xfId="49959"/>
    <cellStyle name="Normal 5 8 2 4" xfId="32849"/>
    <cellStyle name="Normal 5 8 3" xfId="7143"/>
    <cellStyle name="Normal 5 8 3 2" xfId="24190"/>
    <cellStyle name="Normal 5 8 3 2 2" xfId="53051"/>
    <cellStyle name="Normal 5 8 3 3" xfId="36004"/>
    <cellStyle name="Normal 5 8 4" xfId="13625"/>
    <cellStyle name="Normal 5 8 4 2" xfId="18418"/>
    <cellStyle name="Normal 5 8 4 2 2" xfId="47279"/>
    <cellStyle name="Normal 5 8 4 3" xfId="42486"/>
    <cellStyle name="Normal 5 8 5" xfId="15738"/>
    <cellStyle name="Normal 5 8 5 2" xfId="44599"/>
    <cellStyle name="Normal 5 8 6" xfId="29963"/>
    <cellStyle name="Normal 5 9" xfId="1307"/>
    <cellStyle name="Normal 5 9 2" xfId="4194"/>
    <cellStyle name="Normal 5 9 2 2" xfId="10235"/>
    <cellStyle name="Normal 5 9 2 2 2" xfId="27282"/>
    <cellStyle name="Normal 5 9 2 2 2 2" xfId="56143"/>
    <cellStyle name="Normal 5 9 2 2 3" xfId="39096"/>
    <cellStyle name="Normal 5 9 2 3" xfId="21304"/>
    <cellStyle name="Normal 5 9 2 3 2" xfId="50165"/>
    <cellStyle name="Normal 5 9 2 4" xfId="33055"/>
    <cellStyle name="Normal 5 9 3" xfId="7349"/>
    <cellStyle name="Normal 5 9 3 2" xfId="24396"/>
    <cellStyle name="Normal 5 9 3 2 2" xfId="53257"/>
    <cellStyle name="Normal 5 9 3 3" xfId="36210"/>
    <cellStyle name="Normal 5 9 4" xfId="12520"/>
    <cellStyle name="Normal 5 9 4 2" xfId="18624"/>
    <cellStyle name="Normal 5 9 4 2 2" xfId="47485"/>
    <cellStyle name="Normal 5 9 4 3" xfId="41381"/>
    <cellStyle name="Normal 5 9 5" xfId="15944"/>
    <cellStyle name="Normal 5 9 5 2" xfId="44805"/>
    <cellStyle name="Normal 5 9 6" xfId="30169"/>
    <cellStyle name="Normal 6" xfId="41"/>
    <cellStyle name="Normal 7" xfId="42"/>
    <cellStyle name="Normal 7 10" xfId="1720"/>
    <cellStyle name="Normal 7 10 2" xfId="4607"/>
    <cellStyle name="Normal 7 10 2 2" xfId="10648"/>
    <cellStyle name="Normal 7 10 2 2 2" xfId="27695"/>
    <cellStyle name="Normal 7 10 2 2 2 2" xfId="56556"/>
    <cellStyle name="Normal 7 10 2 2 3" xfId="39509"/>
    <cellStyle name="Normal 7 10 2 3" xfId="21717"/>
    <cellStyle name="Normal 7 10 2 3 2" xfId="50578"/>
    <cellStyle name="Normal 7 10 2 4" xfId="33468"/>
    <cellStyle name="Normal 7 10 3" xfId="7762"/>
    <cellStyle name="Normal 7 10 3 2" xfId="24809"/>
    <cellStyle name="Normal 7 10 3 2 2" xfId="53670"/>
    <cellStyle name="Normal 7 10 3 3" xfId="36623"/>
    <cellStyle name="Normal 7 10 4" xfId="12350"/>
    <cellStyle name="Normal 7 10 4 2" xfId="19037"/>
    <cellStyle name="Normal 7 10 4 2 2" xfId="47898"/>
    <cellStyle name="Normal 7 10 4 3" xfId="41211"/>
    <cellStyle name="Normal 7 10 5" xfId="16357"/>
    <cellStyle name="Normal 7 10 5 2" xfId="45218"/>
    <cellStyle name="Normal 7 10 6" xfId="30582"/>
    <cellStyle name="Normal 7 11" xfId="1926"/>
    <cellStyle name="Normal 7 11 2" xfId="4813"/>
    <cellStyle name="Normal 7 11 2 2" xfId="10854"/>
    <cellStyle name="Normal 7 11 2 2 2" xfId="27901"/>
    <cellStyle name="Normal 7 11 2 2 2 2" xfId="56762"/>
    <cellStyle name="Normal 7 11 2 2 3" xfId="39715"/>
    <cellStyle name="Normal 7 11 2 3" xfId="21923"/>
    <cellStyle name="Normal 7 11 2 3 2" xfId="50784"/>
    <cellStyle name="Normal 7 11 2 4" xfId="33674"/>
    <cellStyle name="Normal 7 11 3" xfId="7968"/>
    <cellStyle name="Normal 7 11 3 2" xfId="25015"/>
    <cellStyle name="Normal 7 11 3 2 2" xfId="53876"/>
    <cellStyle name="Normal 7 11 3 3" xfId="36829"/>
    <cellStyle name="Normal 7 11 4" xfId="12371"/>
    <cellStyle name="Normal 7 11 4 2" xfId="19243"/>
    <cellStyle name="Normal 7 11 4 2 2" xfId="48104"/>
    <cellStyle name="Normal 7 11 4 3" xfId="41232"/>
    <cellStyle name="Normal 7 11 5" xfId="16563"/>
    <cellStyle name="Normal 7 11 5 2" xfId="45424"/>
    <cellStyle name="Normal 7 11 6" xfId="30788"/>
    <cellStyle name="Normal 7 12" xfId="2338"/>
    <cellStyle name="Normal 7 12 2" xfId="5225"/>
    <cellStyle name="Normal 7 12 2 2" xfId="11266"/>
    <cellStyle name="Normal 7 12 2 2 2" xfId="28313"/>
    <cellStyle name="Normal 7 12 2 2 2 2" xfId="57174"/>
    <cellStyle name="Normal 7 12 2 2 3" xfId="40127"/>
    <cellStyle name="Normal 7 12 2 3" xfId="22335"/>
    <cellStyle name="Normal 7 12 2 3 2" xfId="51196"/>
    <cellStyle name="Normal 7 12 2 4" xfId="34086"/>
    <cellStyle name="Normal 7 12 3" xfId="8380"/>
    <cellStyle name="Normal 7 12 3 2" xfId="25427"/>
    <cellStyle name="Normal 7 12 3 2 2" xfId="54288"/>
    <cellStyle name="Normal 7 12 3 3" xfId="37241"/>
    <cellStyle name="Normal 7 12 4" xfId="13802"/>
    <cellStyle name="Normal 7 12 4 2" xfId="19655"/>
    <cellStyle name="Normal 7 12 4 2 2" xfId="48516"/>
    <cellStyle name="Normal 7 12 4 3" xfId="42663"/>
    <cellStyle name="Normal 7 12 5" xfId="16975"/>
    <cellStyle name="Normal 7 12 5 2" xfId="45836"/>
    <cellStyle name="Normal 7 12 6" xfId="31200"/>
    <cellStyle name="Normal 7 13" xfId="2547"/>
    <cellStyle name="Normal 7 13 2" xfId="5433"/>
    <cellStyle name="Normal 7 13 2 2" xfId="11474"/>
    <cellStyle name="Normal 7 13 2 2 2" xfId="28521"/>
    <cellStyle name="Normal 7 13 2 2 2 2" xfId="57382"/>
    <cellStyle name="Normal 7 13 2 2 3" xfId="40335"/>
    <cellStyle name="Normal 7 13 2 3" xfId="22543"/>
    <cellStyle name="Normal 7 13 2 3 2" xfId="51404"/>
    <cellStyle name="Normal 7 13 2 4" xfId="34294"/>
    <cellStyle name="Normal 7 13 3" xfId="8588"/>
    <cellStyle name="Normal 7 13 3 2" xfId="25635"/>
    <cellStyle name="Normal 7 13 3 2 2" xfId="54496"/>
    <cellStyle name="Normal 7 13 3 3" xfId="37449"/>
    <cellStyle name="Normal 7 13 4" xfId="14469"/>
    <cellStyle name="Normal 7 13 4 2" xfId="19863"/>
    <cellStyle name="Normal 7 13 4 2 2" xfId="48724"/>
    <cellStyle name="Normal 7 13 4 3" xfId="43330"/>
    <cellStyle name="Normal 7 13 5" xfId="17183"/>
    <cellStyle name="Normal 7 13 5 2" xfId="46044"/>
    <cellStyle name="Normal 7 13 6" xfId="31408"/>
    <cellStyle name="Normal 7 14" xfId="2959"/>
    <cellStyle name="Normal 7 14 2" xfId="9000"/>
    <cellStyle name="Normal 7 14 2 2" xfId="26047"/>
    <cellStyle name="Normal 7 14 2 2 2" xfId="54908"/>
    <cellStyle name="Normal 7 14 2 3" xfId="37861"/>
    <cellStyle name="Normal 7 14 3" xfId="12095"/>
    <cellStyle name="Normal 7 14 3 2" xfId="20069"/>
    <cellStyle name="Normal 7 14 3 2 2" xfId="48930"/>
    <cellStyle name="Normal 7 14 3 3" xfId="40956"/>
    <cellStyle name="Normal 7 14 4" xfId="14709"/>
    <cellStyle name="Normal 7 14 4 2" xfId="43570"/>
    <cellStyle name="Normal 7 14 5" xfId="31820"/>
    <cellStyle name="Normal 7 15" xfId="2753"/>
    <cellStyle name="Normal 7 15 2" xfId="8794"/>
    <cellStyle name="Normal 7 15 2 2" xfId="25841"/>
    <cellStyle name="Normal 7 15 2 2 2" xfId="54702"/>
    <cellStyle name="Normal 7 15 2 3" xfId="37655"/>
    <cellStyle name="Normal 7 15 3" xfId="17389"/>
    <cellStyle name="Normal 7 15 3 2" xfId="46250"/>
    <cellStyle name="Normal 7 15 4" xfId="31614"/>
    <cellStyle name="Normal 7 16" xfId="5639"/>
    <cellStyle name="Normal 7 16 2" xfId="11680"/>
    <cellStyle name="Normal 7 16 2 2" xfId="28727"/>
    <cellStyle name="Normal 7 16 2 2 2" xfId="57588"/>
    <cellStyle name="Normal 7 16 2 3" xfId="40541"/>
    <cellStyle name="Normal 7 16 3" xfId="22749"/>
    <cellStyle name="Normal 7 16 3 2" xfId="51610"/>
    <cellStyle name="Normal 7 16 4" xfId="34500"/>
    <cellStyle name="Normal 7 17" xfId="5850"/>
    <cellStyle name="Normal 7 17 2" xfId="22955"/>
    <cellStyle name="Normal 7 17 2 2" xfId="51816"/>
    <cellStyle name="Normal 7 17 3" xfId="34711"/>
    <cellStyle name="Normal 7 18" xfId="6114"/>
    <cellStyle name="Normal 7 18 2" xfId="23161"/>
    <cellStyle name="Normal 7 18 2 2" xfId="52022"/>
    <cellStyle name="Normal 7 18 3" xfId="34975"/>
    <cellStyle name="Normal 7 19" xfId="14503"/>
    <cellStyle name="Normal 7 19 2" xfId="43364"/>
    <cellStyle name="Normal 7 2" xfId="278"/>
    <cellStyle name="Normal 7 2 10" xfId="2441"/>
    <cellStyle name="Normal 7 2 10 2" xfId="5328"/>
    <cellStyle name="Normal 7 2 10 2 2" xfId="11369"/>
    <cellStyle name="Normal 7 2 10 2 2 2" xfId="28416"/>
    <cellStyle name="Normal 7 2 10 2 2 2 2" xfId="57277"/>
    <cellStyle name="Normal 7 2 10 2 2 3" xfId="40230"/>
    <cellStyle name="Normal 7 2 10 2 3" xfId="22438"/>
    <cellStyle name="Normal 7 2 10 2 3 2" xfId="51299"/>
    <cellStyle name="Normal 7 2 10 2 4" xfId="34189"/>
    <cellStyle name="Normal 7 2 10 3" xfId="8483"/>
    <cellStyle name="Normal 7 2 10 3 2" xfId="25530"/>
    <cellStyle name="Normal 7 2 10 3 2 2" xfId="54391"/>
    <cellStyle name="Normal 7 2 10 3 3" xfId="37344"/>
    <cellStyle name="Normal 7 2 10 4" xfId="13832"/>
    <cellStyle name="Normal 7 2 10 4 2" xfId="19758"/>
    <cellStyle name="Normal 7 2 10 4 2 2" xfId="48619"/>
    <cellStyle name="Normal 7 2 10 4 3" xfId="42693"/>
    <cellStyle name="Normal 7 2 10 5" xfId="17078"/>
    <cellStyle name="Normal 7 2 10 5 2" xfId="45939"/>
    <cellStyle name="Normal 7 2 10 6" xfId="31303"/>
    <cellStyle name="Normal 7 2 11" xfId="2650"/>
    <cellStyle name="Normal 7 2 11 2" xfId="5536"/>
    <cellStyle name="Normal 7 2 11 2 2" xfId="11577"/>
    <cellStyle name="Normal 7 2 11 2 2 2" xfId="28624"/>
    <cellStyle name="Normal 7 2 11 2 2 2 2" xfId="57485"/>
    <cellStyle name="Normal 7 2 11 2 2 3" xfId="40438"/>
    <cellStyle name="Normal 7 2 11 2 3" xfId="22646"/>
    <cellStyle name="Normal 7 2 11 2 3 2" xfId="51507"/>
    <cellStyle name="Normal 7 2 11 2 4" xfId="34397"/>
    <cellStyle name="Normal 7 2 11 3" xfId="8691"/>
    <cellStyle name="Normal 7 2 11 3 2" xfId="25738"/>
    <cellStyle name="Normal 7 2 11 3 2 2" xfId="54599"/>
    <cellStyle name="Normal 7 2 11 3 3" xfId="37552"/>
    <cellStyle name="Normal 7 2 11 4" xfId="13773"/>
    <cellStyle name="Normal 7 2 11 4 2" xfId="19966"/>
    <cellStyle name="Normal 7 2 11 4 2 2" xfId="48827"/>
    <cellStyle name="Normal 7 2 11 4 3" xfId="42634"/>
    <cellStyle name="Normal 7 2 11 5" xfId="17286"/>
    <cellStyle name="Normal 7 2 11 5 2" xfId="46147"/>
    <cellStyle name="Normal 7 2 11 6" xfId="31511"/>
    <cellStyle name="Normal 7 2 12" xfId="3165"/>
    <cellStyle name="Normal 7 2 12 2" xfId="9206"/>
    <cellStyle name="Normal 7 2 12 2 2" xfId="26253"/>
    <cellStyle name="Normal 7 2 12 2 2 2" xfId="55114"/>
    <cellStyle name="Normal 7 2 12 2 3" xfId="38067"/>
    <cellStyle name="Normal 7 2 12 3" xfId="14003"/>
    <cellStyle name="Normal 7 2 12 3 2" xfId="20275"/>
    <cellStyle name="Normal 7 2 12 3 2 2" xfId="49136"/>
    <cellStyle name="Normal 7 2 12 3 3" xfId="42864"/>
    <cellStyle name="Normal 7 2 12 4" xfId="14915"/>
    <cellStyle name="Normal 7 2 12 4 2" xfId="43776"/>
    <cellStyle name="Normal 7 2 12 5" xfId="32026"/>
    <cellStyle name="Normal 7 2 13" xfId="2856"/>
    <cellStyle name="Normal 7 2 13 2" xfId="8897"/>
    <cellStyle name="Normal 7 2 13 2 2" xfId="25944"/>
    <cellStyle name="Normal 7 2 13 2 2 2" xfId="54805"/>
    <cellStyle name="Normal 7 2 13 2 3" xfId="37758"/>
    <cellStyle name="Normal 7 2 13 3" xfId="17492"/>
    <cellStyle name="Normal 7 2 13 3 2" xfId="46353"/>
    <cellStyle name="Normal 7 2 13 4" xfId="31717"/>
    <cellStyle name="Normal 7 2 14" xfId="5742"/>
    <cellStyle name="Normal 7 2 14 2" xfId="11783"/>
    <cellStyle name="Normal 7 2 14 2 2" xfId="28830"/>
    <cellStyle name="Normal 7 2 14 2 2 2" xfId="57691"/>
    <cellStyle name="Normal 7 2 14 2 3" xfId="40644"/>
    <cellStyle name="Normal 7 2 14 3" xfId="22852"/>
    <cellStyle name="Normal 7 2 14 3 2" xfId="51713"/>
    <cellStyle name="Normal 7 2 14 4" xfId="34603"/>
    <cellStyle name="Normal 7 2 15" xfId="5959"/>
    <cellStyle name="Normal 7 2 15 2" xfId="23058"/>
    <cellStyle name="Normal 7 2 15 2 2" xfId="51919"/>
    <cellStyle name="Normal 7 2 15 3" xfId="34820"/>
    <cellStyle name="Normal 7 2 16" xfId="6320"/>
    <cellStyle name="Normal 7 2 16 2" xfId="23367"/>
    <cellStyle name="Normal 7 2 16 2 2" xfId="52228"/>
    <cellStyle name="Normal 7 2 16 3" xfId="35181"/>
    <cellStyle name="Normal 7 2 17" xfId="14606"/>
    <cellStyle name="Normal 7 2 17 2" xfId="43467"/>
    <cellStyle name="Normal 7 2 18" xfId="29140"/>
    <cellStyle name="Normal 7 2 2" xfId="484"/>
    <cellStyle name="Normal 7 2 2 2" xfId="2235"/>
    <cellStyle name="Normal 7 2 2 2 2" xfId="5122"/>
    <cellStyle name="Normal 7 2 2 2 2 2" xfId="11163"/>
    <cellStyle name="Normal 7 2 2 2 2 2 2" xfId="28210"/>
    <cellStyle name="Normal 7 2 2 2 2 2 2 2" xfId="57071"/>
    <cellStyle name="Normal 7 2 2 2 2 2 3" xfId="40024"/>
    <cellStyle name="Normal 7 2 2 2 2 3" xfId="22232"/>
    <cellStyle name="Normal 7 2 2 2 2 3 2" xfId="51093"/>
    <cellStyle name="Normal 7 2 2 2 2 4" xfId="33983"/>
    <cellStyle name="Normal 7 2 2 2 3" xfId="8277"/>
    <cellStyle name="Normal 7 2 2 2 3 2" xfId="25324"/>
    <cellStyle name="Normal 7 2 2 2 3 2 2" xfId="54185"/>
    <cellStyle name="Normal 7 2 2 2 3 3" xfId="37138"/>
    <cellStyle name="Normal 7 2 2 2 4" xfId="13951"/>
    <cellStyle name="Normal 7 2 2 2 4 2" xfId="19552"/>
    <cellStyle name="Normal 7 2 2 2 4 2 2" xfId="48413"/>
    <cellStyle name="Normal 7 2 2 2 4 3" xfId="42812"/>
    <cellStyle name="Normal 7 2 2 2 5" xfId="16872"/>
    <cellStyle name="Normal 7 2 2 2 5 2" xfId="45733"/>
    <cellStyle name="Normal 7 2 2 2 6" xfId="31097"/>
    <cellStyle name="Normal 7 2 2 3" xfId="3371"/>
    <cellStyle name="Normal 7 2 2 3 2" xfId="9412"/>
    <cellStyle name="Normal 7 2 2 3 2 2" xfId="26459"/>
    <cellStyle name="Normal 7 2 2 3 2 2 2" xfId="55320"/>
    <cellStyle name="Normal 7 2 2 3 2 3" xfId="38273"/>
    <cellStyle name="Normal 7 2 2 3 3" xfId="20481"/>
    <cellStyle name="Normal 7 2 2 3 3 2" xfId="49342"/>
    <cellStyle name="Normal 7 2 2 3 4" xfId="32232"/>
    <cellStyle name="Normal 7 2 2 4" xfId="6526"/>
    <cellStyle name="Normal 7 2 2 4 2" xfId="23573"/>
    <cellStyle name="Normal 7 2 2 4 2 2" xfId="52434"/>
    <cellStyle name="Normal 7 2 2 4 3" xfId="35387"/>
    <cellStyle name="Normal 7 2 2 5" xfId="12982"/>
    <cellStyle name="Normal 7 2 2 5 2" xfId="17801"/>
    <cellStyle name="Normal 7 2 2 5 2 2" xfId="46662"/>
    <cellStyle name="Normal 7 2 2 5 3" xfId="41843"/>
    <cellStyle name="Normal 7 2 2 6" xfId="15121"/>
    <cellStyle name="Normal 7 2 2 6 2" xfId="43982"/>
    <cellStyle name="Normal 7 2 2 7" xfId="29346"/>
    <cellStyle name="Normal 7 2 3" xfId="793"/>
    <cellStyle name="Normal 7 2 3 2" xfId="3680"/>
    <cellStyle name="Normal 7 2 3 2 2" xfId="9721"/>
    <cellStyle name="Normal 7 2 3 2 2 2" xfId="26768"/>
    <cellStyle name="Normal 7 2 3 2 2 2 2" xfId="55629"/>
    <cellStyle name="Normal 7 2 3 2 2 3" xfId="38582"/>
    <cellStyle name="Normal 7 2 3 2 3" xfId="20790"/>
    <cellStyle name="Normal 7 2 3 2 3 2" xfId="49651"/>
    <cellStyle name="Normal 7 2 3 2 4" xfId="32541"/>
    <cellStyle name="Normal 7 2 3 3" xfId="6835"/>
    <cellStyle name="Normal 7 2 3 3 2" xfId="23882"/>
    <cellStyle name="Normal 7 2 3 3 2 2" xfId="52743"/>
    <cellStyle name="Normal 7 2 3 3 3" xfId="35696"/>
    <cellStyle name="Normal 7 2 3 4" xfId="12717"/>
    <cellStyle name="Normal 7 2 3 4 2" xfId="18110"/>
    <cellStyle name="Normal 7 2 3 4 2 2" xfId="46971"/>
    <cellStyle name="Normal 7 2 3 4 3" xfId="41578"/>
    <cellStyle name="Normal 7 2 3 5" xfId="15430"/>
    <cellStyle name="Normal 7 2 3 5 2" xfId="44291"/>
    <cellStyle name="Normal 7 2 3 6" xfId="29655"/>
    <cellStyle name="Normal 7 2 4" xfId="999"/>
    <cellStyle name="Normal 7 2 4 2" xfId="3886"/>
    <cellStyle name="Normal 7 2 4 2 2" xfId="9927"/>
    <cellStyle name="Normal 7 2 4 2 2 2" xfId="26974"/>
    <cellStyle name="Normal 7 2 4 2 2 2 2" xfId="55835"/>
    <cellStyle name="Normal 7 2 4 2 2 3" xfId="38788"/>
    <cellStyle name="Normal 7 2 4 2 3" xfId="20996"/>
    <cellStyle name="Normal 7 2 4 2 3 2" xfId="49857"/>
    <cellStyle name="Normal 7 2 4 2 4" xfId="32747"/>
    <cellStyle name="Normal 7 2 4 3" xfId="7041"/>
    <cellStyle name="Normal 7 2 4 3 2" xfId="24088"/>
    <cellStyle name="Normal 7 2 4 3 2 2" xfId="52949"/>
    <cellStyle name="Normal 7 2 4 3 3" xfId="35902"/>
    <cellStyle name="Normal 7 2 4 4" xfId="14391"/>
    <cellStyle name="Normal 7 2 4 4 2" xfId="18316"/>
    <cellStyle name="Normal 7 2 4 4 2 2" xfId="47177"/>
    <cellStyle name="Normal 7 2 4 4 3" xfId="43252"/>
    <cellStyle name="Normal 7 2 4 5" xfId="15636"/>
    <cellStyle name="Normal 7 2 4 5 2" xfId="44497"/>
    <cellStyle name="Normal 7 2 4 6" xfId="29861"/>
    <cellStyle name="Normal 7 2 5" xfId="1205"/>
    <cellStyle name="Normal 7 2 5 2" xfId="4092"/>
    <cellStyle name="Normal 7 2 5 2 2" xfId="10133"/>
    <cellStyle name="Normal 7 2 5 2 2 2" xfId="27180"/>
    <cellStyle name="Normal 7 2 5 2 2 2 2" xfId="56041"/>
    <cellStyle name="Normal 7 2 5 2 2 3" xfId="38994"/>
    <cellStyle name="Normal 7 2 5 2 3" xfId="21202"/>
    <cellStyle name="Normal 7 2 5 2 3 2" xfId="50063"/>
    <cellStyle name="Normal 7 2 5 2 4" xfId="32953"/>
    <cellStyle name="Normal 7 2 5 3" xfId="7247"/>
    <cellStyle name="Normal 7 2 5 3 2" xfId="24294"/>
    <cellStyle name="Normal 7 2 5 3 2 2" xfId="53155"/>
    <cellStyle name="Normal 7 2 5 3 3" xfId="36108"/>
    <cellStyle name="Normal 7 2 5 4" xfId="12435"/>
    <cellStyle name="Normal 7 2 5 4 2" xfId="18522"/>
    <cellStyle name="Normal 7 2 5 4 2 2" xfId="47383"/>
    <cellStyle name="Normal 7 2 5 4 3" xfId="41296"/>
    <cellStyle name="Normal 7 2 5 5" xfId="15842"/>
    <cellStyle name="Normal 7 2 5 5 2" xfId="44703"/>
    <cellStyle name="Normal 7 2 5 6" xfId="30067"/>
    <cellStyle name="Normal 7 2 6" xfId="1411"/>
    <cellStyle name="Normal 7 2 6 2" xfId="4298"/>
    <cellStyle name="Normal 7 2 6 2 2" xfId="10339"/>
    <cellStyle name="Normal 7 2 6 2 2 2" xfId="27386"/>
    <cellStyle name="Normal 7 2 6 2 2 2 2" xfId="56247"/>
    <cellStyle name="Normal 7 2 6 2 2 3" xfId="39200"/>
    <cellStyle name="Normal 7 2 6 2 3" xfId="21408"/>
    <cellStyle name="Normal 7 2 6 2 3 2" xfId="50269"/>
    <cellStyle name="Normal 7 2 6 2 4" xfId="33159"/>
    <cellStyle name="Normal 7 2 6 3" xfId="7453"/>
    <cellStyle name="Normal 7 2 6 3 2" xfId="24500"/>
    <cellStyle name="Normal 7 2 6 3 2 2" xfId="53361"/>
    <cellStyle name="Normal 7 2 6 3 3" xfId="36314"/>
    <cellStyle name="Normal 7 2 6 4" xfId="12391"/>
    <cellStyle name="Normal 7 2 6 4 2" xfId="18728"/>
    <cellStyle name="Normal 7 2 6 4 2 2" xfId="47589"/>
    <cellStyle name="Normal 7 2 6 4 3" xfId="41252"/>
    <cellStyle name="Normal 7 2 6 5" xfId="16048"/>
    <cellStyle name="Normal 7 2 6 5 2" xfId="44909"/>
    <cellStyle name="Normal 7 2 6 6" xfId="30273"/>
    <cellStyle name="Normal 7 2 7" xfId="1617"/>
    <cellStyle name="Normal 7 2 7 2" xfId="4504"/>
    <cellStyle name="Normal 7 2 7 2 2" xfId="10545"/>
    <cellStyle name="Normal 7 2 7 2 2 2" xfId="27592"/>
    <cellStyle name="Normal 7 2 7 2 2 2 2" xfId="56453"/>
    <cellStyle name="Normal 7 2 7 2 2 3" xfId="39406"/>
    <cellStyle name="Normal 7 2 7 2 3" xfId="21614"/>
    <cellStyle name="Normal 7 2 7 2 3 2" xfId="50475"/>
    <cellStyle name="Normal 7 2 7 2 4" xfId="33365"/>
    <cellStyle name="Normal 7 2 7 3" xfId="7659"/>
    <cellStyle name="Normal 7 2 7 3 2" xfId="24706"/>
    <cellStyle name="Normal 7 2 7 3 2 2" xfId="53567"/>
    <cellStyle name="Normal 7 2 7 3 3" xfId="36520"/>
    <cellStyle name="Normal 7 2 7 4" xfId="14186"/>
    <cellStyle name="Normal 7 2 7 4 2" xfId="18934"/>
    <cellStyle name="Normal 7 2 7 4 2 2" xfId="47795"/>
    <cellStyle name="Normal 7 2 7 4 3" xfId="43047"/>
    <cellStyle name="Normal 7 2 7 5" xfId="16254"/>
    <cellStyle name="Normal 7 2 7 5 2" xfId="45115"/>
    <cellStyle name="Normal 7 2 7 6" xfId="30479"/>
    <cellStyle name="Normal 7 2 8" xfId="1823"/>
    <cellStyle name="Normal 7 2 8 2" xfId="4710"/>
    <cellStyle name="Normal 7 2 8 2 2" xfId="10751"/>
    <cellStyle name="Normal 7 2 8 2 2 2" xfId="27798"/>
    <cellStyle name="Normal 7 2 8 2 2 2 2" xfId="56659"/>
    <cellStyle name="Normal 7 2 8 2 2 3" xfId="39612"/>
    <cellStyle name="Normal 7 2 8 2 3" xfId="21820"/>
    <cellStyle name="Normal 7 2 8 2 3 2" xfId="50681"/>
    <cellStyle name="Normal 7 2 8 2 4" xfId="33571"/>
    <cellStyle name="Normal 7 2 8 3" xfId="7865"/>
    <cellStyle name="Normal 7 2 8 3 2" xfId="24912"/>
    <cellStyle name="Normal 7 2 8 3 2 2" xfId="53773"/>
    <cellStyle name="Normal 7 2 8 3 3" xfId="36726"/>
    <cellStyle name="Normal 7 2 8 4" xfId="13305"/>
    <cellStyle name="Normal 7 2 8 4 2" xfId="19140"/>
    <cellStyle name="Normal 7 2 8 4 2 2" xfId="48001"/>
    <cellStyle name="Normal 7 2 8 4 3" xfId="42166"/>
    <cellStyle name="Normal 7 2 8 5" xfId="16460"/>
    <cellStyle name="Normal 7 2 8 5 2" xfId="45321"/>
    <cellStyle name="Normal 7 2 8 6" xfId="30685"/>
    <cellStyle name="Normal 7 2 9" xfId="2029"/>
    <cellStyle name="Normal 7 2 9 2" xfId="4916"/>
    <cellStyle name="Normal 7 2 9 2 2" xfId="10957"/>
    <cellStyle name="Normal 7 2 9 2 2 2" xfId="28004"/>
    <cellStyle name="Normal 7 2 9 2 2 2 2" xfId="56865"/>
    <cellStyle name="Normal 7 2 9 2 2 3" xfId="39818"/>
    <cellStyle name="Normal 7 2 9 2 3" xfId="22026"/>
    <cellStyle name="Normal 7 2 9 2 3 2" xfId="50887"/>
    <cellStyle name="Normal 7 2 9 2 4" xfId="33777"/>
    <cellStyle name="Normal 7 2 9 3" xfId="8071"/>
    <cellStyle name="Normal 7 2 9 3 2" xfId="25118"/>
    <cellStyle name="Normal 7 2 9 3 2 2" xfId="53979"/>
    <cellStyle name="Normal 7 2 9 3 3" xfId="36932"/>
    <cellStyle name="Normal 7 2 9 4" xfId="12288"/>
    <cellStyle name="Normal 7 2 9 4 2" xfId="19346"/>
    <cellStyle name="Normal 7 2 9 4 2 2" xfId="48207"/>
    <cellStyle name="Normal 7 2 9 4 3" xfId="41149"/>
    <cellStyle name="Normal 7 2 9 5" xfId="16666"/>
    <cellStyle name="Normal 7 2 9 5 2" xfId="45527"/>
    <cellStyle name="Normal 7 2 9 6" xfId="30891"/>
    <cellStyle name="Normal 7 20" xfId="28934"/>
    <cellStyle name="Normal 7 3" xfId="175"/>
    <cellStyle name="Normal 7 3 2" xfId="587"/>
    <cellStyle name="Normal 7 3 2 2" xfId="3474"/>
    <cellStyle name="Normal 7 3 2 2 2" xfId="9515"/>
    <cellStyle name="Normal 7 3 2 2 2 2" xfId="26562"/>
    <cellStyle name="Normal 7 3 2 2 2 2 2" xfId="55423"/>
    <cellStyle name="Normal 7 3 2 2 2 3" xfId="38376"/>
    <cellStyle name="Normal 7 3 2 2 3" xfId="20584"/>
    <cellStyle name="Normal 7 3 2 2 3 2" xfId="49445"/>
    <cellStyle name="Normal 7 3 2 2 4" xfId="32335"/>
    <cellStyle name="Normal 7 3 2 3" xfId="6629"/>
    <cellStyle name="Normal 7 3 2 3 2" xfId="23676"/>
    <cellStyle name="Normal 7 3 2 3 2 2" xfId="52537"/>
    <cellStyle name="Normal 7 3 2 3 3" xfId="35490"/>
    <cellStyle name="Normal 7 3 2 4" xfId="13059"/>
    <cellStyle name="Normal 7 3 2 4 2" xfId="17904"/>
    <cellStyle name="Normal 7 3 2 4 2 2" xfId="46765"/>
    <cellStyle name="Normal 7 3 2 4 3" xfId="41920"/>
    <cellStyle name="Normal 7 3 2 5" xfId="15224"/>
    <cellStyle name="Normal 7 3 2 5 2" xfId="44085"/>
    <cellStyle name="Normal 7 3 2 6" xfId="29449"/>
    <cellStyle name="Normal 7 3 3" xfId="2132"/>
    <cellStyle name="Normal 7 3 3 2" xfId="5019"/>
    <cellStyle name="Normal 7 3 3 2 2" xfId="11060"/>
    <cellStyle name="Normal 7 3 3 2 2 2" xfId="28107"/>
    <cellStyle name="Normal 7 3 3 2 2 2 2" xfId="56968"/>
    <cellStyle name="Normal 7 3 3 2 2 3" xfId="39921"/>
    <cellStyle name="Normal 7 3 3 2 3" xfId="22129"/>
    <cellStyle name="Normal 7 3 3 2 3 2" xfId="50990"/>
    <cellStyle name="Normal 7 3 3 2 4" xfId="33880"/>
    <cellStyle name="Normal 7 3 3 3" xfId="8174"/>
    <cellStyle name="Normal 7 3 3 3 2" xfId="25221"/>
    <cellStyle name="Normal 7 3 3 3 2 2" xfId="54082"/>
    <cellStyle name="Normal 7 3 3 3 3" xfId="37035"/>
    <cellStyle name="Normal 7 3 3 4" xfId="13287"/>
    <cellStyle name="Normal 7 3 3 4 2" xfId="19449"/>
    <cellStyle name="Normal 7 3 3 4 2 2" xfId="48310"/>
    <cellStyle name="Normal 7 3 3 4 3" xfId="42148"/>
    <cellStyle name="Normal 7 3 3 5" xfId="16769"/>
    <cellStyle name="Normal 7 3 3 5 2" xfId="45630"/>
    <cellStyle name="Normal 7 3 3 6" xfId="30994"/>
    <cellStyle name="Normal 7 3 4" xfId="3062"/>
    <cellStyle name="Normal 7 3 4 2" xfId="9103"/>
    <cellStyle name="Normal 7 3 4 2 2" xfId="26150"/>
    <cellStyle name="Normal 7 3 4 2 2 2" xfId="55011"/>
    <cellStyle name="Normal 7 3 4 2 3" xfId="37964"/>
    <cellStyle name="Normal 7 3 4 3" xfId="20172"/>
    <cellStyle name="Normal 7 3 4 3 2" xfId="49033"/>
    <cellStyle name="Normal 7 3 4 4" xfId="31923"/>
    <cellStyle name="Normal 7 3 5" xfId="6217"/>
    <cellStyle name="Normal 7 3 5 2" xfId="23264"/>
    <cellStyle name="Normal 7 3 5 2 2" xfId="52125"/>
    <cellStyle name="Normal 7 3 5 3" xfId="35078"/>
    <cellStyle name="Normal 7 3 6" xfId="14288"/>
    <cellStyle name="Normal 7 3 6 2" xfId="17595"/>
    <cellStyle name="Normal 7 3 6 2 2" xfId="46456"/>
    <cellStyle name="Normal 7 3 6 3" xfId="43149"/>
    <cellStyle name="Normal 7 3 7" xfId="14812"/>
    <cellStyle name="Normal 7 3 7 2" xfId="43673"/>
    <cellStyle name="Normal 7 3 8" xfId="29037"/>
    <cellStyle name="Normal 7 4" xfId="381"/>
    <cellStyle name="Normal 7 4 2" xfId="3268"/>
    <cellStyle name="Normal 7 4 2 2" xfId="9309"/>
    <cellStyle name="Normal 7 4 2 2 2" xfId="26356"/>
    <cellStyle name="Normal 7 4 2 2 2 2" xfId="55217"/>
    <cellStyle name="Normal 7 4 2 2 3" xfId="38170"/>
    <cellStyle name="Normal 7 4 2 3" xfId="20378"/>
    <cellStyle name="Normal 7 4 2 3 2" xfId="49239"/>
    <cellStyle name="Normal 7 4 2 4" xfId="32129"/>
    <cellStyle name="Normal 7 4 3" xfId="6423"/>
    <cellStyle name="Normal 7 4 3 2" xfId="23470"/>
    <cellStyle name="Normal 7 4 3 2 2" xfId="52331"/>
    <cellStyle name="Normal 7 4 3 3" xfId="35284"/>
    <cellStyle name="Normal 7 4 4" xfId="14217"/>
    <cellStyle name="Normal 7 4 4 2" xfId="17698"/>
    <cellStyle name="Normal 7 4 4 2 2" xfId="46559"/>
    <cellStyle name="Normal 7 4 4 3" xfId="43078"/>
    <cellStyle name="Normal 7 4 5" xfId="15018"/>
    <cellStyle name="Normal 7 4 5 2" xfId="43879"/>
    <cellStyle name="Normal 7 4 6" xfId="29243"/>
    <cellStyle name="Normal 7 5" xfId="690"/>
    <cellStyle name="Normal 7 5 2" xfId="3577"/>
    <cellStyle name="Normal 7 5 2 2" xfId="9618"/>
    <cellStyle name="Normal 7 5 2 2 2" xfId="26665"/>
    <cellStyle name="Normal 7 5 2 2 2 2" xfId="55526"/>
    <cellStyle name="Normal 7 5 2 2 3" xfId="38479"/>
    <cellStyle name="Normal 7 5 2 3" xfId="20687"/>
    <cellStyle name="Normal 7 5 2 3 2" xfId="49548"/>
    <cellStyle name="Normal 7 5 2 4" xfId="32438"/>
    <cellStyle name="Normal 7 5 3" xfId="6732"/>
    <cellStyle name="Normal 7 5 3 2" xfId="23779"/>
    <cellStyle name="Normal 7 5 3 2 2" xfId="52640"/>
    <cellStyle name="Normal 7 5 3 3" xfId="35593"/>
    <cellStyle name="Normal 7 5 4" xfId="13723"/>
    <cellStyle name="Normal 7 5 4 2" xfId="18007"/>
    <cellStyle name="Normal 7 5 4 2 2" xfId="46868"/>
    <cellStyle name="Normal 7 5 4 3" xfId="42584"/>
    <cellStyle name="Normal 7 5 5" xfId="15327"/>
    <cellStyle name="Normal 7 5 5 2" xfId="44188"/>
    <cellStyle name="Normal 7 5 6" xfId="29552"/>
    <cellStyle name="Normal 7 6" xfId="896"/>
    <cellStyle name="Normal 7 6 2" xfId="3783"/>
    <cellStyle name="Normal 7 6 2 2" xfId="9824"/>
    <cellStyle name="Normal 7 6 2 2 2" xfId="26871"/>
    <cellStyle name="Normal 7 6 2 2 2 2" xfId="55732"/>
    <cellStyle name="Normal 7 6 2 2 3" xfId="38685"/>
    <cellStyle name="Normal 7 6 2 3" xfId="20893"/>
    <cellStyle name="Normal 7 6 2 3 2" xfId="49754"/>
    <cellStyle name="Normal 7 6 2 4" xfId="32644"/>
    <cellStyle name="Normal 7 6 3" xfId="6938"/>
    <cellStyle name="Normal 7 6 3 2" xfId="23985"/>
    <cellStyle name="Normal 7 6 3 2 2" xfId="52846"/>
    <cellStyle name="Normal 7 6 3 3" xfId="35799"/>
    <cellStyle name="Normal 7 6 4" xfId="11920"/>
    <cellStyle name="Normal 7 6 4 2" xfId="18213"/>
    <cellStyle name="Normal 7 6 4 2 2" xfId="47074"/>
    <cellStyle name="Normal 7 6 4 3" xfId="40781"/>
    <cellStyle name="Normal 7 6 5" xfId="15533"/>
    <cellStyle name="Normal 7 6 5 2" xfId="44394"/>
    <cellStyle name="Normal 7 6 6" xfId="29758"/>
    <cellStyle name="Normal 7 7" xfId="1102"/>
    <cellStyle name="Normal 7 7 2" xfId="3989"/>
    <cellStyle name="Normal 7 7 2 2" xfId="10030"/>
    <cellStyle name="Normal 7 7 2 2 2" xfId="27077"/>
    <cellStyle name="Normal 7 7 2 2 2 2" xfId="55938"/>
    <cellStyle name="Normal 7 7 2 2 3" xfId="38891"/>
    <cellStyle name="Normal 7 7 2 3" xfId="21099"/>
    <cellStyle name="Normal 7 7 2 3 2" xfId="49960"/>
    <cellStyle name="Normal 7 7 2 4" xfId="32850"/>
    <cellStyle name="Normal 7 7 3" xfId="7144"/>
    <cellStyle name="Normal 7 7 3 2" xfId="24191"/>
    <cellStyle name="Normal 7 7 3 2 2" xfId="53052"/>
    <cellStyle name="Normal 7 7 3 3" xfId="36005"/>
    <cellStyle name="Normal 7 7 4" xfId="13404"/>
    <cellStyle name="Normal 7 7 4 2" xfId="18419"/>
    <cellStyle name="Normal 7 7 4 2 2" xfId="47280"/>
    <cellStyle name="Normal 7 7 4 3" xfId="42265"/>
    <cellStyle name="Normal 7 7 5" xfId="15739"/>
    <cellStyle name="Normal 7 7 5 2" xfId="44600"/>
    <cellStyle name="Normal 7 7 6" xfId="29964"/>
    <cellStyle name="Normal 7 8" xfId="1308"/>
    <cellStyle name="Normal 7 8 2" xfId="4195"/>
    <cellStyle name="Normal 7 8 2 2" xfId="10236"/>
    <cellStyle name="Normal 7 8 2 2 2" xfId="27283"/>
    <cellStyle name="Normal 7 8 2 2 2 2" xfId="56144"/>
    <cellStyle name="Normal 7 8 2 2 3" xfId="39097"/>
    <cellStyle name="Normal 7 8 2 3" xfId="21305"/>
    <cellStyle name="Normal 7 8 2 3 2" xfId="50166"/>
    <cellStyle name="Normal 7 8 2 4" xfId="33056"/>
    <cellStyle name="Normal 7 8 3" xfId="7350"/>
    <cellStyle name="Normal 7 8 3 2" xfId="24397"/>
    <cellStyle name="Normal 7 8 3 2 2" xfId="53258"/>
    <cellStyle name="Normal 7 8 3 3" xfId="36211"/>
    <cellStyle name="Normal 7 8 4" xfId="12338"/>
    <cellStyle name="Normal 7 8 4 2" xfId="18625"/>
    <cellStyle name="Normal 7 8 4 2 2" xfId="47486"/>
    <cellStyle name="Normal 7 8 4 3" xfId="41199"/>
    <cellStyle name="Normal 7 8 5" xfId="15945"/>
    <cellStyle name="Normal 7 8 5 2" xfId="44806"/>
    <cellStyle name="Normal 7 8 6" xfId="30170"/>
    <cellStyle name="Normal 7 9" xfId="1514"/>
    <cellStyle name="Normal 7 9 2" xfId="4401"/>
    <cellStyle name="Normal 7 9 2 2" xfId="10442"/>
    <cellStyle name="Normal 7 9 2 2 2" xfId="27489"/>
    <cellStyle name="Normal 7 9 2 2 2 2" xfId="56350"/>
    <cellStyle name="Normal 7 9 2 2 3" xfId="39303"/>
    <cellStyle name="Normal 7 9 2 3" xfId="21511"/>
    <cellStyle name="Normal 7 9 2 3 2" xfId="50372"/>
    <cellStyle name="Normal 7 9 2 4" xfId="33262"/>
    <cellStyle name="Normal 7 9 3" xfId="7556"/>
    <cellStyle name="Normal 7 9 3 2" xfId="24603"/>
    <cellStyle name="Normal 7 9 3 2 2" xfId="53464"/>
    <cellStyle name="Normal 7 9 3 3" xfId="36417"/>
    <cellStyle name="Normal 7 9 4" xfId="12364"/>
    <cellStyle name="Normal 7 9 4 2" xfId="18831"/>
    <cellStyle name="Normal 7 9 4 2 2" xfId="47692"/>
    <cellStyle name="Normal 7 9 4 3" xfId="41225"/>
    <cellStyle name="Normal 7 9 5" xfId="16151"/>
    <cellStyle name="Normal 7 9 5 2" xfId="45012"/>
    <cellStyle name="Normal 7 9 6" xfId="30376"/>
    <cellStyle name="Normal 8" xfId="43"/>
    <cellStyle name="Normal 8 10" xfId="1721"/>
    <cellStyle name="Normal 8 10 2" xfId="4608"/>
    <cellStyle name="Normal 8 10 2 2" xfId="10649"/>
    <cellStyle name="Normal 8 10 2 2 2" xfId="27696"/>
    <cellStyle name="Normal 8 10 2 2 2 2" xfId="56557"/>
    <cellStyle name="Normal 8 10 2 2 3" xfId="39510"/>
    <cellStyle name="Normal 8 10 2 3" xfId="21718"/>
    <cellStyle name="Normal 8 10 2 3 2" xfId="50579"/>
    <cellStyle name="Normal 8 10 2 4" xfId="33469"/>
    <cellStyle name="Normal 8 10 3" xfId="7763"/>
    <cellStyle name="Normal 8 10 3 2" xfId="24810"/>
    <cellStyle name="Normal 8 10 3 2 2" xfId="53671"/>
    <cellStyle name="Normal 8 10 3 3" xfId="36624"/>
    <cellStyle name="Normal 8 10 4" xfId="14327"/>
    <cellStyle name="Normal 8 10 4 2" xfId="19038"/>
    <cellStyle name="Normal 8 10 4 2 2" xfId="47899"/>
    <cellStyle name="Normal 8 10 4 3" xfId="43188"/>
    <cellStyle name="Normal 8 10 5" xfId="16358"/>
    <cellStyle name="Normal 8 10 5 2" xfId="45219"/>
    <cellStyle name="Normal 8 10 6" xfId="30583"/>
    <cellStyle name="Normal 8 11" xfId="1927"/>
    <cellStyle name="Normal 8 11 2" xfId="4814"/>
    <cellStyle name="Normal 8 11 2 2" xfId="10855"/>
    <cellStyle name="Normal 8 11 2 2 2" xfId="27902"/>
    <cellStyle name="Normal 8 11 2 2 2 2" xfId="56763"/>
    <cellStyle name="Normal 8 11 2 2 3" xfId="39716"/>
    <cellStyle name="Normal 8 11 2 3" xfId="21924"/>
    <cellStyle name="Normal 8 11 2 3 2" xfId="50785"/>
    <cellStyle name="Normal 8 11 2 4" xfId="33675"/>
    <cellStyle name="Normal 8 11 3" xfId="7969"/>
    <cellStyle name="Normal 8 11 3 2" xfId="25016"/>
    <cellStyle name="Normal 8 11 3 2 2" xfId="53877"/>
    <cellStyle name="Normal 8 11 3 3" xfId="36830"/>
    <cellStyle name="Normal 8 11 4" xfId="12987"/>
    <cellStyle name="Normal 8 11 4 2" xfId="19244"/>
    <cellStyle name="Normal 8 11 4 2 2" xfId="48105"/>
    <cellStyle name="Normal 8 11 4 3" xfId="41848"/>
    <cellStyle name="Normal 8 11 5" xfId="16564"/>
    <cellStyle name="Normal 8 11 5 2" xfId="45425"/>
    <cellStyle name="Normal 8 11 6" xfId="30789"/>
    <cellStyle name="Normal 8 12" xfId="2339"/>
    <cellStyle name="Normal 8 12 2" xfId="5226"/>
    <cellStyle name="Normal 8 12 2 2" xfId="11267"/>
    <cellStyle name="Normal 8 12 2 2 2" xfId="28314"/>
    <cellStyle name="Normal 8 12 2 2 2 2" xfId="57175"/>
    <cellStyle name="Normal 8 12 2 2 3" xfId="40128"/>
    <cellStyle name="Normal 8 12 2 3" xfId="22336"/>
    <cellStyle name="Normal 8 12 2 3 2" xfId="51197"/>
    <cellStyle name="Normal 8 12 2 4" xfId="34087"/>
    <cellStyle name="Normal 8 12 3" xfId="8381"/>
    <cellStyle name="Normal 8 12 3 2" xfId="25428"/>
    <cellStyle name="Normal 8 12 3 2 2" xfId="54289"/>
    <cellStyle name="Normal 8 12 3 3" xfId="37242"/>
    <cellStyle name="Normal 8 12 4" xfId="12788"/>
    <cellStyle name="Normal 8 12 4 2" xfId="19656"/>
    <cellStyle name="Normal 8 12 4 2 2" xfId="48517"/>
    <cellStyle name="Normal 8 12 4 3" xfId="41649"/>
    <cellStyle name="Normal 8 12 5" xfId="16976"/>
    <cellStyle name="Normal 8 12 5 2" xfId="45837"/>
    <cellStyle name="Normal 8 12 6" xfId="31201"/>
    <cellStyle name="Normal 8 13" xfId="2548"/>
    <cellStyle name="Normal 8 13 2" xfId="5434"/>
    <cellStyle name="Normal 8 13 2 2" xfId="11475"/>
    <cellStyle name="Normal 8 13 2 2 2" xfId="28522"/>
    <cellStyle name="Normal 8 13 2 2 2 2" xfId="57383"/>
    <cellStyle name="Normal 8 13 2 2 3" xfId="40336"/>
    <cellStyle name="Normal 8 13 2 3" xfId="22544"/>
    <cellStyle name="Normal 8 13 2 3 2" xfId="51405"/>
    <cellStyle name="Normal 8 13 2 4" xfId="34295"/>
    <cellStyle name="Normal 8 13 3" xfId="8589"/>
    <cellStyle name="Normal 8 13 3 2" xfId="25636"/>
    <cellStyle name="Normal 8 13 3 2 2" xfId="54497"/>
    <cellStyle name="Normal 8 13 3 3" xfId="37450"/>
    <cellStyle name="Normal 8 13 4" xfId="12351"/>
    <cellStyle name="Normal 8 13 4 2" xfId="19864"/>
    <cellStyle name="Normal 8 13 4 2 2" xfId="48725"/>
    <cellStyle name="Normal 8 13 4 3" xfId="41212"/>
    <cellStyle name="Normal 8 13 5" xfId="17184"/>
    <cellStyle name="Normal 8 13 5 2" xfId="46045"/>
    <cellStyle name="Normal 8 13 6" xfId="31409"/>
    <cellStyle name="Normal 8 14" xfId="2960"/>
    <cellStyle name="Normal 8 14 2" xfId="9001"/>
    <cellStyle name="Normal 8 14 2 2" xfId="26048"/>
    <cellStyle name="Normal 8 14 2 2 2" xfId="54909"/>
    <cellStyle name="Normal 8 14 2 3" xfId="37862"/>
    <cellStyle name="Normal 8 14 3" xfId="13194"/>
    <cellStyle name="Normal 8 14 3 2" xfId="20070"/>
    <cellStyle name="Normal 8 14 3 2 2" xfId="48931"/>
    <cellStyle name="Normal 8 14 3 3" xfId="42055"/>
    <cellStyle name="Normal 8 14 4" xfId="14710"/>
    <cellStyle name="Normal 8 14 4 2" xfId="43571"/>
    <cellStyle name="Normal 8 14 5" xfId="31821"/>
    <cellStyle name="Normal 8 15" xfId="2754"/>
    <cellStyle name="Normal 8 15 2" xfId="8795"/>
    <cellStyle name="Normal 8 15 2 2" xfId="25842"/>
    <cellStyle name="Normal 8 15 2 2 2" xfId="54703"/>
    <cellStyle name="Normal 8 15 2 3" xfId="37656"/>
    <cellStyle name="Normal 8 15 3" xfId="17390"/>
    <cellStyle name="Normal 8 15 3 2" xfId="46251"/>
    <cellStyle name="Normal 8 15 4" xfId="31615"/>
    <cellStyle name="Normal 8 16" xfId="5640"/>
    <cellStyle name="Normal 8 16 2" xfId="11681"/>
    <cellStyle name="Normal 8 16 2 2" xfId="28728"/>
    <cellStyle name="Normal 8 16 2 2 2" xfId="57589"/>
    <cellStyle name="Normal 8 16 2 3" xfId="40542"/>
    <cellStyle name="Normal 8 16 3" xfId="22750"/>
    <cellStyle name="Normal 8 16 3 2" xfId="51611"/>
    <cellStyle name="Normal 8 16 4" xfId="34501"/>
    <cellStyle name="Normal 8 17" xfId="5851"/>
    <cellStyle name="Normal 8 17 2" xfId="22956"/>
    <cellStyle name="Normal 8 17 2 2" xfId="51817"/>
    <cellStyle name="Normal 8 17 3" xfId="34712"/>
    <cellStyle name="Normal 8 18" xfId="6115"/>
    <cellStyle name="Normal 8 18 2" xfId="23162"/>
    <cellStyle name="Normal 8 18 2 2" xfId="52023"/>
    <cellStyle name="Normal 8 18 3" xfId="34976"/>
    <cellStyle name="Normal 8 19" xfId="14504"/>
    <cellStyle name="Normal 8 19 2" xfId="43365"/>
    <cellStyle name="Normal 8 2" xfId="279"/>
    <cellStyle name="Normal 8 2 10" xfId="2442"/>
    <cellStyle name="Normal 8 2 10 2" xfId="5329"/>
    <cellStyle name="Normal 8 2 10 2 2" xfId="11370"/>
    <cellStyle name="Normal 8 2 10 2 2 2" xfId="28417"/>
    <cellStyle name="Normal 8 2 10 2 2 2 2" xfId="57278"/>
    <cellStyle name="Normal 8 2 10 2 2 3" xfId="40231"/>
    <cellStyle name="Normal 8 2 10 2 3" xfId="22439"/>
    <cellStyle name="Normal 8 2 10 2 3 2" xfId="51300"/>
    <cellStyle name="Normal 8 2 10 2 4" xfId="34190"/>
    <cellStyle name="Normal 8 2 10 3" xfId="8484"/>
    <cellStyle name="Normal 8 2 10 3 2" xfId="25531"/>
    <cellStyle name="Normal 8 2 10 3 2 2" xfId="54392"/>
    <cellStyle name="Normal 8 2 10 3 3" xfId="37345"/>
    <cellStyle name="Normal 8 2 10 4" xfId="13139"/>
    <cellStyle name="Normal 8 2 10 4 2" xfId="19759"/>
    <cellStyle name="Normal 8 2 10 4 2 2" xfId="48620"/>
    <cellStyle name="Normal 8 2 10 4 3" xfId="42000"/>
    <cellStyle name="Normal 8 2 10 5" xfId="17079"/>
    <cellStyle name="Normal 8 2 10 5 2" xfId="45940"/>
    <cellStyle name="Normal 8 2 10 6" xfId="31304"/>
    <cellStyle name="Normal 8 2 11" xfId="2651"/>
    <cellStyle name="Normal 8 2 11 2" xfId="5537"/>
    <cellStyle name="Normal 8 2 11 2 2" xfId="11578"/>
    <cellStyle name="Normal 8 2 11 2 2 2" xfId="28625"/>
    <cellStyle name="Normal 8 2 11 2 2 2 2" xfId="57486"/>
    <cellStyle name="Normal 8 2 11 2 2 3" xfId="40439"/>
    <cellStyle name="Normal 8 2 11 2 3" xfId="22647"/>
    <cellStyle name="Normal 8 2 11 2 3 2" xfId="51508"/>
    <cellStyle name="Normal 8 2 11 2 4" xfId="34398"/>
    <cellStyle name="Normal 8 2 11 3" xfId="8692"/>
    <cellStyle name="Normal 8 2 11 3 2" xfId="25739"/>
    <cellStyle name="Normal 8 2 11 3 2 2" xfId="54600"/>
    <cellStyle name="Normal 8 2 11 3 3" xfId="37553"/>
    <cellStyle name="Normal 8 2 11 4" xfId="14123"/>
    <cellStyle name="Normal 8 2 11 4 2" xfId="19967"/>
    <cellStyle name="Normal 8 2 11 4 2 2" xfId="48828"/>
    <cellStyle name="Normal 8 2 11 4 3" xfId="42984"/>
    <cellStyle name="Normal 8 2 11 5" xfId="17287"/>
    <cellStyle name="Normal 8 2 11 5 2" xfId="46148"/>
    <cellStyle name="Normal 8 2 11 6" xfId="31512"/>
    <cellStyle name="Normal 8 2 12" xfId="3166"/>
    <cellStyle name="Normal 8 2 12 2" xfId="9207"/>
    <cellStyle name="Normal 8 2 12 2 2" xfId="26254"/>
    <cellStyle name="Normal 8 2 12 2 2 2" xfId="55115"/>
    <cellStyle name="Normal 8 2 12 2 3" xfId="38068"/>
    <cellStyle name="Normal 8 2 12 3" xfId="12498"/>
    <cellStyle name="Normal 8 2 12 3 2" xfId="20276"/>
    <cellStyle name="Normal 8 2 12 3 2 2" xfId="49137"/>
    <cellStyle name="Normal 8 2 12 3 3" xfId="41359"/>
    <cellStyle name="Normal 8 2 12 4" xfId="14916"/>
    <cellStyle name="Normal 8 2 12 4 2" xfId="43777"/>
    <cellStyle name="Normal 8 2 12 5" xfId="32027"/>
    <cellStyle name="Normal 8 2 13" xfId="2857"/>
    <cellStyle name="Normal 8 2 13 2" xfId="8898"/>
    <cellStyle name="Normal 8 2 13 2 2" xfId="25945"/>
    <cellStyle name="Normal 8 2 13 2 2 2" xfId="54806"/>
    <cellStyle name="Normal 8 2 13 2 3" xfId="37759"/>
    <cellStyle name="Normal 8 2 13 3" xfId="17493"/>
    <cellStyle name="Normal 8 2 13 3 2" xfId="46354"/>
    <cellStyle name="Normal 8 2 13 4" xfId="31718"/>
    <cellStyle name="Normal 8 2 14" xfId="5743"/>
    <cellStyle name="Normal 8 2 14 2" xfId="11784"/>
    <cellStyle name="Normal 8 2 14 2 2" xfId="28831"/>
    <cellStyle name="Normal 8 2 14 2 2 2" xfId="57692"/>
    <cellStyle name="Normal 8 2 14 2 3" xfId="40645"/>
    <cellStyle name="Normal 8 2 14 3" xfId="22853"/>
    <cellStyle name="Normal 8 2 14 3 2" xfId="51714"/>
    <cellStyle name="Normal 8 2 14 4" xfId="34604"/>
    <cellStyle name="Normal 8 2 15" xfId="5960"/>
    <cellStyle name="Normal 8 2 15 2" xfId="23059"/>
    <cellStyle name="Normal 8 2 15 2 2" xfId="51920"/>
    <cellStyle name="Normal 8 2 15 3" xfId="34821"/>
    <cellStyle name="Normal 8 2 16" xfId="6321"/>
    <cellStyle name="Normal 8 2 16 2" xfId="23368"/>
    <cellStyle name="Normal 8 2 16 2 2" xfId="52229"/>
    <cellStyle name="Normal 8 2 16 3" xfId="35182"/>
    <cellStyle name="Normal 8 2 17" xfId="14607"/>
    <cellStyle name="Normal 8 2 17 2" xfId="43468"/>
    <cellStyle name="Normal 8 2 18" xfId="29141"/>
    <cellStyle name="Normal 8 2 2" xfId="485"/>
    <cellStyle name="Normal 8 2 2 2" xfId="2236"/>
    <cellStyle name="Normal 8 2 2 2 2" xfId="5123"/>
    <cellStyle name="Normal 8 2 2 2 2 2" xfId="11164"/>
    <cellStyle name="Normal 8 2 2 2 2 2 2" xfId="28211"/>
    <cellStyle name="Normal 8 2 2 2 2 2 2 2" xfId="57072"/>
    <cellStyle name="Normal 8 2 2 2 2 2 3" xfId="40025"/>
    <cellStyle name="Normal 8 2 2 2 2 3" xfId="22233"/>
    <cellStyle name="Normal 8 2 2 2 2 3 2" xfId="51094"/>
    <cellStyle name="Normal 8 2 2 2 2 4" xfId="33984"/>
    <cellStyle name="Normal 8 2 2 2 3" xfId="8278"/>
    <cellStyle name="Normal 8 2 2 2 3 2" xfId="25325"/>
    <cellStyle name="Normal 8 2 2 2 3 2 2" xfId="54186"/>
    <cellStyle name="Normal 8 2 2 2 3 3" xfId="37139"/>
    <cellStyle name="Normal 8 2 2 2 4" xfId="12304"/>
    <cellStyle name="Normal 8 2 2 2 4 2" xfId="19553"/>
    <cellStyle name="Normal 8 2 2 2 4 2 2" xfId="48414"/>
    <cellStyle name="Normal 8 2 2 2 4 3" xfId="41165"/>
    <cellStyle name="Normal 8 2 2 2 5" xfId="16873"/>
    <cellStyle name="Normal 8 2 2 2 5 2" xfId="45734"/>
    <cellStyle name="Normal 8 2 2 2 6" xfId="31098"/>
    <cellStyle name="Normal 8 2 2 3" xfId="3372"/>
    <cellStyle name="Normal 8 2 2 3 2" xfId="9413"/>
    <cellStyle name="Normal 8 2 2 3 2 2" xfId="26460"/>
    <cellStyle name="Normal 8 2 2 3 2 2 2" xfId="55321"/>
    <cellStyle name="Normal 8 2 2 3 2 3" xfId="38274"/>
    <cellStyle name="Normal 8 2 2 3 3" xfId="20482"/>
    <cellStyle name="Normal 8 2 2 3 3 2" xfId="49343"/>
    <cellStyle name="Normal 8 2 2 3 4" xfId="32233"/>
    <cellStyle name="Normal 8 2 2 4" xfId="6527"/>
    <cellStyle name="Normal 8 2 2 4 2" xfId="23574"/>
    <cellStyle name="Normal 8 2 2 4 2 2" xfId="52435"/>
    <cellStyle name="Normal 8 2 2 4 3" xfId="35388"/>
    <cellStyle name="Normal 8 2 2 5" xfId="12196"/>
    <cellStyle name="Normal 8 2 2 5 2" xfId="17802"/>
    <cellStyle name="Normal 8 2 2 5 2 2" xfId="46663"/>
    <cellStyle name="Normal 8 2 2 5 3" xfId="41057"/>
    <cellStyle name="Normal 8 2 2 6" xfId="15122"/>
    <cellStyle name="Normal 8 2 2 6 2" xfId="43983"/>
    <cellStyle name="Normal 8 2 2 7" xfId="29347"/>
    <cellStyle name="Normal 8 2 3" xfId="794"/>
    <cellStyle name="Normal 8 2 3 2" xfId="3681"/>
    <cellStyle name="Normal 8 2 3 2 2" xfId="9722"/>
    <cellStyle name="Normal 8 2 3 2 2 2" xfId="26769"/>
    <cellStyle name="Normal 8 2 3 2 2 2 2" xfId="55630"/>
    <cellStyle name="Normal 8 2 3 2 2 3" xfId="38583"/>
    <cellStyle name="Normal 8 2 3 2 3" xfId="20791"/>
    <cellStyle name="Normal 8 2 3 2 3 2" xfId="49652"/>
    <cellStyle name="Normal 8 2 3 2 4" xfId="32542"/>
    <cellStyle name="Normal 8 2 3 3" xfId="6836"/>
    <cellStyle name="Normal 8 2 3 3 2" xfId="23883"/>
    <cellStyle name="Normal 8 2 3 3 2 2" xfId="52744"/>
    <cellStyle name="Normal 8 2 3 3 3" xfId="35697"/>
    <cellStyle name="Normal 8 2 3 4" xfId="13029"/>
    <cellStyle name="Normal 8 2 3 4 2" xfId="18111"/>
    <cellStyle name="Normal 8 2 3 4 2 2" xfId="46972"/>
    <cellStyle name="Normal 8 2 3 4 3" xfId="41890"/>
    <cellStyle name="Normal 8 2 3 5" xfId="15431"/>
    <cellStyle name="Normal 8 2 3 5 2" xfId="44292"/>
    <cellStyle name="Normal 8 2 3 6" xfId="29656"/>
    <cellStyle name="Normal 8 2 4" xfId="1000"/>
    <cellStyle name="Normal 8 2 4 2" xfId="3887"/>
    <cellStyle name="Normal 8 2 4 2 2" xfId="9928"/>
    <cellStyle name="Normal 8 2 4 2 2 2" xfId="26975"/>
    <cellStyle name="Normal 8 2 4 2 2 2 2" xfId="55836"/>
    <cellStyle name="Normal 8 2 4 2 2 3" xfId="38789"/>
    <cellStyle name="Normal 8 2 4 2 3" xfId="20997"/>
    <cellStyle name="Normal 8 2 4 2 3 2" xfId="49858"/>
    <cellStyle name="Normal 8 2 4 2 4" xfId="32748"/>
    <cellStyle name="Normal 8 2 4 3" xfId="7042"/>
    <cellStyle name="Normal 8 2 4 3 2" xfId="24089"/>
    <cellStyle name="Normal 8 2 4 3 2 2" xfId="52950"/>
    <cellStyle name="Normal 8 2 4 3 3" xfId="35903"/>
    <cellStyle name="Normal 8 2 4 4" xfId="13484"/>
    <cellStyle name="Normal 8 2 4 4 2" xfId="18317"/>
    <cellStyle name="Normal 8 2 4 4 2 2" xfId="47178"/>
    <cellStyle name="Normal 8 2 4 4 3" xfId="42345"/>
    <cellStyle name="Normal 8 2 4 5" xfId="15637"/>
    <cellStyle name="Normal 8 2 4 5 2" xfId="44498"/>
    <cellStyle name="Normal 8 2 4 6" xfId="29862"/>
    <cellStyle name="Normal 8 2 5" xfId="1206"/>
    <cellStyle name="Normal 8 2 5 2" xfId="4093"/>
    <cellStyle name="Normal 8 2 5 2 2" xfId="10134"/>
    <cellStyle name="Normal 8 2 5 2 2 2" xfId="27181"/>
    <cellStyle name="Normal 8 2 5 2 2 2 2" xfId="56042"/>
    <cellStyle name="Normal 8 2 5 2 2 3" xfId="38995"/>
    <cellStyle name="Normal 8 2 5 2 3" xfId="21203"/>
    <cellStyle name="Normal 8 2 5 2 3 2" xfId="50064"/>
    <cellStyle name="Normal 8 2 5 2 4" xfId="32954"/>
    <cellStyle name="Normal 8 2 5 3" xfId="7248"/>
    <cellStyle name="Normal 8 2 5 3 2" xfId="24295"/>
    <cellStyle name="Normal 8 2 5 3 2 2" xfId="53156"/>
    <cellStyle name="Normal 8 2 5 3 3" xfId="36109"/>
    <cellStyle name="Normal 8 2 5 4" xfId="14234"/>
    <cellStyle name="Normal 8 2 5 4 2" xfId="18523"/>
    <cellStyle name="Normal 8 2 5 4 2 2" xfId="47384"/>
    <cellStyle name="Normal 8 2 5 4 3" xfId="43095"/>
    <cellStyle name="Normal 8 2 5 5" xfId="15843"/>
    <cellStyle name="Normal 8 2 5 5 2" xfId="44704"/>
    <cellStyle name="Normal 8 2 5 6" xfId="30068"/>
    <cellStyle name="Normal 8 2 6" xfId="1412"/>
    <cellStyle name="Normal 8 2 6 2" xfId="4299"/>
    <cellStyle name="Normal 8 2 6 2 2" xfId="10340"/>
    <cellStyle name="Normal 8 2 6 2 2 2" xfId="27387"/>
    <cellStyle name="Normal 8 2 6 2 2 2 2" xfId="56248"/>
    <cellStyle name="Normal 8 2 6 2 2 3" xfId="39201"/>
    <cellStyle name="Normal 8 2 6 2 3" xfId="21409"/>
    <cellStyle name="Normal 8 2 6 2 3 2" xfId="50270"/>
    <cellStyle name="Normal 8 2 6 2 4" xfId="33160"/>
    <cellStyle name="Normal 8 2 6 3" xfId="7454"/>
    <cellStyle name="Normal 8 2 6 3 2" xfId="24501"/>
    <cellStyle name="Normal 8 2 6 3 2 2" xfId="53362"/>
    <cellStyle name="Normal 8 2 6 3 3" xfId="36315"/>
    <cellStyle name="Normal 8 2 6 4" xfId="12625"/>
    <cellStyle name="Normal 8 2 6 4 2" xfId="18729"/>
    <cellStyle name="Normal 8 2 6 4 2 2" xfId="47590"/>
    <cellStyle name="Normal 8 2 6 4 3" xfId="41486"/>
    <cellStyle name="Normal 8 2 6 5" xfId="16049"/>
    <cellStyle name="Normal 8 2 6 5 2" xfId="44910"/>
    <cellStyle name="Normal 8 2 6 6" xfId="30274"/>
    <cellStyle name="Normal 8 2 7" xfId="1618"/>
    <cellStyle name="Normal 8 2 7 2" xfId="4505"/>
    <cellStyle name="Normal 8 2 7 2 2" xfId="10546"/>
    <cellStyle name="Normal 8 2 7 2 2 2" xfId="27593"/>
    <cellStyle name="Normal 8 2 7 2 2 2 2" xfId="56454"/>
    <cellStyle name="Normal 8 2 7 2 2 3" xfId="39407"/>
    <cellStyle name="Normal 8 2 7 2 3" xfId="21615"/>
    <cellStyle name="Normal 8 2 7 2 3 2" xfId="50476"/>
    <cellStyle name="Normal 8 2 7 2 4" xfId="33366"/>
    <cellStyle name="Normal 8 2 7 3" xfId="7660"/>
    <cellStyle name="Normal 8 2 7 3 2" xfId="24707"/>
    <cellStyle name="Normal 8 2 7 3 2 2" xfId="53568"/>
    <cellStyle name="Normal 8 2 7 3 3" xfId="36521"/>
    <cellStyle name="Normal 8 2 7 4" xfId="13980"/>
    <cellStyle name="Normal 8 2 7 4 2" xfId="18935"/>
    <cellStyle name="Normal 8 2 7 4 2 2" xfId="47796"/>
    <cellStyle name="Normal 8 2 7 4 3" xfId="42841"/>
    <cellStyle name="Normal 8 2 7 5" xfId="16255"/>
    <cellStyle name="Normal 8 2 7 5 2" xfId="45116"/>
    <cellStyle name="Normal 8 2 7 6" xfId="30480"/>
    <cellStyle name="Normal 8 2 8" xfId="1824"/>
    <cellStyle name="Normal 8 2 8 2" xfId="4711"/>
    <cellStyle name="Normal 8 2 8 2 2" xfId="10752"/>
    <cellStyle name="Normal 8 2 8 2 2 2" xfId="27799"/>
    <cellStyle name="Normal 8 2 8 2 2 2 2" xfId="56660"/>
    <cellStyle name="Normal 8 2 8 2 2 3" xfId="39613"/>
    <cellStyle name="Normal 8 2 8 2 3" xfId="21821"/>
    <cellStyle name="Normal 8 2 8 2 3 2" xfId="50682"/>
    <cellStyle name="Normal 8 2 8 2 4" xfId="33572"/>
    <cellStyle name="Normal 8 2 8 3" xfId="7866"/>
    <cellStyle name="Normal 8 2 8 3 2" xfId="24913"/>
    <cellStyle name="Normal 8 2 8 3 2 2" xfId="53774"/>
    <cellStyle name="Normal 8 2 8 3 3" xfId="36727"/>
    <cellStyle name="Normal 8 2 8 4" xfId="12516"/>
    <cellStyle name="Normal 8 2 8 4 2" xfId="19141"/>
    <cellStyle name="Normal 8 2 8 4 2 2" xfId="48002"/>
    <cellStyle name="Normal 8 2 8 4 3" xfId="41377"/>
    <cellStyle name="Normal 8 2 8 5" xfId="16461"/>
    <cellStyle name="Normal 8 2 8 5 2" xfId="45322"/>
    <cellStyle name="Normal 8 2 8 6" xfId="30686"/>
    <cellStyle name="Normal 8 2 9" xfId="2030"/>
    <cellStyle name="Normal 8 2 9 2" xfId="4917"/>
    <cellStyle name="Normal 8 2 9 2 2" xfId="10958"/>
    <cellStyle name="Normal 8 2 9 2 2 2" xfId="28005"/>
    <cellStyle name="Normal 8 2 9 2 2 2 2" xfId="56866"/>
    <cellStyle name="Normal 8 2 9 2 2 3" xfId="39819"/>
    <cellStyle name="Normal 8 2 9 2 3" xfId="22027"/>
    <cellStyle name="Normal 8 2 9 2 3 2" xfId="50888"/>
    <cellStyle name="Normal 8 2 9 2 4" xfId="33778"/>
    <cellStyle name="Normal 8 2 9 3" xfId="8072"/>
    <cellStyle name="Normal 8 2 9 3 2" xfId="25119"/>
    <cellStyle name="Normal 8 2 9 3 2 2" xfId="53980"/>
    <cellStyle name="Normal 8 2 9 3 3" xfId="36933"/>
    <cellStyle name="Normal 8 2 9 4" xfId="14004"/>
    <cellStyle name="Normal 8 2 9 4 2" xfId="19347"/>
    <cellStyle name="Normal 8 2 9 4 2 2" xfId="48208"/>
    <cellStyle name="Normal 8 2 9 4 3" xfId="42865"/>
    <cellStyle name="Normal 8 2 9 5" xfId="16667"/>
    <cellStyle name="Normal 8 2 9 5 2" xfId="45528"/>
    <cellStyle name="Normal 8 2 9 6" xfId="30892"/>
    <cellStyle name="Normal 8 20" xfId="28935"/>
    <cellStyle name="Normal 8 3" xfId="176"/>
    <cellStyle name="Normal 8 3 2" xfId="588"/>
    <cellStyle name="Normal 8 3 2 2" xfId="3475"/>
    <cellStyle name="Normal 8 3 2 2 2" xfId="9516"/>
    <cellStyle name="Normal 8 3 2 2 2 2" xfId="26563"/>
    <cellStyle name="Normal 8 3 2 2 2 2 2" xfId="55424"/>
    <cellStyle name="Normal 8 3 2 2 2 3" xfId="38377"/>
    <cellStyle name="Normal 8 3 2 2 3" xfId="20585"/>
    <cellStyle name="Normal 8 3 2 2 3 2" xfId="49446"/>
    <cellStyle name="Normal 8 3 2 2 4" xfId="32336"/>
    <cellStyle name="Normal 8 3 2 3" xfId="6630"/>
    <cellStyle name="Normal 8 3 2 3 2" xfId="23677"/>
    <cellStyle name="Normal 8 3 2 3 2 2" xfId="52538"/>
    <cellStyle name="Normal 8 3 2 3 3" xfId="35491"/>
    <cellStyle name="Normal 8 3 2 4" xfId="13469"/>
    <cellStyle name="Normal 8 3 2 4 2" xfId="17905"/>
    <cellStyle name="Normal 8 3 2 4 2 2" xfId="46766"/>
    <cellStyle name="Normal 8 3 2 4 3" xfId="42330"/>
    <cellStyle name="Normal 8 3 2 5" xfId="15225"/>
    <cellStyle name="Normal 8 3 2 5 2" xfId="44086"/>
    <cellStyle name="Normal 8 3 2 6" xfId="29450"/>
    <cellStyle name="Normal 8 3 3" xfId="2133"/>
    <cellStyle name="Normal 8 3 3 2" xfId="5020"/>
    <cellStyle name="Normal 8 3 3 2 2" xfId="11061"/>
    <cellStyle name="Normal 8 3 3 2 2 2" xfId="28108"/>
    <cellStyle name="Normal 8 3 3 2 2 2 2" xfId="56969"/>
    <cellStyle name="Normal 8 3 3 2 2 3" xfId="39922"/>
    <cellStyle name="Normal 8 3 3 2 3" xfId="22130"/>
    <cellStyle name="Normal 8 3 3 2 3 2" xfId="50991"/>
    <cellStyle name="Normal 8 3 3 2 4" xfId="33881"/>
    <cellStyle name="Normal 8 3 3 3" xfId="8175"/>
    <cellStyle name="Normal 8 3 3 3 2" xfId="25222"/>
    <cellStyle name="Normal 8 3 3 3 2 2" xfId="54083"/>
    <cellStyle name="Normal 8 3 3 3 3" xfId="37036"/>
    <cellStyle name="Normal 8 3 3 4" xfId="12833"/>
    <cellStyle name="Normal 8 3 3 4 2" xfId="19450"/>
    <cellStyle name="Normal 8 3 3 4 2 2" xfId="48311"/>
    <cellStyle name="Normal 8 3 3 4 3" xfId="41694"/>
    <cellStyle name="Normal 8 3 3 5" xfId="16770"/>
    <cellStyle name="Normal 8 3 3 5 2" xfId="45631"/>
    <cellStyle name="Normal 8 3 3 6" xfId="30995"/>
    <cellStyle name="Normal 8 3 4" xfId="3063"/>
    <cellStyle name="Normal 8 3 4 2" xfId="9104"/>
    <cellStyle name="Normal 8 3 4 2 2" xfId="26151"/>
    <cellStyle name="Normal 8 3 4 2 2 2" xfId="55012"/>
    <cellStyle name="Normal 8 3 4 2 3" xfId="37965"/>
    <cellStyle name="Normal 8 3 4 3" xfId="20173"/>
    <cellStyle name="Normal 8 3 4 3 2" xfId="49034"/>
    <cellStyle name="Normal 8 3 4 4" xfId="31924"/>
    <cellStyle name="Normal 8 3 5" xfId="6218"/>
    <cellStyle name="Normal 8 3 5 2" xfId="23265"/>
    <cellStyle name="Normal 8 3 5 2 2" xfId="52126"/>
    <cellStyle name="Normal 8 3 5 3" xfId="35079"/>
    <cellStyle name="Normal 8 3 6" xfId="13829"/>
    <cellStyle name="Normal 8 3 6 2" xfId="17596"/>
    <cellStyle name="Normal 8 3 6 2 2" xfId="46457"/>
    <cellStyle name="Normal 8 3 6 3" xfId="42690"/>
    <cellStyle name="Normal 8 3 7" xfId="14813"/>
    <cellStyle name="Normal 8 3 7 2" xfId="43674"/>
    <cellStyle name="Normal 8 3 8" xfId="29038"/>
    <cellStyle name="Normal 8 4" xfId="382"/>
    <cellStyle name="Normal 8 4 2" xfId="3269"/>
    <cellStyle name="Normal 8 4 2 2" xfId="9310"/>
    <cellStyle name="Normal 8 4 2 2 2" xfId="26357"/>
    <cellStyle name="Normal 8 4 2 2 2 2" xfId="55218"/>
    <cellStyle name="Normal 8 4 2 2 3" xfId="38171"/>
    <cellStyle name="Normal 8 4 2 3" xfId="20379"/>
    <cellStyle name="Normal 8 4 2 3 2" xfId="49240"/>
    <cellStyle name="Normal 8 4 2 4" xfId="32130"/>
    <cellStyle name="Normal 8 4 3" xfId="6424"/>
    <cellStyle name="Normal 8 4 3 2" xfId="23471"/>
    <cellStyle name="Normal 8 4 3 2 2" xfId="52332"/>
    <cellStyle name="Normal 8 4 3 3" xfId="35285"/>
    <cellStyle name="Normal 8 4 4" xfId="12512"/>
    <cellStyle name="Normal 8 4 4 2" xfId="17699"/>
    <cellStyle name="Normal 8 4 4 2 2" xfId="46560"/>
    <cellStyle name="Normal 8 4 4 3" xfId="41373"/>
    <cellStyle name="Normal 8 4 5" xfId="15019"/>
    <cellStyle name="Normal 8 4 5 2" xfId="43880"/>
    <cellStyle name="Normal 8 4 6" xfId="29244"/>
    <cellStyle name="Normal 8 5" xfId="691"/>
    <cellStyle name="Normal 8 5 2" xfId="3578"/>
    <cellStyle name="Normal 8 5 2 2" xfId="9619"/>
    <cellStyle name="Normal 8 5 2 2 2" xfId="26666"/>
    <cellStyle name="Normal 8 5 2 2 2 2" xfId="55527"/>
    <cellStyle name="Normal 8 5 2 2 3" xfId="38480"/>
    <cellStyle name="Normal 8 5 2 3" xfId="20688"/>
    <cellStyle name="Normal 8 5 2 3 2" xfId="49549"/>
    <cellStyle name="Normal 8 5 2 4" xfId="32439"/>
    <cellStyle name="Normal 8 5 3" xfId="6733"/>
    <cellStyle name="Normal 8 5 3 2" xfId="23780"/>
    <cellStyle name="Normal 8 5 3 2 2" xfId="52641"/>
    <cellStyle name="Normal 8 5 3 3" xfId="35594"/>
    <cellStyle name="Normal 8 5 4" xfId="13624"/>
    <cellStyle name="Normal 8 5 4 2" xfId="18008"/>
    <cellStyle name="Normal 8 5 4 2 2" xfId="46869"/>
    <cellStyle name="Normal 8 5 4 3" xfId="42485"/>
    <cellStyle name="Normal 8 5 5" xfId="15328"/>
    <cellStyle name="Normal 8 5 5 2" xfId="44189"/>
    <cellStyle name="Normal 8 5 6" xfId="29553"/>
    <cellStyle name="Normal 8 6" xfId="897"/>
    <cellStyle name="Normal 8 6 2" xfId="3784"/>
    <cellStyle name="Normal 8 6 2 2" xfId="9825"/>
    <cellStyle name="Normal 8 6 2 2 2" xfId="26872"/>
    <cellStyle name="Normal 8 6 2 2 2 2" xfId="55733"/>
    <cellStyle name="Normal 8 6 2 2 3" xfId="38686"/>
    <cellStyle name="Normal 8 6 2 3" xfId="20894"/>
    <cellStyle name="Normal 8 6 2 3 2" xfId="49755"/>
    <cellStyle name="Normal 8 6 2 4" xfId="32645"/>
    <cellStyle name="Normal 8 6 3" xfId="6939"/>
    <cellStyle name="Normal 8 6 3 2" xfId="23986"/>
    <cellStyle name="Normal 8 6 3 2 2" xfId="52847"/>
    <cellStyle name="Normal 8 6 3 3" xfId="35800"/>
    <cellStyle name="Normal 8 6 4" xfId="13269"/>
    <cellStyle name="Normal 8 6 4 2" xfId="18214"/>
    <cellStyle name="Normal 8 6 4 2 2" xfId="47075"/>
    <cellStyle name="Normal 8 6 4 3" xfId="42130"/>
    <cellStyle name="Normal 8 6 5" xfId="15534"/>
    <cellStyle name="Normal 8 6 5 2" xfId="44395"/>
    <cellStyle name="Normal 8 6 6" xfId="29759"/>
    <cellStyle name="Normal 8 7" xfId="1103"/>
    <cellStyle name="Normal 8 7 2" xfId="3990"/>
    <cellStyle name="Normal 8 7 2 2" xfId="10031"/>
    <cellStyle name="Normal 8 7 2 2 2" xfId="27078"/>
    <cellStyle name="Normal 8 7 2 2 2 2" xfId="55939"/>
    <cellStyle name="Normal 8 7 2 2 3" xfId="38892"/>
    <cellStyle name="Normal 8 7 2 3" xfId="21100"/>
    <cellStyle name="Normal 8 7 2 3 2" xfId="49961"/>
    <cellStyle name="Normal 8 7 2 4" xfId="32851"/>
    <cellStyle name="Normal 8 7 3" xfId="7145"/>
    <cellStyle name="Normal 8 7 3 2" xfId="24192"/>
    <cellStyle name="Normal 8 7 3 2 2" xfId="53053"/>
    <cellStyle name="Normal 8 7 3 3" xfId="36006"/>
    <cellStyle name="Normal 8 7 4" xfId="14072"/>
    <cellStyle name="Normal 8 7 4 2" xfId="18420"/>
    <cellStyle name="Normal 8 7 4 2 2" xfId="47281"/>
    <cellStyle name="Normal 8 7 4 3" xfId="42933"/>
    <cellStyle name="Normal 8 7 5" xfId="15740"/>
    <cellStyle name="Normal 8 7 5 2" xfId="44601"/>
    <cellStyle name="Normal 8 7 6" xfId="29965"/>
    <cellStyle name="Normal 8 8" xfId="1309"/>
    <cellStyle name="Normal 8 8 2" xfId="4196"/>
    <cellStyle name="Normal 8 8 2 2" xfId="10237"/>
    <cellStyle name="Normal 8 8 2 2 2" xfId="27284"/>
    <cellStyle name="Normal 8 8 2 2 2 2" xfId="56145"/>
    <cellStyle name="Normal 8 8 2 2 3" xfId="39098"/>
    <cellStyle name="Normal 8 8 2 3" xfId="21306"/>
    <cellStyle name="Normal 8 8 2 3 2" xfId="50167"/>
    <cellStyle name="Normal 8 8 2 4" xfId="33057"/>
    <cellStyle name="Normal 8 8 3" xfId="7351"/>
    <cellStyle name="Normal 8 8 3 2" xfId="24398"/>
    <cellStyle name="Normal 8 8 3 2 2" xfId="53259"/>
    <cellStyle name="Normal 8 8 3 3" xfId="36212"/>
    <cellStyle name="Normal 8 8 4" xfId="13506"/>
    <cellStyle name="Normal 8 8 4 2" xfId="18626"/>
    <cellStyle name="Normal 8 8 4 2 2" xfId="47487"/>
    <cellStyle name="Normal 8 8 4 3" xfId="42367"/>
    <cellStyle name="Normal 8 8 5" xfId="15946"/>
    <cellStyle name="Normal 8 8 5 2" xfId="44807"/>
    <cellStyle name="Normal 8 8 6" xfId="30171"/>
    <cellStyle name="Normal 8 9" xfId="1515"/>
    <cellStyle name="Normal 8 9 2" xfId="4402"/>
    <cellStyle name="Normal 8 9 2 2" xfId="10443"/>
    <cellStyle name="Normal 8 9 2 2 2" xfId="27490"/>
    <cellStyle name="Normal 8 9 2 2 2 2" xfId="56351"/>
    <cellStyle name="Normal 8 9 2 2 3" xfId="39304"/>
    <cellStyle name="Normal 8 9 2 3" xfId="21512"/>
    <cellStyle name="Normal 8 9 2 3 2" xfId="50373"/>
    <cellStyle name="Normal 8 9 2 4" xfId="33263"/>
    <cellStyle name="Normal 8 9 3" xfId="7557"/>
    <cellStyle name="Normal 8 9 3 2" xfId="24604"/>
    <cellStyle name="Normal 8 9 3 2 2" xfId="53465"/>
    <cellStyle name="Normal 8 9 3 3" xfId="36418"/>
    <cellStyle name="Normal 8 9 4" xfId="13221"/>
    <cellStyle name="Normal 8 9 4 2" xfId="18832"/>
    <cellStyle name="Normal 8 9 4 2 2" xfId="47693"/>
    <cellStyle name="Normal 8 9 4 3" xfId="42082"/>
    <cellStyle name="Normal 8 9 5" xfId="16152"/>
    <cellStyle name="Normal 8 9 5 2" xfId="45013"/>
    <cellStyle name="Normal 8 9 6" xfId="30377"/>
    <cellStyle name="Normal 9" xfId="44"/>
    <cellStyle name="Normal 9 10" xfId="1722"/>
    <cellStyle name="Normal 9 10 2" xfId="4609"/>
    <cellStyle name="Normal 9 10 2 2" xfId="10650"/>
    <cellStyle name="Normal 9 10 2 2 2" xfId="27697"/>
    <cellStyle name="Normal 9 10 2 2 2 2" xfId="56558"/>
    <cellStyle name="Normal 9 10 2 2 3" xfId="39511"/>
    <cellStyle name="Normal 9 10 2 3" xfId="21719"/>
    <cellStyle name="Normal 9 10 2 3 2" xfId="50580"/>
    <cellStyle name="Normal 9 10 2 4" xfId="33470"/>
    <cellStyle name="Normal 9 10 3" xfId="7764"/>
    <cellStyle name="Normal 9 10 3 2" xfId="24811"/>
    <cellStyle name="Normal 9 10 3 2 2" xfId="53672"/>
    <cellStyle name="Normal 9 10 3 3" xfId="36625"/>
    <cellStyle name="Normal 9 10 4" xfId="12705"/>
    <cellStyle name="Normal 9 10 4 2" xfId="19039"/>
    <cellStyle name="Normal 9 10 4 2 2" xfId="47900"/>
    <cellStyle name="Normal 9 10 4 3" xfId="41566"/>
    <cellStyle name="Normal 9 10 5" xfId="16359"/>
    <cellStyle name="Normal 9 10 5 2" xfId="45220"/>
    <cellStyle name="Normal 9 10 6" xfId="30584"/>
    <cellStyle name="Normal 9 11" xfId="1928"/>
    <cellStyle name="Normal 9 11 2" xfId="4815"/>
    <cellStyle name="Normal 9 11 2 2" xfId="10856"/>
    <cellStyle name="Normal 9 11 2 2 2" xfId="27903"/>
    <cellStyle name="Normal 9 11 2 2 2 2" xfId="56764"/>
    <cellStyle name="Normal 9 11 2 2 3" xfId="39717"/>
    <cellStyle name="Normal 9 11 2 3" xfId="21925"/>
    <cellStyle name="Normal 9 11 2 3 2" xfId="50786"/>
    <cellStyle name="Normal 9 11 2 4" xfId="33676"/>
    <cellStyle name="Normal 9 11 3" xfId="7970"/>
    <cellStyle name="Normal 9 11 3 2" xfId="25017"/>
    <cellStyle name="Normal 9 11 3 2 2" xfId="53878"/>
    <cellStyle name="Normal 9 11 3 3" xfId="36831"/>
    <cellStyle name="Normal 9 11 4" xfId="14364"/>
    <cellStyle name="Normal 9 11 4 2" xfId="19245"/>
    <cellStyle name="Normal 9 11 4 2 2" xfId="48106"/>
    <cellStyle name="Normal 9 11 4 3" xfId="43225"/>
    <cellStyle name="Normal 9 11 5" xfId="16565"/>
    <cellStyle name="Normal 9 11 5 2" xfId="45426"/>
    <cellStyle name="Normal 9 11 6" xfId="30790"/>
    <cellStyle name="Normal 9 12" xfId="2340"/>
    <cellStyle name="Normal 9 12 2" xfId="5227"/>
    <cellStyle name="Normal 9 12 2 2" xfId="11268"/>
    <cellStyle name="Normal 9 12 2 2 2" xfId="28315"/>
    <cellStyle name="Normal 9 12 2 2 2 2" xfId="57176"/>
    <cellStyle name="Normal 9 12 2 2 3" xfId="40129"/>
    <cellStyle name="Normal 9 12 2 3" xfId="22337"/>
    <cellStyle name="Normal 9 12 2 3 2" xfId="51198"/>
    <cellStyle name="Normal 9 12 2 4" xfId="34088"/>
    <cellStyle name="Normal 9 12 3" xfId="8382"/>
    <cellStyle name="Normal 9 12 3 2" xfId="25429"/>
    <cellStyle name="Normal 9 12 3 2 2" xfId="54290"/>
    <cellStyle name="Normal 9 12 3 3" xfId="37243"/>
    <cellStyle name="Normal 9 12 4" xfId="13218"/>
    <cellStyle name="Normal 9 12 4 2" xfId="19657"/>
    <cellStyle name="Normal 9 12 4 2 2" xfId="48518"/>
    <cellStyle name="Normal 9 12 4 3" xfId="42079"/>
    <cellStyle name="Normal 9 12 5" xfId="16977"/>
    <cellStyle name="Normal 9 12 5 2" xfId="45838"/>
    <cellStyle name="Normal 9 12 6" xfId="31202"/>
    <cellStyle name="Normal 9 13" xfId="2549"/>
    <cellStyle name="Normal 9 13 2" xfId="5435"/>
    <cellStyle name="Normal 9 13 2 2" xfId="11476"/>
    <cellStyle name="Normal 9 13 2 2 2" xfId="28523"/>
    <cellStyle name="Normal 9 13 2 2 2 2" xfId="57384"/>
    <cellStyle name="Normal 9 13 2 2 3" xfId="40337"/>
    <cellStyle name="Normal 9 13 2 3" xfId="22545"/>
    <cellStyle name="Normal 9 13 2 3 2" xfId="51406"/>
    <cellStyle name="Normal 9 13 2 4" xfId="34296"/>
    <cellStyle name="Normal 9 13 3" xfId="8590"/>
    <cellStyle name="Normal 9 13 3 2" xfId="25637"/>
    <cellStyle name="Normal 9 13 3 2 2" xfId="54498"/>
    <cellStyle name="Normal 9 13 3 3" xfId="37451"/>
    <cellStyle name="Normal 9 13 4" xfId="12439"/>
    <cellStyle name="Normal 9 13 4 2" xfId="19865"/>
    <cellStyle name="Normal 9 13 4 2 2" xfId="48726"/>
    <cellStyle name="Normal 9 13 4 3" xfId="41300"/>
    <cellStyle name="Normal 9 13 5" xfId="17185"/>
    <cellStyle name="Normal 9 13 5 2" xfId="46046"/>
    <cellStyle name="Normal 9 13 6" xfId="31410"/>
    <cellStyle name="Normal 9 14" xfId="2961"/>
    <cellStyle name="Normal 9 14 2" xfId="9002"/>
    <cellStyle name="Normal 9 14 2 2" xfId="26049"/>
    <cellStyle name="Normal 9 14 2 2 2" xfId="54910"/>
    <cellStyle name="Normal 9 14 2 3" xfId="37863"/>
    <cellStyle name="Normal 9 14 3" xfId="13991"/>
    <cellStyle name="Normal 9 14 3 2" xfId="20071"/>
    <cellStyle name="Normal 9 14 3 2 2" xfId="48932"/>
    <cellStyle name="Normal 9 14 3 3" xfId="42852"/>
    <cellStyle name="Normal 9 14 4" xfId="14711"/>
    <cellStyle name="Normal 9 14 4 2" xfId="43572"/>
    <cellStyle name="Normal 9 14 5" xfId="31822"/>
    <cellStyle name="Normal 9 15" xfId="2755"/>
    <cellStyle name="Normal 9 15 2" xfId="8796"/>
    <cellStyle name="Normal 9 15 2 2" xfId="25843"/>
    <cellStyle name="Normal 9 15 2 2 2" xfId="54704"/>
    <cellStyle name="Normal 9 15 2 3" xfId="37657"/>
    <cellStyle name="Normal 9 15 3" xfId="17391"/>
    <cellStyle name="Normal 9 15 3 2" xfId="46252"/>
    <cellStyle name="Normal 9 15 4" xfId="31616"/>
    <cellStyle name="Normal 9 16" xfId="5641"/>
    <cellStyle name="Normal 9 16 2" xfId="11682"/>
    <cellStyle name="Normal 9 16 2 2" xfId="28729"/>
    <cellStyle name="Normal 9 16 2 2 2" xfId="57590"/>
    <cellStyle name="Normal 9 16 2 3" xfId="40543"/>
    <cellStyle name="Normal 9 16 3" xfId="22751"/>
    <cellStyle name="Normal 9 16 3 2" xfId="51612"/>
    <cellStyle name="Normal 9 16 4" xfId="34502"/>
    <cellStyle name="Normal 9 17" xfId="5852"/>
    <cellStyle name="Normal 9 17 2" xfId="22957"/>
    <cellStyle name="Normal 9 17 2 2" xfId="51818"/>
    <cellStyle name="Normal 9 17 3" xfId="34713"/>
    <cellStyle name="Normal 9 18" xfId="6116"/>
    <cellStyle name="Normal 9 18 2" xfId="23163"/>
    <cellStyle name="Normal 9 18 2 2" xfId="52024"/>
    <cellStyle name="Normal 9 18 3" xfId="34977"/>
    <cellStyle name="Normal 9 19" xfId="14505"/>
    <cellStyle name="Normal 9 19 2" xfId="43366"/>
    <cellStyle name="Normal 9 2" xfId="280"/>
    <cellStyle name="Normal 9 2 10" xfId="2443"/>
    <cellStyle name="Normal 9 2 10 2" xfId="5330"/>
    <cellStyle name="Normal 9 2 10 2 2" xfId="11371"/>
    <cellStyle name="Normal 9 2 10 2 2 2" xfId="28418"/>
    <cellStyle name="Normal 9 2 10 2 2 2 2" xfId="57279"/>
    <cellStyle name="Normal 9 2 10 2 2 3" xfId="40232"/>
    <cellStyle name="Normal 9 2 10 2 3" xfId="22440"/>
    <cellStyle name="Normal 9 2 10 2 3 2" xfId="51301"/>
    <cellStyle name="Normal 9 2 10 2 4" xfId="34191"/>
    <cellStyle name="Normal 9 2 10 3" xfId="8485"/>
    <cellStyle name="Normal 9 2 10 3 2" xfId="25532"/>
    <cellStyle name="Normal 9 2 10 3 2 2" xfId="54393"/>
    <cellStyle name="Normal 9 2 10 3 3" xfId="37346"/>
    <cellStyle name="Normal 9 2 10 4" xfId="13902"/>
    <cellStyle name="Normal 9 2 10 4 2" xfId="19760"/>
    <cellStyle name="Normal 9 2 10 4 2 2" xfId="48621"/>
    <cellStyle name="Normal 9 2 10 4 3" xfId="42763"/>
    <cellStyle name="Normal 9 2 10 5" xfId="17080"/>
    <cellStyle name="Normal 9 2 10 5 2" xfId="45941"/>
    <cellStyle name="Normal 9 2 10 6" xfId="31305"/>
    <cellStyle name="Normal 9 2 11" xfId="2652"/>
    <cellStyle name="Normal 9 2 11 2" xfId="5538"/>
    <cellStyle name="Normal 9 2 11 2 2" xfId="11579"/>
    <cellStyle name="Normal 9 2 11 2 2 2" xfId="28626"/>
    <cellStyle name="Normal 9 2 11 2 2 2 2" xfId="57487"/>
    <cellStyle name="Normal 9 2 11 2 2 3" xfId="40440"/>
    <cellStyle name="Normal 9 2 11 2 3" xfId="22648"/>
    <cellStyle name="Normal 9 2 11 2 3 2" xfId="51509"/>
    <cellStyle name="Normal 9 2 11 2 4" xfId="34399"/>
    <cellStyle name="Normal 9 2 11 3" xfId="8693"/>
    <cellStyle name="Normal 9 2 11 3 2" xfId="25740"/>
    <cellStyle name="Normal 9 2 11 3 2 2" xfId="54601"/>
    <cellStyle name="Normal 9 2 11 3 3" xfId="37554"/>
    <cellStyle name="Normal 9 2 11 4" xfId="13633"/>
    <cellStyle name="Normal 9 2 11 4 2" xfId="19968"/>
    <cellStyle name="Normal 9 2 11 4 2 2" xfId="48829"/>
    <cellStyle name="Normal 9 2 11 4 3" xfId="42494"/>
    <cellStyle name="Normal 9 2 11 5" xfId="17288"/>
    <cellStyle name="Normal 9 2 11 5 2" xfId="46149"/>
    <cellStyle name="Normal 9 2 11 6" xfId="31513"/>
    <cellStyle name="Normal 9 2 12" xfId="3167"/>
    <cellStyle name="Normal 9 2 12 2" xfId="9208"/>
    <cellStyle name="Normal 9 2 12 2 2" xfId="26255"/>
    <cellStyle name="Normal 9 2 12 2 2 2" xfId="55116"/>
    <cellStyle name="Normal 9 2 12 2 3" xfId="38069"/>
    <cellStyle name="Normal 9 2 12 3" xfId="13947"/>
    <cellStyle name="Normal 9 2 12 3 2" xfId="20277"/>
    <cellStyle name="Normal 9 2 12 3 2 2" xfId="49138"/>
    <cellStyle name="Normal 9 2 12 3 3" xfId="42808"/>
    <cellStyle name="Normal 9 2 12 4" xfId="14917"/>
    <cellStyle name="Normal 9 2 12 4 2" xfId="43778"/>
    <cellStyle name="Normal 9 2 12 5" xfId="32028"/>
    <cellStyle name="Normal 9 2 13" xfId="2858"/>
    <cellStyle name="Normal 9 2 13 2" xfId="8899"/>
    <cellStyle name="Normal 9 2 13 2 2" xfId="25946"/>
    <cellStyle name="Normal 9 2 13 2 2 2" xfId="54807"/>
    <cellStyle name="Normal 9 2 13 2 3" xfId="37760"/>
    <cellStyle name="Normal 9 2 13 3" xfId="17494"/>
    <cellStyle name="Normal 9 2 13 3 2" xfId="46355"/>
    <cellStyle name="Normal 9 2 13 4" xfId="31719"/>
    <cellStyle name="Normal 9 2 14" xfId="5744"/>
    <cellStyle name="Normal 9 2 14 2" xfId="11785"/>
    <cellStyle name="Normal 9 2 14 2 2" xfId="28832"/>
    <cellStyle name="Normal 9 2 14 2 2 2" xfId="57693"/>
    <cellStyle name="Normal 9 2 14 2 3" xfId="40646"/>
    <cellStyle name="Normal 9 2 14 3" xfId="22854"/>
    <cellStyle name="Normal 9 2 14 3 2" xfId="51715"/>
    <cellStyle name="Normal 9 2 14 4" xfId="34605"/>
    <cellStyle name="Normal 9 2 15" xfId="5961"/>
    <cellStyle name="Normal 9 2 15 2" xfId="23060"/>
    <cellStyle name="Normal 9 2 15 2 2" xfId="51921"/>
    <cellStyle name="Normal 9 2 15 3" xfId="34822"/>
    <cellStyle name="Normal 9 2 16" xfId="6322"/>
    <cellStyle name="Normal 9 2 16 2" xfId="23369"/>
    <cellStyle name="Normal 9 2 16 2 2" xfId="52230"/>
    <cellStyle name="Normal 9 2 16 3" xfId="35183"/>
    <cellStyle name="Normal 9 2 17" xfId="14608"/>
    <cellStyle name="Normal 9 2 17 2" xfId="43469"/>
    <cellStyle name="Normal 9 2 18" xfId="29142"/>
    <cellStyle name="Normal 9 2 2" xfId="486"/>
    <cellStyle name="Normal 9 2 2 2" xfId="2237"/>
    <cellStyle name="Normal 9 2 2 2 2" xfId="5124"/>
    <cellStyle name="Normal 9 2 2 2 2 2" xfId="11165"/>
    <cellStyle name="Normal 9 2 2 2 2 2 2" xfId="28212"/>
    <cellStyle name="Normal 9 2 2 2 2 2 2 2" xfId="57073"/>
    <cellStyle name="Normal 9 2 2 2 2 2 3" xfId="40026"/>
    <cellStyle name="Normal 9 2 2 2 2 3" xfId="22234"/>
    <cellStyle name="Normal 9 2 2 2 2 3 2" xfId="51095"/>
    <cellStyle name="Normal 9 2 2 2 2 4" xfId="33985"/>
    <cellStyle name="Normal 9 2 2 2 3" xfId="8279"/>
    <cellStyle name="Normal 9 2 2 2 3 2" xfId="25326"/>
    <cellStyle name="Normal 9 2 2 2 3 2 2" xfId="54187"/>
    <cellStyle name="Normal 9 2 2 2 3 3" xfId="37140"/>
    <cellStyle name="Normal 9 2 2 2 4" xfId="14284"/>
    <cellStyle name="Normal 9 2 2 2 4 2" xfId="19554"/>
    <cellStyle name="Normal 9 2 2 2 4 2 2" xfId="48415"/>
    <cellStyle name="Normal 9 2 2 2 4 3" xfId="43145"/>
    <cellStyle name="Normal 9 2 2 2 5" xfId="16874"/>
    <cellStyle name="Normal 9 2 2 2 5 2" xfId="45735"/>
    <cellStyle name="Normal 9 2 2 2 6" xfId="31099"/>
    <cellStyle name="Normal 9 2 2 3" xfId="3373"/>
    <cellStyle name="Normal 9 2 2 3 2" xfId="9414"/>
    <cellStyle name="Normal 9 2 2 3 2 2" xfId="26461"/>
    <cellStyle name="Normal 9 2 2 3 2 2 2" xfId="55322"/>
    <cellStyle name="Normal 9 2 2 3 2 3" xfId="38275"/>
    <cellStyle name="Normal 9 2 2 3 3" xfId="20483"/>
    <cellStyle name="Normal 9 2 2 3 3 2" xfId="49344"/>
    <cellStyle name="Normal 9 2 2 3 4" xfId="32234"/>
    <cellStyle name="Normal 9 2 2 4" xfId="6528"/>
    <cellStyle name="Normal 9 2 2 4 2" xfId="23575"/>
    <cellStyle name="Normal 9 2 2 4 2 2" xfId="52436"/>
    <cellStyle name="Normal 9 2 2 4 3" xfId="35389"/>
    <cellStyle name="Normal 9 2 2 5" xfId="14148"/>
    <cellStyle name="Normal 9 2 2 5 2" xfId="17803"/>
    <cellStyle name="Normal 9 2 2 5 2 2" xfId="46664"/>
    <cellStyle name="Normal 9 2 2 5 3" xfId="43009"/>
    <cellStyle name="Normal 9 2 2 6" xfId="15123"/>
    <cellStyle name="Normal 9 2 2 6 2" xfId="43984"/>
    <cellStyle name="Normal 9 2 2 7" xfId="29348"/>
    <cellStyle name="Normal 9 2 3" xfId="795"/>
    <cellStyle name="Normal 9 2 3 2" xfId="3682"/>
    <cellStyle name="Normal 9 2 3 2 2" xfId="9723"/>
    <cellStyle name="Normal 9 2 3 2 2 2" xfId="26770"/>
    <cellStyle name="Normal 9 2 3 2 2 2 2" xfId="55631"/>
    <cellStyle name="Normal 9 2 3 2 2 3" xfId="38584"/>
    <cellStyle name="Normal 9 2 3 2 3" xfId="20792"/>
    <cellStyle name="Normal 9 2 3 2 3 2" xfId="49653"/>
    <cellStyle name="Normal 9 2 3 2 4" xfId="32543"/>
    <cellStyle name="Normal 9 2 3 3" xfId="6837"/>
    <cellStyle name="Normal 9 2 3 3 2" xfId="23884"/>
    <cellStyle name="Normal 9 2 3 3 2 2" xfId="52745"/>
    <cellStyle name="Normal 9 2 3 3 3" xfId="35698"/>
    <cellStyle name="Normal 9 2 3 4" xfId="5856"/>
    <cellStyle name="Normal 9 2 3 4 2" xfId="18112"/>
    <cellStyle name="Normal 9 2 3 4 2 2" xfId="46973"/>
    <cellStyle name="Normal 9 2 3 4 3" xfId="34717"/>
    <cellStyle name="Normal 9 2 3 5" xfId="15432"/>
    <cellStyle name="Normal 9 2 3 5 2" xfId="44293"/>
    <cellStyle name="Normal 9 2 3 6" xfId="29657"/>
    <cellStyle name="Normal 9 2 4" xfId="1001"/>
    <cellStyle name="Normal 9 2 4 2" xfId="3888"/>
    <cellStyle name="Normal 9 2 4 2 2" xfId="9929"/>
    <cellStyle name="Normal 9 2 4 2 2 2" xfId="26976"/>
    <cellStyle name="Normal 9 2 4 2 2 2 2" xfId="55837"/>
    <cellStyle name="Normal 9 2 4 2 2 3" xfId="38790"/>
    <cellStyle name="Normal 9 2 4 2 3" xfId="20998"/>
    <cellStyle name="Normal 9 2 4 2 3 2" xfId="49859"/>
    <cellStyle name="Normal 9 2 4 2 4" xfId="32749"/>
    <cellStyle name="Normal 9 2 4 3" xfId="7043"/>
    <cellStyle name="Normal 9 2 4 3 2" xfId="24090"/>
    <cellStyle name="Normal 9 2 4 3 2 2" xfId="52951"/>
    <cellStyle name="Normal 9 2 4 3 3" xfId="35904"/>
    <cellStyle name="Normal 9 2 4 4" xfId="13752"/>
    <cellStyle name="Normal 9 2 4 4 2" xfId="18318"/>
    <cellStyle name="Normal 9 2 4 4 2 2" xfId="47179"/>
    <cellStyle name="Normal 9 2 4 4 3" xfId="42613"/>
    <cellStyle name="Normal 9 2 4 5" xfId="15638"/>
    <cellStyle name="Normal 9 2 4 5 2" xfId="44499"/>
    <cellStyle name="Normal 9 2 4 6" xfId="29863"/>
    <cellStyle name="Normal 9 2 5" xfId="1207"/>
    <cellStyle name="Normal 9 2 5 2" xfId="4094"/>
    <cellStyle name="Normal 9 2 5 2 2" xfId="10135"/>
    <cellStyle name="Normal 9 2 5 2 2 2" xfId="27182"/>
    <cellStyle name="Normal 9 2 5 2 2 2 2" xfId="56043"/>
    <cellStyle name="Normal 9 2 5 2 2 3" xfId="38996"/>
    <cellStyle name="Normal 9 2 5 2 3" xfId="21204"/>
    <cellStyle name="Normal 9 2 5 2 3 2" xfId="50065"/>
    <cellStyle name="Normal 9 2 5 2 4" xfId="32955"/>
    <cellStyle name="Normal 9 2 5 3" xfId="7249"/>
    <cellStyle name="Normal 9 2 5 3 2" xfId="24296"/>
    <cellStyle name="Normal 9 2 5 3 2 2" xfId="53157"/>
    <cellStyle name="Normal 9 2 5 3 3" xfId="36110"/>
    <cellStyle name="Normal 9 2 5 4" xfId="14360"/>
    <cellStyle name="Normal 9 2 5 4 2" xfId="18524"/>
    <cellStyle name="Normal 9 2 5 4 2 2" xfId="47385"/>
    <cellStyle name="Normal 9 2 5 4 3" xfId="43221"/>
    <cellStyle name="Normal 9 2 5 5" xfId="15844"/>
    <cellStyle name="Normal 9 2 5 5 2" xfId="44705"/>
    <cellStyle name="Normal 9 2 5 6" xfId="30069"/>
    <cellStyle name="Normal 9 2 6" xfId="1413"/>
    <cellStyle name="Normal 9 2 6 2" xfId="4300"/>
    <cellStyle name="Normal 9 2 6 2 2" xfId="10341"/>
    <cellStyle name="Normal 9 2 6 2 2 2" xfId="27388"/>
    <cellStyle name="Normal 9 2 6 2 2 2 2" xfId="56249"/>
    <cellStyle name="Normal 9 2 6 2 2 3" xfId="39202"/>
    <cellStyle name="Normal 9 2 6 2 3" xfId="21410"/>
    <cellStyle name="Normal 9 2 6 2 3 2" xfId="50271"/>
    <cellStyle name="Normal 9 2 6 2 4" xfId="33161"/>
    <cellStyle name="Normal 9 2 6 3" xfId="7455"/>
    <cellStyle name="Normal 9 2 6 3 2" xfId="24502"/>
    <cellStyle name="Normal 9 2 6 3 2 2" xfId="53363"/>
    <cellStyle name="Normal 9 2 6 3 3" xfId="36316"/>
    <cellStyle name="Normal 9 2 6 4" xfId="14169"/>
    <cellStyle name="Normal 9 2 6 4 2" xfId="18730"/>
    <cellStyle name="Normal 9 2 6 4 2 2" xfId="47591"/>
    <cellStyle name="Normal 9 2 6 4 3" xfId="43030"/>
    <cellStyle name="Normal 9 2 6 5" xfId="16050"/>
    <cellStyle name="Normal 9 2 6 5 2" xfId="44911"/>
    <cellStyle name="Normal 9 2 6 6" xfId="30275"/>
    <cellStyle name="Normal 9 2 7" xfId="1619"/>
    <cellStyle name="Normal 9 2 7 2" xfId="4506"/>
    <cellStyle name="Normal 9 2 7 2 2" xfId="10547"/>
    <cellStyle name="Normal 9 2 7 2 2 2" xfId="27594"/>
    <cellStyle name="Normal 9 2 7 2 2 2 2" xfId="56455"/>
    <cellStyle name="Normal 9 2 7 2 2 3" xfId="39408"/>
    <cellStyle name="Normal 9 2 7 2 3" xfId="21616"/>
    <cellStyle name="Normal 9 2 7 2 3 2" xfId="50477"/>
    <cellStyle name="Normal 9 2 7 2 4" xfId="33367"/>
    <cellStyle name="Normal 9 2 7 3" xfId="7661"/>
    <cellStyle name="Normal 9 2 7 3 2" xfId="24708"/>
    <cellStyle name="Normal 9 2 7 3 2 2" xfId="53569"/>
    <cellStyle name="Normal 9 2 7 3 3" xfId="36522"/>
    <cellStyle name="Normal 9 2 7 4" xfId="13347"/>
    <cellStyle name="Normal 9 2 7 4 2" xfId="18936"/>
    <cellStyle name="Normal 9 2 7 4 2 2" xfId="47797"/>
    <cellStyle name="Normal 9 2 7 4 3" xfId="42208"/>
    <cellStyle name="Normal 9 2 7 5" xfId="16256"/>
    <cellStyle name="Normal 9 2 7 5 2" xfId="45117"/>
    <cellStyle name="Normal 9 2 7 6" xfId="30481"/>
    <cellStyle name="Normal 9 2 8" xfId="1825"/>
    <cellStyle name="Normal 9 2 8 2" xfId="4712"/>
    <cellStyle name="Normal 9 2 8 2 2" xfId="10753"/>
    <cellStyle name="Normal 9 2 8 2 2 2" xfId="27800"/>
    <cellStyle name="Normal 9 2 8 2 2 2 2" xfId="56661"/>
    <cellStyle name="Normal 9 2 8 2 2 3" xfId="39614"/>
    <cellStyle name="Normal 9 2 8 2 3" xfId="21822"/>
    <cellStyle name="Normal 9 2 8 2 3 2" xfId="50683"/>
    <cellStyle name="Normal 9 2 8 2 4" xfId="33573"/>
    <cellStyle name="Normal 9 2 8 3" xfId="7867"/>
    <cellStyle name="Normal 9 2 8 3 2" xfId="24914"/>
    <cellStyle name="Normal 9 2 8 3 2 2" xfId="53775"/>
    <cellStyle name="Normal 9 2 8 3 3" xfId="36728"/>
    <cellStyle name="Normal 9 2 8 4" xfId="12335"/>
    <cellStyle name="Normal 9 2 8 4 2" xfId="19142"/>
    <cellStyle name="Normal 9 2 8 4 2 2" xfId="48003"/>
    <cellStyle name="Normal 9 2 8 4 3" xfId="41196"/>
    <cellStyle name="Normal 9 2 8 5" xfId="16462"/>
    <cellStyle name="Normal 9 2 8 5 2" xfId="45323"/>
    <cellStyle name="Normal 9 2 8 6" xfId="30687"/>
    <cellStyle name="Normal 9 2 9" xfId="2031"/>
    <cellStyle name="Normal 9 2 9 2" xfId="4918"/>
    <cellStyle name="Normal 9 2 9 2 2" xfId="10959"/>
    <cellStyle name="Normal 9 2 9 2 2 2" xfId="28006"/>
    <cellStyle name="Normal 9 2 9 2 2 2 2" xfId="56867"/>
    <cellStyle name="Normal 9 2 9 2 2 3" xfId="39820"/>
    <cellStyle name="Normal 9 2 9 2 3" xfId="22028"/>
    <cellStyle name="Normal 9 2 9 2 3 2" xfId="50889"/>
    <cellStyle name="Normal 9 2 9 2 4" xfId="33779"/>
    <cellStyle name="Normal 9 2 9 3" xfId="8073"/>
    <cellStyle name="Normal 9 2 9 3 2" xfId="25120"/>
    <cellStyle name="Normal 9 2 9 3 2 2" xfId="53981"/>
    <cellStyle name="Normal 9 2 9 3 3" xfId="36934"/>
    <cellStyle name="Normal 9 2 9 4" xfId="14318"/>
    <cellStyle name="Normal 9 2 9 4 2" xfId="19348"/>
    <cellStyle name="Normal 9 2 9 4 2 2" xfId="48209"/>
    <cellStyle name="Normal 9 2 9 4 3" xfId="43179"/>
    <cellStyle name="Normal 9 2 9 5" xfId="16668"/>
    <cellStyle name="Normal 9 2 9 5 2" xfId="45529"/>
    <cellStyle name="Normal 9 2 9 6" xfId="30893"/>
    <cellStyle name="Normal 9 20" xfId="28936"/>
    <cellStyle name="Normal 9 3" xfId="177"/>
    <cellStyle name="Normal 9 3 2" xfId="589"/>
    <cellStyle name="Normal 9 3 2 2" xfId="3476"/>
    <cellStyle name="Normal 9 3 2 2 2" xfId="9517"/>
    <cellStyle name="Normal 9 3 2 2 2 2" xfId="26564"/>
    <cellStyle name="Normal 9 3 2 2 2 2 2" xfId="55425"/>
    <cellStyle name="Normal 9 3 2 2 2 3" xfId="38378"/>
    <cellStyle name="Normal 9 3 2 2 3" xfId="20586"/>
    <cellStyle name="Normal 9 3 2 2 3 2" xfId="49447"/>
    <cellStyle name="Normal 9 3 2 2 4" xfId="32337"/>
    <cellStyle name="Normal 9 3 2 3" xfId="6631"/>
    <cellStyle name="Normal 9 3 2 3 2" xfId="23678"/>
    <cellStyle name="Normal 9 3 2 3 2 2" xfId="52539"/>
    <cellStyle name="Normal 9 3 2 3 3" xfId="35492"/>
    <cellStyle name="Normal 9 3 2 4" xfId="13006"/>
    <cellStyle name="Normal 9 3 2 4 2" xfId="17906"/>
    <cellStyle name="Normal 9 3 2 4 2 2" xfId="46767"/>
    <cellStyle name="Normal 9 3 2 4 3" xfId="41867"/>
    <cellStyle name="Normal 9 3 2 5" xfId="15226"/>
    <cellStyle name="Normal 9 3 2 5 2" xfId="44087"/>
    <cellStyle name="Normal 9 3 2 6" xfId="29451"/>
    <cellStyle name="Normal 9 3 3" xfId="2134"/>
    <cellStyle name="Normal 9 3 3 2" xfId="5021"/>
    <cellStyle name="Normal 9 3 3 2 2" xfId="11062"/>
    <cellStyle name="Normal 9 3 3 2 2 2" xfId="28109"/>
    <cellStyle name="Normal 9 3 3 2 2 2 2" xfId="56970"/>
    <cellStyle name="Normal 9 3 3 2 2 3" xfId="39923"/>
    <cellStyle name="Normal 9 3 3 2 3" xfId="22131"/>
    <cellStyle name="Normal 9 3 3 2 3 2" xfId="50992"/>
    <cellStyle name="Normal 9 3 3 2 4" xfId="33882"/>
    <cellStyle name="Normal 9 3 3 3" xfId="8176"/>
    <cellStyle name="Normal 9 3 3 3 2" xfId="25223"/>
    <cellStyle name="Normal 9 3 3 3 2 2" xfId="54084"/>
    <cellStyle name="Normal 9 3 3 3 3" xfId="37037"/>
    <cellStyle name="Normal 9 3 3 4" xfId="14258"/>
    <cellStyle name="Normal 9 3 3 4 2" xfId="19451"/>
    <cellStyle name="Normal 9 3 3 4 2 2" xfId="48312"/>
    <cellStyle name="Normal 9 3 3 4 3" xfId="43119"/>
    <cellStyle name="Normal 9 3 3 5" xfId="16771"/>
    <cellStyle name="Normal 9 3 3 5 2" xfId="45632"/>
    <cellStyle name="Normal 9 3 3 6" xfId="30996"/>
    <cellStyle name="Normal 9 3 4" xfId="3064"/>
    <cellStyle name="Normal 9 3 4 2" xfId="9105"/>
    <cellStyle name="Normal 9 3 4 2 2" xfId="26152"/>
    <cellStyle name="Normal 9 3 4 2 2 2" xfId="55013"/>
    <cellStyle name="Normal 9 3 4 2 3" xfId="37966"/>
    <cellStyle name="Normal 9 3 4 3" xfId="20174"/>
    <cellStyle name="Normal 9 3 4 3 2" xfId="49035"/>
    <cellStyle name="Normal 9 3 4 4" xfId="31925"/>
    <cellStyle name="Normal 9 3 5" xfId="6219"/>
    <cellStyle name="Normal 9 3 5 2" xfId="23266"/>
    <cellStyle name="Normal 9 3 5 2 2" xfId="52127"/>
    <cellStyle name="Normal 9 3 5 3" xfId="35080"/>
    <cellStyle name="Normal 9 3 6" xfId="12068"/>
    <cellStyle name="Normal 9 3 6 2" xfId="17597"/>
    <cellStyle name="Normal 9 3 6 2 2" xfId="46458"/>
    <cellStyle name="Normal 9 3 6 3" xfId="40929"/>
    <cellStyle name="Normal 9 3 7" xfId="14814"/>
    <cellStyle name="Normal 9 3 7 2" xfId="43675"/>
    <cellStyle name="Normal 9 3 8" xfId="29039"/>
    <cellStyle name="Normal 9 4" xfId="383"/>
    <cellStyle name="Normal 9 4 2" xfId="3270"/>
    <cellStyle name="Normal 9 4 2 2" xfId="9311"/>
    <cellStyle name="Normal 9 4 2 2 2" xfId="26358"/>
    <cellStyle name="Normal 9 4 2 2 2 2" xfId="55219"/>
    <cellStyle name="Normal 9 4 2 2 3" xfId="38172"/>
    <cellStyle name="Normal 9 4 2 3" xfId="20380"/>
    <cellStyle name="Normal 9 4 2 3 2" xfId="49241"/>
    <cellStyle name="Normal 9 4 2 4" xfId="32131"/>
    <cellStyle name="Normal 9 4 3" xfId="6425"/>
    <cellStyle name="Normal 9 4 3 2" xfId="23472"/>
    <cellStyle name="Normal 9 4 3 2 2" xfId="52333"/>
    <cellStyle name="Normal 9 4 3 3" xfId="35286"/>
    <cellStyle name="Normal 9 4 4" xfId="6085"/>
    <cellStyle name="Normal 9 4 4 2" xfId="17700"/>
    <cellStyle name="Normal 9 4 4 2 2" xfId="46561"/>
    <cellStyle name="Normal 9 4 4 3" xfId="34946"/>
    <cellStyle name="Normal 9 4 5" xfId="15020"/>
    <cellStyle name="Normal 9 4 5 2" xfId="43881"/>
    <cellStyle name="Normal 9 4 6" xfId="29245"/>
    <cellStyle name="Normal 9 5" xfId="692"/>
    <cellStyle name="Normal 9 5 2" xfId="3579"/>
    <cellStyle name="Normal 9 5 2 2" xfId="9620"/>
    <cellStyle name="Normal 9 5 2 2 2" xfId="26667"/>
    <cellStyle name="Normal 9 5 2 2 2 2" xfId="55528"/>
    <cellStyle name="Normal 9 5 2 2 3" xfId="38481"/>
    <cellStyle name="Normal 9 5 2 3" xfId="20689"/>
    <cellStyle name="Normal 9 5 2 3 2" xfId="49550"/>
    <cellStyle name="Normal 9 5 2 4" xfId="32440"/>
    <cellStyle name="Normal 9 5 3" xfId="6734"/>
    <cellStyle name="Normal 9 5 3 2" xfId="23781"/>
    <cellStyle name="Normal 9 5 3 2 2" xfId="52642"/>
    <cellStyle name="Normal 9 5 3 3" xfId="35595"/>
    <cellStyle name="Normal 9 5 4" xfId="13720"/>
    <cellStyle name="Normal 9 5 4 2" xfId="18009"/>
    <cellStyle name="Normal 9 5 4 2 2" xfId="46870"/>
    <cellStyle name="Normal 9 5 4 3" xfId="42581"/>
    <cellStyle name="Normal 9 5 5" xfId="15329"/>
    <cellStyle name="Normal 9 5 5 2" xfId="44190"/>
    <cellStyle name="Normal 9 5 6" xfId="29554"/>
    <cellStyle name="Normal 9 6" xfId="898"/>
    <cellStyle name="Normal 9 6 2" xfId="3785"/>
    <cellStyle name="Normal 9 6 2 2" xfId="9826"/>
    <cellStyle name="Normal 9 6 2 2 2" xfId="26873"/>
    <cellStyle name="Normal 9 6 2 2 2 2" xfId="55734"/>
    <cellStyle name="Normal 9 6 2 2 3" xfId="38687"/>
    <cellStyle name="Normal 9 6 2 3" xfId="20895"/>
    <cellStyle name="Normal 9 6 2 3 2" xfId="49756"/>
    <cellStyle name="Normal 9 6 2 4" xfId="32646"/>
    <cellStyle name="Normal 9 6 3" xfId="6940"/>
    <cellStyle name="Normal 9 6 3 2" xfId="23987"/>
    <cellStyle name="Normal 9 6 3 2 2" xfId="52848"/>
    <cellStyle name="Normal 9 6 3 3" xfId="35801"/>
    <cellStyle name="Normal 9 6 4" xfId="13572"/>
    <cellStyle name="Normal 9 6 4 2" xfId="18215"/>
    <cellStyle name="Normal 9 6 4 2 2" xfId="47076"/>
    <cellStyle name="Normal 9 6 4 3" xfId="42433"/>
    <cellStyle name="Normal 9 6 5" xfId="15535"/>
    <cellStyle name="Normal 9 6 5 2" xfId="44396"/>
    <cellStyle name="Normal 9 6 6" xfId="29760"/>
    <cellStyle name="Normal 9 7" xfId="1104"/>
    <cellStyle name="Normal 9 7 2" xfId="3991"/>
    <cellStyle name="Normal 9 7 2 2" xfId="10032"/>
    <cellStyle name="Normal 9 7 2 2 2" xfId="27079"/>
    <cellStyle name="Normal 9 7 2 2 2 2" xfId="55940"/>
    <cellStyle name="Normal 9 7 2 2 3" xfId="38893"/>
    <cellStyle name="Normal 9 7 2 3" xfId="21101"/>
    <cellStyle name="Normal 9 7 2 3 2" xfId="49962"/>
    <cellStyle name="Normal 9 7 2 4" xfId="32852"/>
    <cellStyle name="Normal 9 7 3" xfId="7146"/>
    <cellStyle name="Normal 9 7 3 2" xfId="24193"/>
    <cellStyle name="Normal 9 7 3 2 2" xfId="53054"/>
    <cellStyle name="Normal 9 7 3 3" xfId="36007"/>
    <cellStyle name="Normal 9 7 4" xfId="13100"/>
    <cellStyle name="Normal 9 7 4 2" xfId="18421"/>
    <cellStyle name="Normal 9 7 4 2 2" xfId="47282"/>
    <cellStyle name="Normal 9 7 4 3" xfId="41961"/>
    <cellStyle name="Normal 9 7 5" xfId="15741"/>
    <cellStyle name="Normal 9 7 5 2" xfId="44602"/>
    <cellStyle name="Normal 9 7 6" xfId="29966"/>
    <cellStyle name="Normal 9 8" xfId="1310"/>
    <cellStyle name="Normal 9 8 2" xfId="4197"/>
    <cellStyle name="Normal 9 8 2 2" xfId="10238"/>
    <cellStyle name="Normal 9 8 2 2 2" xfId="27285"/>
    <cellStyle name="Normal 9 8 2 2 2 2" xfId="56146"/>
    <cellStyle name="Normal 9 8 2 2 3" xfId="39099"/>
    <cellStyle name="Normal 9 8 2 3" xfId="21307"/>
    <cellStyle name="Normal 9 8 2 3 2" xfId="50168"/>
    <cellStyle name="Normal 9 8 2 4" xfId="33058"/>
    <cellStyle name="Normal 9 8 3" xfId="7352"/>
    <cellStyle name="Normal 9 8 3 2" xfId="24399"/>
    <cellStyle name="Normal 9 8 3 2 2" xfId="53260"/>
    <cellStyle name="Normal 9 8 3 3" xfId="36213"/>
    <cellStyle name="Normal 9 8 4" xfId="13985"/>
    <cellStyle name="Normal 9 8 4 2" xfId="18627"/>
    <cellStyle name="Normal 9 8 4 2 2" xfId="47488"/>
    <cellStyle name="Normal 9 8 4 3" xfId="42846"/>
    <cellStyle name="Normal 9 8 5" xfId="15947"/>
    <cellStyle name="Normal 9 8 5 2" xfId="44808"/>
    <cellStyle name="Normal 9 8 6" xfId="30172"/>
    <cellStyle name="Normal 9 9" xfId="1516"/>
    <cellStyle name="Normal 9 9 2" xfId="4403"/>
    <cellStyle name="Normal 9 9 2 2" xfId="10444"/>
    <cellStyle name="Normal 9 9 2 2 2" xfId="27491"/>
    <cellStyle name="Normal 9 9 2 2 2 2" xfId="56352"/>
    <cellStyle name="Normal 9 9 2 2 3" xfId="39305"/>
    <cellStyle name="Normal 9 9 2 3" xfId="21513"/>
    <cellStyle name="Normal 9 9 2 3 2" xfId="50374"/>
    <cellStyle name="Normal 9 9 2 4" xfId="33264"/>
    <cellStyle name="Normal 9 9 3" xfId="7558"/>
    <cellStyle name="Normal 9 9 3 2" xfId="24605"/>
    <cellStyle name="Normal 9 9 3 2 2" xfId="53466"/>
    <cellStyle name="Normal 9 9 3 3" xfId="36419"/>
    <cellStyle name="Normal 9 9 4" xfId="13906"/>
    <cellStyle name="Normal 9 9 4 2" xfId="18833"/>
    <cellStyle name="Normal 9 9 4 2 2" xfId="47694"/>
    <cellStyle name="Normal 9 9 4 3" xfId="42767"/>
    <cellStyle name="Normal 9 9 5" xfId="16153"/>
    <cellStyle name="Normal 9 9 5 2" xfId="45014"/>
    <cellStyle name="Normal 9 9 6" xfId="30378"/>
    <cellStyle name="Note" xfId="57784" builtinId="10" customBuiltin="1"/>
    <cellStyle name="Note 2" xfId="90"/>
    <cellStyle name="Note 2 10" xfId="1326"/>
    <cellStyle name="Note 2 10 2" xfId="4213"/>
    <cellStyle name="Note 2 10 2 2" xfId="10254"/>
    <cellStyle name="Note 2 10 2 2 2" xfId="27301"/>
    <cellStyle name="Note 2 10 2 2 2 2" xfId="56162"/>
    <cellStyle name="Note 2 10 2 2 3" xfId="39115"/>
    <cellStyle name="Note 2 10 2 3" xfId="21323"/>
    <cellStyle name="Note 2 10 2 3 2" xfId="50184"/>
    <cellStyle name="Note 2 10 2 4" xfId="33074"/>
    <cellStyle name="Note 2 10 3" xfId="7368"/>
    <cellStyle name="Note 2 10 3 2" xfId="24415"/>
    <cellStyle name="Note 2 10 3 2 2" xfId="53276"/>
    <cellStyle name="Note 2 10 3 3" xfId="36229"/>
    <cellStyle name="Note 2 10 4" xfId="12490"/>
    <cellStyle name="Note 2 10 4 2" xfId="18643"/>
    <cellStyle name="Note 2 10 4 2 2" xfId="47504"/>
    <cellStyle name="Note 2 10 4 3" xfId="41351"/>
    <cellStyle name="Note 2 10 5" xfId="15963"/>
    <cellStyle name="Note 2 10 5 2" xfId="44824"/>
    <cellStyle name="Note 2 10 6" xfId="30188"/>
    <cellStyle name="Note 2 11" xfId="1532"/>
    <cellStyle name="Note 2 11 2" xfId="4419"/>
    <cellStyle name="Note 2 11 2 2" xfId="10460"/>
    <cellStyle name="Note 2 11 2 2 2" xfId="27507"/>
    <cellStyle name="Note 2 11 2 2 2 2" xfId="56368"/>
    <cellStyle name="Note 2 11 2 2 3" xfId="39321"/>
    <cellStyle name="Note 2 11 2 3" xfId="21529"/>
    <cellStyle name="Note 2 11 2 3 2" xfId="50390"/>
    <cellStyle name="Note 2 11 2 4" xfId="33280"/>
    <cellStyle name="Note 2 11 3" xfId="7574"/>
    <cellStyle name="Note 2 11 3 2" xfId="24621"/>
    <cellStyle name="Note 2 11 3 2 2" xfId="53482"/>
    <cellStyle name="Note 2 11 3 3" xfId="36435"/>
    <cellStyle name="Note 2 11 4" xfId="11952"/>
    <cellStyle name="Note 2 11 4 2" xfId="18849"/>
    <cellStyle name="Note 2 11 4 2 2" xfId="47710"/>
    <cellStyle name="Note 2 11 4 3" xfId="40813"/>
    <cellStyle name="Note 2 11 5" xfId="16169"/>
    <cellStyle name="Note 2 11 5 2" xfId="45030"/>
    <cellStyle name="Note 2 11 6" xfId="30394"/>
    <cellStyle name="Note 2 12" xfId="1738"/>
    <cellStyle name="Note 2 12 2" xfId="4625"/>
    <cellStyle name="Note 2 12 2 2" xfId="10666"/>
    <cellStyle name="Note 2 12 2 2 2" xfId="27713"/>
    <cellStyle name="Note 2 12 2 2 2 2" xfId="56574"/>
    <cellStyle name="Note 2 12 2 2 3" xfId="39527"/>
    <cellStyle name="Note 2 12 2 3" xfId="21735"/>
    <cellStyle name="Note 2 12 2 3 2" xfId="50596"/>
    <cellStyle name="Note 2 12 2 4" xfId="33486"/>
    <cellStyle name="Note 2 12 3" xfId="7780"/>
    <cellStyle name="Note 2 12 3 2" xfId="24827"/>
    <cellStyle name="Note 2 12 3 2 2" xfId="53688"/>
    <cellStyle name="Note 2 12 3 3" xfId="36641"/>
    <cellStyle name="Note 2 12 4" xfId="12207"/>
    <cellStyle name="Note 2 12 4 2" xfId="19055"/>
    <cellStyle name="Note 2 12 4 2 2" xfId="47916"/>
    <cellStyle name="Note 2 12 4 3" xfId="41068"/>
    <cellStyle name="Note 2 12 5" xfId="16375"/>
    <cellStyle name="Note 2 12 5 2" xfId="45236"/>
    <cellStyle name="Note 2 12 6" xfId="30600"/>
    <cellStyle name="Note 2 13" xfId="1944"/>
    <cellStyle name="Note 2 13 2" xfId="4831"/>
    <cellStyle name="Note 2 13 2 2" xfId="10872"/>
    <cellStyle name="Note 2 13 2 2 2" xfId="27919"/>
    <cellStyle name="Note 2 13 2 2 2 2" xfId="56780"/>
    <cellStyle name="Note 2 13 2 2 3" xfId="39733"/>
    <cellStyle name="Note 2 13 2 3" xfId="21941"/>
    <cellStyle name="Note 2 13 2 3 2" xfId="50802"/>
    <cellStyle name="Note 2 13 2 4" xfId="33692"/>
    <cellStyle name="Note 2 13 3" xfId="7986"/>
    <cellStyle name="Note 2 13 3 2" xfId="25033"/>
    <cellStyle name="Note 2 13 3 2 2" xfId="53894"/>
    <cellStyle name="Note 2 13 3 3" xfId="36847"/>
    <cellStyle name="Note 2 13 4" xfId="13364"/>
    <cellStyle name="Note 2 13 4 2" xfId="19261"/>
    <cellStyle name="Note 2 13 4 2 2" xfId="48122"/>
    <cellStyle name="Note 2 13 4 3" xfId="42225"/>
    <cellStyle name="Note 2 13 5" xfId="16581"/>
    <cellStyle name="Note 2 13 5 2" xfId="45442"/>
    <cellStyle name="Note 2 13 6" xfId="30806"/>
    <cellStyle name="Note 2 14" xfId="2356"/>
    <cellStyle name="Note 2 14 2" xfId="5243"/>
    <cellStyle name="Note 2 14 2 2" xfId="11284"/>
    <cellStyle name="Note 2 14 2 2 2" xfId="28331"/>
    <cellStyle name="Note 2 14 2 2 2 2" xfId="57192"/>
    <cellStyle name="Note 2 14 2 2 3" xfId="40145"/>
    <cellStyle name="Note 2 14 2 3" xfId="22353"/>
    <cellStyle name="Note 2 14 2 3 2" xfId="51214"/>
    <cellStyle name="Note 2 14 2 4" xfId="34104"/>
    <cellStyle name="Note 2 14 3" xfId="8398"/>
    <cellStyle name="Note 2 14 3 2" xfId="25445"/>
    <cellStyle name="Note 2 14 3 2 2" xfId="54306"/>
    <cellStyle name="Note 2 14 3 3" xfId="37259"/>
    <cellStyle name="Note 2 14 4" xfId="12438"/>
    <cellStyle name="Note 2 14 4 2" xfId="19673"/>
    <cellStyle name="Note 2 14 4 2 2" xfId="48534"/>
    <cellStyle name="Note 2 14 4 3" xfId="41299"/>
    <cellStyle name="Note 2 14 5" xfId="16993"/>
    <cellStyle name="Note 2 14 5 2" xfId="45854"/>
    <cellStyle name="Note 2 14 6" xfId="31218"/>
    <cellStyle name="Note 2 15" xfId="2565"/>
    <cellStyle name="Note 2 15 2" xfId="5451"/>
    <cellStyle name="Note 2 15 2 2" xfId="11492"/>
    <cellStyle name="Note 2 15 2 2 2" xfId="28539"/>
    <cellStyle name="Note 2 15 2 2 2 2" xfId="57400"/>
    <cellStyle name="Note 2 15 2 2 3" xfId="40353"/>
    <cellStyle name="Note 2 15 2 3" xfId="22561"/>
    <cellStyle name="Note 2 15 2 3 2" xfId="51422"/>
    <cellStyle name="Note 2 15 2 4" xfId="34312"/>
    <cellStyle name="Note 2 15 3" xfId="8606"/>
    <cellStyle name="Note 2 15 3 2" xfId="25653"/>
    <cellStyle name="Note 2 15 3 2 2" xfId="54514"/>
    <cellStyle name="Note 2 15 3 3" xfId="37467"/>
    <cellStyle name="Note 2 15 4" xfId="12745"/>
    <cellStyle name="Note 2 15 4 2" xfId="19881"/>
    <cellStyle name="Note 2 15 4 2 2" xfId="48742"/>
    <cellStyle name="Note 2 15 4 3" xfId="41606"/>
    <cellStyle name="Note 2 15 5" xfId="17201"/>
    <cellStyle name="Note 2 15 5 2" xfId="46062"/>
    <cellStyle name="Note 2 15 6" xfId="31426"/>
    <cellStyle name="Note 2 16" xfId="2977"/>
    <cellStyle name="Note 2 16 2" xfId="9018"/>
    <cellStyle name="Note 2 16 2 2" xfId="26065"/>
    <cellStyle name="Note 2 16 2 2 2" xfId="54926"/>
    <cellStyle name="Note 2 16 2 3" xfId="37879"/>
    <cellStyle name="Note 2 16 3" xfId="12564"/>
    <cellStyle name="Note 2 16 3 2" xfId="20087"/>
    <cellStyle name="Note 2 16 3 2 2" xfId="48948"/>
    <cellStyle name="Note 2 16 3 3" xfId="41425"/>
    <cellStyle name="Note 2 16 4" xfId="14727"/>
    <cellStyle name="Note 2 16 4 2" xfId="43588"/>
    <cellStyle name="Note 2 16 5" xfId="31838"/>
    <cellStyle name="Note 2 17" xfId="2771"/>
    <cellStyle name="Note 2 17 2" xfId="8812"/>
    <cellStyle name="Note 2 17 2 2" xfId="25859"/>
    <cellStyle name="Note 2 17 2 2 2" xfId="54720"/>
    <cellStyle name="Note 2 17 2 3" xfId="37673"/>
    <cellStyle name="Note 2 17 3" xfId="17407"/>
    <cellStyle name="Note 2 17 3 2" xfId="46268"/>
    <cellStyle name="Note 2 17 4" xfId="31632"/>
    <cellStyle name="Note 2 18" xfId="5657"/>
    <cellStyle name="Note 2 18 2" xfId="11698"/>
    <cellStyle name="Note 2 18 2 2" xfId="28745"/>
    <cellStyle name="Note 2 18 2 2 2" xfId="57606"/>
    <cellStyle name="Note 2 18 2 3" xfId="40559"/>
    <cellStyle name="Note 2 18 3" xfId="22767"/>
    <cellStyle name="Note 2 18 3 2" xfId="51628"/>
    <cellStyle name="Note 2 18 4" xfId="34518"/>
    <cellStyle name="Note 2 19" xfId="5874"/>
    <cellStyle name="Note 2 19 2" xfId="22973"/>
    <cellStyle name="Note 2 19 2 2" xfId="51834"/>
    <cellStyle name="Note 2 19 3" xfId="34735"/>
    <cellStyle name="Note 2 2" xfId="116"/>
    <cellStyle name="Note 2 2 10" xfId="1764"/>
    <cellStyle name="Note 2 2 10 2" xfId="4651"/>
    <cellStyle name="Note 2 2 10 2 2" xfId="10692"/>
    <cellStyle name="Note 2 2 10 2 2 2" xfId="27739"/>
    <cellStyle name="Note 2 2 10 2 2 2 2" xfId="56600"/>
    <cellStyle name="Note 2 2 10 2 2 3" xfId="39553"/>
    <cellStyle name="Note 2 2 10 2 3" xfId="21761"/>
    <cellStyle name="Note 2 2 10 2 3 2" xfId="50622"/>
    <cellStyle name="Note 2 2 10 2 4" xfId="33512"/>
    <cellStyle name="Note 2 2 10 3" xfId="7806"/>
    <cellStyle name="Note 2 2 10 3 2" xfId="24853"/>
    <cellStyle name="Note 2 2 10 3 2 2" xfId="53714"/>
    <cellStyle name="Note 2 2 10 3 3" xfId="36667"/>
    <cellStyle name="Note 2 2 10 4" xfId="12558"/>
    <cellStyle name="Note 2 2 10 4 2" xfId="19081"/>
    <cellStyle name="Note 2 2 10 4 2 2" xfId="47942"/>
    <cellStyle name="Note 2 2 10 4 3" xfId="41419"/>
    <cellStyle name="Note 2 2 10 5" xfId="16401"/>
    <cellStyle name="Note 2 2 10 5 2" xfId="45262"/>
    <cellStyle name="Note 2 2 10 6" xfId="30626"/>
    <cellStyle name="Note 2 2 11" xfId="1970"/>
    <cellStyle name="Note 2 2 11 2" xfId="4857"/>
    <cellStyle name="Note 2 2 11 2 2" xfId="10898"/>
    <cellStyle name="Note 2 2 11 2 2 2" xfId="27945"/>
    <cellStyle name="Note 2 2 11 2 2 2 2" xfId="56806"/>
    <cellStyle name="Note 2 2 11 2 2 3" xfId="39759"/>
    <cellStyle name="Note 2 2 11 2 3" xfId="21967"/>
    <cellStyle name="Note 2 2 11 2 3 2" xfId="50828"/>
    <cellStyle name="Note 2 2 11 2 4" xfId="33718"/>
    <cellStyle name="Note 2 2 11 3" xfId="8012"/>
    <cellStyle name="Note 2 2 11 3 2" xfId="25059"/>
    <cellStyle name="Note 2 2 11 3 2 2" xfId="53920"/>
    <cellStyle name="Note 2 2 11 3 3" xfId="36873"/>
    <cellStyle name="Note 2 2 11 4" xfId="13712"/>
    <cellStyle name="Note 2 2 11 4 2" xfId="19287"/>
    <cellStyle name="Note 2 2 11 4 2 2" xfId="48148"/>
    <cellStyle name="Note 2 2 11 4 3" xfId="42573"/>
    <cellStyle name="Note 2 2 11 5" xfId="16607"/>
    <cellStyle name="Note 2 2 11 5 2" xfId="45468"/>
    <cellStyle name="Note 2 2 11 6" xfId="30832"/>
    <cellStyle name="Note 2 2 12" xfId="2382"/>
    <cellStyle name="Note 2 2 12 2" xfId="5269"/>
    <cellStyle name="Note 2 2 12 2 2" xfId="11310"/>
    <cellStyle name="Note 2 2 12 2 2 2" xfId="28357"/>
    <cellStyle name="Note 2 2 12 2 2 2 2" xfId="57218"/>
    <cellStyle name="Note 2 2 12 2 2 3" xfId="40171"/>
    <cellStyle name="Note 2 2 12 2 3" xfId="22379"/>
    <cellStyle name="Note 2 2 12 2 3 2" xfId="51240"/>
    <cellStyle name="Note 2 2 12 2 4" xfId="34130"/>
    <cellStyle name="Note 2 2 12 3" xfId="8424"/>
    <cellStyle name="Note 2 2 12 3 2" xfId="25471"/>
    <cellStyle name="Note 2 2 12 3 2 2" xfId="54332"/>
    <cellStyle name="Note 2 2 12 3 3" xfId="37285"/>
    <cellStyle name="Note 2 2 12 4" xfId="11955"/>
    <cellStyle name="Note 2 2 12 4 2" xfId="19699"/>
    <cellStyle name="Note 2 2 12 4 2 2" xfId="48560"/>
    <cellStyle name="Note 2 2 12 4 3" xfId="40816"/>
    <cellStyle name="Note 2 2 12 5" xfId="17019"/>
    <cellStyle name="Note 2 2 12 5 2" xfId="45880"/>
    <cellStyle name="Note 2 2 12 6" xfId="31244"/>
    <cellStyle name="Note 2 2 13" xfId="2591"/>
    <cellStyle name="Note 2 2 13 2" xfId="5477"/>
    <cellStyle name="Note 2 2 13 2 2" xfId="11518"/>
    <cellStyle name="Note 2 2 13 2 2 2" xfId="28565"/>
    <cellStyle name="Note 2 2 13 2 2 2 2" xfId="57426"/>
    <cellStyle name="Note 2 2 13 2 2 3" xfId="40379"/>
    <cellStyle name="Note 2 2 13 2 3" xfId="22587"/>
    <cellStyle name="Note 2 2 13 2 3 2" xfId="51448"/>
    <cellStyle name="Note 2 2 13 2 4" xfId="34338"/>
    <cellStyle name="Note 2 2 13 3" xfId="8632"/>
    <cellStyle name="Note 2 2 13 3 2" xfId="25679"/>
    <cellStyle name="Note 2 2 13 3 2 2" xfId="54540"/>
    <cellStyle name="Note 2 2 13 3 3" xfId="37493"/>
    <cellStyle name="Note 2 2 13 4" xfId="13603"/>
    <cellStyle name="Note 2 2 13 4 2" xfId="19907"/>
    <cellStyle name="Note 2 2 13 4 2 2" xfId="48768"/>
    <cellStyle name="Note 2 2 13 4 3" xfId="42464"/>
    <cellStyle name="Note 2 2 13 5" xfId="17227"/>
    <cellStyle name="Note 2 2 13 5 2" xfId="46088"/>
    <cellStyle name="Note 2 2 13 6" xfId="31452"/>
    <cellStyle name="Note 2 2 14" xfId="3003"/>
    <cellStyle name="Note 2 2 14 2" xfId="9044"/>
    <cellStyle name="Note 2 2 14 2 2" xfId="26091"/>
    <cellStyle name="Note 2 2 14 2 2 2" xfId="54952"/>
    <cellStyle name="Note 2 2 14 2 3" xfId="37905"/>
    <cellStyle name="Note 2 2 14 3" xfId="14047"/>
    <cellStyle name="Note 2 2 14 3 2" xfId="20113"/>
    <cellStyle name="Note 2 2 14 3 2 2" xfId="48974"/>
    <cellStyle name="Note 2 2 14 3 3" xfId="42908"/>
    <cellStyle name="Note 2 2 14 4" xfId="14753"/>
    <cellStyle name="Note 2 2 14 4 2" xfId="43614"/>
    <cellStyle name="Note 2 2 14 5" xfId="31864"/>
    <cellStyle name="Note 2 2 15" xfId="2797"/>
    <cellStyle name="Note 2 2 15 2" xfId="8838"/>
    <cellStyle name="Note 2 2 15 2 2" xfId="25885"/>
    <cellStyle name="Note 2 2 15 2 2 2" xfId="54746"/>
    <cellStyle name="Note 2 2 15 2 3" xfId="37699"/>
    <cellStyle name="Note 2 2 15 3" xfId="17433"/>
    <cellStyle name="Note 2 2 15 3 2" xfId="46294"/>
    <cellStyle name="Note 2 2 15 4" xfId="31658"/>
    <cellStyle name="Note 2 2 16" xfId="5683"/>
    <cellStyle name="Note 2 2 16 2" xfId="11724"/>
    <cellStyle name="Note 2 2 16 2 2" xfId="28771"/>
    <cellStyle name="Note 2 2 16 2 2 2" xfId="57632"/>
    <cellStyle name="Note 2 2 16 2 3" xfId="40585"/>
    <cellStyle name="Note 2 2 16 3" xfId="22793"/>
    <cellStyle name="Note 2 2 16 3 2" xfId="51654"/>
    <cellStyle name="Note 2 2 16 4" xfId="34544"/>
    <cellStyle name="Note 2 2 17" xfId="5900"/>
    <cellStyle name="Note 2 2 17 2" xfId="22999"/>
    <cellStyle name="Note 2 2 17 2 2" xfId="51860"/>
    <cellStyle name="Note 2 2 17 3" xfId="34761"/>
    <cellStyle name="Note 2 2 18" xfId="6158"/>
    <cellStyle name="Note 2 2 18 2" xfId="23205"/>
    <cellStyle name="Note 2 2 18 2 2" xfId="52066"/>
    <cellStyle name="Note 2 2 18 3" xfId="35019"/>
    <cellStyle name="Note 2 2 19" xfId="14547"/>
    <cellStyle name="Note 2 2 19 2" xfId="43408"/>
    <cellStyle name="Note 2 2 2" xfId="322"/>
    <cellStyle name="Note 2 2 2 10" xfId="2485"/>
    <cellStyle name="Note 2 2 2 10 2" xfId="5372"/>
    <cellStyle name="Note 2 2 2 10 2 2" xfId="11413"/>
    <cellStyle name="Note 2 2 2 10 2 2 2" xfId="28460"/>
    <cellStyle name="Note 2 2 2 10 2 2 2 2" xfId="57321"/>
    <cellStyle name="Note 2 2 2 10 2 2 3" xfId="40274"/>
    <cellStyle name="Note 2 2 2 10 2 3" xfId="22482"/>
    <cellStyle name="Note 2 2 2 10 2 3 2" xfId="51343"/>
    <cellStyle name="Note 2 2 2 10 2 4" xfId="34233"/>
    <cellStyle name="Note 2 2 2 10 3" xfId="8527"/>
    <cellStyle name="Note 2 2 2 10 3 2" xfId="25574"/>
    <cellStyle name="Note 2 2 2 10 3 2 2" xfId="54435"/>
    <cellStyle name="Note 2 2 2 10 3 3" xfId="37388"/>
    <cellStyle name="Note 2 2 2 10 4" xfId="12098"/>
    <cellStyle name="Note 2 2 2 10 4 2" xfId="19802"/>
    <cellStyle name="Note 2 2 2 10 4 2 2" xfId="48663"/>
    <cellStyle name="Note 2 2 2 10 4 3" xfId="40959"/>
    <cellStyle name="Note 2 2 2 10 5" xfId="17122"/>
    <cellStyle name="Note 2 2 2 10 5 2" xfId="45983"/>
    <cellStyle name="Note 2 2 2 10 6" xfId="31347"/>
    <cellStyle name="Note 2 2 2 11" xfId="2694"/>
    <cellStyle name="Note 2 2 2 11 2" xfId="5580"/>
    <cellStyle name="Note 2 2 2 11 2 2" xfId="11621"/>
    <cellStyle name="Note 2 2 2 11 2 2 2" xfId="28668"/>
    <cellStyle name="Note 2 2 2 11 2 2 2 2" xfId="57529"/>
    <cellStyle name="Note 2 2 2 11 2 2 3" xfId="40482"/>
    <cellStyle name="Note 2 2 2 11 2 3" xfId="22690"/>
    <cellStyle name="Note 2 2 2 11 2 3 2" xfId="51551"/>
    <cellStyle name="Note 2 2 2 11 2 4" xfId="34441"/>
    <cellStyle name="Note 2 2 2 11 3" xfId="8735"/>
    <cellStyle name="Note 2 2 2 11 3 2" xfId="25782"/>
    <cellStyle name="Note 2 2 2 11 3 2 2" xfId="54643"/>
    <cellStyle name="Note 2 2 2 11 3 3" xfId="37596"/>
    <cellStyle name="Note 2 2 2 11 4" xfId="12188"/>
    <cellStyle name="Note 2 2 2 11 4 2" xfId="20010"/>
    <cellStyle name="Note 2 2 2 11 4 2 2" xfId="48871"/>
    <cellStyle name="Note 2 2 2 11 4 3" xfId="41049"/>
    <cellStyle name="Note 2 2 2 11 5" xfId="17330"/>
    <cellStyle name="Note 2 2 2 11 5 2" xfId="46191"/>
    <cellStyle name="Note 2 2 2 11 6" xfId="31555"/>
    <cellStyle name="Note 2 2 2 12" xfId="3209"/>
    <cellStyle name="Note 2 2 2 12 2" xfId="9250"/>
    <cellStyle name="Note 2 2 2 12 2 2" xfId="26297"/>
    <cellStyle name="Note 2 2 2 12 2 2 2" xfId="55158"/>
    <cellStyle name="Note 2 2 2 12 2 3" xfId="38111"/>
    <cellStyle name="Note 2 2 2 12 3" xfId="14362"/>
    <cellStyle name="Note 2 2 2 12 3 2" xfId="20319"/>
    <cellStyle name="Note 2 2 2 12 3 2 2" xfId="49180"/>
    <cellStyle name="Note 2 2 2 12 3 3" xfId="43223"/>
    <cellStyle name="Note 2 2 2 12 4" xfId="14959"/>
    <cellStyle name="Note 2 2 2 12 4 2" xfId="43820"/>
    <cellStyle name="Note 2 2 2 12 5" xfId="32070"/>
    <cellStyle name="Note 2 2 2 13" xfId="2900"/>
    <cellStyle name="Note 2 2 2 13 2" xfId="8941"/>
    <cellStyle name="Note 2 2 2 13 2 2" xfId="25988"/>
    <cellStyle name="Note 2 2 2 13 2 2 2" xfId="54849"/>
    <cellStyle name="Note 2 2 2 13 2 3" xfId="37802"/>
    <cellStyle name="Note 2 2 2 13 3" xfId="17536"/>
    <cellStyle name="Note 2 2 2 13 3 2" xfId="46397"/>
    <cellStyle name="Note 2 2 2 13 4" xfId="31761"/>
    <cellStyle name="Note 2 2 2 14" xfId="5786"/>
    <cellStyle name="Note 2 2 2 14 2" xfId="11827"/>
    <cellStyle name="Note 2 2 2 14 2 2" xfId="28874"/>
    <cellStyle name="Note 2 2 2 14 2 2 2" xfId="57735"/>
    <cellStyle name="Note 2 2 2 14 2 3" xfId="40688"/>
    <cellStyle name="Note 2 2 2 14 3" xfId="22896"/>
    <cellStyle name="Note 2 2 2 14 3 2" xfId="51757"/>
    <cellStyle name="Note 2 2 2 14 4" xfId="34647"/>
    <cellStyle name="Note 2 2 2 15" xfId="6003"/>
    <cellStyle name="Note 2 2 2 15 2" xfId="23102"/>
    <cellStyle name="Note 2 2 2 15 2 2" xfId="51963"/>
    <cellStyle name="Note 2 2 2 15 3" xfId="34864"/>
    <cellStyle name="Note 2 2 2 16" xfId="6364"/>
    <cellStyle name="Note 2 2 2 16 2" xfId="23411"/>
    <cellStyle name="Note 2 2 2 16 2 2" xfId="52272"/>
    <cellStyle name="Note 2 2 2 16 3" xfId="35225"/>
    <cellStyle name="Note 2 2 2 17" xfId="14650"/>
    <cellStyle name="Note 2 2 2 17 2" xfId="43511"/>
    <cellStyle name="Note 2 2 2 18" xfId="29184"/>
    <cellStyle name="Note 2 2 2 2" xfId="528"/>
    <cellStyle name="Note 2 2 2 2 2" xfId="2279"/>
    <cellStyle name="Note 2 2 2 2 2 2" xfId="5166"/>
    <cellStyle name="Note 2 2 2 2 2 2 2" xfId="11207"/>
    <cellStyle name="Note 2 2 2 2 2 2 2 2" xfId="28254"/>
    <cellStyle name="Note 2 2 2 2 2 2 2 2 2" xfId="57115"/>
    <cellStyle name="Note 2 2 2 2 2 2 2 3" xfId="40068"/>
    <cellStyle name="Note 2 2 2 2 2 2 3" xfId="22276"/>
    <cellStyle name="Note 2 2 2 2 2 2 3 2" xfId="51137"/>
    <cellStyle name="Note 2 2 2 2 2 2 4" xfId="34027"/>
    <cellStyle name="Note 2 2 2 2 2 3" xfId="8321"/>
    <cellStyle name="Note 2 2 2 2 2 3 2" xfId="25368"/>
    <cellStyle name="Note 2 2 2 2 2 3 2 2" xfId="54229"/>
    <cellStyle name="Note 2 2 2 2 2 3 3" xfId="37182"/>
    <cellStyle name="Note 2 2 2 2 2 4" xfId="6074"/>
    <cellStyle name="Note 2 2 2 2 2 4 2" xfId="19596"/>
    <cellStyle name="Note 2 2 2 2 2 4 2 2" xfId="48457"/>
    <cellStyle name="Note 2 2 2 2 2 4 3" xfId="34935"/>
    <cellStyle name="Note 2 2 2 2 2 5" xfId="16916"/>
    <cellStyle name="Note 2 2 2 2 2 5 2" xfId="45777"/>
    <cellStyle name="Note 2 2 2 2 2 6" xfId="31141"/>
    <cellStyle name="Note 2 2 2 2 3" xfId="3415"/>
    <cellStyle name="Note 2 2 2 2 3 2" xfId="9456"/>
    <cellStyle name="Note 2 2 2 2 3 2 2" xfId="26503"/>
    <cellStyle name="Note 2 2 2 2 3 2 2 2" xfId="55364"/>
    <cellStyle name="Note 2 2 2 2 3 2 3" xfId="38317"/>
    <cellStyle name="Note 2 2 2 2 3 3" xfId="20525"/>
    <cellStyle name="Note 2 2 2 2 3 3 2" xfId="49386"/>
    <cellStyle name="Note 2 2 2 2 3 4" xfId="32276"/>
    <cellStyle name="Note 2 2 2 2 4" xfId="6570"/>
    <cellStyle name="Note 2 2 2 2 4 2" xfId="23617"/>
    <cellStyle name="Note 2 2 2 2 4 2 2" xfId="52478"/>
    <cellStyle name="Note 2 2 2 2 4 3" xfId="35431"/>
    <cellStyle name="Note 2 2 2 2 5" xfId="13762"/>
    <cellStyle name="Note 2 2 2 2 5 2" xfId="17845"/>
    <cellStyle name="Note 2 2 2 2 5 2 2" xfId="46706"/>
    <cellStyle name="Note 2 2 2 2 5 3" xfId="42623"/>
    <cellStyle name="Note 2 2 2 2 6" xfId="15165"/>
    <cellStyle name="Note 2 2 2 2 6 2" xfId="44026"/>
    <cellStyle name="Note 2 2 2 2 7" xfId="29390"/>
    <cellStyle name="Note 2 2 2 3" xfId="837"/>
    <cellStyle name="Note 2 2 2 3 2" xfId="3724"/>
    <cellStyle name="Note 2 2 2 3 2 2" xfId="9765"/>
    <cellStyle name="Note 2 2 2 3 2 2 2" xfId="26812"/>
    <cellStyle name="Note 2 2 2 3 2 2 2 2" xfId="55673"/>
    <cellStyle name="Note 2 2 2 3 2 2 3" xfId="38626"/>
    <cellStyle name="Note 2 2 2 3 2 3" xfId="20834"/>
    <cellStyle name="Note 2 2 2 3 2 3 2" xfId="49695"/>
    <cellStyle name="Note 2 2 2 3 2 4" xfId="32585"/>
    <cellStyle name="Note 2 2 2 3 3" xfId="6879"/>
    <cellStyle name="Note 2 2 2 3 3 2" xfId="23926"/>
    <cellStyle name="Note 2 2 2 3 3 2 2" xfId="52787"/>
    <cellStyle name="Note 2 2 2 3 3 3" xfId="35740"/>
    <cellStyle name="Note 2 2 2 3 4" xfId="14472"/>
    <cellStyle name="Note 2 2 2 3 4 2" xfId="18154"/>
    <cellStyle name="Note 2 2 2 3 4 2 2" xfId="47015"/>
    <cellStyle name="Note 2 2 2 3 4 3" xfId="43333"/>
    <cellStyle name="Note 2 2 2 3 5" xfId="15474"/>
    <cellStyle name="Note 2 2 2 3 5 2" xfId="44335"/>
    <cellStyle name="Note 2 2 2 3 6" xfId="29699"/>
    <cellStyle name="Note 2 2 2 4" xfId="1043"/>
    <cellStyle name="Note 2 2 2 4 2" xfId="3930"/>
    <cellStyle name="Note 2 2 2 4 2 2" xfId="9971"/>
    <cellStyle name="Note 2 2 2 4 2 2 2" xfId="27018"/>
    <cellStyle name="Note 2 2 2 4 2 2 2 2" xfId="55879"/>
    <cellStyle name="Note 2 2 2 4 2 2 3" xfId="38832"/>
    <cellStyle name="Note 2 2 2 4 2 3" xfId="21040"/>
    <cellStyle name="Note 2 2 2 4 2 3 2" xfId="49901"/>
    <cellStyle name="Note 2 2 2 4 2 4" xfId="32791"/>
    <cellStyle name="Note 2 2 2 4 3" xfId="7085"/>
    <cellStyle name="Note 2 2 2 4 3 2" xfId="24132"/>
    <cellStyle name="Note 2 2 2 4 3 2 2" xfId="52993"/>
    <cellStyle name="Note 2 2 2 4 3 3" xfId="35946"/>
    <cellStyle name="Note 2 2 2 4 4" xfId="12202"/>
    <cellStyle name="Note 2 2 2 4 4 2" xfId="18360"/>
    <cellStyle name="Note 2 2 2 4 4 2 2" xfId="47221"/>
    <cellStyle name="Note 2 2 2 4 4 3" xfId="41063"/>
    <cellStyle name="Note 2 2 2 4 5" xfId="15680"/>
    <cellStyle name="Note 2 2 2 4 5 2" xfId="44541"/>
    <cellStyle name="Note 2 2 2 4 6" xfId="29905"/>
    <cellStyle name="Note 2 2 2 5" xfId="1249"/>
    <cellStyle name="Note 2 2 2 5 2" xfId="4136"/>
    <cellStyle name="Note 2 2 2 5 2 2" xfId="10177"/>
    <cellStyle name="Note 2 2 2 5 2 2 2" xfId="27224"/>
    <cellStyle name="Note 2 2 2 5 2 2 2 2" xfId="56085"/>
    <cellStyle name="Note 2 2 2 5 2 2 3" xfId="39038"/>
    <cellStyle name="Note 2 2 2 5 2 3" xfId="21246"/>
    <cellStyle name="Note 2 2 2 5 2 3 2" xfId="50107"/>
    <cellStyle name="Note 2 2 2 5 2 4" xfId="32997"/>
    <cellStyle name="Note 2 2 2 5 3" xfId="7291"/>
    <cellStyle name="Note 2 2 2 5 3 2" xfId="24338"/>
    <cellStyle name="Note 2 2 2 5 3 2 2" xfId="53199"/>
    <cellStyle name="Note 2 2 2 5 3 3" xfId="36152"/>
    <cellStyle name="Note 2 2 2 5 4" xfId="12404"/>
    <cellStyle name="Note 2 2 2 5 4 2" xfId="18566"/>
    <cellStyle name="Note 2 2 2 5 4 2 2" xfId="47427"/>
    <cellStyle name="Note 2 2 2 5 4 3" xfId="41265"/>
    <cellStyle name="Note 2 2 2 5 5" xfId="15886"/>
    <cellStyle name="Note 2 2 2 5 5 2" xfId="44747"/>
    <cellStyle name="Note 2 2 2 5 6" xfId="30111"/>
    <cellStyle name="Note 2 2 2 6" xfId="1455"/>
    <cellStyle name="Note 2 2 2 6 2" xfId="4342"/>
    <cellStyle name="Note 2 2 2 6 2 2" xfId="10383"/>
    <cellStyle name="Note 2 2 2 6 2 2 2" xfId="27430"/>
    <cellStyle name="Note 2 2 2 6 2 2 2 2" xfId="56291"/>
    <cellStyle name="Note 2 2 2 6 2 2 3" xfId="39244"/>
    <cellStyle name="Note 2 2 2 6 2 3" xfId="21452"/>
    <cellStyle name="Note 2 2 2 6 2 3 2" xfId="50313"/>
    <cellStyle name="Note 2 2 2 6 2 4" xfId="33203"/>
    <cellStyle name="Note 2 2 2 6 3" xfId="7497"/>
    <cellStyle name="Note 2 2 2 6 3 2" xfId="24544"/>
    <cellStyle name="Note 2 2 2 6 3 2 2" xfId="53405"/>
    <cellStyle name="Note 2 2 2 6 3 3" xfId="36358"/>
    <cellStyle name="Note 2 2 2 6 4" xfId="14256"/>
    <cellStyle name="Note 2 2 2 6 4 2" xfId="18772"/>
    <cellStyle name="Note 2 2 2 6 4 2 2" xfId="47633"/>
    <cellStyle name="Note 2 2 2 6 4 3" xfId="43117"/>
    <cellStyle name="Note 2 2 2 6 5" xfId="16092"/>
    <cellStyle name="Note 2 2 2 6 5 2" xfId="44953"/>
    <cellStyle name="Note 2 2 2 6 6" xfId="30317"/>
    <cellStyle name="Note 2 2 2 7" xfId="1661"/>
    <cellStyle name="Note 2 2 2 7 2" xfId="4548"/>
    <cellStyle name="Note 2 2 2 7 2 2" xfId="10589"/>
    <cellStyle name="Note 2 2 2 7 2 2 2" xfId="27636"/>
    <cellStyle name="Note 2 2 2 7 2 2 2 2" xfId="56497"/>
    <cellStyle name="Note 2 2 2 7 2 2 3" xfId="39450"/>
    <cellStyle name="Note 2 2 2 7 2 3" xfId="21658"/>
    <cellStyle name="Note 2 2 2 7 2 3 2" xfId="50519"/>
    <cellStyle name="Note 2 2 2 7 2 4" xfId="33409"/>
    <cellStyle name="Note 2 2 2 7 3" xfId="7703"/>
    <cellStyle name="Note 2 2 2 7 3 2" xfId="24750"/>
    <cellStyle name="Note 2 2 2 7 3 2 2" xfId="53611"/>
    <cellStyle name="Note 2 2 2 7 3 3" xfId="36564"/>
    <cellStyle name="Note 2 2 2 7 4" xfId="11968"/>
    <cellStyle name="Note 2 2 2 7 4 2" xfId="18978"/>
    <cellStyle name="Note 2 2 2 7 4 2 2" xfId="47839"/>
    <cellStyle name="Note 2 2 2 7 4 3" xfId="40829"/>
    <cellStyle name="Note 2 2 2 7 5" xfId="16298"/>
    <cellStyle name="Note 2 2 2 7 5 2" xfId="45159"/>
    <cellStyle name="Note 2 2 2 7 6" xfId="30523"/>
    <cellStyle name="Note 2 2 2 8" xfId="1867"/>
    <cellStyle name="Note 2 2 2 8 2" xfId="4754"/>
    <cellStyle name="Note 2 2 2 8 2 2" xfId="10795"/>
    <cellStyle name="Note 2 2 2 8 2 2 2" xfId="27842"/>
    <cellStyle name="Note 2 2 2 8 2 2 2 2" xfId="56703"/>
    <cellStyle name="Note 2 2 2 8 2 2 3" xfId="39656"/>
    <cellStyle name="Note 2 2 2 8 2 3" xfId="21864"/>
    <cellStyle name="Note 2 2 2 8 2 3 2" xfId="50725"/>
    <cellStyle name="Note 2 2 2 8 2 4" xfId="33615"/>
    <cellStyle name="Note 2 2 2 8 3" xfId="7909"/>
    <cellStyle name="Note 2 2 2 8 3 2" xfId="24956"/>
    <cellStyle name="Note 2 2 2 8 3 2 2" xfId="53817"/>
    <cellStyle name="Note 2 2 2 8 3 3" xfId="36770"/>
    <cellStyle name="Note 2 2 2 8 4" xfId="12714"/>
    <cellStyle name="Note 2 2 2 8 4 2" xfId="19184"/>
    <cellStyle name="Note 2 2 2 8 4 2 2" xfId="48045"/>
    <cellStyle name="Note 2 2 2 8 4 3" xfId="41575"/>
    <cellStyle name="Note 2 2 2 8 5" xfId="16504"/>
    <cellStyle name="Note 2 2 2 8 5 2" xfId="45365"/>
    <cellStyle name="Note 2 2 2 8 6" xfId="30729"/>
    <cellStyle name="Note 2 2 2 9" xfId="2073"/>
    <cellStyle name="Note 2 2 2 9 2" xfId="4960"/>
    <cellStyle name="Note 2 2 2 9 2 2" xfId="11001"/>
    <cellStyle name="Note 2 2 2 9 2 2 2" xfId="28048"/>
    <cellStyle name="Note 2 2 2 9 2 2 2 2" xfId="56909"/>
    <cellStyle name="Note 2 2 2 9 2 2 3" xfId="39862"/>
    <cellStyle name="Note 2 2 2 9 2 3" xfId="22070"/>
    <cellStyle name="Note 2 2 2 9 2 3 2" xfId="50931"/>
    <cellStyle name="Note 2 2 2 9 2 4" xfId="33821"/>
    <cellStyle name="Note 2 2 2 9 3" xfId="8115"/>
    <cellStyle name="Note 2 2 2 9 3 2" xfId="25162"/>
    <cellStyle name="Note 2 2 2 9 3 2 2" xfId="54023"/>
    <cellStyle name="Note 2 2 2 9 3 3" xfId="36976"/>
    <cellStyle name="Note 2 2 2 9 4" xfId="12355"/>
    <cellStyle name="Note 2 2 2 9 4 2" xfId="19390"/>
    <cellStyle name="Note 2 2 2 9 4 2 2" xfId="48251"/>
    <cellStyle name="Note 2 2 2 9 4 3" xfId="41216"/>
    <cellStyle name="Note 2 2 2 9 5" xfId="16710"/>
    <cellStyle name="Note 2 2 2 9 5 2" xfId="45571"/>
    <cellStyle name="Note 2 2 2 9 6" xfId="30935"/>
    <cellStyle name="Note 2 2 20" xfId="28978"/>
    <cellStyle name="Note 2 2 3" xfId="219"/>
    <cellStyle name="Note 2 2 3 2" xfId="631"/>
    <cellStyle name="Note 2 2 3 2 2" xfId="3518"/>
    <cellStyle name="Note 2 2 3 2 2 2" xfId="9559"/>
    <cellStyle name="Note 2 2 3 2 2 2 2" xfId="26606"/>
    <cellStyle name="Note 2 2 3 2 2 2 2 2" xfId="55467"/>
    <cellStyle name="Note 2 2 3 2 2 2 3" xfId="38420"/>
    <cellStyle name="Note 2 2 3 2 2 3" xfId="20628"/>
    <cellStyle name="Note 2 2 3 2 2 3 2" xfId="49489"/>
    <cellStyle name="Note 2 2 3 2 2 4" xfId="32379"/>
    <cellStyle name="Note 2 2 3 2 3" xfId="6673"/>
    <cellStyle name="Note 2 2 3 2 3 2" xfId="23720"/>
    <cellStyle name="Note 2 2 3 2 3 2 2" xfId="52581"/>
    <cellStyle name="Note 2 2 3 2 3 3" xfId="35534"/>
    <cellStyle name="Note 2 2 3 2 4" xfId="14069"/>
    <cellStyle name="Note 2 2 3 2 4 2" xfId="17948"/>
    <cellStyle name="Note 2 2 3 2 4 2 2" xfId="46809"/>
    <cellStyle name="Note 2 2 3 2 4 3" xfId="42930"/>
    <cellStyle name="Note 2 2 3 2 5" xfId="15268"/>
    <cellStyle name="Note 2 2 3 2 5 2" xfId="44129"/>
    <cellStyle name="Note 2 2 3 2 6" xfId="29493"/>
    <cellStyle name="Note 2 2 3 3" xfId="2176"/>
    <cellStyle name="Note 2 2 3 3 2" xfId="5063"/>
    <cellStyle name="Note 2 2 3 3 2 2" xfId="11104"/>
    <cellStyle name="Note 2 2 3 3 2 2 2" xfId="28151"/>
    <cellStyle name="Note 2 2 3 3 2 2 2 2" xfId="57012"/>
    <cellStyle name="Note 2 2 3 3 2 2 3" xfId="39965"/>
    <cellStyle name="Note 2 2 3 3 2 3" xfId="22173"/>
    <cellStyle name="Note 2 2 3 3 2 3 2" xfId="51034"/>
    <cellStyle name="Note 2 2 3 3 2 4" xfId="33924"/>
    <cellStyle name="Note 2 2 3 3 3" xfId="8218"/>
    <cellStyle name="Note 2 2 3 3 3 2" xfId="25265"/>
    <cellStyle name="Note 2 2 3 3 3 2 2" xfId="54126"/>
    <cellStyle name="Note 2 2 3 3 3 3" xfId="37079"/>
    <cellStyle name="Note 2 2 3 3 4" xfId="11947"/>
    <cellStyle name="Note 2 2 3 3 4 2" xfId="19493"/>
    <cellStyle name="Note 2 2 3 3 4 2 2" xfId="48354"/>
    <cellStyle name="Note 2 2 3 3 4 3" xfId="40808"/>
    <cellStyle name="Note 2 2 3 3 5" xfId="16813"/>
    <cellStyle name="Note 2 2 3 3 5 2" xfId="45674"/>
    <cellStyle name="Note 2 2 3 3 6" xfId="31038"/>
    <cellStyle name="Note 2 2 3 4" xfId="3106"/>
    <cellStyle name="Note 2 2 3 4 2" xfId="9147"/>
    <cellStyle name="Note 2 2 3 4 2 2" xfId="26194"/>
    <cellStyle name="Note 2 2 3 4 2 2 2" xfId="55055"/>
    <cellStyle name="Note 2 2 3 4 2 3" xfId="38008"/>
    <cellStyle name="Note 2 2 3 4 3" xfId="20216"/>
    <cellStyle name="Note 2 2 3 4 3 2" xfId="49077"/>
    <cellStyle name="Note 2 2 3 4 4" xfId="31967"/>
    <cellStyle name="Note 2 2 3 5" xfId="6261"/>
    <cellStyle name="Note 2 2 3 5 2" xfId="23308"/>
    <cellStyle name="Note 2 2 3 5 2 2" xfId="52169"/>
    <cellStyle name="Note 2 2 3 5 3" xfId="35122"/>
    <cellStyle name="Note 2 2 3 6" xfId="12774"/>
    <cellStyle name="Note 2 2 3 6 2" xfId="17639"/>
    <cellStyle name="Note 2 2 3 6 2 2" xfId="46500"/>
    <cellStyle name="Note 2 2 3 6 3" xfId="41635"/>
    <cellStyle name="Note 2 2 3 7" xfId="14856"/>
    <cellStyle name="Note 2 2 3 7 2" xfId="43717"/>
    <cellStyle name="Note 2 2 3 8" xfId="29081"/>
    <cellStyle name="Note 2 2 4" xfId="425"/>
    <cellStyle name="Note 2 2 4 2" xfId="3312"/>
    <cellStyle name="Note 2 2 4 2 2" xfId="9353"/>
    <cellStyle name="Note 2 2 4 2 2 2" xfId="26400"/>
    <cellStyle name="Note 2 2 4 2 2 2 2" xfId="55261"/>
    <cellStyle name="Note 2 2 4 2 2 3" xfId="38214"/>
    <cellStyle name="Note 2 2 4 2 3" xfId="20422"/>
    <cellStyle name="Note 2 2 4 2 3 2" xfId="49283"/>
    <cellStyle name="Note 2 2 4 2 4" xfId="32173"/>
    <cellStyle name="Note 2 2 4 3" xfId="6467"/>
    <cellStyle name="Note 2 2 4 3 2" xfId="23514"/>
    <cellStyle name="Note 2 2 4 3 2 2" xfId="52375"/>
    <cellStyle name="Note 2 2 4 3 3" xfId="35328"/>
    <cellStyle name="Note 2 2 4 4" xfId="12191"/>
    <cellStyle name="Note 2 2 4 4 2" xfId="17742"/>
    <cellStyle name="Note 2 2 4 4 2 2" xfId="46603"/>
    <cellStyle name="Note 2 2 4 4 3" xfId="41052"/>
    <cellStyle name="Note 2 2 4 5" xfId="15062"/>
    <cellStyle name="Note 2 2 4 5 2" xfId="43923"/>
    <cellStyle name="Note 2 2 4 6" xfId="29287"/>
    <cellStyle name="Note 2 2 5" xfId="734"/>
    <cellStyle name="Note 2 2 5 2" xfId="3621"/>
    <cellStyle name="Note 2 2 5 2 2" xfId="9662"/>
    <cellStyle name="Note 2 2 5 2 2 2" xfId="26709"/>
    <cellStyle name="Note 2 2 5 2 2 2 2" xfId="55570"/>
    <cellStyle name="Note 2 2 5 2 2 3" xfId="38523"/>
    <cellStyle name="Note 2 2 5 2 3" xfId="20731"/>
    <cellStyle name="Note 2 2 5 2 3 2" xfId="49592"/>
    <cellStyle name="Note 2 2 5 2 4" xfId="32482"/>
    <cellStyle name="Note 2 2 5 3" xfId="6776"/>
    <cellStyle name="Note 2 2 5 3 2" xfId="23823"/>
    <cellStyle name="Note 2 2 5 3 2 2" xfId="52684"/>
    <cellStyle name="Note 2 2 5 3 3" xfId="35637"/>
    <cellStyle name="Note 2 2 5 4" xfId="14056"/>
    <cellStyle name="Note 2 2 5 4 2" xfId="18051"/>
    <cellStyle name="Note 2 2 5 4 2 2" xfId="46912"/>
    <cellStyle name="Note 2 2 5 4 3" xfId="42917"/>
    <cellStyle name="Note 2 2 5 5" xfId="15371"/>
    <cellStyle name="Note 2 2 5 5 2" xfId="44232"/>
    <cellStyle name="Note 2 2 5 6" xfId="29596"/>
    <cellStyle name="Note 2 2 6" xfId="940"/>
    <cellStyle name="Note 2 2 6 2" xfId="3827"/>
    <cellStyle name="Note 2 2 6 2 2" xfId="9868"/>
    <cellStyle name="Note 2 2 6 2 2 2" xfId="26915"/>
    <cellStyle name="Note 2 2 6 2 2 2 2" xfId="55776"/>
    <cellStyle name="Note 2 2 6 2 2 3" xfId="38729"/>
    <cellStyle name="Note 2 2 6 2 3" xfId="20937"/>
    <cellStyle name="Note 2 2 6 2 3 2" xfId="49798"/>
    <cellStyle name="Note 2 2 6 2 4" xfId="32688"/>
    <cellStyle name="Note 2 2 6 3" xfId="6982"/>
    <cellStyle name="Note 2 2 6 3 2" xfId="24029"/>
    <cellStyle name="Note 2 2 6 3 2 2" xfId="52890"/>
    <cellStyle name="Note 2 2 6 3 3" xfId="35843"/>
    <cellStyle name="Note 2 2 6 4" xfId="13152"/>
    <cellStyle name="Note 2 2 6 4 2" xfId="18257"/>
    <cellStyle name="Note 2 2 6 4 2 2" xfId="47118"/>
    <cellStyle name="Note 2 2 6 4 3" xfId="42013"/>
    <cellStyle name="Note 2 2 6 5" xfId="15577"/>
    <cellStyle name="Note 2 2 6 5 2" xfId="44438"/>
    <cellStyle name="Note 2 2 6 6" xfId="29802"/>
    <cellStyle name="Note 2 2 7" xfId="1146"/>
    <cellStyle name="Note 2 2 7 2" xfId="4033"/>
    <cellStyle name="Note 2 2 7 2 2" xfId="10074"/>
    <cellStyle name="Note 2 2 7 2 2 2" xfId="27121"/>
    <cellStyle name="Note 2 2 7 2 2 2 2" xfId="55982"/>
    <cellStyle name="Note 2 2 7 2 2 3" xfId="38935"/>
    <cellStyle name="Note 2 2 7 2 3" xfId="21143"/>
    <cellStyle name="Note 2 2 7 2 3 2" xfId="50004"/>
    <cellStyle name="Note 2 2 7 2 4" xfId="32894"/>
    <cellStyle name="Note 2 2 7 3" xfId="7188"/>
    <cellStyle name="Note 2 2 7 3 2" xfId="24235"/>
    <cellStyle name="Note 2 2 7 3 2 2" xfId="53096"/>
    <cellStyle name="Note 2 2 7 3 3" xfId="36049"/>
    <cellStyle name="Note 2 2 7 4" xfId="14040"/>
    <cellStyle name="Note 2 2 7 4 2" xfId="18463"/>
    <cellStyle name="Note 2 2 7 4 2 2" xfId="47324"/>
    <cellStyle name="Note 2 2 7 4 3" xfId="42901"/>
    <cellStyle name="Note 2 2 7 5" xfId="15783"/>
    <cellStyle name="Note 2 2 7 5 2" xfId="44644"/>
    <cellStyle name="Note 2 2 7 6" xfId="30008"/>
    <cellStyle name="Note 2 2 8" xfId="1352"/>
    <cellStyle name="Note 2 2 8 2" xfId="4239"/>
    <cellStyle name="Note 2 2 8 2 2" xfId="10280"/>
    <cellStyle name="Note 2 2 8 2 2 2" xfId="27327"/>
    <cellStyle name="Note 2 2 8 2 2 2 2" xfId="56188"/>
    <cellStyle name="Note 2 2 8 2 2 3" xfId="39141"/>
    <cellStyle name="Note 2 2 8 2 3" xfId="21349"/>
    <cellStyle name="Note 2 2 8 2 3 2" xfId="50210"/>
    <cellStyle name="Note 2 2 8 2 4" xfId="33100"/>
    <cellStyle name="Note 2 2 8 3" xfId="7394"/>
    <cellStyle name="Note 2 2 8 3 2" xfId="24441"/>
    <cellStyle name="Note 2 2 8 3 2 2" xfId="53302"/>
    <cellStyle name="Note 2 2 8 3 3" xfId="36255"/>
    <cellStyle name="Note 2 2 8 4" xfId="13381"/>
    <cellStyle name="Note 2 2 8 4 2" xfId="18669"/>
    <cellStyle name="Note 2 2 8 4 2 2" xfId="47530"/>
    <cellStyle name="Note 2 2 8 4 3" xfId="42242"/>
    <cellStyle name="Note 2 2 8 5" xfId="15989"/>
    <cellStyle name="Note 2 2 8 5 2" xfId="44850"/>
    <cellStyle name="Note 2 2 8 6" xfId="30214"/>
    <cellStyle name="Note 2 2 9" xfId="1558"/>
    <cellStyle name="Note 2 2 9 2" xfId="4445"/>
    <cellStyle name="Note 2 2 9 2 2" xfId="10486"/>
    <cellStyle name="Note 2 2 9 2 2 2" xfId="27533"/>
    <cellStyle name="Note 2 2 9 2 2 2 2" xfId="56394"/>
    <cellStyle name="Note 2 2 9 2 2 3" xfId="39347"/>
    <cellStyle name="Note 2 2 9 2 3" xfId="21555"/>
    <cellStyle name="Note 2 2 9 2 3 2" xfId="50416"/>
    <cellStyle name="Note 2 2 9 2 4" xfId="33306"/>
    <cellStyle name="Note 2 2 9 3" xfId="7600"/>
    <cellStyle name="Note 2 2 9 3 2" xfId="24647"/>
    <cellStyle name="Note 2 2 9 3 2 2" xfId="53508"/>
    <cellStyle name="Note 2 2 9 3 3" xfId="36461"/>
    <cellStyle name="Note 2 2 9 4" xfId="12794"/>
    <cellStyle name="Note 2 2 9 4 2" xfId="18875"/>
    <cellStyle name="Note 2 2 9 4 2 2" xfId="47736"/>
    <cellStyle name="Note 2 2 9 4 3" xfId="41655"/>
    <cellStyle name="Note 2 2 9 5" xfId="16195"/>
    <cellStyle name="Note 2 2 9 5 2" xfId="45056"/>
    <cellStyle name="Note 2 2 9 6" xfId="30420"/>
    <cellStyle name="Note 2 20" xfId="6132"/>
    <cellStyle name="Note 2 20 2" xfId="23179"/>
    <cellStyle name="Note 2 20 2 2" xfId="52040"/>
    <cellStyle name="Note 2 20 3" xfId="34993"/>
    <cellStyle name="Note 2 21" xfId="14521"/>
    <cellStyle name="Note 2 21 2" xfId="43382"/>
    <cellStyle name="Note 2 22" xfId="28952"/>
    <cellStyle name="Note 2 3" xfId="142"/>
    <cellStyle name="Note 2 3 10" xfId="1790"/>
    <cellStyle name="Note 2 3 10 2" xfId="4677"/>
    <cellStyle name="Note 2 3 10 2 2" xfId="10718"/>
    <cellStyle name="Note 2 3 10 2 2 2" xfId="27765"/>
    <cellStyle name="Note 2 3 10 2 2 2 2" xfId="56626"/>
    <cellStyle name="Note 2 3 10 2 2 3" xfId="39579"/>
    <cellStyle name="Note 2 3 10 2 3" xfId="21787"/>
    <cellStyle name="Note 2 3 10 2 3 2" xfId="50648"/>
    <cellStyle name="Note 2 3 10 2 4" xfId="33538"/>
    <cellStyle name="Note 2 3 10 3" xfId="7832"/>
    <cellStyle name="Note 2 3 10 3 2" xfId="24879"/>
    <cellStyle name="Note 2 3 10 3 2 2" xfId="53740"/>
    <cellStyle name="Note 2 3 10 3 3" xfId="36693"/>
    <cellStyle name="Note 2 3 10 4" xfId="12973"/>
    <cellStyle name="Note 2 3 10 4 2" xfId="19107"/>
    <cellStyle name="Note 2 3 10 4 2 2" xfId="47968"/>
    <cellStyle name="Note 2 3 10 4 3" xfId="41834"/>
    <cellStyle name="Note 2 3 10 5" xfId="16427"/>
    <cellStyle name="Note 2 3 10 5 2" xfId="45288"/>
    <cellStyle name="Note 2 3 10 6" xfId="30652"/>
    <cellStyle name="Note 2 3 11" xfId="1996"/>
    <cellStyle name="Note 2 3 11 2" xfId="4883"/>
    <cellStyle name="Note 2 3 11 2 2" xfId="10924"/>
    <cellStyle name="Note 2 3 11 2 2 2" xfId="27971"/>
    <cellStyle name="Note 2 3 11 2 2 2 2" xfId="56832"/>
    <cellStyle name="Note 2 3 11 2 2 3" xfId="39785"/>
    <cellStyle name="Note 2 3 11 2 3" xfId="21993"/>
    <cellStyle name="Note 2 3 11 2 3 2" xfId="50854"/>
    <cellStyle name="Note 2 3 11 2 4" xfId="33744"/>
    <cellStyle name="Note 2 3 11 3" xfId="8038"/>
    <cellStyle name="Note 2 3 11 3 2" xfId="25085"/>
    <cellStyle name="Note 2 3 11 3 2 2" xfId="53946"/>
    <cellStyle name="Note 2 3 11 3 3" xfId="36899"/>
    <cellStyle name="Note 2 3 11 4" xfId="13910"/>
    <cellStyle name="Note 2 3 11 4 2" xfId="19313"/>
    <cellStyle name="Note 2 3 11 4 2 2" xfId="48174"/>
    <cellStyle name="Note 2 3 11 4 3" xfId="42771"/>
    <cellStyle name="Note 2 3 11 5" xfId="16633"/>
    <cellStyle name="Note 2 3 11 5 2" xfId="45494"/>
    <cellStyle name="Note 2 3 11 6" xfId="30858"/>
    <cellStyle name="Note 2 3 12" xfId="2408"/>
    <cellStyle name="Note 2 3 12 2" xfId="5295"/>
    <cellStyle name="Note 2 3 12 2 2" xfId="11336"/>
    <cellStyle name="Note 2 3 12 2 2 2" xfId="28383"/>
    <cellStyle name="Note 2 3 12 2 2 2 2" xfId="57244"/>
    <cellStyle name="Note 2 3 12 2 2 3" xfId="40197"/>
    <cellStyle name="Note 2 3 12 2 3" xfId="22405"/>
    <cellStyle name="Note 2 3 12 2 3 2" xfId="51266"/>
    <cellStyle name="Note 2 3 12 2 4" xfId="34156"/>
    <cellStyle name="Note 2 3 12 3" xfId="8450"/>
    <cellStyle name="Note 2 3 12 3 2" xfId="25497"/>
    <cellStyle name="Note 2 3 12 3 2 2" xfId="54358"/>
    <cellStyle name="Note 2 3 12 3 3" xfId="37311"/>
    <cellStyle name="Note 2 3 12 4" xfId="13547"/>
    <cellStyle name="Note 2 3 12 4 2" xfId="19725"/>
    <cellStyle name="Note 2 3 12 4 2 2" xfId="48586"/>
    <cellStyle name="Note 2 3 12 4 3" xfId="42408"/>
    <cellStyle name="Note 2 3 12 5" xfId="17045"/>
    <cellStyle name="Note 2 3 12 5 2" xfId="45906"/>
    <cellStyle name="Note 2 3 12 6" xfId="31270"/>
    <cellStyle name="Note 2 3 13" xfId="2617"/>
    <cellStyle name="Note 2 3 13 2" xfId="5503"/>
    <cellStyle name="Note 2 3 13 2 2" xfId="11544"/>
    <cellStyle name="Note 2 3 13 2 2 2" xfId="28591"/>
    <cellStyle name="Note 2 3 13 2 2 2 2" xfId="57452"/>
    <cellStyle name="Note 2 3 13 2 2 3" xfId="40405"/>
    <cellStyle name="Note 2 3 13 2 3" xfId="22613"/>
    <cellStyle name="Note 2 3 13 2 3 2" xfId="51474"/>
    <cellStyle name="Note 2 3 13 2 4" xfId="34364"/>
    <cellStyle name="Note 2 3 13 3" xfId="8658"/>
    <cellStyle name="Note 2 3 13 3 2" xfId="25705"/>
    <cellStyle name="Note 2 3 13 3 2 2" xfId="54566"/>
    <cellStyle name="Note 2 3 13 3 3" xfId="37519"/>
    <cellStyle name="Note 2 3 13 4" xfId="13466"/>
    <cellStyle name="Note 2 3 13 4 2" xfId="19933"/>
    <cellStyle name="Note 2 3 13 4 2 2" xfId="48794"/>
    <cellStyle name="Note 2 3 13 4 3" xfId="42327"/>
    <cellStyle name="Note 2 3 13 5" xfId="17253"/>
    <cellStyle name="Note 2 3 13 5 2" xfId="46114"/>
    <cellStyle name="Note 2 3 13 6" xfId="31478"/>
    <cellStyle name="Note 2 3 14" xfId="3029"/>
    <cellStyle name="Note 2 3 14 2" xfId="9070"/>
    <cellStyle name="Note 2 3 14 2 2" xfId="26117"/>
    <cellStyle name="Note 2 3 14 2 2 2" xfId="54978"/>
    <cellStyle name="Note 2 3 14 2 3" xfId="37931"/>
    <cellStyle name="Note 2 3 14 3" xfId="13001"/>
    <cellStyle name="Note 2 3 14 3 2" xfId="20139"/>
    <cellStyle name="Note 2 3 14 3 2 2" xfId="49000"/>
    <cellStyle name="Note 2 3 14 3 3" xfId="41862"/>
    <cellStyle name="Note 2 3 14 4" xfId="14779"/>
    <cellStyle name="Note 2 3 14 4 2" xfId="43640"/>
    <cellStyle name="Note 2 3 14 5" xfId="31890"/>
    <cellStyle name="Note 2 3 15" xfId="2823"/>
    <cellStyle name="Note 2 3 15 2" xfId="8864"/>
    <cellStyle name="Note 2 3 15 2 2" xfId="25911"/>
    <cellStyle name="Note 2 3 15 2 2 2" xfId="54772"/>
    <cellStyle name="Note 2 3 15 2 3" xfId="37725"/>
    <cellStyle name="Note 2 3 15 3" xfId="17459"/>
    <cellStyle name="Note 2 3 15 3 2" xfId="46320"/>
    <cellStyle name="Note 2 3 15 4" xfId="31684"/>
    <cellStyle name="Note 2 3 16" xfId="5709"/>
    <cellStyle name="Note 2 3 16 2" xfId="11750"/>
    <cellStyle name="Note 2 3 16 2 2" xfId="28797"/>
    <cellStyle name="Note 2 3 16 2 2 2" xfId="57658"/>
    <cellStyle name="Note 2 3 16 2 3" xfId="40611"/>
    <cellStyle name="Note 2 3 16 3" xfId="22819"/>
    <cellStyle name="Note 2 3 16 3 2" xfId="51680"/>
    <cellStyle name="Note 2 3 16 4" xfId="34570"/>
    <cellStyle name="Note 2 3 17" xfId="5926"/>
    <cellStyle name="Note 2 3 17 2" xfId="23025"/>
    <cellStyle name="Note 2 3 17 2 2" xfId="51886"/>
    <cellStyle name="Note 2 3 17 3" xfId="34787"/>
    <cellStyle name="Note 2 3 18" xfId="6184"/>
    <cellStyle name="Note 2 3 18 2" xfId="23231"/>
    <cellStyle name="Note 2 3 18 2 2" xfId="52092"/>
    <cellStyle name="Note 2 3 18 3" xfId="35045"/>
    <cellStyle name="Note 2 3 19" xfId="14573"/>
    <cellStyle name="Note 2 3 19 2" xfId="43434"/>
    <cellStyle name="Note 2 3 2" xfId="348"/>
    <cellStyle name="Note 2 3 2 10" xfId="2511"/>
    <cellStyle name="Note 2 3 2 10 2" xfId="5398"/>
    <cellStyle name="Note 2 3 2 10 2 2" xfId="11439"/>
    <cellStyle name="Note 2 3 2 10 2 2 2" xfId="28486"/>
    <cellStyle name="Note 2 3 2 10 2 2 2 2" xfId="57347"/>
    <cellStyle name="Note 2 3 2 10 2 2 3" xfId="40300"/>
    <cellStyle name="Note 2 3 2 10 2 3" xfId="22508"/>
    <cellStyle name="Note 2 3 2 10 2 3 2" xfId="51369"/>
    <cellStyle name="Note 2 3 2 10 2 4" xfId="34259"/>
    <cellStyle name="Note 2 3 2 10 3" xfId="8553"/>
    <cellStyle name="Note 2 3 2 10 3 2" xfId="25600"/>
    <cellStyle name="Note 2 3 2 10 3 2 2" xfId="54461"/>
    <cellStyle name="Note 2 3 2 10 3 3" xfId="37414"/>
    <cellStyle name="Note 2 3 2 10 4" xfId="11904"/>
    <cellStyle name="Note 2 3 2 10 4 2" xfId="19828"/>
    <cellStyle name="Note 2 3 2 10 4 2 2" xfId="48689"/>
    <cellStyle name="Note 2 3 2 10 4 3" xfId="40765"/>
    <cellStyle name="Note 2 3 2 10 5" xfId="17148"/>
    <cellStyle name="Note 2 3 2 10 5 2" xfId="46009"/>
    <cellStyle name="Note 2 3 2 10 6" xfId="31373"/>
    <cellStyle name="Note 2 3 2 11" xfId="2720"/>
    <cellStyle name="Note 2 3 2 11 2" xfId="5606"/>
    <cellStyle name="Note 2 3 2 11 2 2" xfId="11647"/>
    <cellStyle name="Note 2 3 2 11 2 2 2" xfId="28694"/>
    <cellStyle name="Note 2 3 2 11 2 2 2 2" xfId="57555"/>
    <cellStyle name="Note 2 3 2 11 2 2 3" xfId="40508"/>
    <cellStyle name="Note 2 3 2 11 2 3" xfId="22716"/>
    <cellStyle name="Note 2 3 2 11 2 3 2" xfId="51577"/>
    <cellStyle name="Note 2 3 2 11 2 4" xfId="34467"/>
    <cellStyle name="Note 2 3 2 11 3" xfId="8761"/>
    <cellStyle name="Note 2 3 2 11 3 2" xfId="25808"/>
    <cellStyle name="Note 2 3 2 11 3 2 2" xfId="54669"/>
    <cellStyle name="Note 2 3 2 11 3 3" xfId="37622"/>
    <cellStyle name="Note 2 3 2 11 4" xfId="13966"/>
    <cellStyle name="Note 2 3 2 11 4 2" xfId="20036"/>
    <cellStyle name="Note 2 3 2 11 4 2 2" xfId="48897"/>
    <cellStyle name="Note 2 3 2 11 4 3" xfId="42827"/>
    <cellStyle name="Note 2 3 2 11 5" xfId="17356"/>
    <cellStyle name="Note 2 3 2 11 5 2" xfId="46217"/>
    <cellStyle name="Note 2 3 2 11 6" xfId="31581"/>
    <cellStyle name="Note 2 3 2 12" xfId="3235"/>
    <cellStyle name="Note 2 3 2 12 2" xfId="9276"/>
    <cellStyle name="Note 2 3 2 12 2 2" xfId="26323"/>
    <cellStyle name="Note 2 3 2 12 2 2 2" xfId="55184"/>
    <cellStyle name="Note 2 3 2 12 2 3" xfId="38137"/>
    <cellStyle name="Note 2 3 2 12 3" xfId="11943"/>
    <cellStyle name="Note 2 3 2 12 3 2" xfId="20345"/>
    <cellStyle name="Note 2 3 2 12 3 2 2" xfId="49206"/>
    <cellStyle name="Note 2 3 2 12 3 3" xfId="40804"/>
    <cellStyle name="Note 2 3 2 12 4" xfId="14985"/>
    <cellStyle name="Note 2 3 2 12 4 2" xfId="43846"/>
    <cellStyle name="Note 2 3 2 12 5" xfId="32096"/>
    <cellStyle name="Note 2 3 2 13" xfId="2926"/>
    <cellStyle name="Note 2 3 2 13 2" xfId="8967"/>
    <cellStyle name="Note 2 3 2 13 2 2" xfId="26014"/>
    <cellStyle name="Note 2 3 2 13 2 2 2" xfId="54875"/>
    <cellStyle name="Note 2 3 2 13 2 3" xfId="37828"/>
    <cellStyle name="Note 2 3 2 13 3" xfId="17562"/>
    <cellStyle name="Note 2 3 2 13 3 2" xfId="46423"/>
    <cellStyle name="Note 2 3 2 13 4" xfId="31787"/>
    <cellStyle name="Note 2 3 2 14" xfId="5812"/>
    <cellStyle name="Note 2 3 2 14 2" xfId="11853"/>
    <cellStyle name="Note 2 3 2 14 2 2" xfId="28900"/>
    <cellStyle name="Note 2 3 2 14 2 2 2" xfId="57761"/>
    <cellStyle name="Note 2 3 2 14 2 3" xfId="40714"/>
    <cellStyle name="Note 2 3 2 14 3" xfId="22922"/>
    <cellStyle name="Note 2 3 2 14 3 2" xfId="51783"/>
    <cellStyle name="Note 2 3 2 14 4" xfId="34673"/>
    <cellStyle name="Note 2 3 2 15" xfId="6029"/>
    <cellStyle name="Note 2 3 2 15 2" xfId="23128"/>
    <cellStyle name="Note 2 3 2 15 2 2" xfId="51989"/>
    <cellStyle name="Note 2 3 2 15 3" xfId="34890"/>
    <cellStyle name="Note 2 3 2 16" xfId="6390"/>
    <cellStyle name="Note 2 3 2 16 2" xfId="23437"/>
    <cellStyle name="Note 2 3 2 16 2 2" xfId="52298"/>
    <cellStyle name="Note 2 3 2 16 3" xfId="35251"/>
    <cellStyle name="Note 2 3 2 17" xfId="14676"/>
    <cellStyle name="Note 2 3 2 17 2" xfId="43537"/>
    <cellStyle name="Note 2 3 2 18" xfId="29210"/>
    <cellStyle name="Note 2 3 2 2" xfId="554"/>
    <cellStyle name="Note 2 3 2 2 2" xfId="2305"/>
    <cellStyle name="Note 2 3 2 2 2 2" xfId="5192"/>
    <cellStyle name="Note 2 3 2 2 2 2 2" xfId="11233"/>
    <cellStyle name="Note 2 3 2 2 2 2 2 2" xfId="28280"/>
    <cellStyle name="Note 2 3 2 2 2 2 2 2 2" xfId="57141"/>
    <cellStyle name="Note 2 3 2 2 2 2 2 3" xfId="40094"/>
    <cellStyle name="Note 2 3 2 2 2 2 3" xfId="22302"/>
    <cellStyle name="Note 2 3 2 2 2 2 3 2" xfId="51163"/>
    <cellStyle name="Note 2 3 2 2 2 2 4" xfId="34053"/>
    <cellStyle name="Note 2 3 2 2 2 3" xfId="8347"/>
    <cellStyle name="Note 2 3 2 2 2 3 2" xfId="25394"/>
    <cellStyle name="Note 2 3 2 2 2 3 2 2" xfId="54255"/>
    <cellStyle name="Note 2 3 2 2 2 3 3" xfId="37208"/>
    <cellStyle name="Note 2 3 2 2 2 4" xfId="12440"/>
    <cellStyle name="Note 2 3 2 2 2 4 2" xfId="19622"/>
    <cellStyle name="Note 2 3 2 2 2 4 2 2" xfId="48483"/>
    <cellStyle name="Note 2 3 2 2 2 4 3" xfId="41301"/>
    <cellStyle name="Note 2 3 2 2 2 5" xfId="16942"/>
    <cellStyle name="Note 2 3 2 2 2 5 2" xfId="45803"/>
    <cellStyle name="Note 2 3 2 2 2 6" xfId="31167"/>
    <cellStyle name="Note 2 3 2 2 3" xfId="3441"/>
    <cellStyle name="Note 2 3 2 2 3 2" xfId="9482"/>
    <cellStyle name="Note 2 3 2 2 3 2 2" xfId="26529"/>
    <cellStyle name="Note 2 3 2 2 3 2 2 2" xfId="55390"/>
    <cellStyle name="Note 2 3 2 2 3 2 3" xfId="38343"/>
    <cellStyle name="Note 2 3 2 2 3 3" xfId="20551"/>
    <cellStyle name="Note 2 3 2 2 3 3 2" xfId="49412"/>
    <cellStyle name="Note 2 3 2 2 3 4" xfId="32302"/>
    <cellStyle name="Note 2 3 2 2 4" xfId="6596"/>
    <cellStyle name="Note 2 3 2 2 4 2" xfId="23643"/>
    <cellStyle name="Note 2 3 2 2 4 2 2" xfId="52504"/>
    <cellStyle name="Note 2 3 2 2 4 3" xfId="35457"/>
    <cellStyle name="Note 2 3 2 2 5" xfId="12459"/>
    <cellStyle name="Note 2 3 2 2 5 2" xfId="17871"/>
    <cellStyle name="Note 2 3 2 2 5 2 2" xfId="46732"/>
    <cellStyle name="Note 2 3 2 2 5 3" xfId="41320"/>
    <cellStyle name="Note 2 3 2 2 6" xfId="15191"/>
    <cellStyle name="Note 2 3 2 2 6 2" xfId="44052"/>
    <cellStyle name="Note 2 3 2 2 7" xfId="29416"/>
    <cellStyle name="Note 2 3 2 3" xfId="863"/>
    <cellStyle name="Note 2 3 2 3 2" xfId="3750"/>
    <cellStyle name="Note 2 3 2 3 2 2" xfId="9791"/>
    <cellStyle name="Note 2 3 2 3 2 2 2" xfId="26838"/>
    <cellStyle name="Note 2 3 2 3 2 2 2 2" xfId="55699"/>
    <cellStyle name="Note 2 3 2 3 2 2 3" xfId="38652"/>
    <cellStyle name="Note 2 3 2 3 2 3" xfId="20860"/>
    <cellStyle name="Note 2 3 2 3 2 3 2" xfId="49721"/>
    <cellStyle name="Note 2 3 2 3 2 4" xfId="32611"/>
    <cellStyle name="Note 2 3 2 3 3" xfId="6905"/>
    <cellStyle name="Note 2 3 2 3 3 2" xfId="23952"/>
    <cellStyle name="Note 2 3 2 3 3 2 2" xfId="52813"/>
    <cellStyle name="Note 2 3 2 3 3 3" xfId="35766"/>
    <cellStyle name="Note 2 3 2 3 4" xfId="13166"/>
    <cellStyle name="Note 2 3 2 3 4 2" xfId="18180"/>
    <cellStyle name="Note 2 3 2 3 4 2 2" xfId="47041"/>
    <cellStyle name="Note 2 3 2 3 4 3" xfId="42027"/>
    <cellStyle name="Note 2 3 2 3 5" xfId="15500"/>
    <cellStyle name="Note 2 3 2 3 5 2" xfId="44361"/>
    <cellStyle name="Note 2 3 2 3 6" xfId="29725"/>
    <cellStyle name="Note 2 3 2 4" xfId="1069"/>
    <cellStyle name="Note 2 3 2 4 2" xfId="3956"/>
    <cellStyle name="Note 2 3 2 4 2 2" xfId="9997"/>
    <cellStyle name="Note 2 3 2 4 2 2 2" xfId="27044"/>
    <cellStyle name="Note 2 3 2 4 2 2 2 2" xfId="55905"/>
    <cellStyle name="Note 2 3 2 4 2 2 3" xfId="38858"/>
    <cellStyle name="Note 2 3 2 4 2 3" xfId="21066"/>
    <cellStyle name="Note 2 3 2 4 2 3 2" xfId="49927"/>
    <cellStyle name="Note 2 3 2 4 2 4" xfId="32817"/>
    <cellStyle name="Note 2 3 2 4 3" xfId="7111"/>
    <cellStyle name="Note 2 3 2 4 3 2" xfId="24158"/>
    <cellStyle name="Note 2 3 2 4 3 2 2" xfId="53019"/>
    <cellStyle name="Note 2 3 2 4 3 3" xfId="35972"/>
    <cellStyle name="Note 2 3 2 4 4" xfId="11936"/>
    <cellStyle name="Note 2 3 2 4 4 2" xfId="18386"/>
    <cellStyle name="Note 2 3 2 4 4 2 2" xfId="47247"/>
    <cellStyle name="Note 2 3 2 4 4 3" xfId="40797"/>
    <cellStyle name="Note 2 3 2 4 5" xfId="15706"/>
    <cellStyle name="Note 2 3 2 4 5 2" xfId="44567"/>
    <cellStyle name="Note 2 3 2 4 6" xfId="29931"/>
    <cellStyle name="Note 2 3 2 5" xfId="1275"/>
    <cellStyle name="Note 2 3 2 5 2" xfId="4162"/>
    <cellStyle name="Note 2 3 2 5 2 2" xfId="10203"/>
    <cellStyle name="Note 2 3 2 5 2 2 2" xfId="27250"/>
    <cellStyle name="Note 2 3 2 5 2 2 2 2" xfId="56111"/>
    <cellStyle name="Note 2 3 2 5 2 2 3" xfId="39064"/>
    <cellStyle name="Note 2 3 2 5 2 3" xfId="21272"/>
    <cellStyle name="Note 2 3 2 5 2 3 2" xfId="50133"/>
    <cellStyle name="Note 2 3 2 5 2 4" xfId="33023"/>
    <cellStyle name="Note 2 3 2 5 3" xfId="7317"/>
    <cellStyle name="Note 2 3 2 5 3 2" xfId="24364"/>
    <cellStyle name="Note 2 3 2 5 3 2 2" xfId="53225"/>
    <cellStyle name="Note 2 3 2 5 3 3" xfId="36178"/>
    <cellStyle name="Note 2 3 2 5 4" xfId="13965"/>
    <cellStyle name="Note 2 3 2 5 4 2" xfId="18592"/>
    <cellStyle name="Note 2 3 2 5 4 2 2" xfId="47453"/>
    <cellStyle name="Note 2 3 2 5 4 3" xfId="42826"/>
    <cellStyle name="Note 2 3 2 5 5" xfId="15912"/>
    <cellStyle name="Note 2 3 2 5 5 2" xfId="44773"/>
    <cellStyle name="Note 2 3 2 5 6" xfId="30137"/>
    <cellStyle name="Note 2 3 2 6" xfId="1481"/>
    <cellStyle name="Note 2 3 2 6 2" xfId="4368"/>
    <cellStyle name="Note 2 3 2 6 2 2" xfId="10409"/>
    <cellStyle name="Note 2 3 2 6 2 2 2" xfId="27456"/>
    <cellStyle name="Note 2 3 2 6 2 2 2 2" xfId="56317"/>
    <cellStyle name="Note 2 3 2 6 2 2 3" xfId="39270"/>
    <cellStyle name="Note 2 3 2 6 2 3" xfId="21478"/>
    <cellStyle name="Note 2 3 2 6 2 3 2" xfId="50339"/>
    <cellStyle name="Note 2 3 2 6 2 4" xfId="33229"/>
    <cellStyle name="Note 2 3 2 6 3" xfId="7523"/>
    <cellStyle name="Note 2 3 2 6 3 2" xfId="24570"/>
    <cellStyle name="Note 2 3 2 6 3 2 2" xfId="53431"/>
    <cellStyle name="Note 2 3 2 6 3 3" xfId="36384"/>
    <cellStyle name="Note 2 3 2 6 4" xfId="13442"/>
    <cellStyle name="Note 2 3 2 6 4 2" xfId="18798"/>
    <cellStyle name="Note 2 3 2 6 4 2 2" xfId="47659"/>
    <cellStyle name="Note 2 3 2 6 4 3" xfId="42303"/>
    <cellStyle name="Note 2 3 2 6 5" xfId="16118"/>
    <cellStyle name="Note 2 3 2 6 5 2" xfId="44979"/>
    <cellStyle name="Note 2 3 2 6 6" xfId="30343"/>
    <cellStyle name="Note 2 3 2 7" xfId="1687"/>
    <cellStyle name="Note 2 3 2 7 2" xfId="4574"/>
    <cellStyle name="Note 2 3 2 7 2 2" xfId="10615"/>
    <cellStyle name="Note 2 3 2 7 2 2 2" xfId="27662"/>
    <cellStyle name="Note 2 3 2 7 2 2 2 2" xfId="56523"/>
    <cellStyle name="Note 2 3 2 7 2 2 3" xfId="39476"/>
    <cellStyle name="Note 2 3 2 7 2 3" xfId="21684"/>
    <cellStyle name="Note 2 3 2 7 2 3 2" xfId="50545"/>
    <cellStyle name="Note 2 3 2 7 2 4" xfId="33435"/>
    <cellStyle name="Note 2 3 2 7 3" xfId="7729"/>
    <cellStyle name="Note 2 3 2 7 3 2" xfId="24776"/>
    <cellStyle name="Note 2 3 2 7 3 2 2" xfId="53637"/>
    <cellStyle name="Note 2 3 2 7 3 3" xfId="36590"/>
    <cellStyle name="Note 2 3 2 7 4" xfId="13397"/>
    <cellStyle name="Note 2 3 2 7 4 2" xfId="19004"/>
    <cellStyle name="Note 2 3 2 7 4 2 2" xfId="47865"/>
    <cellStyle name="Note 2 3 2 7 4 3" xfId="42258"/>
    <cellStyle name="Note 2 3 2 7 5" xfId="16324"/>
    <cellStyle name="Note 2 3 2 7 5 2" xfId="45185"/>
    <cellStyle name="Note 2 3 2 7 6" xfId="30549"/>
    <cellStyle name="Note 2 3 2 8" xfId="1893"/>
    <cellStyle name="Note 2 3 2 8 2" xfId="4780"/>
    <cellStyle name="Note 2 3 2 8 2 2" xfId="10821"/>
    <cellStyle name="Note 2 3 2 8 2 2 2" xfId="27868"/>
    <cellStyle name="Note 2 3 2 8 2 2 2 2" xfId="56729"/>
    <cellStyle name="Note 2 3 2 8 2 2 3" xfId="39682"/>
    <cellStyle name="Note 2 3 2 8 2 3" xfId="21890"/>
    <cellStyle name="Note 2 3 2 8 2 3 2" xfId="50751"/>
    <cellStyle name="Note 2 3 2 8 2 4" xfId="33641"/>
    <cellStyle name="Note 2 3 2 8 3" xfId="7935"/>
    <cellStyle name="Note 2 3 2 8 3 2" xfId="24982"/>
    <cellStyle name="Note 2 3 2 8 3 2 2" xfId="53843"/>
    <cellStyle name="Note 2 3 2 8 3 3" xfId="36796"/>
    <cellStyle name="Note 2 3 2 8 4" xfId="12821"/>
    <cellStyle name="Note 2 3 2 8 4 2" xfId="19210"/>
    <cellStyle name="Note 2 3 2 8 4 2 2" xfId="48071"/>
    <cellStyle name="Note 2 3 2 8 4 3" xfId="41682"/>
    <cellStyle name="Note 2 3 2 8 5" xfId="16530"/>
    <cellStyle name="Note 2 3 2 8 5 2" xfId="45391"/>
    <cellStyle name="Note 2 3 2 8 6" xfId="30755"/>
    <cellStyle name="Note 2 3 2 9" xfId="2099"/>
    <cellStyle name="Note 2 3 2 9 2" xfId="4986"/>
    <cellStyle name="Note 2 3 2 9 2 2" xfId="11027"/>
    <cellStyle name="Note 2 3 2 9 2 2 2" xfId="28074"/>
    <cellStyle name="Note 2 3 2 9 2 2 2 2" xfId="56935"/>
    <cellStyle name="Note 2 3 2 9 2 2 3" xfId="39888"/>
    <cellStyle name="Note 2 3 2 9 2 3" xfId="22096"/>
    <cellStyle name="Note 2 3 2 9 2 3 2" xfId="50957"/>
    <cellStyle name="Note 2 3 2 9 2 4" xfId="33847"/>
    <cellStyle name="Note 2 3 2 9 3" xfId="8141"/>
    <cellStyle name="Note 2 3 2 9 3 2" xfId="25188"/>
    <cellStyle name="Note 2 3 2 9 3 2 2" xfId="54049"/>
    <cellStyle name="Note 2 3 2 9 3 3" xfId="37002"/>
    <cellStyle name="Note 2 3 2 9 4" xfId="12664"/>
    <cellStyle name="Note 2 3 2 9 4 2" xfId="19416"/>
    <cellStyle name="Note 2 3 2 9 4 2 2" xfId="48277"/>
    <cellStyle name="Note 2 3 2 9 4 3" xfId="41525"/>
    <cellStyle name="Note 2 3 2 9 5" xfId="16736"/>
    <cellStyle name="Note 2 3 2 9 5 2" xfId="45597"/>
    <cellStyle name="Note 2 3 2 9 6" xfId="30961"/>
    <cellStyle name="Note 2 3 20" xfId="29004"/>
    <cellStyle name="Note 2 3 3" xfId="245"/>
    <cellStyle name="Note 2 3 3 2" xfId="657"/>
    <cellStyle name="Note 2 3 3 2 2" xfId="3544"/>
    <cellStyle name="Note 2 3 3 2 2 2" xfId="9585"/>
    <cellStyle name="Note 2 3 3 2 2 2 2" xfId="26632"/>
    <cellStyle name="Note 2 3 3 2 2 2 2 2" xfId="55493"/>
    <cellStyle name="Note 2 3 3 2 2 2 3" xfId="38446"/>
    <cellStyle name="Note 2 3 3 2 2 3" xfId="20654"/>
    <cellStyle name="Note 2 3 3 2 2 3 2" xfId="49515"/>
    <cellStyle name="Note 2 3 3 2 2 4" xfId="32405"/>
    <cellStyle name="Note 2 3 3 2 3" xfId="6699"/>
    <cellStyle name="Note 2 3 3 2 3 2" xfId="23746"/>
    <cellStyle name="Note 2 3 3 2 3 2 2" xfId="52607"/>
    <cellStyle name="Note 2 3 3 2 3 3" xfId="35560"/>
    <cellStyle name="Note 2 3 3 2 4" xfId="14105"/>
    <cellStyle name="Note 2 3 3 2 4 2" xfId="17974"/>
    <cellStyle name="Note 2 3 3 2 4 2 2" xfId="46835"/>
    <cellStyle name="Note 2 3 3 2 4 3" xfId="42966"/>
    <cellStyle name="Note 2 3 3 2 5" xfId="15294"/>
    <cellStyle name="Note 2 3 3 2 5 2" xfId="44155"/>
    <cellStyle name="Note 2 3 3 2 6" xfId="29519"/>
    <cellStyle name="Note 2 3 3 3" xfId="2202"/>
    <cellStyle name="Note 2 3 3 3 2" xfId="5089"/>
    <cellStyle name="Note 2 3 3 3 2 2" xfId="11130"/>
    <cellStyle name="Note 2 3 3 3 2 2 2" xfId="28177"/>
    <cellStyle name="Note 2 3 3 3 2 2 2 2" xfId="57038"/>
    <cellStyle name="Note 2 3 3 3 2 2 3" xfId="39991"/>
    <cellStyle name="Note 2 3 3 3 2 3" xfId="22199"/>
    <cellStyle name="Note 2 3 3 3 2 3 2" xfId="51060"/>
    <cellStyle name="Note 2 3 3 3 2 4" xfId="33950"/>
    <cellStyle name="Note 2 3 3 3 3" xfId="8244"/>
    <cellStyle name="Note 2 3 3 3 3 2" xfId="25291"/>
    <cellStyle name="Note 2 3 3 3 3 2 2" xfId="54152"/>
    <cellStyle name="Note 2 3 3 3 3 3" xfId="37105"/>
    <cellStyle name="Note 2 3 3 3 4" xfId="13025"/>
    <cellStyle name="Note 2 3 3 3 4 2" xfId="19519"/>
    <cellStyle name="Note 2 3 3 3 4 2 2" xfId="48380"/>
    <cellStyle name="Note 2 3 3 3 4 3" xfId="41886"/>
    <cellStyle name="Note 2 3 3 3 5" xfId="16839"/>
    <cellStyle name="Note 2 3 3 3 5 2" xfId="45700"/>
    <cellStyle name="Note 2 3 3 3 6" xfId="31064"/>
    <cellStyle name="Note 2 3 3 4" xfId="3132"/>
    <cellStyle name="Note 2 3 3 4 2" xfId="9173"/>
    <cellStyle name="Note 2 3 3 4 2 2" xfId="26220"/>
    <cellStyle name="Note 2 3 3 4 2 2 2" xfId="55081"/>
    <cellStyle name="Note 2 3 3 4 2 3" xfId="38034"/>
    <cellStyle name="Note 2 3 3 4 3" xfId="20242"/>
    <cellStyle name="Note 2 3 3 4 3 2" xfId="49103"/>
    <cellStyle name="Note 2 3 3 4 4" xfId="31993"/>
    <cellStyle name="Note 2 3 3 5" xfId="6287"/>
    <cellStyle name="Note 2 3 3 5 2" xfId="23334"/>
    <cellStyle name="Note 2 3 3 5 2 2" xfId="52195"/>
    <cellStyle name="Note 2 3 3 5 3" xfId="35148"/>
    <cellStyle name="Note 2 3 3 6" xfId="13393"/>
    <cellStyle name="Note 2 3 3 6 2" xfId="17665"/>
    <cellStyle name="Note 2 3 3 6 2 2" xfId="46526"/>
    <cellStyle name="Note 2 3 3 6 3" xfId="42254"/>
    <cellStyle name="Note 2 3 3 7" xfId="14882"/>
    <cellStyle name="Note 2 3 3 7 2" xfId="43743"/>
    <cellStyle name="Note 2 3 3 8" xfId="29107"/>
    <cellStyle name="Note 2 3 4" xfId="451"/>
    <cellStyle name="Note 2 3 4 2" xfId="3338"/>
    <cellStyle name="Note 2 3 4 2 2" xfId="9379"/>
    <cellStyle name="Note 2 3 4 2 2 2" xfId="26426"/>
    <cellStyle name="Note 2 3 4 2 2 2 2" xfId="55287"/>
    <cellStyle name="Note 2 3 4 2 2 3" xfId="38240"/>
    <cellStyle name="Note 2 3 4 2 3" xfId="20448"/>
    <cellStyle name="Note 2 3 4 2 3 2" xfId="49309"/>
    <cellStyle name="Note 2 3 4 2 4" xfId="32199"/>
    <cellStyle name="Note 2 3 4 3" xfId="6493"/>
    <cellStyle name="Note 2 3 4 3 2" xfId="23540"/>
    <cellStyle name="Note 2 3 4 3 2 2" xfId="52401"/>
    <cellStyle name="Note 2 3 4 3 3" xfId="35354"/>
    <cellStyle name="Note 2 3 4 4" xfId="13112"/>
    <cellStyle name="Note 2 3 4 4 2" xfId="17768"/>
    <cellStyle name="Note 2 3 4 4 2 2" xfId="46629"/>
    <cellStyle name="Note 2 3 4 4 3" xfId="41973"/>
    <cellStyle name="Note 2 3 4 5" xfId="15088"/>
    <cellStyle name="Note 2 3 4 5 2" xfId="43949"/>
    <cellStyle name="Note 2 3 4 6" xfId="29313"/>
    <cellStyle name="Note 2 3 5" xfId="760"/>
    <cellStyle name="Note 2 3 5 2" xfId="3647"/>
    <cellStyle name="Note 2 3 5 2 2" xfId="9688"/>
    <cellStyle name="Note 2 3 5 2 2 2" xfId="26735"/>
    <cellStyle name="Note 2 3 5 2 2 2 2" xfId="55596"/>
    <cellStyle name="Note 2 3 5 2 2 3" xfId="38549"/>
    <cellStyle name="Note 2 3 5 2 3" xfId="20757"/>
    <cellStyle name="Note 2 3 5 2 3 2" xfId="49618"/>
    <cellStyle name="Note 2 3 5 2 4" xfId="32508"/>
    <cellStyle name="Note 2 3 5 3" xfId="6802"/>
    <cellStyle name="Note 2 3 5 3 2" xfId="23849"/>
    <cellStyle name="Note 2 3 5 3 2 2" xfId="52710"/>
    <cellStyle name="Note 2 3 5 3 3" xfId="35663"/>
    <cellStyle name="Note 2 3 5 4" xfId="13526"/>
    <cellStyle name="Note 2 3 5 4 2" xfId="18077"/>
    <cellStyle name="Note 2 3 5 4 2 2" xfId="46938"/>
    <cellStyle name="Note 2 3 5 4 3" xfId="42387"/>
    <cellStyle name="Note 2 3 5 5" xfId="15397"/>
    <cellStyle name="Note 2 3 5 5 2" xfId="44258"/>
    <cellStyle name="Note 2 3 5 6" xfId="29622"/>
    <cellStyle name="Note 2 3 6" xfId="966"/>
    <cellStyle name="Note 2 3 6 2" xfId="3853"/>
    <cellStyle name="Note 2 3 6 2 2" xfId="9894"/>
    <cellStyle name="Note 2 3 6 2 2 2" xfId="26941"/>
    <cellStyle name="Note 2 3 6 2 2 2 2" xfId="55802"/>
    <cellStyle name="Note 2 3 6 2 2 3" xfId="38755"/>
    <cellStyle name="Note 2 3 6 2 3" xfId="20963"/>
    <cellStyle name="Note 2 3 6 2 3 2" xfId="49824"/>
    <cellStyle name="Note 2 3 6 2 4" xfId="32714"/>
    <cellStyle name="Note 2 3 6 3" xfId="7008"/>
    <cellStyle name="Note 2 3 6 3 2" xfId="24055"/>
    <cellStyle name="Note 2 3 6 3 2 2" xfId="52916"/>
    <cellStyle name="Note 2 3 6 3 3" xfId="35869"/>
    <cellStyle name="Note 2 3 6 4" xfId="12682"/>
    <cellStyle name="Note 2 3 6 4 2" xfId="18283"/>
    <cellStyle name="Note 2 3 6 4 2 2" xfId="47144"/>
    <cellStyle name="Note 2 3 6 4 3" xfId="41543"/>
    <cellStyle name="Note 2 3 6 5" xfId="15603"/>
    <cellStyle name="Note 2 3 6 5 2" xfId="44464"/>
    <cellStyle name="Note 2 3 6 6" xfId="29828"/>
    <cellStyle name="Note 2 3 7" xfId="1172"/>
    <cellStyle name="Note 2 3 7 2" xfId="4059"/>
    <cellStyle name="Note 2 3 7 2 2" xfId="10100"/>
    <cellStyle name="Note 2 3 7 2 2 2" xfId="27147"/>
    <cellStyle name="Note 2 3 7 2 2 2 2" xfId="56008"/>
    <cellStyle name="Note 2 3 7 2 2 3" xfId="38961"/>
    <cellStyle name="Note 2 3 7 2 3" xfId="21169"/>
    <cellStyle name="Note 2 3 7 2 3 2" xfId="50030"/>
    <cellStyle name="Note 2 3 7 2 4" xfId="32920"/>
    <cellStyle name="Note 2 3 7 3" xfId="7214"/>
    <cellStyle name="Note 2 3 7 3 2" xfId="24261"/>
    <cellStyle name="Note 2 3 7 3 2 2" xfId="53122"/>
    <cellStyle name="Note 2 3 7 3 3" xfId="36075"/>
    <cellStyle name="Note 2 3 7 4" xfId="14414"/>
    <cellStyle name="Note 2 3 7 4 2" xfId="18489"/>
    <cellStyle name="Note 2 3 7 4 2 2" xfId="47350"/>
    <cellStyle name="Note 2 3 7 4 3" xfId="43275"/>
    <cellStyle name="Note 2 3 7 5" xfId="15809"/>
    <cellStyle name="Note 2 3 7 5 2" xfId="44670"/>
    <cellStyle name="Note 2 3 7 6" xfId="30034"/>
    <cellStyle name="Note 2 3 8" xfId="1378"/>
    <cellStyle name="Note 2 3 8 2" xfId="4265"/>
    <cellStyle name="Note 2 3 8 2 2" xfId="10306"/>
    <cellStyle name="Note 2 3 8 2 2 2" xfId="27353"/>
    <cellStyle name="Note 2 3 8 2 2 2 2" xfId="56214"/>
    <cellStyle name="Note 2 3 8 2 2 3" xfId="39167"/>
    <cellStyle name="Note 2 3 8 2 3" xfId="21375"/>
    <cellStyle name="Note 2 3 8 2 3 2" xfId="50236"/>
    <cellStyle name="Note 2 3 8 2 4" xfId="33126"/>
    <cellStyle name="Note 2 3 8 3" xfId="7420"/>
    <cellStyle name="Note 2 3 8 3 2" xfId="24467"/>
    <cellStyle name="Note 2 3 8 3 2 2" xfId="53328"/>
    <cellStyle name="Note 2 3 8 3 3" xfId="36281"/>
    <cellStyle name="Note 2 3 8 4" xfId="13389"/>
    <cellStyle name="Note 2 3 8 4 2" xfId="18695"/>
    <cellStyle name="Note 2 3 8 4 2 2" xfId="47556"/>
    <cellStyle name="Note 2 3 8 4 3" xfId="42250"/>
    <cellStyle name="Note 2 3 8 5" xfId="16015"/>
    <cellStyle name="Note 2 3 8 5 2" xfId="44876"/>
    <cellStyle name="Note 2 3 8 6" xfId="30240"/>
    <cellStyle name="Note 2 3 9" xfId="1584"/>
    <cellStyle name="Note 2 3 9 2" xfId="4471"/>
    <cellStyle name="Note 2 3 9 2 2" xfId="10512"/>
    <cellStyle name="Note 2 3 9 2 2 2" xfId="27559"/>
    <cellStyle name="Note 2 3 9 2 2 2 2" xfId="56420"/>
    <cellStyle name="Note 2 3 9 2 2 3" xfId="39373"/>
    <cellStyle name="Note 2 3 9 2 3" xfId="21581"/>
    <cellStyle name="Note 2 3 9 2 3 2" xfId="50442"/>
    <cellStyle name="Note 2 3 9 2 4" xfId="33332"/>
    <cellStyle name="Note 2 3 9 3" xfId="7626"/>
    <cellStyle name="Note 2 3 9 3 2" xfId="24673"/>
    <cellStyle name="Note 2 3 9 3 2 2" xfId="53534"/>
    <cellStyle name="Note 2 3 9 3 3" xfId="36487"/>
    <cellStyle name="Note 2 3 9 4" xfId="12138"/>
    <cellStyle name="Note 2 3 9 4 2" xfId="18901"/>
    <cellStyle name="Note 2 3 9 4 2 2" xfId="47762"/>
    <cellStyle name="Note 2 3 9 4 3" xfId="40999"/>
    <cellStyle name="Note 2 3 9 5" xfId="16221"/>
    <cellStyle name="Note 2 3 9 5 2" xfId="45082"/>
    <cellStyle name="Note 2 3 9 6" xfId="30446"/>
    <cellStyle name="Note 2 4" xfId="296"/>
    <cellStyle name="Note 2 4 10" xfId="2459"/>
    <cellStyle name="Note 2 4 10 2" xfId="5346"/>
    <cellStyle name="Note 2 4 10 2 2" xfId="11387"/>
    <cellStyle name="Note 2 4 10 2 2 2" xfId="28434"/>
    <cellStyle name="Note 2 4 10 2 2 2 2" xfId="57295"/>
    <cellStyle name="Note 2 4 10 2 2 3" xfId="40248"/>
    <cellStyle name="Note 2 4 10 2 3" xfId="22456"/>
    <cellStyle name="Note 2 4 10 2 3 2" xfId="51317"/>
    <cellStyle name="Note 2 4 10 2 4" xfId="34207"/>
    <cellStyle name="Note 2 4 10 3" xfId="8501"/>
    <cellStyle name="Note 2 4 10 3 2" xfId="25548"/>
    <cellStyle name="Note 2 4 10 3 2 2" xfId="54409"/>
    <cellStyle name="Note 2 4 10 3 3" xfId="37362"/>
    <cellStyle name="Note 2 4 10 4" xfId="13344"/>
    <cellStyle name="Note 2 4 10 4 2" xfId="19776"/>
    <cellStyle name="Note 2 4 10 4 2 2" xfId="48637"/>
    <cellStyle name="Note 2 4 10 4 3" xfId="42205"/>
    <cellStyle name="Note 2 4 10 5" xfId="17096"/>
    <cellStyle name="Note 2 4 10 5 2" xfId="45957"/>
    <cellStyle name="Note 2 4 10 6" xfId="31321"/>
    <cellStyle name="Note 2 4 11" xfId="2668"/>
    <cellStyle name="Note 2 4 11 2" xfId="5554"/>
    <cellStyle name="Note 2 4 11 2 2" xfId="11595"/>
    <cellStyle name="Note 2 4 11 2 2 2" xfId="28642"/>
    <cellStyle name="Note 2 4 11 2 2 2 2" xfId="57503"/>
    <cellStyle name="Note 2 4 11 2 2 3" xfId="40456"/>
    <cellStyle name="Note 2 4 11 2 3" xfId="22664"/>
    <cellStyle name="Note 2 4 11 2 3 2" xfId="51525"/>
    <cellStyle name="Note 2 4 11 2 4" xfId="34415"/>
    <cellStyle name="Note 2 4 11 3" xfId="8709"/>
    <cellStyle name="Note 2 4 11 3 2" xfId="25756"/>
    <cellStyle name="Note 2 4 11 3 2 2" xfId="54617"/>
    <cellStyle name="Note 2 4 11 3 3" xfId="37570"/>
    <cellStyle name="Note 2 4 11 4" xfId="12936"/>
    <cellStyle name="Note 2 4 11 4 2" xfId="19984"/>
    <cellStyle name="Note 2 4 11 4 2 2" xfId="48845"/>
    <cellStyle name="Note 2 4 11 4 3" xfId="41797"/>
    <cellStyle name="Note 2 4 11 5" xfId="17304"/>
    <cellStyle name="Note 2 4 11 5 2" xfId="46165"/>
    <cellStyle name="Note 2 4 11 6" xfId="31529"/>
    <cellStyle name="Note 2 4 12" xfId="3183"/>
    <cellStyle name="Note 2 4 12 2" xfId="9224"/>
    <cellStyle name="Note 2 4 12 2 2" xfId="26271"/>
    <cellStyle name="Note 2 4 12 2 2 2" xfId="55132"/>
    <cellStyle name="Note 2 4 12 2 3" xfId="38085"/>
    <cellStyle name="Note 2 4 12 3" xfId="14114"/>
    <cellStyle name="Note 2 4 12 3 2" xfId="20293"/>
    <cellStyle name="Note 2 4 12 3 2 2" xfId="49154"/>
    <cellStyle name="Note 2 4 12 3 3" xfId="42975"/>
    <cellStyle name="Note 2 4 12 4" xfId="14933"/>
    <cellStyle name="Note 2 4 12 4 2" xfId="43794"/>
    <cellStyle name="Note 2 4 12 5" xfId="32044"/>
    <cellStyle name="Note 2 4 13" xfId="2874"/>
    <cellStyle name="Note 2 4 13 2" xfId="8915"/>
    <cellStyle name="Note 2 4 13 2 2" xfId="25962"/>
    <cellStyle name="Note 2 4 13 2 2 2" xfId="54823"/>
    <cellStyle name="Note 2 4 13 2 3" xfId="37776"/>
    <cellStyle name="Note 2 4 13 3" xfId="17510"/>
    <cellStyle name="Note 2 4 13 3 2" xfId="46371"/>
    <cellStyle name="Note 2 4 13 4" xfId="31735"/>
    <cellStyle name="Note 2 4 14" xfId="5760"/>
    <cellStyle name="Note 2 4 14 2" xfId="11801"/>
    <cellStyle name="Note 2 4 14 2 2" xfId="28848"/>
    <cellStyle name="Note 2 4 14 2 2 2" xfId="57709"/>
    <cellStyle name="Note 2 4 14 2 3" xfId="40662"/>
    <cellStyle name="Note 2 4 14 3" xfId="22870"/>
    <cellStyle name="Note 2 4 14 3 2" xfId="51731"/>
    <cellStyle name="Note 2 4 14 4" xfId="34621"/>
    <cellStyle name="Note 2 4 15" xfId="5977"/>
    <cellStyle name="Note 2 4 15 2" xfId="23076"/>
    <cellStyle name="Note 2 4 15 2 2" xfId="51937"/>
    <cellStyle name="Note 2 4 15 3" xfId="34838"/>
    <cellStyle name="Note 2 4 16" xfId="6338"/>
    <cellStyle name="Note 2 4 16 2" xfId="23385"/>
    <cellStyle name="Note 2 4 16 2 2" xfId="52246"/>
    <cellStyle name="Note 2 4 16 3" xfId="35199"/>
    <cellStyle name="Note 2 4 17" xfId="14624"/>
    <cellStyle name="Note 2 4 17 2" xfId="43485"/>
    <cellStyle name="Note 2 4 18" xfId="29158"/>
    <cellStyle name="Note 2 4 2" xfId="502"/>
    <cellStyle name="Note 2 4 2 2" xfId="2253"/>
    <cellStyle name="Note 2 4 2 2 2" xfId="5140"/>
    <cellStyle name="Note 2 4 2 2 2 2" xfId="11181"/>
    <cellStyle name="Note 2 4 2 2 2 2 2" xfId="28228"/>
    <cellStyle name="Note 2 4 2 2 2 2 2 2" xfId="57089"/>
    <cellStyle name="Note 2 4 2 2 2 2 3" xfId="40042"/>
    <cellStyle name="Note 2 4 2 2 2 3" xfId="22250"/>
    <cellStyle name="Note 2 4 2 2 2 3 2" xfId="51111"/>
    <cellStyle name="Note 2 4 2 2 2 4" xfId="34001"/>
    <cellStyle name="Note 2 4 2 2 3" xfId="8295"/>
    <cellStyle name="Note 2 4 2 2 3 2" xfId="25342"/>
    <cellStyle name="Note 2 4 2 2 3 2 2" xfId="54203"/>
    <cellStyle name="Note 2 4 2 2 3 3" xfId="37156"/>
    <cellStyle name="Note 2 4 2 2 4" xfId="12907"/>
    <cellStyle name="Note 2 4 2 2 4 2" xfId="19570"/>
    <cellStyle name="Note 2 4 2 2 4 2 2" xfId="48431"/>
    <cellStyle name="Note 2 4 2 2 4 3" xfId="41768"/>
    <cellStyle name="Note 2 4 2 2 5" xfId="16890"/>
    <cellStyle name="Note 2 4 2 2 5 2" xfId="45751"/>
    <cellStyle name="Note 2 4 2 2 6" xfId="31115"/>
    <cellStyle name="Note 2 4 2 3" xfId="3389"/>
    <cellStyle name="Note 2 4 2 3 2" xfId="9430"/>
    <cellStyle name="Note 2 4 2 3 2 2" xfId="26477"/>
    <cellStyle name="Note 2 4 2 3 2 2 2" xfId="55338"/>
    <cellStyle name="Note 2 4 2 3 2 3" xfId="38291"/>
    <cellStyle name="Note 2 4 2 3 3" xfId="20499"/>
    <cellStyle name="Note 2 4 2 3 3 2" xfId="49360"/>
    <cellStyle name="Note 2 4 2 3 4" xfId="32250"/>
    <cellStyle name="Note 2 4 2 4" xfId="6544"/>
    <cellStyle name="Note 2 4 2 4 2" xfId="23591"/>
    <cellStyle name="Note 2 4 2 4 2 2" xfId="52452"/>
    <cellStyle name="Note 2 4 2 4 3" xfId="35405"/>
    <cellStyle name="Note 2 4 2 5" xfId="12329"/>
    <cellStyle name="Note 2 4 2 5 2" xfId="17819"/>
    <cellStyle name="Note 2 4 2 5 2 2" xfId="46680"/>
    <cellStyle name="Note 2 4 2 5 3" xfId="41190"/>
    <cellStyle name="Note 2 4 2 6" xfId="15139"/>
    <cellStyle name="Note 2 4 2 6 2" xfId="44000"/>
    <cellStyle name="Note 2 4 2 7" xfId="29364"/>
    <cellStyle name="Note 2 4 3" xfId="811"/>
    <cellStyle name="Note 2 4 3 2" xfId="3698"/>
    <cellStyle name="Note 2 4 3 2 2" xfId="9739"/>
    <cellStyle name="Note 2 4 3 2 2 2" xfId="26786"/>
    <cellStyle name="Note 2 4 3 2 2 2 2" xfId="55647"/>
    <cellStyle name="Note 2 4 3 2 2 3" xfId="38600"/>
    <cellStyle name="Note 2 4 3 2 3" xfId="20808"/>
    <cellStyle name="Note 2 4 3 2 3 2" xfId="49669"/>
    <cellStyle name="Note 2 4 3 2 4" xfId="32559"/>
    <cellStyle name="Note 2 4 3 3" xfId="6853"/>
    <cellStyle name="Note 2 4 3 3 2" xfId="23900"/>
    <cellStyle name="Note 2 4 3 3 2 2" xfId="52761"/>
    <cellStyle name="Note 2 4 3 3 3" xfId="35714"/>
    <cellStyle name="Note 2 4 3 4" xfId="13976"/>
    <cellStyle name="Note 2 4 3 4 2" xfId="18128"/>
    <cellStyle name="Note 2 4 3 4 2 2" xfId="46989"/>
    <cellStyle name="Note 2 4 3 4 3" xfId="42837"/>
    <cellStyle name="Note 2 4 3 5" xfId="15448"/>
    <cellStyle name="Note 2 4 3 5 2" xfId="44309"/>
    <cellStyle name="Note 2 4 3 6" xfId="29673"/>
    <cellStyle name="Note 2 4 4" xfId="1017"/>
    <cellStyle name="Note 2 4 4 2" xfId="3904"/>
    <cellStyle name="Note 2 4 4 2 2" xfId="9945"/>
    <cellStyle name="Note 2 4 4 2 2 2" xfId="26992"/>
    <cellStyle name="Note 2 4 4 2 2 2 2" xfId="55853"/>
    <cellStyle name="Note 2 4 4 2 2 3" xfId="38806"/>
    <cellStyle name="Note 2 4 4 2 3" xfId="21014"/>
    <cellStyle name="Note 2 4 4 2 3 2" xfId="49875"/>
    <cellStyle name="Note 2 4 4 2 4" xfId="32765"/>
    <cellStyle name="Note 2 4 4 3" xfId="7059"/>
    <cellStyle name="Note 2 4 4 3 2" xfId="24106"/>
    <cellStyle name="Note 2 4 4 3 2 2" xfId="52967"/>
    <cellStyle name="Note 2 4 4 3 3" xfId="35920"/>
    <cellStyle name="Note 2 4 4 4" xfId="12665"/>
    <cellStyle name="Note 2 4 4 4 2" xfId="18334"/>
    <cellStyle name="Note 2 4 4 4 2 2" xfId="47195"/>
    <cellStyle name="Note 2 4 4 4 3" xfId="41526"/>
    <cellStyle name="Note 2 4 4 5" xfId="15654"/>
    <cellStyle name="Note 2 4 4 5 2" xfId="44515"/>
    <cellStyle name="Note 2 4 4 6" xfId="29879"/>
    <cellStyle name="Note 2 4 5" xfId="1223"/>
    <cellStyle name="Note 2 4 5 2" xfId="4110"/>
    <cellStyle name="Note 2 4 5 2 2" xfId="10151"/>
    <cellStyle name="Note 2 4 5 2 2 2" xfId="27198"/>
    <cellStyle name="Note 2 4 5 2 2 2 2" xfId="56059"/>
    <cellStyle name="Note 2 4 5 2 2 3" xfId="39012"/>
    <cellStyle name="Note 2 4 5 2 3" xfId="21220"/>
    <cellStyle name="Note 2 4 5 2 3 2" xfId="50081"/>
    <cellStyle name="Note 2 4 5 2 4" xfId="32971"/>
    <cellStyle name="Note 2 4 5 3" xfId="7265"/>
    <cellStyle name="Note 2 4 5 3 2" xfId="24312"/>
    <cellStyle name="Note 2 4 5 3 2 2" xfId="53173"/>
    <cellStyle name="Note 2 4 5 3 3" xfId="36126"/>
    <cellStyle name="Note 2 4 5 4" xfId="12141"/>
    <cellStyle name="Note 2 4 5 4 2" xfId="18540"/>
    <cellStyle name="Note 2 4 5 4 2 2" xfId="47401"/>
    <cellStyle name="Note 2 4 5 4 3" xfId="41002"/>
    <cellStyle name="Note 2 4 5 5" xfId="15860"/>
    <cellStyle name="Note 2 4 5 5 2" xfId="44721"/>
    <cellStyle name="Note 2 4 5 6" xfId="30085"/>
    <cellStyle name="Note 2 4 6" xfId="1429"/>
    <cellStyle name="Note 2 4 6 2" xfId="4316"/>
    <cellStyle name="Note 2 4 6 2 2" xfId="10357"/>
    <cellStyle name="Note 2 4 6 2 2 2" xfId="27404"/>
    <cellStyle name="Note 2 4 6 2 2 2 2" xfId="56265"/>
    <cellStyle name="Note 2 4 6 2 2 3" xfId="39218"/>
    <cellStyle name="Note 2 4 6 2 3" xfId="21426"/>
    <cellStyle name="Note 2 4 6 2 3 2" xfId="50287"/>
    <cellStyle name="Note 2 4 6 2 4" xfId="33177"/>
    <cellStyle name="Note 2 4 6 3" xfId="7471"/>
    <cellStyle name="Note 2 4 6 3 2" xfId="24518"/>
    <cellStyle name="Note 2 4 6 3 2 2" xfId="53379"/>
    <cellStyle name="Note 2 4 6 3 3" xfId="36332"/>
    <cellStyle name="Note 2 4 6 4" xfId="13020"/>
    <cellStyle name="Note 2 4 6 4 2" xfId="18746"/>
    <cellStyle name="Note 2 4 6 4 2 2" xfId="47607"/>
    <cellStyle name="Note 2 4 6 4 3" xfId="41881"/>
    <cellStyle name="Note 2 4 6 5" xfId="16066"/>
    <cellStyle name="Note 2 4 6 5 2" xfId="44927"/>
    <cellStyle name="Note 2 4 6 6" xfId="30291"/>
    <cellStyle name="Note 2 4 7" xfId="1635"/>
    <cellStyle name="Note 2 4 7 2" xfId="4522"/>
    <cellStyle name="Note 2 4 7 2 2" xfId="10563"/>
    <cellStyle name="Note 2 4 7 2 2 2" xfId="27610"/>
    <cellStyle name="Note 2 4 7 2 2 2 2" xfId="56471"/>
    <cellStyle name="Note 2 4 7 2 2 3" xfId="39424"/>
    <cellStyle name="Note 2 4 7 2 3" xfId="21632"/>
    <cellStyle name="Note 2 4 7 2 3 2" xfId="50493"/>
    <cellStyle name="Note 2 4 7 2 4" xfId="33383"/>
    <cellStyle name="Note 2 4 7 3" xfId="7677"/>
    <cellStyle name="Note 2 4 7 3 2" xfId="24724"/>
    <cellStyle name="Note 2 4 7 3 2 2" xfId="53585"/>
    <cellStyle name="Note 2 4 7 3 3" xfId="36538"/>
    <cellStyle name="Note 2 4 7 4" xfId="12681"/>
    <cellStyle name="Note 2 4 7 4 2" xfId="18952"/>
    <cellStyle name="Note 2 4 7 4 2 2" xfId="47813"/>
    <cellStyle name="Note 2 4 7 4 3" xfId="41542"/>
    <cellStyle name="Note 2 4 7 5" xfId="16272"/>
    <cellStyle name="Note 2 4 7 5 2" xfId="45133"/>
    <cellStyle name="Note 2 4 7 6" xfId="30497"/>
    <cellStyle name="Note 2 4 8" xfId="1841"/>
    <cellStyle name="Note 2 4 8 2" xfId="4728"/>
    <cellStyle name="Note 2 4 8 2 2" xfId="10769"/>
    <cellStyle name="Note 2 4 8 2 2 2" xfId="27816"/>
    <cellStyle name="Note 2 4 8 2 2 2 2" xfId="56677"/>
    <cellStyle name="Note 2 4 8 2 2 3" xfId="39630"/>
    <cellStyle name="Note 2 4 8 2 3" xfId="21838"/>
    <cellStyle name="Note 2 4 8 2 3 2" xfId="50699"/>
    <cellStyle name="Note 2 4 8 2 4" xfId="33589"/>
    <cellStyle name="Note 2 4 8 3" xfId="7883"/>
    <cellStyle name="Note 2 4 8 3 2" xfId="24930"/>
    <cellStyle name="Note 2 4 8 3 2 2" xfId="53791"/>
    <cellStyle name="Note 2 4 8 3 3" xfId="36744"/>
    <cellStyle name="Note 2 4 8 4" xfId="12666"/>
    <cellStyle name="Note 2 4 8 4 2" xfId="19158"/>
    <cellStyle name="Note 2 4 8 4 2 2" xfId="48019"/>
    <cellStyle name="Note 2 4 8 4 3" xfId="41527"/>
    <cellStyle name="Note 2 4 8 5" xfId="16478"/>
    <cellStyle name="Note 2 4 8 5 2" xfId="45339"/>
    <cellStyle name="Note 2 4 8 6" xfId="30703"/>
    <cellStyle name="Note 2 4 9" xfId="2047"/>
    <cellStyle name="Note 2 4 9 2" xfId="4934"/>
    <cellStyle name="Note 2 4 9 2 2" xfId="10975"/>
    <cellStyle name="Note 2 4 9 2 2 2" xfId="28022"/>
    <cellStyle name="Note 2 4 9 2 2 2 2" xfId="56883"/>
    <cellStyle name="Note 2 4 9 2 2 3" xfId="39836"/>
    <cellStyle name="Note 2 4 9 2 3" xfId="22044"/>
    <cellStyle name="Note 2 4 9 2 3 2" xfId="50905"/>
    <cellStyle name="Note 2 4 9 2 4" xfId="33795"/>
    <cellStyle name="Note 2 4 9 3" xfId="8089"/>
    <cellStyle name="Note 2 4 9 3 2" xfId="25136"/>
    <cellStyle name="Note 2 4 9 3 2 2" xfId="53997"/>
    <cellStyle name="Note 2 4 9 3 3" xfId="36950"/>
    <cellStyle name="Note 2 4 9 4" xfId="13475"/>
    <cellStyle name="Note 2 4 9 4 2" xfId="19364"/>
    <cellStyle name="Note 2 4 9 4 2 2" xfId="48225"/>
    <cellStyle name="Note 2 4 9 4 3" xfId="42336"/>
    <cellStyle name="Note 2 4 9 5" xfId="16684"/>
    <cellStyle name="Note 2 4 9 5 2" xfId="45545"/>
    <cellStyle name="Note 2 4 9 6" xfId="30909"/>
    <cellStyle name="Note 2 5" xfId="193"/>
    <cellStyle name="Note 2 5 2" xfId="605"/>
    <cellStyle name="Note 2 5 2 2" xfId="3492"/>
    <cellStyle name="Note 2 5 2 2 2" xfId="9533"/>
    <cellStyle name="Note 2 5 2 2 2 2" xfId="26580"/>
    <cellStyle name="Note 2 5 2 2 2 2 2" xfId="55441"/>
    <cellStyle name="Note 2 5 2 2 2 3" xfId="38394"/>
    <cellStyle name="Note 2 5 2 2 3" xfId="20602"/>
    <cellStyle name="Note 2 5 2 2 3 2" xfId="49463"/>
    <cellStyle name="Note 2 5 2 2 4" xfId="32353"/>
    <cellStyle name="Note 2 5 2 3" xfId="6647"/>
    <cellStyle name="Note 2 5 2 3 2" xfId="23694"/>
    <cellStyle name="Note 2 5 2 3 2 2" xfId="52555"/>
    <cellStyle name="Note 2 5 2 3 3" xfId="35508"/>
    <cellStyle name="Note 2 5 2 4" xfId="12128"/>
    <cellStyle name="Note 2 5 2 4 2" xfId="17922"/>
    <cellStyle name="Note 2 5 2 4 2 2" xfId="46783"/>
    <cellStyle name="Note 2 5 2 4 3" xfId="40989"/>
    <cellStyle name="Note 2 5 2 5" xfId="15242"/>
    <cellStyle name="Note 2 5 2 5 2" xfId="44103"/>
    <cellStyle name="Note 2 5 2 6" xfId="29467"/>
    <cellStyle name="Note 2 5 3" xfId="2150"/>
    <cellStyle name="Note 2 5 3 2" xfId="5037"/>
    <cellStyle name="Note 2 5 3 2 2" xfId="11078"/>
    <cellStyle name="Note 2 5 3 2 2 2" xfId="28125"/>
    <cellStyle name="Note 2 5 3 2 2 2 2" xfId="56986"/>
    <cellStyle name="Note 2 5 3 2 2 3" xfId="39939"/>
    <cellStyle name="Note 2 5 3 2 3" xfId="22147"/>
    <cellStyle name="Note 2 5 3 2 3 2" xfId="51008"/>
    <cellStyle name="Note 2 5 3 2 4" xfId="33898"/>
    <cellStyle name="Note 2 5 3 3" xfId="8192"/>
    <cellStyle name="Note 2 5 3 3 2" xfId="25239"/>
    <cellStyle name="Note 2 5 3 3 2 2" xfId="54100"/>
    <cellStyle name="Note 2 5 3 3 3" xfId="37053"/>
    <cellStyle name="Note 2 5 3 4" xfId="12347"/>
    <cellStyle name="Note 2 5 3 4 2" xfId="19467"/>
    <cellStyle name="Note 2 5 3 4 2 2" xfId="48328"/>
    <cellStyle name="Note 2 5 3 4 3" xfId="41208"/>
    <cellStyle name="Note 2 5 3 5" xfId="16787"/>
    <cellStyle name="Note 2 5 3 5 2" xfId="45648"/>
    <cellStyle name="Note 2 5 3 6" xfId="31012"/>
    <cellStyle name="Note 2 5 4" xfId="3080"/>
    <cellStyle name="Note 2 5 4 2" xfId="9121"/>
    <cellStyle name="Note 2 5 4 2 2" xfId="26168"/>
    <cellStyle name="Note 2 5 4 2 2 2" xfId="55029"/>
    <cellStyle name="Note 2 5 4 2 3" xfId="37982"/>
    <cellStyle name="Note 2 5 4 3" xfId="20190"/>
    <cellStyle name="Note 2 5 4 3 2" xfId="49051"/>
    <cellStyle name="Note 2 5 4 4" xfId="31941"/>
    <cellStyle name="Note 2 5 5" xfId="6235"/>
    <cellStyle name="Note 2 5 5 2" xfId="23282"/>
    <cellStyle name="Note 2 5 5 2 2" xfId="52143"/>
    <cellStyle name="Note 2 5 5 3" xfId="35096"/>
    <cellStyle name="Note 2 5 6" xfId="13123"/>
    <cellStyle name="Note 2 5 6 2" xfId="17613"/>
    <cellStyle name="Note 2 5 6 2 2" xfId="46474"/>
    <cellStyle name="Note 2 5 6 3" xfId="41984"/>
    <cellStyle name="Note 2 5 7" xfId="14830"/>
    <cellStyle name="Note 2 5 7 2" xfId="43691"/>
    <cellStyle name="Note 2 5 8" xfId="29055"/>
    <cellStyle name="Note 2 6" xfId="399"/>
    <cellStyle name="Note 2 6 2" xfId="3286"/>
    <cellStyle name="Note 2 6 2 2" xfId="9327"/>
    <cellStyle name="Note 2 6 2 2 2" xfId="26374"/>
    <cellStyle name="Note 2 6 2 2 2 2" xfId="55235"/>
    <cellStyle name="Note 2 6 2 2 3" xfId="38188"/>
    <cellStyle name="Note 2 6 2 3" xfId="20396"/>
    <cellStyle name="Note 2 6 2 3 2" xfId="49257"/>
    <cellStyle name="Note 2 6 2 4" xfId="32147"/>
    <cellStyle name="Note 2 6 3" xfId="6441"/>
    <cellStyle name="Note 2 6 3 2" xfId="23488"/>
    <cellStyle name="Note 2 6 3 2 2" xfId="52349"/>
    <cellStyle name="Note 2 6 3 3" xfId="35302"/>
    <cellStyle name="Note 2 6 4" xfId="12063"/>
    <cellStyle name="Note 2 6 4 2" xfId="17716"/>
    <cellStyle name="Note 2 6 4 2 2" xfId="46577"/>
    <cellStyle name="Note 2 6 4 3" xfId="40924"/>
    <cellStyle name="Note 2 6 5" xfId="15036"/>
    <cellStyle name="Note 2 6 5 2" xfId="43897"/>
    <cellStyle name="Note 2 6 6" xfId="29261"/>
    <cellStyle name="Note 2 7" xfId="708"/>
    <cellStyle name="Note 2 7 2" xfId="3595"/>
    <cellStyle name="Note 2 7 2 2" xfId="9636"/>
    <cellStyle name="Note 2 7 2 2 2" xfId="26683"/>
    <cellStyle name="Note 2 7 2 2 2 2" xfId="55544"/>
    <cellStyle name="Note 2 7 2 2 3" xfId="38497"/>
    <cellStyle name="Note 2 7 2 3" xfId="20705"/>
    <cellStyle name="Note 2 7 2 3 2" xfId="49566"/>
    <cellStyle name="Note 2 7 2 4" xfId="32456"/>
    <cellStyle name="Note 2 7 3" xfId="6750"/>
    <cellStyle name="Note 2 7 3 2" xfId="23797"/>
    <cellStyle name="Note 2 7 3 2 2" xfId="52658"/>
    <cellStyle name="Note 2 7 3 3" xfId="35611"/>
    <cellStyle name="Note 2 7 4" xfId="14324"/>
    <cellStyle name="Note 2 7 4 2" xfId="18025"/>
    <cellStyle name="Note 2 7 4 2 2" xfId="46886"/>
    <cellStyle name="Note 2 7 4 3" xfId="43185"/>
    <cellStyle name="Note 2 7 5" xfId="15345"/>
    <cellStyle name="Note 2 7 5 2" xfId="44206"/>
    <cellStyle name="Note 2 7 6" xfId="29570"/>
    <cellStyle name="Note 2 8" xfId="914"/>
    <cellStyle name="Note 2 8 2" xfId="3801"/>
    <cellStyle name="Note 2 8 2 2" xfId="9842"/>
    <cellStyle name="Note 2 8 2 2 2" xfId="26889"/>
    <cellStyle name="Note 2 8 2 2 2 2" xfId="55750"/>
    <cellStyle name="Note 2 8 2 2 3" xfId="38703"/>
    <cellStyle name="Note 2 8 2 3" xfId="20911"/>
    <cellStyle name="Note 2 8 2 3 2" xfId="49772"/>
    <cellStyle name="Note 2 8 2 4" xfId="32662"/>
    <cellStyle name="Note 2 8 3" xfId="6956"/>
    <cellStyle name="Note 2 8 3 2" xfId="24003"/>
    <cellStyle name="Note 2 8 3 2 2" xfId="52864"/>
    <cellStyle name="Note 2 8 3 3" xfId="35817"/>
    <cellStyle name="Note 2 8 4" xfId="6091"/>
    <cellStyle name="Note 2 8 4 2" xfId="18231"/>
    <cellStyle name="Note 2 8 4 2 2" xfId="47092"/>
    <cellStyle name="Note 2 8 4 3" xfId="34952"/>
    <cellStyle name="Note 2 8 5" xfId="15551"/>
    <cellStyle name="Note 2 8 5 2" xfId="44412"/>
    <cellStyle name="Note 2 8 6" xfId="29776"/>
    <cellStyle name="Note 2 9" xfId="1120"/>
    <cellStyle name="Note 2 9 2" xfId="4007"/>
    <cellStyle name="Note 2 9 2 2" xfId="10048"/>
    <cellStyle name="Note 2 9 2 2 2" xfId="27095"/>
    <cellStyle name="Note 2 9 2 2 2 2" xfId="55956"/>
    <cellStyle name="Note 2 9 2 2 3" xfId="38909"/>
    <cellStyle name="Note 2 9 2 3" xfId="21117"/>
    <cellStyle name="Note 2 9 2 3 2" xfId="49978"/>
    <cellStyle name="Note 2 9 2 4" xfId="32868"/>
    <cellStyle name="Note 2 9 3" xfId="7162"/>
    <cellStyle name="Note 2 9 3 2" xfId="24209"/>
    <cellStyle name="Note 2 9 3 2 2" xfId="53070"/>
    <cellStyle name="Note 2 9 3 3" xfId="36023"/>
    <cellStyle name="Note 2 9 4" xfId="12855"/>
    <cellStyle name="Note 2 9 4 2" xfId="18437"/>
    <cellStyle name="Note 2 9 4 2 2" xfId="47298"/>
    <cellStyle name="Note 2 9 4 3" xfId="41716"/>
    <cellStyle name="Note 2 9 5" xfId="15757"/>
    <cellStyle name="Note 2 9 5 2" xfId="44618"/>
    <cellStyle name="Note 2 9 6" xfId="29982"/>
    <cellStyle name="Note 3" xfId="103"/>
    <cellStyle name="Note 3 10" xfId="1751"/>
    <cellStyle name="Note 3 10 2" xfId="4638"/>
    <cellStyle name="Note 3 10 2 2" xfId="10679"/>
    <cellStyle name="Note 3 10 2 2 2" xfId="27726"/>
    <cellStyle name="Note 3 10 2 2 2 2" xfId="56587"/>
    <cellStyle name="Note 3 10 2 2 3" xfId="39540"/>
    <cellStyle name="Note 3 10 2 3" xfId="21748"/>
    <cellStyle name="Note 3 10 2 3 2" xfId="50609"/>
    <cellStyle name="Note 3 10 2 4" xfId="33499"/>
    <cellStyle name="Note 3 10 3" xfId="7793"/>
    <cellStyle name="Note 3 10 3 2" xfId="24840"/>
    <cellStyle name="Note 3 10 3 2 2" xfId="53701"/>
    <cellStyle name="Note 3 10 3 3" xfId="36654"/>
    <cellStyle name="Note 3 10 4" xfId="12245"/>
    <cellStyle name="Note 3 10 4 2" xfId="19068"/>
    <cellStyle name="Note 3 10 4 2 2" xfId="47929"/>
    <cellStyle name="Note 3 10 4 3" xfId="41106"/>
    <cellStyle name="Note 3 10 5" xfId="16388"/>
    <cellStyle name="Note 3 10 5 2" xfId="45249"/>
    <cellStyle name="Note 3 10 6" xfId="30613"/>
    <cellStyle name="Note 3 11" xfId="1957"/>
    <cellStyle name="Note 3 11 2" xfId="4844"/>
    <cellStyle name="Note 3 11 2 2" xfId="10885"/>
    <cellStyle name="Note 3 11 2 2 2" xfId="27932"/>
    <cellStyle name="Note 3 11 2 2 2 2" xfId="56793"/>
    <cellStyle name="Note 3 11 2 2 3" xfId="39746"/>
    <cellStyle name="Note 3 11 2 3" xfId="21954"/>
    <cellStyle name="Note 3 11 2 3 2" xfId="50815"/>
    <cellStyle name="Note 3 11 2 4" xfId="33705"/>
    <cellStyle name="Note 3 11 3" xfId="7999"/>
    <cellStyle name="Note 3 11 3 2" xfId="25046"/>
    <cellStyle name="Note 3 11 3 2 2" xfId="53907"/>
    <cellStyle name="Note 3 11 3 3" xfId="36860"/>
    <cellStyle name="Note 3 11 4" xfId="14461"/>
    <cellStyle name="Note 3 11 4 2" xfId="19274"/>
    <cellStyle name="Note 3 11 4 2 2" xfId="48135"/>
    <cellStyle name="Note 3 11 4 3" xfId="43322"/>
    <cellStyle name="Note 3 11 5" xfId="16594"/>
    <cellStyle name="Note 3 11 5 2" xfId="45455"/>
    <cellStyle name="Note 3 11 6" xfId="30819"/>
    <cellStyle name="Note 3 12" xfId="2369"/>
    <cellStyle name="Note 3 12 2" xfId="5256"/>
    <cellStyle name="Note 3 12 2 2" xfId="11297"/>
    <cellStyle name="Note 3 12 2 2 2" xfId="28344"/>
    <cellStyle name="Note 3 12 2 2 2 2" xfId="57205"/>
    <cellStyle name="Note 3 12 2 2 3" xfId="40158"/>
    <cellStyle name="Note 3 12 2 3" xfId="22366"/>
    <cellStyle name="Note 3 12 2 3 2" xfId="51227"/>
    <cellStyle name="Note 3 12 2 4" xfId="34117"/>
    <cellStyle name="Note 3 12 3" xfId="8411"/>
    <cellStyle name="Note 3 12 3 2" xfId="25458"/>
    <cellStyle name="Note 3 12 3 2 2" xfId="54319"/>
    <cellStyle name="Note 3 12 3 3" xfId="37272"/>
    <cellStyle name="Note 3 12 4" xfId="12140"/>
    <cellStyle name="Note 3 12 4 2" xfId="19686"/>
    <cellStyle name="Note 3 12 4 2 2" xfId="48547"/>
    <cellStyle name="Note 3 12 4 3" xfId="41001"/>
    <cellStyle name="Note 3 12 5" xfId="17006"/>
    <cellStyle name="Note 3 12 5 2" xfId="45867"/>
    <cellStyle name="Note 3 12 6" xfId="31231"/>
    <cellStyle name="Note 3 13" xfId="2578"/>
    <cellStyle name="Note 3 13 2" xfId="5464"/>
    <cellStyle name="Note 3 13 2 2" xfId="11505"/>
    <cellStyle name="Note 3 13 2 2 2" xfId="28552"/>
    <cellStyle name="Note 3 13 2 2 2 2" xfId="57413"/>
    <cellStyle name="Note 3 13 2 2 3" xfId="40366"/>
    <cellStyle name="Note 3 13 2 3" xfId="22574"/>
    <cellStyle name="Note 3 13 2 3 2" xfId="51435"/>
    <cellStyle name="Note 3 13 2 4" xfId="34325"/>
    <cellStyle name="Note 3 13 3" xfId="8619"/>
    <cellStyle name="Note 3 13 3 2" xfId="25666"/>
    <cellStyle name="Note 3 13 3 2 2" xfId="54527"/>
    <cellStyle name="Note 3 13 3 3" xfId="37480"/>
    <cellStyle name="Note 3 13 4" xfId="12974"/>
    <cellStyle name="Note 3 13 4 2" xfId="19894"/>
    <cellStyle name="Note 3 13 4 2 2" xfId="48755"/>
    <cellStyle name="Note 3 13 4 3" xfId="41835"/>
    <cellStyle name="Note 3 13 5" xfId="17214"/>
    <cellStyle name="Note 3 13 5 2" xfId="46075"/>
    <cellStyle name="Note 3 13 6" xfId="31439"/>
    <cellStyle name="Note 3 14" xfId="2990"/>
    <cellStyle name="Note 3 14 2" xfId="9031"/>
    <cellStyle name="Note 3 14 2 2" xfId="26078"/>
    <cellStyle name="Note 3 14 2 2 2" xfId="54939"/>
    <cellStyle name="Note 3 14 2 3" xfId="37892"/>
    <cellStyle name="Note 3 14 3" xfId="13435"/>
    <cellStyle name="Note 3 14 3 2" xfId="20100"/>
    <cellStyle name="Note 3 14 3 2 2" xfId="48961"/>
    <cellStyle name="Note 3 14 3 3" xfId="42296"/>
    <cellStyle name="Note 3 14 4" xfId="14740"/>
    <cellStyle name="Note 3 14 4 2" xfId="43601"/>
    <cellStyle name="Note 3 14 5" xfId="31851"/>
    <cellStyle name="Note 3 15" xfId="2784"/>
    <cellStyle name="Note 3 15 2" xfId="8825"/>
    <cellStyle name="Note 3 15 2 2" xfId="25872"/>
    <cellStyle name="Note 3 15 2 2 2" xfId="54733"/>
    <cellStyle name="Note 3 15 2 3" xfId="37686"/>
    <cellStyle name="Note 3 15 3" xfId="17420"/>
    <cellStyle name="Note 3 15 3 2" xfId="46281"/>
    <cellStyle name="Note 3 15 4" xfId="31645"/>
    <cellStyle name="Note 3 16" xfId="5670"/>
    <cellStyle name="Note 3 16 2" xfId="11711"/>
    <cellStyle name="Note 3 16 2 2" xfId="28758"/>
    <cellStyle name="Note 3 16 2 2 2" xfId="57619"/>
    <cellStyle name="Note 3 16 2 3" xfId="40572"/>
    <cellStyle name="Note 3 16 3" xfId="22780"/>
    <cellStyle name="Note 3 16 3 2" xfId="51641"/>
    <cellStyle name="Note 3 16 4" xfId="34531"/>
    <cellStyle name="Note 3 17" xfId="5887"/>
    <cellStyle name="Note 3 17 2" xfId="22986"/>
    <cellStyle name="Note 3 17 2 2" xfId="51847"/>
    <cellStyle name="Note 3 17 3" xfId="34748"/>
    <cellStyle name="Note 3 18" xfId="6145"/>
    <cellStyle name="Note 3 18 2" xfId="23192"/>
    <cellStyle name="Note 3 18 2 2" xfId="52053"/>
    <cellStyle name="Note 3 18 3" xfId="35006"/>
    <cellStyle name="Note 3 19" xfId="14534"/>
    <cellStyle name="Note 3 19 2" xfId="43395"/>
    <cellStyle name="Note 3 2" xfId="309"/>
    <cellStyle name="Note 3 2 10" xfId="2472"/>
    <cellStyle name="Note 3 2 10 2" xfId="5359"/>
    <cellStyle name="Note 3 2 10 2 2" xfId="11400"/>
    <cellStyle name="Note 3 2 10 2 2 2" xfId="28447"/>
    <cellStyle name="Note 3 2 10 2 2 2 2" xfId="57308"/>
    <cellStyle name="Note 3 2 10 2 2 3" xfId="40261"/>
    <cellStyle name="Note 3 2 10 2 3" xfId="22469"/>
    <cellStyle name="Note 3 2 10 2 3 2" xfId="51330"/>
    <cellStyle name="Note 3 2 10 2 4" xfId="34220"/>
    <cellStyle name="Note 3 2 10 3" xfId="8514"/>
    <cellStyle name="Note 3 2 10 3 2" xfId="25561"/>
    <cellStyle name="Note 3 2 10 3 2 2" xfId="54422"/>
    <cellStyle name="Note 3 2 10 3 3" xfId="37375"/>
    <cellStyle name="Note 3 2 10 4" xfId="14415"/>
    <cellStyle name="Note 3 2 10 4 2" xfId="19789"/>
    <cellStyle name="Note 3 2 10 4 2 2" xfId="48650"/>
    <cellStyle name="Note 3 2 10 4 3" xfId="43276"/>
    <cellStyle name="Note 3 2 10 5" xfId="17109"/>
    <cellStyle name="Note 3 2 10 5 2" xfId="45970"/>
    <cellStyle name="Note 3 2 10 6" xfId="31334"/>
    <cellStyle name="Note 3 2 11" xfId="2681"/>
    <cellStyle name="Note 3 2 11 2" xfId="5567"/>
    <cellStyle name="Note 3 2 11 2 2" xfId="11608"/>
    <cellStyle name="Note 3 2 11 2 2 2" xfId="28655"/>
    <cellStyle name="Note 3 2 11 2 2 2 2" xfId="57516"/>
    <cellStyle name="Note 3 2 11 2 2 3" xfId="40469"/>
    <cellStyle name="Note 3 2 11 2 3" xfId="22677"/>
    <cellStyle name="Note 3 2 11 2 3 2" xfId="51538"/>
    <cellStyle name="Note 3 2 11 2 4" xfId="34428"/>
    <cellStyle name="Note 3 2 11 3" xfId="8722"/>
    <cellStyle name="Note 3 2 11 3 2" xfId="25769"/>
    <cellStyle name="Note 3 2 11 3 2 2" xfId="54630"/>
    <cellStyle name="Note 3 2 11 3 3" xfId="37583"/>
    <cellStyle name="Note 3 2 11 4" xfId="14443"/>
    <cellStyle name="Note 3 2 11 4 2" xfId="19997"/>
    <cellStyle name="Note 3 2 11 4 2 2" xfId="48858"/>
    <cellStyle name="Note 3 2 11 4 3" xfId="43304"/>
    <cellStyle name="Note 3 2 11 5" xfId="17317"/>
    <cellStyle name="Note 3 2 11 5 2" xfId="46178"/>
    <cellStyle name="Note 3 2 11 6" xfId="31542"/>
    <cellStyle name="Note 3 2 12" xfId="3196"/>
    <cellStyle name="Note 3 2 12 2" xfId="9237"/>
    <cellStyle name="Note 3 2 12 2 2" xfId="26284"/>
    <cellStyle name="Note 3 2 12 2 2 2" xfId="55145"/>
    <cellStyle name="Note 3 2 12 2 3" xfId="38098"/>
    <cellStyle name="Note 3 2 12 3" xfId="13516"/>
    <cellStyle name="Note 3 2 12 3 2" xfId="20306"/>
    <cellStyle name="Note 3 2 12 3 2 2" xfId="49167"/>
    <cellStyle name="Note 3 2 12 3 3" xfId="42377"/>
    <cellStyle name="Note 3 2 12 4" xfId="14946"/>
    <cellStyle name="Note 3 2 12 4 2" xfId="43807"/>
    <cellStyle name="Note 3 2 12 5" xfId="32057"/>
    <cellStyle name="Note 3 2 13" xfId="2887"/>
    <cellStyle name="Note 3 2 13 2" xfId="8928"/>
    <cellStyle name="Note 3 2 13 2 2" xfId="25975"/>
    <cellStyle name="Note 3 2 13 2 2 2" xfId="54836"/>
    <cellStyle name="Note 3 2 13 2 3" xfId="37789"/>
    <cellStyle name="Note 3 2 13 3" xfId="17523"/>
    <cellStyle name="Note 3 2 13 3 2" xfId="46384"/>
    <cellStyle name="Note 3 2 13 4" xfId="31748"/>
    <cellStyle name="Note 3 2 14" xfId="5773"/>
    <cellStyle name="Note 3 2 14 2" xfId="11814"/>
    <cellStyle name="Note 3 2 14 2 2" xfId="28861"/>
    <cellStyle name="Note 3 2 14 2 2 2" xfId="57722"/>
    <cellStyle name="Note 3 2 14 2 3" xfId="40675"/>
    <cellStyle name="Note 3 2 14 3" xfId="22883"/>
    <cellStyle name="Note 3 2 14 3 2" xfId="51744"/>
    <cellStyle name="Note 3 2 14 4" xfId="34634"/>
    <cellStyle name="Note 3 2 15" xfId="5990"/>
    <cellStyle name="Note 3 2 15 2" xfId="23089"/>
    <cellStyle name="Note 3 2 15 2 2" xfId="51950"/>
    <cellStyle name="Note 3 2 15 3" xfId="34851"/>
    <cellStyle name="Note 3 2 16" xfId="6351"/>
    <cellStyle name="Note 3 2 16 2" xfId="23398"/>
    <cellStyle name="Note 3 2 16 2 2" xfId="52259"/>
    <cellStyle name="Note 3 2 16 3" xfId="35212"/>
    <cellStyle name="Note 3 2 17" xfId="14637"/>
    <cellStyle name="Note 3 2 17 2" xfId="43498"/>
    <cellStyle name="Note 3 2 18" xfId="29171"/>
    <cellStyle name="Note 3 2 2" xfId="515"/>
    <cellStyle name="Note 3 2 2 2" xfId="2266"/>
    <cellStyle name="Note 3 2 2 2 2" xfId="5153"/>
    <cellStyle name="Note 3 2 2 2 2 2" xfId="11194"/>
    <cellStyle name="Note 3 2 2 2 2 2 2" xfId="28241"/>
    <cellStyle name="Note 3 2 2 2 2 2 2 2" xfId="57102"/>
    <cellStyle name="Note 3 2 2 2 2 2 3" xfId="40055"/>
    <cellStyle name="Note 3 2 2 2 2 3" xfId="22263"/>
    <cellStyle name="Note 3 2 2 2 2 3 2" xfId="51124"/>
    <cellStyle name="Note 3 2 2 2 2 4" xfId="34014"/>
    <cellStyle name="Note 3 2 2 2 3" xfId="8308"/>
    <cellStyle name="Note 3 2 2 2 3 2" xfId="25355"/>
    <cellStyle name="Note 3 2 2 2 3 2 2" xfId="54216"/>
    <cellStyle name="Note 3 2 2 2 3 3" xfId="37169"/>
    <cellStyle name="Note 3 2 2 2 4" xfId="12597"/>
    <cellStyle name="Note 3 2 2 2 4 2" xfId="19583"/>
    <cellStyle name="Note 3 2 2 2 4 2 2" xfId="48444"/>
    <cellStyle name="Note 3 2 2 2 4 3" xfId="41458"/>
    <cellStyle name="Note 3 2 2 2 5" xfId="16903"/>
    <cellStyle name="Note 3 2 2 2 5 2" xfId="45764"/>
    <cellStyle name="Note 3 2 2 2 6" xfId="31128"/>
    <cellStyle name="Note 3 2 2 3" xfId="3402"/>
    <cellStyle name="Note 3 2 2 3 2" xfId="9443"/>
    <cellStyle name="Note 3 2 2 3 2 2" xfId="26490"/>
    <cellStyle name="Note 3 2 2 3 2 2 2" xfId="55351"/>
    <cellStyle name="Note 3 2 2 3 2 3" xfId="38304"/>
    <cellStyle name="Note 3 2 2 3 3" xfId="20512"/>
    <cellStyle name="Note 3 2 2 3 3 2" xfId="49373"/>
    <cellStyle name="Note 3 2 2 3 4" xfId="32263"/>
    <cellStyle name="Note 3 2 2 4" xfId="6557"/>
    <cellStyle name="Note 3 2 2 4 2" xfId="23604"/>
    <cellStyle name="Note 3 2 2 4 2 2" xfId="52465"/>
    <cellStyle name="Note 3 2 2 4 3" xfId="35418"/>
    <cellStyle name="Note 3 2 2 5" xfId="6093"/>
    <cellStyle name="Note 3 2 2 5 2" xfId="17832"/>
    <cellStyle name="Note 3 2 2 5 2 2" xfId="46693"/>
    <cellStyle name="Note 3 2 2 5 3" xfId="34954"/>
    <cellStyle name="Note 3 2 2 6" xfId="15152"/>
    <cellStyle name="Note 3 2 2 6 2" xfId="44013"/>
    <cellStyle name="Note 3 2 2 7" xfId="29377"/>
    <cellStyle name="Note 3 2 3" xfId="824"/>
    <cellStyle name="Note 3 2 3 2" xfId="3711"/>
    <cellStyle name="Note 3 2 3 2 2" xfId="9752"/>
    <cellStyle name="Note 3 2 3 2 2 2" xfId="26799"/>
    <cellStyle name="Note 3 2 3 2 2 2 2" xfId="55660"/>
    <cellStyle name="Note 3 2 3 2 2 3" xfId="38613"/>
    <cellStyle name="Note 3 2 3 2 3" xfId="20821"/>
    <cellStyle name="Note 3 2 3 2 3 2" xfId="49682"/>
    <cellStyle name="Note 3 2 3 2 4" xfId="32572"/>
    <cellStyle name="Note 3 2 3 3" xfId="6866"/>
    <cellStyle name="Note 3 2 3 3 2" xfId="23913"/>
    <cellStyle name="Note 3 2 3 3 2 2" xfId="52774"/>
    <cellStyle name="Note 3 2 3 3 3" xfId="35727"/>
    <cellStyle name="Note 3 2 3 4" xfId="12461"/>
    <cellStyle name="Note 3 2 3 4 2" xfId="18141"/>
    <cellStyle name="Note 3 2 3 4 2 2" xfId="47002"/>
    <cellStyle name="Note 3 2 3 4 3" xfId="41322"/>
    <cellStyle name="Note 3 2 3 5" xfId="15461"/>
    <cellStyle name="Note 3 2 3 5 2" xfId="44322"/>
    <cellStyle name="Note 3 2 3 6" xfId="29686"/>
    <cellStyle name="Note 3 2 4" xfId="1030"/>
    <cellStyle name="Note 3 2 4 2" xfId="3917"/>
    <cellStyle name="Note 3 2 4 2 2" xfId="9958"/>
    <cellStyle name="Note 3 2 4 2 2 2" xfId="27005"/>
    <cellStyle name="Note 3 2 4 2 2 2 2" xfId="55866"/>
    <cellStyle name="Note 3 2 4 2 2 3" xfId="38819"/>
    <cellStyle name="Note 3 2 4 2 3" xfId="21027"/>
    <cellStyle name="Note 3 2 4 2 3 2" xfId="49888"/>
    <cellStyle name="Note 3 2 4 2 4" xfId="32778"/>
    <cellStyle name="Note 3 2 4 3" xfId="7072"/>
    <cellStyle name="Note 3 2 4 3 2" xfId="24119"/>
    <cellStyle name="Note 3 2 4 3 2 2" xfId="52980"/>
    <cellStyle name="Note 3 2 4 3 3" xfId="35933"/>
    <cellStyle name="Note 3 2 4 4" xfId="13801"/>
    <cellStyle name="Note 3 2 4 4 2" xfId="18347"/>
    <cellStyle name="Note 3 2 4 4 2 2" xfId="47208"/>
    <cellStyle name="Note 3 2 4 4 3" xfId="42662"/>
    <cellStyle name="Note 3 2 4 5" xfId="15667"/>
    <cellStyle name="Note 3 2 4 5 2" xfId="44528"/>
    <cellStyle name="Note 3 2 4 6" xfId="29892"/>
    <cellStyle name="Note 3 2 5" xfId="1236"/>
    <cellStyle name="Note 3 2 5 2" xfId="4123"/>
    <cellStyle name="Note 3 2 5 2 2" xfId="10164"/>
    <cellStyle name="Note 3 2 5 2 2 2" xfId="27211"/>
    <cellStyle name="Note 3 2 5 2 2 2 2" xfId="56072"/>
    <cellStyle name="Note 3 2 5 2 2 3" xfId="39025"/>
    <cellStyle name="Note 3 2 5 2 3" xfId="21233"/>
    <cellStyle name="Note 3 2 5 2 3 2" xfId="50094"/>
    <cellStyle name="Note 3 2 5 2 4" xfId="32984"/>
    <cellStyle name="Note 3 2 5 3" xfId="7278"/>
    <cellStyle name="Note 3 2 5 3 2" xfId="24325"/>
    <cellStyle name="Note 3 2 5 3 2 2" xfId="53186"/>
    <cellStyle name="Note 3 2 5 3 3" xfId="36139"/>
    <cellStyle name="Note 3 2 5 4" xfId="13899"/>
    <cellStyle name="Note 3 2 5 4 2" xfId="18553"/>
    <cellStyle name="Note 3 2 5 4 2 2" xfId="47414"/>
    <cellStyle name="Note 3 2 5 4 3" xfId="42760"/>
    <cellStyle name="Note 3 2 5 5" xfId="15873"/>
    <cellStyle name="Note 3 2 5 5 2" xfId="44734"/>
    <cellStyle name="Note 3 2 5 6" xfId="30098"/>
    <cellStyle name="Note 3 2 6" xfId="1442"/>
    <cellStyle name="Note 3 2 6 2" xfId="4329"/>
    <cellStyle name="Note 3 2 6 2 2" xfId="10370"/>
    <cellStyle name="Note 3 2 6 2 2 2" xfId="27417"/>
    <cellStyle name="Note 3 2 6 2 2 2 2" xfId="56278"/>
    <cellStyle name="Note 3 2 6 2 2 3" xfId="39231"/>
    <cellStyle name="Note 3 2 6 2 3" xfId="21439"/>
    <cellStyle name="Note 3 2 6 2 3 2" xfId="50300"/>
    <cellStyle name="Note 3 2 6 2 4" xfId="33190"/>
    <cellStyle name="Note 3 2 6 3" xfId="7484"/>
    <cellStyle name="Note 3 2 6 3 2" xfId="24531"/>
    <cellStyle name="Note 3 2 6 3 2 2" xfId="53392"/>
    <cellStyle name="Note 3 2 6 3 3" xfId="36345"/>
    <cellStyle name="Note 3 2 6 4" xfId="13786"/>
    <cellStyle name="Note 3 2 6 4 2" xfId="18759"/>
    <cellStyle name="Note 3 2 6 4 2 2" xfId="47620"/>
    <cellStyle name="Note 3 2 6 4 3" xfId="42647"/>
    <cellStyle name="Note 3 2 6 5" xfId="16079"/>
    <cellStyle name="Note 3 2 6 5 2" xfId="44940"/>
    <cellStyle name="Note 3 2 6 6" xfId="30304"/>
    <cellStyle name="Note 3 2 7" xfId="1648"/>
    <cellStyle name="Note 3 2 7 2" xfId="4535"/>
    <cellStyle name="Note 3 2 7 2 2" xfId="10576"/>
    <cellStyle name="Note 3 2 7 2 2 2" xfId="27623"/>
    <cellStyle name="Note 3 2 7 2 2 2 2" xfId="56484"/>
    <cellStyle name="Note 3 2 7 2 2 3" xfId="39437"/>
    <cellStyle name="Note 3 2 7 2 3" xfId="21645"/>
    <cellStyle name="Note 3 2 7 2 3 2" xfId="50506"/>
    <cellStyle name="Note 3 2 7 2 4" xfId="33396"/>
    <cellStyle name="Note 3 2 7 3" xfId="7690"/>
    <cellStyle name="Note 3 2 7 3 2" xfId="24737"/>
    <cellStyle name="Note 3 2 7 3 2 2" xfId="53598"/>
    <cellStyle name="Note 3 2 7 3 3" xfId="36551"/>
    <cellStyle name="Note 3 2 7 4" xfId="12824"/>
    <cellStyle name="Note 3 2 7 4 2" xfId="18965"/>
    <cellStyle name="Note 3 2 7 4 2 2" xfId="47826"/>
    <cellStyle name="Note 3 2 7 4 3" xfId="41685"/>
    <cellStyle name="Note 3 2 7 5" xfId="16285"/>
    <cellStyle name="Note 3 2 7 5 2" xfId="45146"/>
    <cellStyle name="Note 3 2 7 6" xfId="30510"/>
    <cellStyle name="Note 3 2 8" xfId="1854"/>
    <cellStyle name="Note 3 2 8 2" xfId="4741"/>
    <cellStyle name="Note 3 2 8 2 2" xfId="10782"/>
    <cellStyle name="Note 3 2 8 2 2 2" xfId="27829"/>
    <cellStyle name="Note 3 2 8 2 2 2 2" xfId="56690"/>
    <cellStyle name="Note 3 2 8 2 2 3" xfId="39643"/>
    <cellStyle name="Note 3 2 8 2 3" xfId="21851"/>
    <cellStyle name="Note 3 2 8 2 3 2" xfId="50712"/>
    <cellStyle name="Note 3 2 8 2 4" xfId="33602"/>
    <cellStyle name="Note 3 2 8 3" xfId="7896"/>
    <cellStyle name="Note 3 2 8 3 2" xfId="24943"/>
    <cellStyle name="Note 3 2 8 3 2 2" xfId="53804"/>
    <cellStyle name="Note 3 2 8 3 3" xfId="36757"/>
    <cellStyle name="Note 3 2 8 4" xfId="13873"/>
    <cellStyle name="Note 3 2 8 4 2" xfId="19171"/>
    <cellStyle name="Note 3 2 8 4 2 2" xfId="48032"/>
    <cellStyle name="Note 3 2 8 4 3" xfId="42734"/>
    <cellStyle name="Note 3 2 8 5" xfId="16491"/>
    <cellStyle name="Note 3 2 8 5 2" xfId="45352"/>
    <cellStyle name="Note 3 2 8 6" xfId="30716"/>
    <cellStyle name="Note 3 2 9" xfId="2060"/>
    <cellStyle name="Note 3 2 9 2" xfId="4947"/>
    <cellStyle name="Note 3 2 9 2 2" xfId="10988"/>
    <cellStyle name="Note 3 2 9 2 2 2" xfId="28035"/>
    <cellStyle name="Note 3 2 9 2 2 2 2" xfId="56896"/>
    <cellStyle name="Note 3 2 9 2 2 3" xfId="39849"/>
    <cellStyle name="Note 3 2 9 2 3" xfId="22057"/>
    <cellStyle name="Note 3 2 9 2 3 2" xfId="50918"/>
    <cellStyle name="Note 3 2 9 2 4" xfId="33808"/>
    <cellStyle name="Note 3 2 9 3" xfId="8102"/>
    <cellStyle name="Note 3 2 9 3 2" xfId="25149"/>
    <cellStyle name="Note 3 2 9 3 2 2" xfId="54010"/>
    <cellStyle name="Note 3 2 9 3 3" xfId="36963"/>
    <cellStyle name="Note 3 2 9 4" xfId="12635"/>
    <cellStyle name="Note 3 2 9 4 2" xfId="19377"/>
    <cellStyle name="Note 3 2 9 4 2 2" xfId="48238"/>
    <cellStyle name="Note 3 2 9 4 3" xfId="41496"/>
    <cellStyle name="Note 3 2 9 5" xfId="16697"/>
    <cellStyle name="Note 3 2 9 5 2" xfId="45558"/>
    <cellStyle name="Note 3 2 9 6" xfId="30922"/>
    <cellStyle name="Note 3 20" xfId="28965"/>
    <cellStyle name="Note 3 3" xfId="206"/>
    <cellStyle name="Note 3 3 2" xfId="618"/>
    <cellStyle name="Note 3 3 2 2" xfId="3505"/>
    <cellStyle name="Note 3 3 2 2 2" xfId="9546"/>
    <cellStyle name="Note 3 3 2 2 2 2" xfId="26593"/>
    <cellStyle name="Note 3 3 2 2 2 2 2" xfId="55454"/>
    <cellStyle name="Note 3 3 2 2 2 3" xfId="38407"/>
    <cellStyle name="Note 3 3 2 2 3" xfId="20615"/>
    <cellStyle name="Note 3 3 2 2 3 2" xfId="49476"/>
    <cellStyle name="Note 3 3 2 2 4" xfId="32366"/>
    <cellStyle name="Note 3 3 2 3" xfId="6660"/>
    <cellStyle name="Note 3 3 2 3 2" xfId="23707"/>
    <cellStyle name="Note 3 3 2 3 2 2" xfId="52568"/>
    <cellStyle name="Note 3 3 2 3 3" xfId="35521"/>
    <cellStyle name="Note 3 3 2 4" xfId="12880"/>
    <cellStyle name="Note 3 3 2 4 2" xfId="17935"/>
    <cellStyle name="Note 3 3 2 4 2 2" xfId="46796"/>
    <cellStyle name="Note 3 3 2 4 3" xfId="41741"/>
    <cellStyle name="Note 3 3 2 5" xfId="15255"/>
    <cellStyle name="Note 3 3 2 5 2" xfId="44116"/>
    <cellStyle name="Note 3 3 2 6" xfId="29480"/>
    <cellStyle name="Note 3 3 3" xfId="2163"/>
    <cellStyle name="Note 3 3 3 2" xfId="5050"/>
    <cellStyle name="Note 3 3 3 2 2" xfId="11091"/>
    <cellStyle name="Note 3 3 3 2 2 2" xfId="28138"/>
    <cellStyle name="Note 3 3 3 2 2 2 2" xfId="56999"/>
    <cellStyle name="Note 3 3 3 2 2 3" xfId="39952"/>
    <cellStyle name="Note 3 3 3 2 3" xfId="22160"/>
    <cellStyle name="Note 3 3 3 2 3 2" xfId="51021"/>
    <cellStyle name="Note 3 3 3 2 4" xfId="33911"/>
    <cellStyle name="Note 3 3 3 3" xfId="8205"/>
    <cellStyle name="Note 3 3 3 3 2" xfId="25252"/>
    <cellStyle name="Note 3 3 3 3 2 2" xfId="54113"/>
    <cellStyle name="Note 3 3 3 3 3" xfId="37066"/>
    <cellStyle name="Note 3 3 3 4" xfId="13811"/>
    <cellStyle name="Note 3 3 3 4 2" xfId="19480"/>
    <cellStyle name="Note 3 3 3 4 2 2" xfId="48341"/>
    <cellStyle name="Note 3 3 3 4 3" xfId="42672"/>
    <cellStyle name="Note 3 3 3 5" xfId="16800"/>
    <cellStyle name="Note 3 3 3 5 2" xfId="45661"/>
    <cellStyle name="Note 3 3 3 6" xfId="31025"/>
    <cellStyle name="Note 3 3 4" xfId="3093"/>
    <cellStyle name="Note 3 3 4 2" xfId="9134"/>
    <cellStyle name="Note 3 3 4 2 2" xfId="26181"/>
    <cellStyle name="Note 3 3 4 2 2 2" xfId="55042"/>
    <cellStyle name="Note 3 3 4 2 3" xfId="37995"/>
    <cellStyle name="Note 3 3 4 3" xfId="20203"/>
    <cellStyle name="Note 3 3 4 3 2" xfId="49064"/>
    <cellStyle name="Note 3 3 4 4" xfId="31954"/>
    <cellStyle name="Note 3 3 5" xfId="6248"/>
    <cellStyle name="Note 3 3 5 2" xfId="23295"/>
    <cellStyle name="Note 3 3 5 2 2" xfId="52156"/>
    <cellStyle name="Note 3 3 5 3" xfId="35109"/>
    <cellStyle name="Note 3 3 6" xfId="12405"/>
    <cellStyle name="Note 3 3 6 2" xfId="17626"/>
    <cellStyle name="Note 3 3 6 2 2" xfId="46487"/>
    <cellStyle name="Note 3 3 6 3" xfId="41266"/>
    <cellStyle name="Note 3 3 7" xfId="14843"/>
    <cellStyle name="Note 3 3 7 2" xfId="43704"/>
    <cellStyle name="Note 3 3 8" xfId="29068"/>
    <cellStyle name="Note 3 4" xfId="412"/>
    <cellStyle name="Note 3 4 2" xfId="3299"/>
    <cellStyle name="Note 3 4 2 2" xfId="9340"/>
    <cellStyle name="Note 3 4 2 2 2" xfId="26387"/>
    <cellStyle name="Note 3 4 2 2 2 2" xfId="55248"/>
    <cellStyle name="Note 3 4 2 2 3" xfId="38201"/>
    <cellStyle name="Note 3 4 2 3" xfId="20409"/>
    <cellStyle name="Note 3 4 2 3 2" xfId="49270"/>
    <cellStyle name="Note 3 4 2 4" xfId="32160"/>
    <cellStyle name="Note 3 4 3" xfId="6454"/>
    <cellStyle name="Note 3 4 3 2" xfId="23501"/>
    <cellStyle name="Note 3 4 3 2 2" xfId="52362"/>
    <cellStyle name="Note 3 4 3 3" xfId="35315"/>
    <cellStyle name="Note 3 4 4" xfId="13142"/>
    <cellStyle name="Note 3 4 4 2" xfId="17729"/>
    <cellStyle name="Note 3 4 4 2 2" xfId="46590"/>
    <cellStyle name="Note 3 4 4 3" xfId="42003"/>
    <cellStyle name="Note 3 4 5" xfId="15049"/>
    <cellStyle name="Note 3 4 5 2" xfId="43910"/>
    <cellStyle name="Note 3 4 6" xfId="29274"/>
    <cellStyle name="Note 3 5" xfId="721"/>
    <cellStyle name="Note 3 5 2" xfId="3608"/>
    <cellStyle name="Note 3 5 2 2" xfId="9649"/>
    <cellStyle name="Note 3 5 2 2 2" xfId="26696"/>
    <cellStyle name="Note 3 5 2 2 2 2" xfId="55557"/>
    <cellStyle name="Note 3 5 2 2 3" xfId="38510"/>
    <cellStyle name="Note 3 5 2 3" xfId="20718"/>
    <cellStyle name="Note 3 5 2 3 2" xfId="49579"/>
    <cellStyle name="Note 3 5 2 4" xfId="32469"/>
    <cellStyle name="Note 3 5 3" xfId="6763"/>
    <cellStyle name="Note 3 5 3 2" xfId="23810"/>
    <cellStyle name="Note 3 5 3 2 2" xfId="52671"/>
    <cellStyle name="Note 3 5 3 3" xfId="35624"/>
    <cellStyle name="Note 3 5 4" xfId="12528"/>
    <cellStyle name="Note 3 5 4 2" xfId="18038"/>
    <cellStyle name="Note 3 5 4 2 2" xfId="46899"/>
    <cellStyle name="Note 3 5 4 3" xfId="41389"/>
    <cellStyle name="Note 3 5 5" xfId="15358"/>
    <cellStyle name="Note 3 5 5 2" xfId="44219"/>
    <cellStyle name="Note 3 5 6" xfId="29583"/>
    <cellStyle name="Note 3 6" xfId="927"/>
    <cellStyle name="Note 3 6 2" xfId="3814"/>
    <cellStyle name="Note 3 6 2 2" xfId="9855"/>
    <cellStyle name="Note 3 6 2 2 2" xfId="26902"/>
    <cellStyle name="Note 3 6 2 2 2 2" xfId="55763"/>
    <cellStyle name="Note 3 6 2 2 3" xfId="38716"/>
    <cellStyle name="Note 3 6 2 3" xfId="20924"/>
    <cellStyle name="Note 3 6 2 3 2" xfId="49785"/>
    <cellStyle name="Note 3 6 2 4" xfId="32675"/>
    <cellStyle name="Note 3 6 3" xfId="6969"/>
    <cellStyle name="Note 3 6 3 2" xfId="24016"/>
    <cellStyle name="Note 3 6 3 2 2" xfId="52877"/>
    <cellStyle name="Note 3 6 3 3" xfId="35830"/>
    <cellStyle name="Note 3 6 4" xfId="14093"/>
    <cellStyle name="Note 3 6 4 2" xfId="18244"/>
    <cellStyle name="Note 3 6 4 2 2" xfId="47105"/>
    <cellStyle name="Note 3 6 4 3" xfId="42954"/>
    <cellStyle name="Note 3 6 5" xfId="15564"/>
    <cellStyle name="Note 3 6 5 2" xfId="44425"/>
    <cellStyle name="Note 3 6 6" xfId="29789"/>
    <cellStyle name="Note 3 7" xfId="1133"/>
    <cellStyle name="Note 3 7 2" xfId="4020"/>
    <cellStyle name="Note 3 7 2 2" xfId="10061"/>
    <cellStyle name="Note 3 7 2 2 2" xfId="27108"/>
    <cellStyle name="Note 3 7 2 2 2 2" xfId="55969"/>
    <cellStyle name="Note 3 7 2 2 3" xfId="38922"/>
    <cellStyle name="Note 3 7 2 3" xfId="21130"/>
    <cellStyle name="Note 3 7 2 3 2" xfId="49991"/>
    <cellStyle name="Note 3 7 2 4" xfId="32881"/>
    <cellStyle name="Note 3 7 3" xfId="7175"/>
    <cellStyle name="Note 3 7 3 2" xfId="24222"/>
    <cellStyle name="Note 3 7 3 2 2" xfId="53083"/>
    <cellStyle name="Note 3 7 3 3" xfId="36036"/>
    <cellStyle name="Note 3 7 4" xfId="13670"/>
    <cellStyle name="Note 3 7 4 2" xfId="18450"/>
    <cellStyle name="Note 3 7 4 2 2" xfId="47311"/>
    <cellStyle name="Note 3 7 4 3" xfId="42531"/>
    <cellStyle name="Note 3 7 5" xfId="15770"/>
    <cellStyle name="Note 3 7 5 2" xfId="44631"/>
    <cellStyle name="Note 3 7 6" xfId="29995"/>
    <cellStyle name="Note 3 8" xfId="1339"/>
    <cellStyle name="Note 3 8 2" xfId="4226"/>
    <cellStyle name="Note 3 8 2 2" xfId="10267"/>
    <cellStyle name="Note 3 8 2 2 2" xfId="27314"/>
    <cellStyle name="Note 3 8 2 2 2 2" xfId="56175"/>
    <cellStyle name="Note 3 8 2 2 3" xfId="39128"/>
    <cellStyle name="Note 3 8 2 3" xfId="21336"/>
    <cellStyle name="Note 3 8 2 3 2" xfId="50197"/>
    <cellStyle name="Note 3 8 2 4" xfId="33087"/>
    <cellStyle name="Note 3 8 3" xfId="7381"/>
    <cellStyle name="Note 3 8 3 2" xfId="24428"/>
    <cellStyle name="Note 3 8 3 2 2" xfId="53289"/>
    <cellStyle name="Note 3 8 3 3" xfId="36242"/>
    <cellStyle name="Note 3 8 4" xfId="14329"/>
    <cellStyle name="Note 3 8 4 2" xfId="18656"/>
    <cellStyle name="Note 3 8 4 2 2" xfId="47517"/>
    <cellStyle name="Note 3 8 4 3" xfId="43190"/>
    <cellStyle name="Note 3 8 5" xfId="15976"/>
    <cellStyle name="Note 3 8 5 2" xfId="44837"/>
    <cellStyle name="Note 3 8 6" xfId="30201"/>
    <cellStyle name="Note 3 9" xfId="1545"/>
    <cellStyle name="Note 3 9 2" xfId="4432"/>
    <cellStyle name="Note 3 9 2 2" xfId="10473"/>
    <cellStyle name="Note 3 9 2 2 2" xfId="27520"/>
    <cellStyle name="Note 3 9 2 2 2 2" xfId="56381"/>
    <cellStyle name="Note 3 9 2 2 3" xfId="39334"/>
    <cellStyle name="Note 3 9 2 3" xfId="21542"/>
    <cellStyle name="Note 3 9 2 3 2" xfId="50403"/>
    <cellStyle name="Note 3 9 2 4" xfId="33293"/>
    <cellStyle name="Note 3 9 3" xfId="7587"/>
    <cellStyle name="Note 3 9 3 2" xfId="24634"/>
    <cellStyle name="Note 3 9 3 2 2" xfId="53495"/>
    <cellStyle name="Note 3 9 3 3" xfId="36448"/>
    <cellStyle name="Note 3 9 4" xfId="13758"/>
    <cellStyle name="Note 3 9 4 2" xfId="18862"/>
    <cellStyle name="Note 3 9 4 2 2" xfId="47723"/>
    <cellStyle name="Note 3 9 4 3" xfId="42619"/>
    <cellStyle name="Note 3 9 5" xfId="16182"/>
    <cellStyle name="Note 3 9 5 2" xfId="45043"/>
    <cellStyle name="Note 3 9 6" xfId="30407"/>
    <cellStyle name="Note 4" xfId="129"/>
    <cellStyle name="Note 4 10" xfId="1777"/>
    <cellStyle name="Note 4 10 2" xfId="4664"/>
    <cellStyle name="Note 4 10 2 2" xfId="10705"/>
    <cellStyle name="Note 4 10 2 2 2" xfId="27752"/>
    <cellStyle name="Note 4 10 2 2 2 2" xfId="56613"/>
    <cellStyle name="Note 4 10 2 2 3" xfId="39566"/>
    <cellStyle name="Note 4 10 2 3" xfId="21774"/>
    <cellStyle name="Note 4 10 2 3 2" xfId="50635"/>
    <cellStyle name="Note 4 10 2 4" xfId="33525"/>
    <cellStyle name="Note 4 10 3" xfId="7819"/>
    <cellStyle name="Note 4 10 3 2" xfId="24866"/>
    <cellStyle name="Note 4 10 3 2 2" xfId="53727"/>
    <cellStyle name="Note 4 10 3 3" xfId="36680"/>
    <cellStyle name="Note 4 10 4" xfId="13258"/>
    <cellStyle name="Note 4 10 4 2" xfId="19094"/>
    <cellStyle name="Note 4 10 4 2 2" xfId="47955"/>
    <cellStyle name="Note 4 10 4 3" xfId="42119"/>
    <cellStyle name="Note 4 10 5" xfId="16414"/>
    <cellStyle name="Note 4 10 5 2" xfId="45275"/>
    <cellStyle name="Note 4 10 6" xfId="30639"/>
    <cellStyle name="Note 4 11" xfId="1983"/>
    <cellStyle name="Note 4 11 2" xfId="4870"/>
    <cellStyle name="Note 4 11 2 2" xfId="10911"/>
    <cellStyle name="Note 4 11 2 2 2" xfId="27958"/>
    <cellStyle name="Note 4 11 2 2 2 2" xfId="56819"/>
    <cellStyle name="Note 4 11 2 2 3" xfId="39772"/>
    <cellStyle name="Note 4 11 2 3" xfId="21980"/>
    <cellStyle name="Note 4 11 2 3 2" xfId="50841"/>
    <cellStyle name="Note 4 11 2 4" xfId="33731"/>
    <cellStyle name="Note 4 11 3" xfId="8025"/>
    <cellStyle name="Note 4 11 3 2" xfId="25072"/>
    <cellStyle name="Note 4 11 3 2 2" xfId="53933"/>
    <cellStyle name="Note 4 11 3 3" xfId="36886"/>
    <cellStyle name="Note 4 11 4" xfId="13497"/>
    <cellStyle name="Note 4 11 4 2" xfId="19300"/>
    <cellStyle name="Note 4 11 4 2 2" xfId="48161"/>
    <cellStyle name="Note 4 11 4 3" xfId="42358"/>
    <cellStyle name="Note 4 11 5" xfId="16620"/>
    <cellStyle name="Note 4 11 5 2" xfId="45481"/>
    <cellStyle name="Note 4 11 6" xfId="30845"/>
    <cellStyle name="Note 4 12" xfId="2395"/>
    <cellStyle name="Note 4 12 2" xfId="5282"/>
    <cellStyle name="Note 4 12 2 2" xfId="11323"/>
    <cellStyle name="Note 4 12 2 2 2" xfId="28370"/>
    <cellStyle name="Note 4 12 2 2 2 2" xfId="57231"/>
    <cellStyle name="Note 4 12 2 2 3" xfId="40184"/>
    <cellStyle name="Note 4 12 2 3" xfId="22392"/>
    <cellStyle name="Note 4 12 2 3 2" xfId="51253"/>
    <cellStyle name="Note 4 12 2 4" xfId="34143"/>
    <cellStyle name="Note 4 12 3" xfId="8437"/>
    <cellStyle name="Note 4 12 3 2" xfId="25484"/>
    <cellStyle name="Note 4 12 3 2 2" xfId="54345"/>
    <cellStyle name="Note 4 12 3 3" xfId="37298"/>
    <cellStyle name="Note 4 12 4" xfId="11926"/>
    <cellStyle name="Note 4 12 4 2" xfId="19712"/>
    <cellStyle name="Note 4 12 4 2 2" xfId="48573"/>
    <cellStyle name="Note 4 12 4 3" xfId="40787"/>
    <cellStyle name="Note 4 12 5" xfId="17032"/>
    <cellStyle name="Note 4 12 5 2" xfId="45893"/>
    <cellStyle name="Note 4 12 6" xfId="31257"/>
    <cellStyle name="Note 4 13" xfId="2604"/>
    <cellStyle name="Note 4 13 2" xfId="5490"/>
    <cellStyle name="Note 4 13 2 2" xfId="11531"/>
    <cellStyle name="Note 4 13 2 2 2" xfId="28578"/>
    <cellStyle name="Note 4 13 2 2 2 2" xfId="57439"/>
    <cellStyle name="Note 4 13 2 2 3" xfId="40392"/>
    <cellStyle name="Note 4 13 2 3" xfId="22600"/>
    <cellStyle name="Note 4 13 2 3 2" xfId="51461"/>
    <cellStyle name="Note 4 13 2 4" xfId="34351"/>
    <cellStyle name="Note 4 13 3" xfId="8645"/>
    <cellStyle name="Note 4 13 3 2" xfId="25692"/>
    <cellStyle name="Note 4 13 3 2 2" xfId="54553"/>
    <cellStyle name="Note 4 13 3 3" xfId="37506"/>
    <cellStyle name="Note 4 13 4" xfId="13265"/>
    <cellStyle name="Note 4 13 4 2" xfId="19920"/>
    <cellStyle name="Note 4 13 4 2 2" xfId="48781"/>
    <cellStyle name="Note 4 13 4 3" xfId="42126"/>
    <cellStyle name="Note 4 13 5" xfId="17240"/>
    <cellStyle name="Note 4 13 5 2" xfId="46101"/>
    <cellStyle name="Note 4 13 6" xfId="31465"/>
    <cellStyle name="Note 4 14" xfId="3016"/>
    <cellStyle name="Note 4 14 2" xfId="9057"/>
    <cellStyle name="Note 4 14 2 2" xfId="26104"/>
    <cellStyle name="Note 4 14 2 2 2" xfId="54965"/>
    <cellStyle name="Note 4 14 2 3" xfId="37918"/>
    <cellStyle name="Note 4 14 3" xfId="12902"/>
    <cellStyle name="Note 4 14 3 2" xfId="20126"/>
    <cellStyle name="Note 4 14 3 2 2" xfId="48987"/>
    <cellStyle name="Note 4 14 3 3" xfId="41763"/>
    <cellStyle name="Note 4 14 4" xfId="14766"/>
    <cellStyle name="Note 4 14 4 2" xfId="43627"/>
    <cellStyle name="Note 4 14 5" xfId="31877"/>
    <cellStyle name="Note 4 15" xfId="2810"/>
    <cellStyle name="Note 4 15 2" xfId="8851"/>
    <cellStyle name="Note 4 15 2 2" xfId="25898"/>
    <cellStyle name="Note 4 15 2 2 2" xfId="54759"/>
    <cellStyle name="Note 4 15 2 3" xfId="37712"/>
    <cellStyle name="Note 4 15 3" xfId="17446"/>
    <cellStyle name="Note 4 15 3 2" xfId="46307"/>
    <cellStyle name="Note 4 15 4" xfId="31671"/>
    <cellStyle name="Note 4 16" xfId="5696"/>
    <cellStyle name="Note 4 16 2" xfId="11737"/>
    <cellStyle name="Note 4 16 2 2" xfId="28784"/>
    <cellStyle name="Note 4 16 2 2 2" xfId="57645"/>
    <cellStyle name="Note 4 16 2 3" xfId="40598"/>
    <cellStyle name="Note 4 16 3" xfId="22806"/>
    <cellStyle name="Note 4 16 3 2" xfId="51667"/>
    <cellStyle name="Note 4 16 4" xfId="34557"/>
    <cellStyle name="Note 4 17" xfId="5913"/>
    <cellStyle name="Note 4 17 2" xfId="23012"/>
    <cellStyle name="Note 4 17 2 2" xfId="51873"/>
    <cellStyle name="Note 4 17 3" xfId="34774"/>
    <cellStyle name="Note 4 18" xfId="6171"/>
    <cellStyle name="Note 4 18 2" xfId="23218"/>
    <cellStyle name="Note 4 18 2 2" xfId="52079"/>
    <cellStyle name="Note 4 18 3" xfId="35032"/>
    <cellStyle name="Note 4 19" xfId="14560"/>
    <cellStyle name="Note 4 19 2" xfId="43421"/>
    <cellStyle name="Note 4 2" xfId="335"/>
    <cellStyle name="Note 4 2 10" xfId="2498"/>
    <cellStyle name="Note 4 2 10 2" xfId="5385"/>
    <cellStyle name="Note 4 2 10 2 2" xfId="11426"/>
    <cellStyle name="Note 4 2 10 2 2 2" xfId="28473"/>
    <cellStyle name="Note 4 2 10 2 2 2 2" xfId="57334"/>
    <cellStyle name="Note 4 2 10 2 2 3" xfId="40287"/>
    <cellStyle name="Note 4 2 10 2 3" xfId="22495"/>
    <cellStyle name="Note 4 2 10 2 3 2" xfId="51356"/>
    <cellStyle name="Note 4 2 10 2 4" xfId="34246"/>
    <cellStyle name="Note 4 2 10 3" xfId="8540"/>
    <cellStyle name="Note 4 2 10 3 2" xfId="25587"/>
    <cellStyle name="Note 4 2 10 3 2 2" xfId="54448"/>
    <cellStyle name="Note 4 2 10 3 3" xfId="37401"/>
    <cellStyle name="Note 4 2 10 4" xfId="13594"/>
    <cellStyle name="Note 4 2 10 4 2" xfId="19815"/>
    <cellStyle name="Note 4 2 10 4 2 2" xfId="48676"/>
    <cellStyle name="Note 4 2 10 4 3" xfId="42455"/>
    <cellStyle name="Note 4 2 10 5" xfId="17135"/>
    <cellStyle name="Note 4 2 10 5 2" xfId="45996"/>
    <cellStyle name="Note 4 2 10 6" xfId="31360"/>
    <cellStyle name="Note 4 2 11" xfId="2707"/>
    <cellStyle name="Note 4 2 11 2" xfId="5593"/>
    <cellStyle name="Note 4 2 11 2 2" xfId="11634"/>
    <cellStyle name="Note 4 2 11 2 2 2" xfId="28681"/>
    <cellStyle name="Note 4 2 11 2 2 2 2" xfId="57542"/>
    <cellStyle name="Note 4 2 11 2 2 3" xfId="40495"/>
    <cellStyle name="Note 4 2 11 2 3" xfId="22703"/>
    <cellStyle name="Note 4 2 11 2 3 2" xfId="51564"/>
    <cellStyle name="Note 4 2 11 2 4" xfId="34454"/>
    <cellStyle name="Note 4 2 11 3" xfId="8748"/>
    <cellStyle name="Note 4 2 11 3 2" xfId="25795"/>
    <cellStyle name="Note 4 2 11 3 2 2" xfId="54656"/>
    <cellStyle name="Note 4 2 11 3 3" xfId="37609"/>
    <cellStyle name="Note 4 2 11 4" xfId="6064"/>
    <cellStyle name="Note 4 2 11 4 2" xfId="20023"/>
    <cellStyle name="Note 4 2 11 4 2 2" xfId="48884"/>
    <cellStyle name="Note 4 2 11 4 3" xfId="34925"/>
    <cellStyle name="Note 4 2 11 5" xfId="17343"/>
    <cellStyle name="Note 4 2 11 5 2" xfId="46204"/>
    <cellStyle name="Note 4 2 11 6" xfId="31568"/>
    <cellStyle name="Note 4 2 12" xfId="3222"/>
    <cellStyle name="Note 4 2 12 2" xfId="9263"/>
    <cellStyle name="Note 4 2 12 2 2" xfId="26310"/>
    <cellStyle name="Note 4 2 12 2 2 2" xfId="55171"/>
    <cellStyle name="Note 4 2 12 2 3" xfId="38124"/>
    <cellStyle name="Note 4 2 12 3" xfId="13387"/>
    <cellStyle name="Note 4 2 12 3 2" xfId="20332"/>
    <cellStyle name="Note 4 2 12 3 2 2" xfId="49193"/>
    <cellStyle name="Note 4 2 12 3 3" xfId="42248"/>
    <cellStyle name="Note 4 2 12 4" xfId="14972"/>
    <cellStyle name="Note 4 2 12 4 2" xfId="43833"/>
    <cellStyle name="Note 4 2 12 5" xfId="32083"/>
    <cellStyle name="Note 4 2 13" xfId="2913"/>
    <cellStyle name="Note 4 2 13 2" xfId="8954"/>
    <cellStyle name="Note 4 2 13 2 2" xfId="26001"/>
    <cellStyle name="Note 4 2 13 2 2 2" xfId="54862"/>
    <cellStyle name="Note 4 2 13 2 3" xfId="37815"/>
    <cellStyle name="Note 4 2 13 3" xfId="17549"/>
    <cellStyle name="Note 4 2 13 3 2" xfId="46410"/>
    <cellStyle name="Note 4 2 13 4" xfId="31774"/>
    <cellStyle name="Note 4 2 14" xfId="5799"/>
    <cellStyle name="Note 4 2 14 2" xfId="11840"/>
    <cellStyle name="Note 4 2 14 2 2" xfId="28887"/>
    <cellStyle name="Note 4 2 14 2 2 2" xfId="57748"/>
    <cellStyle name="Note 4 2 14 2 3" xfId="40701"/>
    <cellStyle name="Note 4 2 14 3" xfId="22909"/>
    <cellStyle name="Note 4 2 14 3 2" xfId="51770"/>
    <cellStyle name="Note 4 2 14 4" xfId="34660"/>
    <cellStyle name="Note 4 2 15" xfId="6016"/>
    <cellStyle name="Note 4 2 15 2" xfId="23115"/>
    <cellStyle name="Note 4 2 15 2 2" xfId="51976"/>
    <cellStyle name="Note 4 2 15 3" xfId="34877"/>
    <cellStyle name="Note 4 2 16" xfId="6377"/>
    <cellStyle name="Note 4 2 16 2" xfId="23424"/>
    <cellStyle name="Note 4 2 16 2 2" xfId="52285"/>
    <cellStyle name="Note 4 2 16 3" xfId="35238"/>
    <cellStyle name="Note 4 2 17" xfId="14663"/>
    <cellStyle name="Note 4 2 17 2" xfId="43524"/>
    <cellStyle name="Note 4 2 18" xfId="29197"/>
    <cellStyle name="Note 4 2 2" xfId="541"/>
    <cellStyle name="Note 4 2 2 2" xfId="2292"/>
    <cellStyle name="Note 4 2 2 2 2" xfId="5179"/>
    <cellStyle name="Note 4 2 2 2 2 2" xfId="11220"/>
    <cellStyle name="Note 4 2 2 2 2 2 2" xfId="28267"/>
    <cellStyle name="Note 4 2 2 2 2 2 2 2" xfId="57128"/>
    <cellStyle name="Note 4 2 2 2 2 2 3" xfId="40081"/>
    <cellStyle name="Note 4 2 2 2 2 3" xfId="22289"/>
    <cellStyle name="Note 4 2 2 2 2 3 2" xfId="51150"/>
    <cellStyle name="Note 4 2 2 2 2 4" xfId="34040"/>
    <cellStyle name="Note 4 2 2 2 3" xfId="8334"/>
    <cellStyle name="Note 4 2 2 2 3 2" xfId="25381"/>
    <cellStyle name="Note 4 2 2 2 3 2 2" xfId="54242"/>
    <cellStyle name="Note 4 2 2 2 3 3" xfId="37195"/>
    <cellStyle name="Note 4 2 2 2 4" xfId="13017"/>
    <cellStyle name="Note 4 2 2 2 4 2" xfId="19609"/>
    <cellStyle name="Note 4 2 2 2 4 2 2" xfId="48470"/>
    <cellStyle name="Note 4 2 2 2 4 3" xfId="41878"/>
    <cellStyle name="Note 4 2 2 2 5" xfId="16929"/>
    <cellStyle name="Note 4 2 2 2 5 2" xfId="45790"/>
    <cellStyle name="Note 4 2 2 2 6" xfId="31154"/>
    <cellStyle name="Note 4 2 2 3" xfId="3428"/>
    <cellStyle name="Note 4 2 2 3 2" xfId="9469"/>
    <cellStyle name="Note 4 2 2 3 2 2" xfId="26516"/>
    <cellStyle name="Note 4 2 2 3 2 2 2" xfId="55377"/>
    <cellStyle name="Note 4 2 2 3 2 3" xfId="38330"/>
    <cellStyle name="Note 4 2 2 3 3" xfId="20538"/>
    <cellStyle name="Note 4 2 2 3 3 2" xfId="49399"/>
    <cellStyle name="Note 4 2 2 3 4" xfId="32289"/>
    <cellStyle name="Note 4 2 2 4" xfId="6583"/>
    <cellStyle name="Note 4 2 2 4 2" xfId="23630"/>
    <cellStyle name="Note 4 2 2 4 2 2" xfId="52491"/>
    <cellStyle name="Note 4 2 2 4 3" xfId="35444"/>
    <cellStyle name="Note 4 2 2 5" xfId="12594"/>
    <cellStyle name="Note 4 2 2 5 2" xfId="17858"/>
    <cellStyle name="Note 4 2 2 5 2 2" xfId="46719"/>
    <cellStyle name="Note 4 2 2 5 3" xfId="41455"/>
    <cellStyle name="Note 4 2 2 6" xfId="15178"/>
    <cellStyle name="Note 4 2 2 6 2" xfId="44039"/>
    <cellStyle name="Note 4 2 2 7" xfId="29403"/>
    <cellStyle name="Note 4 2 3" xfId="850"/>
    <cellStyle name="Note 4 2 3 2" xfId="3737"/>
    <cellStyle name="Note 4 2 3 2 2" xfId="9778"/>
    <cellStyle name="Note 4 2 3 2 2 2" xfId="26825"/>
    <cellStyle name="Note 4 2 3 2 2 2 2" xfId="55686"/>
    <cellStyle name="Note 4 2 3 2 2 3" xfId="38639"/>
    <cellStyle name="Note 4 2 3 2 3" xfId="20847"/>
    <cellStyle name="Note 4 2 3 2 3 2" xfId="49708"/>
    <cellStyle name="Note 4 2 3 2 4" xfId="32598"/>
    <cellStyle name="Note 4 2 3 3" xfId="6892"/>
    <cellStyle name="Note 4 2 3 3 2" xfId="23939"/>
    <cellStyle name="Note 4 2 3 3 2 2" xfId="52800"/>
    <cellStyle name="Note 4 2 3 3 3" xfId="35753"/>
    <cellStyle name="Note 4 2 3 4" xfId="12023"/>
    <cellStyle name="Note 4 2 3 4 2" xfId="18167"/>
    <cellStyle name="Note 4 2 3 4 2 2" xfId="47028"/>
    <cellStyle name="Note 4 2 3 4 3" xfId="40884"/>
    <cellStyle name="Note 4 2 3 5" xfId="15487"/>
    <cellStyle name="Note 4 2 3 5 2" xfId="44348"/>
    <cellStyle name="Note 4 2 3 6" xfId="29712"/>
    <cellStyle name="Note 4 2 4" xfId="1056"/>
    <cellStyle name="Note 4 2 4 2" xfId="3943"/>
    <cellStyle name="Note 4 2 4 2 2" xfId="9984"/>
    <cellStyle name="Note 4 2 4 2 2 2" xfId="27031"/>
    <cellStyle name="Note 4 2 4 2 2 2 2" xfId="55892"/>
    <cellStyle name="Note 4 2 4 2 2 3" xfId="38845"/>
    <cellStyle name="Note 4 2 4 2 3" xfId="21053"/>
    <cellStyle name="Note 4 2 4 2 3 2" xfId="49914"/>
    <cellStyle name="Note 4 2 4 2 4" xfId="32804"/>
    <cellStyle name="Note 4 2 4 3" xfId="7098"/>
    <cellStyle name="Note 4 2 4 3 2" xfId="24145"/>
    <cellStyle name="Note 4 2 4 3 2 2" xfId="53006"/>
    <cellStyle name="Note 4 2 4 3 3" xfId="35959"/>
    <cellStyle name="Note 4 2 4 4" xfId="14241"/>
    <cellStyle name="Note 4 2 4 4 2" xfId="18373"/>
    <cellStyle name="Note 4 2 4 4 2 2" xfId="47234"/>
    <cellStyle name="Note 4 2 4 4 3" xfId="43102"/>
    <cellStyle name="Note 4 2 4 5" xfId="15693"/>
    <cellStyle name="Note 4 2 4 5 2" xfId="44554"/>
    <cellStyle name="Note 4 2 4 6" xfId="29918"/>
    <cellStyle name="Note 4 2 5" xfId="1262"/>
    <cellStyle name="Note 4 2 5 2" xfId="4149"/>
    <cellStyle name="Note 4 2 5 2 2" xfId="10190"/>
    <cellStyle name="Note 4 2 5 2 2 2" xfId="27237"/>
    <cellStyle name="Note 4 2 5 2 2 2 2" xfId="56098"/>
    <cellStyle name="Note 4 2 5 2 2 3" xfId="39051"/>
    <cellStyle name="Note 4 2 5 2 3" xfId="21259"/>
    <cellStyle name="Note 4 2 5 2 3 2" xfId="50120"/>
    <cellStyle name="Note 4 2 5 2 4" xfId="33010"/>
    <cellStyle name="Note 4 2 5 3" xfId="7304"/>
    <cellStyle name="Note 4 2 5 3 2" xfId="24351"/>
    <cellStyle name="Note 4 2 5 3 2 2" xfId="53212"/>
    <cellStyle name="Note 4 2 5 3 3" xfId="36165"/>
    <cellStyle name="Note 4 2 5 4" xfId="14425"/>
    <cellStyle name="Note 4 2 5 4 2" xfId="18579"/>
    <cellStyle name="Note 4 2 5 4 2 2" xfId="47440"/>
    <cellStyle name="Note 4 2 5 4 3" xfId="43286"/>
    <cellStyle name="Note 4 2 5 5" xfId="15899"/>
    <cellStyle name="Note 4 2 5 5 2" xfId="44760"/>
    <cellStyle name="Note 4 2 5 6" xfId="30124"/>
    <cellStyle name="Note 4 2 6" xfId="1468"/>
    <cellStyle name="Note 4 2 6 2" xfId="4355"/>
    <cellStyle name="Note 4 2 6 2 2" xfId="10396"/>
    <cellStyle name="Note 4 2 6 2 2 2" xfId="27443"/>
    <cellStyle name="Note 4 2 6 2 2 2 2" xfId="56304"/>
    <cellStyle name="Note 4 2 6 2 2 3" xfId="39257"/>
    <cellStyle name="Note 4 2 6 2 3" xfId="21465"/>
    <cellStyle name="Note 4 2 6 2 3 2" xfId="50326"/>
    <cellStyle name="Note 4 2 6 2 4" xfId="33216"/>
    <cellStyle name="Note 4 2 6 3" xfId="7510"/>
    <cellStyle name="Note 4 2 6 3 2" xfId="24557"/>
    <cellStyle name="Note 4 2 6 3 2 2" xfId="53418"/>
    <cellStyle name="Note 4 2 6 3 3" xfId="36371"/>
    <cellStyle name="Note 4 2 6 4" xfId="13106"/>
    <cellStyle name="Note 4 2 6 4 2" xfId="18785"/>
    <cellStyle name="Note 4 2 6 4 2 2" xfId="47646"/>
    <cellStyle name="Note 4 2 6 4 3" xfId="41967"/>
    <cellStyle name="Note 4 2 6 5" xfId="16105"/>
    <cellStyle name="Note 4 2 6 5 2" xfId="44966"/>
    <cellStyle name="Note 4 2 6 6" xfId="30330"/>
    <cellStyle name="Note 4 2 7" xfId="1674"/>
    <cellStyle name="Note 4 2 7 2" xfId="4561"/>
    <cellStyle name="Note 4 2 7 2 2" xfId="10602"/>
    <cellStyle name="Note 4 2 7 2 2 2" xfId="27649"/>
    <cellStyle name="Note 4 2 7 2 2 2 2" xfId="56510"/>
    <cellStyle name="Note 4 2 7 2 2 3" xfId="39463"/>
    <cellStyle name="Note 4 2 7 2 3" xfId="21671"/>
    <cellStyle name="Note 4 2 7 2 3 2" xfId="50532"/>
    <cellStyle name="Note 4 2 7 2 4" xfId="33422"/>
    <cellStyle name="Note 4 2 7 3" xfId="7716"/>
    <cellStyle name="Note 4 2 7 3 2" xfId="24763"/>
    <cellStyle name="Note 4 2 7 3 2 2" xfId="53624"/>
    <cellStyle name="Note 4 2 7 3 3" xfId="36577"/>
    <cellStyle name="Note 4 2 7 4" xfId="12590"/>
    <cellStyle name="Note 4 2 7 4 2" xfId="18991"/>
    <cellStyle name="Note 4 2 7 4 2 2" xfId="47852"/>
    <cellStyle name="Note 4 2 7 4 3" xfId="41451"/>
    <cellStyle name="Note 4 2 7 5" xfId="16311"/>
    <cellStyle name="Note 4 2 7 5 2" xfId="45172"/>
    <cellStyle name="Note 4 2 7 6" xfId="30536"/>
    <cellStyle name="Note 4 2 8" xfId="1880"/>
    <cellStyle name="Note 4 2 8 2" xfId="4767"/>
    <cellStyle name="Note 4 2 8 2 2" xfId="10808"/>
    <cellStyle name="Note 4 2 8 2 2 2" xfId="27855"/>
    <cellStyle name="Note 4 2 8 2 2 2 2" xfId="56716"/>
    <cellStyle name="Note 4 2 8 2 2 3" xfId="39669"/>
    <cellStyle name="Note 4 2 8 2 3" xfId="21877"/>
    <cellStyle name="Note 4 2 8 2 3 2" xfId="50738"/>
    <cellStyle name="Note 4 2 8 2 4" xfId="33628"/>
    <cellStyle name="Note 4 2 8 3" xfId="7922"/>
    <cellStyle name="Note 4 2 8 3 2" xfId="24969"/>
    <cellStyle name="Note 4 2 8 3 2 2" xfId="53830"/>
    <cellStyle name="Note 4 2 8 3 3" xfId="36783"/>
    <cellStyle name="Note 4 2 8 4" xfId="13529"/>
    <cellStyle name="Note 4 2 8 4 2" xfId="19197"/>
    <cellStyle name="Note 4 2 8 4 2 2" xfId="48058"/>
    <cellStyle name="Note 4 2 8 4 3" xfId="42390"/>
    <cellStyle name="Note 4 2 8 5" xfId="16517"/>
    <cellStyle name="Note 4 2 8 5 2" xfId="45378"/>
    <cellStyle name="Note 4 2 8 6" xfId="30742"/>
    <cellStyle name="Note 4 2 9" xfId="2086"/>
    <cellStyle name="Note 4 2 9 2" xfId="4973"/>
    <cellStyle name="Note 4 2 9 2 2" xfId="11014"/>
    <cellStyle name="Note 4 2 9 2 2 2" xfId="28061"/>
    <cellStyle name="Note 4 2 9 2 2 2 2" xfId="56922"/>
    <cellStyle name="Note 4 2 9 2 2 3" xfId="39875"/>
    <cellStyle name="Note 4 2 9 2 3" xfId="22083"/>
    <cellStyle name="Note 4 2 9 2 3 2" xfId="50944"/>
    <cellStyle name="Note 4 2 9 2 4" xfId="33834"/>
    <cellStyle name="Note 4 2 9 3" xfId="8128"/>
    <cellStyle name="Note 4 2 9 3 2" xfId="25175"/>
    <cellStyle name="Note 4 2 9 3 2 2" xfId="54036"/>
    <cellStyle name="Note 4 2 9 3 3" xfId="36989"/>
    <cellStyle name="Note 4 2 9 4" xfId="13680"/>
    <cellStyle name="Note 4 2 9 4 2" xfId="19403"/>
    <cellStyle name="Note 4 2 9 4 2 2" xfId="48264"/>
    <cellStyle name="Note 4 2 9 4 3" xfId="42541"/>
    <cellStyle name="Note 4 2 9 5" xfId="16723"/>
    <cellStyle name="Note 4 2 9 5 2" xfId="45584"/>
    <cellStyle name="Note 4 2 9 6" xfId="30948"/>
    <cellStyle name="Note 4 20" xfId="28991"/>
    <cellStyle name="Note 4 3" xfId="232"/>
    <cellStyle name="Note 4 3 2" xfId="644"/>
    <cellStyle name="Note 4 3 2 2" xfId="3531"/>
    <cellStyle name="Note 4 3 2 2 2" xfId="9572"/>
    <cellStyle name="Note 4 3 2 2 2 2" xfId="26619"/>
    <cellStyle name="Note 4 3 2 2 2 2 2" xfId="55480"/>
    <cellStyle name="Note 4 3 2 2 2 3" xfId="38433"/>
    <cellStyle name="Note 4 3 2 2 3" xfId="20641"/>
    <cellStyle name="Note 4 3 2 2 3 2" xfId="49502"/>
    <cellStyle name="Note 4 3 2 2 4" xfId="32392"/>
    <cellStyle name="Note 4 3 2 3" xfId="6686"/>
    <cellStyle name="Note 4 3 2 3 2" xfId="23733"/>
    <cellStyle name="Note 4 3 2 3 2 2" xfId="52594"/>
    <cellStyle name="Note 4 3 2 3 3" xfId="35547"/>
    <cellStyle name="Note 4 3 2 4" xfId="12915"/>
    <cellStyle name="Note 4 3 2 4 2" xfId="17961"/>
    <cellStyle name="Note 4 3 2 4 2 2" xfId="46822"/>
    <cellStyle name="Note 4 3 2 4 3" xfId="41776"/>
    <cellStyle name="Note 4 3 2 5" xfId="15281"/>
    <cellStyle name="Note 4 3 2 5 2" xfId="44142"/>
    <cellStyle name="Note 4 3 2 6" xfId="29506"/>
    <cellStyle name="Note 4 3 3" xfId="2189"/>
    <cellStyle name="Note 4 3 3 2" xfId="5076"/>
    <cellStyle name="Note 4 3 3 2 2" xfId="11117"/>
    <cellStyle name="Note 4 3 3 2 2 2" xfId="28164"/>
    <cellStyle name="Note 4 3 3 2 2 2 2" xfId="57025"/>
    <cellStyle name="Note 4 3 3 2 2 3" xfId="39978"/>
    <cellStyle name="Note 4 3 3 2 3" xfId="22186"/>
    <cellStyle name="Note 4 3 3 2 3 2" xfId="51047"/>
    <cellStyle name="Note 4 3 3 2 4" xfId="33937"/>
    <cellStyle name="Note 4 3 3 3" xfId="8231"/>
    <cellStyle name="Note 4 3 3 3 2" xfId="25278"/>
    <cellStyle name="Note 4 3 3 3 2 2" xfId="54139"/>
    <cellStyle name="Note 4 3 3 3 3" xfId="37092"/>
    <cellStyle name="Note 4 3 3 4" xfId="13885"/>
    <cellStyle name="Note 4 3 3 4 2" xfId="19506"/>
    <cellStyle name="Note 4 3 3 4 2 2" xfId="48367"/>
    <cellStyle name="Note 4 3 3 4 3" xfId="42746"/>
    <cellStyle name="Note 4 3 3 5" xfId="16826"/>
    <cellStyle name="Note 4 3 3 5 2" xfId="45687"/>
    <cellStyle name="Note 4 3 3 6" xfId="31051"/>
    <cellStyle name="Note 4 3 4" xfId="3119"/>
    <cellStyle name="Note 4 3 4 2" xfId="9160"/>
    <cellStyle name="Note 4 3 4 2 2" xfId="26207"/>
    <cellStyle name="Note 4 3 4 2 2 2" xfId="55068"/>
    <cellStyle name="Note 4 3 4 2 3" xfId="38021"/>
    <cellStyle name="Note 4 3 4 3" xfId="20229"/>
    <cellStyle name="Note 4 3 4 3 2" xfId="49090"/>
    <cellStyle name="Note 4 3 4 4" xfId="31980"/>
    <cellStyle name="Note 4 3 5" xfId="6274"/>
    <cellStyle name="Note 4 3 5 2" xfId="23321"/>
    <cellStyle name="Note 4 3 5 2 2" xfId="52182"/>
    <cellStyle name="Note 4 3 5 3" xfId="35135"/>
    <cellStyle name="Note 4 3 6" xfId="14166"/>
    <cellStyle name="Note 4 3 6 2" xfId="17652"/>
    <cellStyle name="Note 4 3 6 2 2" xfId="46513"/>
    <cellStyle name="Note 4 3 6 3" xfId="43027"/>
    <cellStyle name="Note 4 3 7" xfId="14869"/>
    <cellStyle name="Note 4 3 7 2" xfId="43730"/>
    <cellStyle name="Note 4 3 8" xfId="29094"/>
    <cellStyle name="Note 4 4" xfId="438"/>
    <cellStyle name="Note 4 4 2" xfId="3325"/>
    <cellStyle name="Note 4 4 2 2" xfId="9366"/>
    <cellStyle name="Note 4 4 2 2 2" xfId="26413"/>
    <cellStyle name="Note 4 4 2 2 2 2" xfId="55274"/>
    <cellStyle name="Note 4 4 2 2 3" xfId="38227"/>
    <cellStyle name="Note 4 4 2 3" xfId="20435"/>
    <cellStyle name="Note 4 4 2 3 2" xfId="49296"/>
    <cellStyle name="Note 4 4 2 4" xfId="32186"/>
    <cellStyle name="Note 4 4 3" xfId="6480"/>
    <cellStyle name="Note 4 4 3 2" xfId="23527"/>
    <cellStyle name="Note 4 4 3 2 2" xfId="52388"/>
    <cellStyle name="Note 4 4 3 3" xfId="35341"/>
    <cellStyle name="Note 4 4 4" xfId="13486"/>
    <cellStyle name="Note 4 4 4 2" xfId="17755"/>
    <cellStyle name="Note 4 4 4 2 2" xfId="46616"/>
    <cellStyle name="Note 4 4 4 3" xfId="42347"/>
    <cellStyle name="Note 4 4 5" xfId="15075"/>
    <cellStyle name="Note 4 4 5 2" xfId="43936"/>
    <cellStyle name="Note 4 4 6" xfId="29300"/>
    <cellStyle name="Note 4 5" xfId="747"/>
    <cellStyle name="Note 4 5 2" xfId="3634"/>
    <cellStyle name="Note 4 5 2 2" xfId="9675"/>
    <cellStyle name="Note 4 5 2 2 2" xfId="26722"/>
    <cellStyle name="Note 4 5 2 2 2 2" xfId="55583"/>
    <cellStyle name="Note 4 5 2 2 3" xfId="38536"/>
    <cellStyle name="Note 4 5 2 3" xfId="20744"/>
    <cellStyle name="Note 4 5 2 3 2" xfId="49605"/>
    <cellStyle name="Note 4 5 2 4" xfId="32495"/>
    <cellStyle name="Note 4 5 3" xfId="6789"/>
    <cellStyle name="Note 4 5 3 2" xfId="23836"/>
    <cellStyle name="Note 4 5 3 2 2" xfId="52697"/>
    <cellStyle name="Note 4 5 3 3" xfId="35650"/>
    <cellStyle name="Note 4 5 4" xfId="13179"/>
    <cellStyle name="Note 4 5 4 2" xfId="18064"/>
    <cellStyle name="Note 4 5 4 2 2" xfId="46925"/>
    <cellStyle name="Note 4 5 4 3" xfId="42040"/>
    <cellStyle name="Note 4 5 5" xfId="15384"/>
    <cellStyle name="Note 4 5 5 2" xfId="44245"/>
    <cellStyle name="Note 4 5 6" xfId="29609"/>
    <cellStyle name="Note 4 6" xfId="953"/>
    <cellStyle name="Note 4 6 2" xfId="3840"/>
    <cellStyle name="Note 4 6 2 2" xfId="9881"/>
    <cellStyle name="Note 4 6 2 2 2" xfId="26928"/>
    <cellStyle name="Note 4 6 2 2 2 2" xfId="55789"/>
    <cellStyle name="Note 4 6 2 2 3" xfId="38742"/>
    <cellStyle name="Note 4 6 2 3" xfId="20950"/>
    <cellStyle name="Note 4 6 2 3 2" xfId="49811"/>
    <cellStyle name="Note 4 6 2 4" xfId="32701"/>
    <cellStyle name="Note 4 6 3" xfId="6995"/>
    <cellStyle name="Note 4 6 3 2" xfId="24042"/>
    <cellStyle name="Note 4 6 3 2 2" xfId="52903"/>
    <cellStyle name="Note 4 6 3 3" xfId="35856"/>
    <cellStyle name="Note 4 6 4" xfId="13362"/>
    <cellStyle name="Note 4 6 4 2" xfId="18270"/>
    <cellStyle name="Note 4 6 4 2 2" xfId="47131"/>
    <cellStyle name="Note 4 6 4 3" xfId="42223"/>
    <cellStyle name="Note 4 6 5" xfId="15590"/>
    <cellStyle name="Note 4 6 5 2" xfId="44451"/>
    <cellStyle name="Note 4 6 6" xfId="29815"/>
    <cellStyle name="Note 4 7" xfId="1159"/>
    <cellStyle name="Note 4 7 2" xfId="4046"/>
    <cellStyle name="Note 4 7 2 2" xfId="10087"/>
    <cellStyle name="Note 4 7 2 2 2" xfId="27134"/>
    <cellStyle name="Note 4 7 2 2 2 2" xfId="55995"/>
    <cellStyle name="Note 4 7 2 2 3" xfId="38948"/>
    <cellStyle name="Note 4 7 2 3" xfId="21156"/>
    <cellStyle name="Note 4 7 2 3 2" xfId="50017"/>
    <cellStyle name="Note 4 7 2 4" xfId="32907"/>
    <cellStyle name="Note 4 7 3" xfId="7201"/>
    <cellStyle name="Note 4 7 3 2" xfId="24248"/>
    <cellStyle name="Note 4 7 3 2 2" xfId="53109"/>
    <cellStyle name="Note 4 7 3 3" xfId="36062"/>
    <cellStyle name="Note 4 7 4" xfId="12029"/>
    <cellStyle name="Note 4 7 4 2" xfId="18476"/>
    <cellStyle name="Note 4 7 4 2 2" xfId="47337"/>
    <cellStyle name="Note 4 7 4 3" xfId="40890"/>
    <cellStyle name="Note 4 7 5" xfId="15796"/>
    <cellStyle name="Note 4 7 5 2" xfId="44657"/>
    <cellStyle name="Note 4 7 6" xfId="30021"/>
    <cellStyle name="Note 4 8" xfId="1365"/>
    <cellStyle name="Note 4 8 2" xfId="4252"/>
    <cellStyle name="Note 4 8 2 2" xfId="10293"/>
    <cellStyle name="Note 4 8 2 2 2" xfId="27340"/>
    <cellStyle name="Note 4 8 2 2 2 2" xfId="56201"/>
    <cellStyle name="Note 4 8 2 2 3" xfId="39154"/>
    <cellStyle name="Note 4 8 2 3" xfId="21362"/>
    <cellStyle name="Note 4 8 2 3 2" xfId="50223"/>
    <cellStyle name="Note 4 8 2 4" xfId="33113"/>
    <cellStyle name="Note 4 8 3" xfId="7407"/>
    <cellStyle name="Note 4 8 3 2" xfId="24454"/>
    <cellStyle name="Note 4 8 3 2 2" xfId="53315"/>
    <cellStyle name="Note 4 8 3 3" xfId="36268"/>
    <cellStyle name="Note 4 8 4" xfId="13550"/>
    <cellStyle name="Note 4 8 4 2" xfId="18682"/>
    <cellStyle name="Note 4 8 4 2 2" xfId="47543"/>
    <cellStyle name="Note 4 8 4 3" xfId="42411"/>
    <cellStyle name="Note 4 8 5" xfId="16002"/>
    <cellStyle name="Note 4 8 5 2" xfId="44863"/>
    <cellStyle name="Note 4 8 6" xfId="30227"/>
    <cellStyle name="Note 4 9" xfId="1571"/>
    <cellStyle name="Note 4 9 2" xfId="4458"/>
    <cellStyle name="Note 4 9 2 2" xfId="10499"/>
    <cellStyle name="Note 4 9 2 2 2" xfId="27546"/>
    <cellStyle name="Note 4 9 2 2 2 2" xfId="56407"/>
    <cellStyle name="Note 4 9 2 2 3" xfId="39360"/>
    <cellStyle name="Note 4 9 2 3" xfId="21568"/>
    <cellStyle name="Note 4 9 2 3 2" xfId="50429"/>
    <cellStyle name="Note 4 9 2 4" xfId="33319"/>
    <cellStyle name="Note 4 9 3" xfId="7613"/>
    <cellStyle name="Note 4 9 3 2" xfId="24660"/>
    <cellStyle name="Note 4 9 3 2 2" xfId="53521"/>
    <cellStyle name="Note 4 9 3 3" xfId="36474"/>
    <cellStyle name="Note 4 9 4" xfId="14226"/>
    <cellStyle name="Note 4 9 4 2" xfId="18888"/>
    <cellStyle name="Note 4 9 4 2 2" xfId="47749"/>
    <cellStyle name="Note 4 9 4 3" xfId="43087"/>
    <cellStyle name="Note 4 9 5" xfId="16208"/>
    <cellStyle name="Note 4 9 5 2" xfId="45069"/>
    <cellStyle name="Note 4 9 6" xfId="30433"/>
    <cellStyle name="Note 5" xfId="89"/>
    <cellStyle name="Note 5 10" xfId="1737"/>
    <cellStyle name="Note 5 10 2" xfId="4624"/>
    <cellStyle name="Note 5 10 2 2" xfId="10665"/>
    <cellStyle name="Note 5 10 2 2 2" xfId="27712"/>
    <cellStyle name="Note 5 10 2 2 2 2" xfId="56573"/>
    <cellStyle name="Note 5 10 2 2 3" xfId="39526"/>
    <cellStyle name="Note 5 10 2 3" xfId="21734"/>
    <cellStyle name="Note 5 10 2 3 2" xfId="50595"/>
    <cellStyle name="Note 5 10 2 4" xfId="33485"/>
    <cellStyle name="Note 5 10 3" xfId="7779"/>
    <cellStyle name="Note 5 10 3 2" xfId="24826"/>
    <cellStyle name="Note 5 10 3 2 2" xfId="53687"/>
    <cellStyle name="Note 5 10 3 3" xfId="36640"/>
    <cellStyle name="Note 5 10 4" xfId="13413"/>
    <cellStyle name="Note 5 10 4 2" xfId="19054"/>
    <cellStyle name="Note 5 10 4 2 2" xfId="47915"/>
    <cellStyle name="Note 5 10 4 3" xfId="42274"/>
    <cellStyle name="Note 5 10 5" xfId="16374"/>
    <cellStyle name="Note 5 10 5 2" xfId="45235"/>
    <cellStyle name="Note 5 10 6" xfId="30599"/>
    <cellStyle name="Note 5 11" xfId="1943"/>
    <cellStyle name="Note 5 11 2" xfId="4830"/>
    <cellStyle name="Note 5 11 2 2" xfId="10871"/>
    <cellStyle name="Note 5 11 2 2 2" xfId="27918"/>
    <cellStyle name="Note 5 11 2 2 2 2" xfId="56779"/>
    <cellStyle name="Note 5 11 2 2 3" xfId="39732"/>
    <cellStyle name="Note 5 11 2 3" xfId="21940"/>
    <cellStyle name="Note 5 11 2 3 2" xfId="50801"/>
    <cellStyle name="Note 5 11 2 4" xfId="33691"/>
    <cellStyle name="Note 5 11 3" xfId="7985"/>
    <cellStyle name="Note 5 11 3 2" xfId="25032"/>
    <cellStyle name="Note 5 11 3 2 2" xfId="53893"/>
    <cellStyle name="Note 5 11 3 3" xfId="36846"/>
    <cellStyle name="Note 5 11 4" xfId="14378"/>
    <cellStyle name="Note 5 11 4 2" xfId="19260"/>
    <cellStyle name="Note 5 11 4 2 2" xfId="48121"/>
    <cellStyle name="Note 5 11 4 3" xfId="43239"/>
    <cellStyle name="Note 5 11 5" xfId="16580"/>
    <cellStyle name="Note 5 11 5 2" xfId="45441"/>
    <cellStyle name="Note 5 11 6" xfId="30805"/>
    <cellStyle name="Note 5 12" xfId="2355"/>
    <cellStyle name="Note 5 12 2" xfId="5242"/>
    <cellStyle name="Note 5 12 2 2" xfId="11283"/>
    <cellStyle name="Note 5 12 2 2 2" xfId="28330"/>
    <cellStyle name="Note 5 12 2 2 2 2" xfId="57191"/>
    <cellStyle name="Note 5 12 2 2 3" xfId="40144"/>
    <cellStyle name="Note 5 12 2 3" xfId="22352"/>
    <cellStyle name="Note 5 12 2 3 2" xfId="51213"/>
    <cellStyle name="Note 5 12 2 4" xfId="34103"/>
    <cellStyle name="Note 5 12 3" xfId="8397"/>
    <cellStyle name="Note 5 12 3 2" xfId="25444"/>
    <cellStyle name="Note 5 12 3 2 2" xfId="54305"/>
    <cellStyle name="Note 5 12 3 3" xfId="37258"/>
    <cellStyle name="Note 5 12 4" xfId="13418"/>
    <cellStyle name="Note 5 12 4 2" xfId="19672"/>
    <cellStyle name="Note 5 12 4 2 2" xfId="48533"/>
    <cellStyle name="Note 5 12 4 3" xfId="42279"/>
    <cellStyle name="Note 5 12 5" xfId="16992"/>
    <cellStyle name="Note 5 12 5 2" xfId="45853"/>
    <cellStyle name="Note 5 12 6" xfId="31217"/>
    <cellStyle name="Note 5 13" xfId="2564"/>
    <cellStyle name="Note 5 13 2" xfId="5450"/>
    <cellStyle name="Note 5 13 2 2" xfId="11491"/>
    <cellStyle name="Note 5 13 2 2 2" xfId="28538"/>
    <cellStyle name="Note 5 13 2 2 2 2" xfId="57399"/>
    <cellStyle name="Note 5 13 2 2 3" xfId="40352"/>
    <cellStyle name="Note 5 13 2 3" xfId="22560"/>
    <cellStyle name="Note 5 13 2 3 2" xfId="51421"/>
    <cellStyle name="Note 5 13 2 4" xfId="34311"/>
    <cellStyle name="Note 5 13 3" xfId="8605"/>
    <cellStyle name="Note 5 13 3 2" xfId="25652"/>
    <cellStyle name="Note 5 13 3 2 2" xfId="54513"/>
    <cellStyle name="Note 5 13 3 3" xfId="37466"/>
    <cellStyle name="Note 5 13 4" xfId="13620"/>
    <cellStyle name="Note 5 13 4 2" xfId="19880"/>
    <cellStyle name="Note 5 13 4 2 2" xfId="48741"/>
    <cellStyle name="Note 5 13 4 3" xfId="42481"/>
    <cellStyle name="Note 5 13 5" xfId="17200"/>
    <cellStyle name="Note 5 13 5 2" xfId="46061"/>
    <cellStyle name="Note 5 13 6" xfId="31425"/>
    <cellStyle name="Note 5 14" xfId="2976"/>
    <cellStyle name="Note 5 14 2" xfId="9017"/>
    <cellStyle name="Note 5 14 2 2" xfId="26064"/>
    <cellStyle name="Note 5 14 2 2 2" xfId="54925"/>
    <cellStyle name="Note 5 14 2 3" xfId="37878"/>
    <cellStyle name="Note 5 14 3" xfId="13706"/>
    <cellStyle name="Note 5 14 3 2" xfId="20086"/>
    <cellStyle name="Note 5 14 3 2 2" xfId="48947"/>
    <cellStyle name="Note 5 14 3 3" xfId="42567"/>
    <cellStyle name="Note 5 14 4" xfId="14726"/>
    <cellStyle name="Note 5 14 4 2" xfId="43587"/>
    <cellStyle name="Note 5 14 5" xfId="31837"/>
    <cellStyle name="Note 5 15" xfId="2770"/>
    <cellStyle name="Note 5 15 2" xfId="8811"/>
    <cellStyle name="Note 5 15 2 2" xfId="25858"/>
    <cellStyle name="Note 5 15 2 2 2" xfId="54719"/>
    <cellStyle name="Note 5 15 2 3" xfId="37672"/>
    <cellStyle name="Note 5 15 3" xfId="17406"/>
    <cellStyle name="Note 5 15 3 2" xfId="46267"/>
    <cellStyle name="Note 5 15 4" xfId="31631"/>
    <cellStyle name="Note 5 16" xfId="5656"/>
    <cellStyle name="Note 5 16 2" xfId="11697"/>
    <cellStyle name="Note 5 16 2 2" xfId="28744"/>
    <cellStyle name="Note 5 16 2 2 2" xfId="57605"/>
    <cellStyle name="Note 5 16 2 3" xfId="40558"/>
    <cellStyle name="Note 5 16 3" xfId="22766"/>
    <cellStyle name="Note 5 16 3 2" xfId="51627"/>
    <cellStyle name="Note 5 16 4" xfId="34517"/>
    <cellStyle name="Note 5 17" xfId="5873"/>
    <cellStyle name="Note 5 17 2" xfId="22972"/>
    <cellStyle name="Note 5 17 2 2" xfId="51833"/>
    <cellStyle name="Note 5 17 3" xfId="34734"/>
    <cellStyle name="Note 5 18" xfId="6131"/>
    <cellStyle name="Note 5 18 2" xfId="23178"/>
    <cellStyle name="Note 5 18 2 2" xfId="52039"/>
    <cellStyle name="Note 5 18 3" xfId="34992"/>
    <cellStyle name="Note 5 19" xfId="14520"/>
    <cellStyle name="Note 5 19 2" xfId="43381"/>
    <cellStyle name="Note 5 2" xfId="295"/>
    <cellStyle name="Note 5 2 10" xfId="2458"/>
    <cellStyle name="Note 5 2 10 2" xfId="5345"/>
    <cellStyle name="Note 5 2 10 2 2" xfId="11386"/>
    <cellStyle name="Note 5 2 10 2 2 2" xfId="28433"/>
    <cellStyle name="Note 5 2 10 2 2 2 2" xfId="57294"/>
    <cellStyle name="Note 5 2 10 2 2 3" xfId="40247"/>
    <cellStyle name="Note 5 2 10 2 3" xfId="22455"/>
    <cellStyle name="Note 5 2 10 2 3 2" xfId="51316"/>
    <cellStyle name="Note 5 2 10 2 4" xfId="34206"/>
    <cellStyle name="Note 5 2 10 3" xfId="8500"/>
    <cellStyle name="Note 5 2 10 3 2" xfId="25547"/>
    <cellStyle name="Note 5 2 10 3 2 2" xfId="54408"/>
    <cellStyle name="Note 5 2 10 3 3" xfId="37361"/>
    <cellStyle name="Note 5 2 10 4" xfId="13005"/>
    <cellStyle name="Note 5 2 10 4 2" xfId="19775"/>
    <cellStyle name="Note 5 2 10 4 2 2" xfId="48636"/>
    <cellStyle name="Note 5 2 10 4 3" xfId="41866"/>
    <cellStyle name="Note 5 2 10 5" xfId="17095"/>
    <cellStyle name="Note 5 2 10 5 2" xfId="45956"/>
    <cellStyle name="Note 5 2 10 6" xfId="31320"/>
    <cellStyle name="Note 5 2 11" xfId="2667"/>
    <cellStyle name="Note 5 2 11 2" xfId="5553"/>
    <cellStyle name="Note 5 2 11 2 2" xfId="11594"/>
    <cellStyle name="Note 5 2 11 2 2 2" xfId="28641"/>
    <cellStyle name="Note 5 2 11 2 2 2 2" xfId="57502"/>
    <cellStyle name="Note 5 2 11 2 2 3" xfId="40455"/>
    <cellStyle name="Note 5 2 11 2 3" xfId="22663"/>
    <cellStyle name="Note 5 2 11 2 3 2" xfId="51524"/>
    <cellStyle name="Note 5 2 11 2 4" xfId="34414"/>
    <cellStyle name="Note 5 2 11 3" xfId="8708"/>
    <cellStyle name="Note 5 2 11 3 2" xfId="25755"/>
    <cellStyle name="Note 5 2 11 3 2 2" xfId="54616"/>
    <cellStyle name="Note 5 2 11 3 3" xfId="37569"/>
    <cellStyle name="Note 5 2 11 4" xfId="12980"/>
    <cellStyle name="Note 5 2 11 4 2" xfId="19983"/>
    <cellStyle name="Note 5 2 11 4 2 2" xfId="48844"/>
    <cellStyle name="Note 5 2 11 4 3" xfId="41841"/>
    <cellStyle name="Note 5 2 11 5" xfId="17303"/>
    <cellStyle name="Note 5 2 11 5 2" xfId="46164"/>
    <cellStyle name="Note 5 2 11 6" xfId="31528"/>
    <cellStyle name="Note 5 2 12" xfId="3182"/>
    <cellStyle name="Note 5 2 12 2" xfId="9223"/>
    <cellStyle name="Note 5 2 12 2 2" xfId="26270"/>
    <cellStyle name="Note 5 2 12 2 2 2" xfId="55131"/>
    <cellStyle name="Note 5 2 12 2 3" xfId="38084"/>
    <cellStyle name="Note 5 2 12 3" xfId="12287"/>
    <cellStyle name="Note 5 2 12 3 2" xfId="20292"/>
    <cellStyle name="Note 5 2 12 3 2 2" xfId="49153"/>
    <cellStyle name="Note 5 2 12 3 3" xfId="41148"/>
    <cellStyle name="Note 5 2 12 4" xfId="14932"/>
    <cellStyle name="Note 5 2 12 4 2" xfId="43793"/>
    <cellStyle name="Note 5 2 12 5" xfId="32043"/>
    <cellStyle name="Note 5 2 13" xfId="2873"/>
    <cellStyle name="Note 5 2 13 2" xfId="8914"/>
    <cellStyle name="Note 5 2 13 2 2" xfId="25961"/>
    <cellStyle name="Note 5 2 13 2 2 2" xfId="54822"/>
    <cellStyle name="Note 5 2 13 2 3" xfId="37775"/>
    <cellStyle name="Note 5 2 13 3" xfId="17509"/>
    <cellStyle name="Note 5 2 13 3 2" xfId="46370"/>
    <cellStyle name="Note 5 2 13 4" xfId="31734"/>
    <cellStyle name="Note 5 2 14" xfId="5759"/>
    <cellStyle name="Note 5 2 14 2" xfId="11800"/>
    <cellStyle name="Note 5 2 14 2 2" xfId="28847"/>
    <cellStyle name="Note 5 2 14 2 2 2" xfId="57708"/>
    <cellStyle name="Note 5 2 14 2 3" xfId="40661"/>
    <cellStyle name="Note 5 2 14 3" xfId="22869"/>
    <cellStyle name="Note 5 2 14 3 2" xfId="51730"/>
    <cellStyle name="Note 5 2 14 4" xfId="34620"/>
    <cellStyle name="Note 5 2 15" xfId="5976"/>
    <cellStyle name="Note 5 2 15 2" xfId="23075"/>
    <cellStyle name="Note 5 2 15 2 2" xfId="51936"/>
    <cellStyle name="Note 5 2 15 3" xfId="34837"/>
    <cellStyle name="Note 5 2 16" xfId="6337"/>
    <cellStyle name="Note 5 2 16 2" xfId="23384"/>
    <cellStyle name="Note 5 2 16 2 2" xfId="52245"/>
    <cellStyle name="Note 5 2 16 3" xfId="35198"/>
    <cellStyle name="Note 5 2 17" xfId="14623"/>
    <cellStyle name="Note 5 2 17 2" xfId="43484"/>
    <cellStyle name="Note 5 2 18" xfId="29157"/>
    <cellStyle name="Note 5 2 2" xfId="501"/>
    <cellStyle name="Note 5 2 2 2" xfId="2252"/>
    <cellStyle name="Note 5 2 2 2 2" xfId="5139"/>
    <cellStyle name="Note 5 2 2 2 2 2" xfId="11180"/>
    <cellStyle name="Note 5 2 2 2 2 2 2" xfId="28227"/>
    <cellStyle name="Note 5 2 2 2 2 2 2 2" xfId="57088"/>
    <cellStyle name="Note 5 2 2 2 2 2 3" xfId="40041"/>
    <cellStyle name="Note 5 2 2 2 2 3" xfId="22249"/>
    <cellStyle name="Note 5 2 2 2 2 3 2" xfId="51110"/>
    <cellStyle name="Note 5 2 2 2 2 4" xfId="34000"/>
    <cellStyle name="Note 5 2 2 2 3" xfId="8294"/>
    <cellStyle name="Note 5 2 2 2 3 2" xfId="25341"/>
    <cellStyle name="Note 5 2 2 2 3 2 2" xfId="54202"/>
    <cellStyle name="Note 5 2 2 2 3 3" xfId="37155"/>
    <cellStyle name="Note 5 2 2 2 4" xfId="13629"/>
    <cellStyle name="Note 5 2 2 2 4 2" xfId="19569"/>
    <cellStyle name="Note 5 2 2 2 4 2 2" xfId="48430"/>
    <cellStyle name="Note 5 2 2 2 4 3" xfId="42490"/>
    <cellStyle name="Note 5 2 2 2 5" xfId="16889"/>
    <cellStyle name="Note 5 2 2 2 5 2" xfId="45750"/>
    <cellStyle name="Note 5 2 2 2 6" xfId="31114"/>
    <cellStyle name="Note 5 2 2 3" xfId="3388"/>
    <cellStyle name="Note 5 2 2 3 2" xfId="9429"/>
    <cellStyle name="Note 5 2 2 3 2 2" xfId="26476"/>
    <cellStyle name="Note 5 2 2 3 2 2 2" xfId="55337"/>
    <cellStyle name="Note 5 2 2 3 2 3" xfId="38290"/>
    <cellStyle name="Note 5 2 2 3 3" xfId="20498"/>
    <cellStyle name="Note 5 2 2 3 3 2" xfId="49359"/>
    <cellStyle name="Note 5 2 2 3 4" xfId="32249"/>
    <cellStyle name="Note 5 2 2 4" xfId="6543"/>
    <cellStyle name="Note 5 2 2 4 2" xfId="23590"/>
    <cellStyle name="Note 5 2 2 4 2 2" xfId="52451"/>
    <cellStyle name="Note 5 2 2 4 3" xfId="35404"/>
    <cellStyle name="Note 5 2 2 5" xfId="5855"/>
    <cellStyle name="Note 5 2 2 5 2" xfId="17818"/>
    <cellStyle name="Note 5 2 2 5 2 2" xfId="46679"/>
    <cellStyle name="Note 5 2 2 5 3" xfId="34716"/>
    <cellStyle name="Note 5 2 2 6" xfId="15138"/>
    <cellStyle name="Note 5 2 2 6 2" xfId="43999"/>
    <cellStyle name="Note 5 2 2 7" xfId="29363"/>
    <cellStyle name="Note 5 2 3" xfId="810"/>
    <cellStyle name="Note 5 2 3 2" xfId="3697"/>
    <cellStyle name="Note 5 2 3 2 2" xfId="9738"/>
    <cellStyle name="Note 5 2 3 2 2 2" xfId="26785"/>
    <cellStyle name="Note 5 2 3 2 2 2 2" xfId="55646"/>
    <cellStyle name="Note 5 2 3 2 2 3" xfId="38599"/>
    <cellStyle name="Note 5 2 3 2 3" xfId="20807"/>
    <cellStyle name="Note 5 2 3 2 3 2" xfId="49668"/>
    <cellStyle name="Note 5 2 3 2 4" xfId="32558"/>
    <cellStyle name="Note 5 2 3 3" xfId="6852"/>
    <cellStyle name="Note 5 2 3 3 2" xfId="23899"/>
    <cellStyle name="Note 5 2 3 3 2 2" xfId="52760"/>
    <cellStyle name="Note 5 2 3 3 3" xfId="35713"/>
    <cellStyle name="Note 5 2 3 4" xfId="12455"/>
    <cellStyle name="Note 5 2 3 4 2" xfId="18127"/>
    <cellStyle name="Note 5 2 3 4 2 2" xfId="46988"/>
    <cellStyle name="Note 5 2 3 4 3" xfId="41316"/>
    <cellStyle name="Note 5 2 3 5" xfId="15447"/>
    <cellStyle name="Note 5 2 3 5 2" xfId="44308"/>
    <cellStyle name="Note 5 2 3 6" xfId="29672"/>
    <cellStyle name="Note 5 2 4" xfId="1016"/>
    <cellStyle name="Note 5 2 4 2" xfId="3903"/>
    <cellStyle name="Note 5 2 4 2 2" xfId="9944"/>
    <cellStyle name="Note 5 2 4 2 2 2" xfId="26991"/>
    <cellStyle name="Note 5 2 4 2 2 2 2" xfId="55852"/>
    <cellStyle name="Note 5 2 4 2 2 3" xfId="38805"/>
    <cellStyle name="Note 5 2 4 2 3" xfId="21013"/>
    <cellStyle name="Note 5 2 4 2 3 2" xfId="49874"/>
    <cellStyle name="Note 5 2 4 2 4" xfId="32764"/>
    <cellStyle name="Note 5 2 4 3" xfId="7058"/>
    <cellStyle name="Note 5 2 4 3 2" xfId="24105"/>
    <cellStyle name="Note 5 2 4 3 2 2" xfId="52966"/>
    <cellStyle name="Note 5 2 4 3 3" xfId="35919"/>
    <cellStyle name="Note 5 2 4 4" xfId="12258"/>
    <cellStyle name="Note 5 2 4 4 2" xfId="18333"/>
    <cellStyle name="Note 5 2 4 4 2 2" xfId="47194"/>
    <cellStyle name="Note 5 2 4 4 3" xfId="41119"/>
    <cellStyle name="Note 5 2 4 5" xfId="15653"/>
    <cellStyle name="Note 5 2 4 5 2" xfId="44514"/>
    <cellStyle name="Note 5 2 4 6" xfId="29878"/>
    <cellStyle name="Note 5 2 5" xfId="1222"/>
    <cellStyle name="Note 5 2 5 2" xfId="4109"/>
    <cellStyle name="Note 5 2 5 2 2" xfId="10150"/>
    <cellStyle name="Note 5 2 5 2 2 2" xfId="27197"/>
    <cellStyle name="Note 5 2 5 2 2 2 2" xfId="56058"/>
    <cellStyle name="Note 5 2 5 2 2 3" xfId="39011"/>
    <cellStyle name="Note 5 2 5 2 3" xfId="21219"/>
    <cellStyle name="Note 5 2 5 2 3 2" xfId="50080"/>
    <cellStyle name="Note 5 2 5 2 4" xfId="32970"/>
    <cellStyle name="Note 5 2 5 3" xfId="7264"/>
    <cellStyle name="Note 5 2 5 3 2" xfId="24311"/>
    <cellStyle name="Note 5 2 5 3 2 2" xfId="53172"/>
    <cellStyle name="Note 5 2 5 3 3" xfId="36125"/>
    <cellStyle name="Note 5 2 5 4" xfId="13284"/>
    <cellStyle name="Note 5 2 5 4 2" xfId="18539"/>
    <cellStyle name="Note 5 2 5 4 2 2" xfId="47400"/>
    <cellStyle name="Note 5 2 5 4 3" xfId="42145"/>
    <cellStyle name="Note 5 2 5 5" xfId="15859"/>
    <cellStyle name="Note 5 2 5 5 2" xfId="44720"/>
    <cellStyle name="Note 5 2 5 6" xfId="30084"/>
    <cellStyle name="Note 5 2 6" xfId="1428"/>
    <cellStyle name="Note 5 2 6 2" xfId="4315"/>
    <cellStyle name="Note 5 2 6 2 2" xfId="10356"/>
    <cellStyle name="Note 5 2 6 2 2 2" xfId="27403"/>
    <cellStyle name="Note 5 2 6 2 2 2 2" xfId="56264"/>
    <cellStyle name="Note 5 2 6 2 2 3" xfId="39217"/>
    <cellStyle name="Note 5 2 6 2 3" xfId="21425"/>
    <cellStyle name="Note 5 2 6 2 3 2" xfId="50286"/>
    <cellStyle name="Note 5 2 6 2 4" xfId="33176"/>
    <cellStyle name="Note 5 2 6 3" xfId="7470"/>
    <cellStyle name="Note 5 2 6 3 2" xfId="24517"/>
    <cellStyle name="Note 5 2 6 3 2 2" xfId="53378"/>
    <cellStyle name="Note 5 2 6 3 3" xfId="36331"/>
    <cellStyle name="Note 5 2 6 4" xfId="14326"/>
    <cellStyle name="Note 5 2 6 4 2" xfId="18745"/>
    <cellStyle name="Note 5 2 6 4 2 2" xfId="47606"/>
    <cellStyle name="Note 5 2 6 4 3" xfId="43187"/>
    <cellStyle name="Note 5 2 6 5" xfId="16065"/>
    <cellStyle name="Note 5 2 6 5 2" xfId="44926"/>
    <cellStyle name="Note 5 2 6 6" xfId="30290"/>
    <cellStyle name="Note 5 2 7" xfId="1634"/>
    <cellStyle name="Note 5 2 7 2" xfId="4521"/>
    <cellStyle name="Note 5 2 7 2 2" xfId="10562"/>
    <cellStyle name="Note 5 2 7 2 2 2" xfId="27609"/>
    <cellStyle name="Note 5 2 7 2 2 2 2" xfId="56470"/>
    <cellStyle name="Note 5 2 7 2 2 3" xfId="39423"/>
    <cellStyle name="Note 5 2 7 2 3" xfId="21631"/>
    <cellStyle name="Note 5 2 7 2 3 2" xfId="50492"/>
    <cellStyle name="Note 5 2 7 2 4" xfId="33382"/>
    <cellStyle name="Note 5 2 7 3" xfId="7676"/>
    <cellStyle name="Note 5 2 7 3 2" xfId="24723"/>
    <cellStyle name="Note 5 2 7 3 2 2" xfId="53584"/>
    <cellStyle name="Note 5 2 7 3 3" xfId="36537"/>
    <cellStyle name="Note 5 2 7 4" xfId="6057"/>
    <cellStyle name="Note 5 2 7 4 2" xfId="18951"/>
    <cellStyle name="Note 5 2 7 4 2 2" xfId="47812"/>
    <cellStyle name="Note 5 2 7 4 3" xfId="34918"/>
    <cellStyle name="Note 5 2 7 5" xfId="16271"/>
    <cellStyle name="Note 5 2 7 5 2" xfId="45132"/>
    <cellStyle name="Note 5 2 7 6" xfId="30496"/>
    <cellStyle name="Note 5 2 8" xfId="1840"/>
    <cellStyle name="Note 5 2 8 2" xfId="4727"/>
    <cellStyle name="Note 5 2 8 2 2" xfId="10768"/>
    <cellStyle name="Note 5 2 8 2 2 2" xfId="27815"/>
    <cellStyle name="Note 5 2 8 2 2 2 2" xfId="56676"/>
    <cellStyle name="Note 5 2 8 2 2 3" xfId="39629"/>
    <cellStyle name="Note 5 2 8 2 3" xfId="21837"/>
    <cellStyle name="Note 5 2 8 2 3 2" xfId="50698"/>
    <cellStyle name="Note 5 2 8 2 4" xfId="33588"/>
    <cellStyle name="Note 5 2 8 3" xfId="7882"/>
    <cellStyle name="Note 5 2 8 3 2" xfId="24929"/>
    <cellStyle name="Note 5 2 8 3 2 2" xfId="53790"/>
    <cellStyle name="Note 5 2 8 3 3" xfId="36743"/>
    <cellStyle name="Note 5 2 8 4" xfId="14157"/>
    <cellStyle name="Note 5 2 8 4 2" xfId="19157"/>
    <cellStyle name="Note 5 2 8 4 2 2" xfId="48018"/>
    <cellStyle name="Note 5 2 8 4 3" xfId="43018"/>
    <cellStyle name="Note 5 2 8 5" xfId="16477"/>
    <cellStyle name="Note 5 2 8 5 2" xfId="45338"/>
    <cellStyle name="Note 5 2 8 6" xfId="30702"/>
    <cellStyle name="Note 5 2 9" xfId="2046"/>
    <cellStyle name="Note 5 2 9 2" xfId="4933"/>
    <cellStyle name="Note 5 2 9 2 2" xfId="10974"/>
    <cellStyle name="Note 5 2 9 2 2 2" xfId="28021"/>
    <cellStyle name="Note 5 2 9 2 2 2 2" xfId="56882"/>
    <cellStyle name="Note 5 2 9 2 2 3" xfId="39835"/>
    <cellStyle name="Note 5 2 9 2 3" xfId="22043"/>
    <cellStyle name="Note 5 2 9 2 3 2" xfId="50904"/>
    <cellStyle name="Note 5 2 9 2 4" xfId="33794"/>
    <cellStyle name="Note 5 2 9 3" xfId="8088"/>
    <cellStyle name="Note 5 2 9 3 2" xfId="25135"/>
    <cellStyle name="Note 5 2 9 3 2 2" xfId="53996"/>
    <cellStyle name="Note 5 2 9 3 3" xfId="36949"/>
    <cellStyle name="Note 5 2 9 4" xfId="12675"/>
    <cellStyle name="Note 5 2 9 4 2" xfId="19363"/>
    <cellStyle name="Note 5 2 9 4 2 2" xfId="48224"/>
    <cellStyle name="Note 5 2 9 4 3" xfId="41536"/>
    <cellStyle name="Note 5 2 9 5" xfId="16683"/>
    <cellStyle name="Note 5 2 9 5 2" xfId="45544"/>
    <cellStyle name="Note 5 2 9 6" xfId="30908"/>
    <cellStyle name="Note 5 20" xfId="28951"/>
    <cellStyle name="Note 5 3" xfId="192"/>
    <cellStyle name="Note 5 3 2" xfId="604"/>
    <cellStyle name="Note 5 3 2 2" xfId="3491"/>
    <cellStyle name="Note 5 3 2 2 2" xfId="9532"/>
    <cellStyle name="Note 5 3 2 2 2 2" xfId="26579"/>
    <cellStyle name="Note 5 3 2 2 2 2 2" xfId="55440"/>
    <cellStyle name="Note 5 3 2 2 2 3" xfId="38393"/>
    <cellStyle name="Note 5 3 2 2 3" xfId="20601"/>
    <cellStyle name="Note 5 3 2 2 3 2" xfId="49462"/>
    <cellStyle name="Note 5 3 2 2 4" xfId="32352"/>
    <cellStyle name="Note 5 3 2 3" xfId="6646"/>
    <cellStyle name="Note 5 3 2 3 2" xfId="23693"/>
    <cellStyle name="Note 5 3 2 3 2 2" xfId="52554"/>
    <cellStyle name="Note 5 3 2 3 3" xfId="35507"/>
    <cellStyle name="Note 5 3 2 4" xfId="12806"/>
    <cellStyle name="Note 5 3 2 4 2" xfId="17921"/>
    <cellStyle name="Note 5 3 2 4 2 2" xfId="46782"/>
    <cellStyle name="Note 5 3 2 4 3" xfId="41667"/>
    <cellStyle name="Note 5 3 2 5" xfId="15241"/>
    <cellStyle name="Note 5 3 2 5 2" xfId="44102"/>
    <cellStyle name="Note 5 3 2 6" xfId="29466"/>
    <cellStyle name="Note 5 3 3" xfId="2149"/>
    <cellStyle name="Note 5 3 3 2" xfId="5036"/>
    <cellStyle name="Note 5 3 3 2 2" xfId="11077"/>
    <cellStyle name="Note 5 3 3 2 2 2" xfId="28124"/>
    <cellStyle name="Note 5 3 3 2 2 2 2" xfId="56985"/>
    <cellStyle name="Note 5 3 3 2 2 3" xfId="39938"/>
    <cellStyle name="Note 5 3 3 2 3" xfId="22146"/>
    <cellStyle name="Note 5 3 3 2 3 2" xfId="51007"/>
    <cellStyle name="Note 5 3 3 2 4" xfId="33897"/>
    <cellStyle name="Note 5 3 3 3" xfId="8191"/>
    <cellStyle name="Note 5 3 3 3 2" xfId="25238"/>
    <cellStyle name="Note 5 3 3 3 2 2" xfId="54099"/>
    <cellStyle name="Note 5 3 3 3 3" xfId="37052"/>
    <cellStyle name="Note 5 3 3 4" xfId="13616"/>
    <cellStyle name="Note 5 3 3 4 2" xfId="19466"/>
    <cellStyle name="Note 5 3 3 4 2 2" xfId="48327"/>
    <cellStyle name="Note 5 3 3 4 3" xfId="42477"/>
    <cellStyle name="Note 5 3 3 5" xfId="16786"/>
    <cellStyle name="Note 5 3 3 5 2" xfId="45647"/>
    <cellStyle name="Note 5 3 3 6" xfId="31011"/>
    <cellStyle name="Note 5 3 4" xfId="3079"/>
    <cellStyle name="Note 5 3 4 2" xfId="9120"/>
    <cellStyle name="Note 5 3 4 2 2" xfId="26167"/>
    <cellStyle name="Note 5 3 4 2 2 2" xfId="55028"/>
    <cellStyle name="Note 5 3 4 2 3" xfId="37981"/>
    <cellStyle name="Note 5 3 4 3" xfId="20189"/>
    <cellStyle name="Note 5 3 4 3 2" xfId="49050"/>
    <cellStyle name="Note 5 3 4 4" xfId="31940"/>
    <cellStyle name="Note 5 3 5" xfId="6234"/>
    <cellStyle name="Note 5 3 5 2" xfId="23281"/>
    <cellStyle name="Note 5 3 5 2 2" xfId="52142"/>
    <cellStyle name="Note 5 3 5 3" xfId="35095"/>
    <cellStyle name="Note 5 3 6" xfId="14465"/>
    <cellStyle name="Note 5 3 6 2" xfId="17612"/>
    <cellStyle name="Note 5 3 6 2 2" xfId="46473"/>
    <cellStyle name="Note 5 3 6 3" xfId="43326"/>
    <cellStyle name="Note 5 3 7" xfId="14829"/>
    <cellStyle name="Note 5 3 7 2" xfId="43690"/>
    <cellStyle name="Note 5 3 8" xfId="29054"/>
    <cellStyle name="Note 5 4" xfId="398"/>
    <cellStyle name="Note 5 4 2" xfId="3285"/>
    <cellStyle name="Note 5 4 2 2" xfId="9326"/>
    <cellStyle name="Note 5 4 2 2 2" xfId="26373"/>
    <cellStyle name="Note 5 4 2 2 2 2" xfId="55234"/>
    <cellStyle name="Note 5 4 2 2 3" xfId="38187"/>
    <cellStyle name="Note 5 4 2 3" xfId="20395"/>
    <cellStyle name="Note 5 4 2 3 2" xfId="49256"/>
    <cellStyle name="Note 5 4 2 4" xfId="32146"/>
    <cellStyle name="Note 5 4 3" xfId="6440"/>
    <cellStyle name="Note 5 4 3 2" xfId="23487"/>
    <cellStyle name="Note 5 4 3 2 2" xfId="52348"/>
    <cellStyle name="Note 5 4 3 3" xfId="35301"/>
    <cellStyle name="Note 5 4 4" xfId="13099"/>
    <cellStyle name="Note 5 4 4 2" xfId="17715"/>
    <cellStyle name="Note 5 4 4 2 2" xfId="46576"/>
    <cellStyle name="Note 5 4 4 3" xfId="41960"/>
    <cellStyle name="Note 5 4 5" xfId="15035"/>
    <cellStyle name="Note 5 4 5 2" xfId="43896"/>
    <cellStyle name="Note 5 4 6" xfId="29260"/>
    <cellStyle name="Note 5 5" xfId="707"/>
    <cellStyle name="Note 5 5 2" xfId="3594"/>
    <cellStyle name="Note 5 5 2 2" xfId="9635"/>
    <cellStyle name="Note 5 5 2 2 2" xfId="26682"/>
    <cellStyle name="Note 5 5 2 2 2 2" xfId="55543"/>
    <cellStyle name="Note 5 5 2 2 3" xfId="38496"/>
    <cellStyle name="Note 5 5 2 3" xfId="20704"/>
    <cellStyle name="Note 5 5 2 3 2" xfId="49565"/>
    <cellStyle name="Note 5 5 2 4" xfId="32455"/>
    <cellStyle name="Note 5 5 3" xfId="6749"/>
    <cellStyle name="Note 5 5 3 2" xfId="23796"/>
    <cellStyle name="Note 5 5 3 2 2" xfId="52657"/>
    <cellStyle name="Note 5 5 3 3" xfId="35610"/>
    <cellStyle name="Note 5 5 4" xfId="6081"/>
    <cellStyle name="Note 5 5 4 2" xfId="18024"/>
    <cellStyle name="Note 5 5 4 2 2" xfId="46885"/>
    <cellStyle name="Note 5 5 4 3" xfId="34942"/>
    <cellStyle name="Note 5 5 5" xfId="15344"/>
    <cellStyle name="Note 5 5 5 2" xfId="44205"/>
    <cellStyle name="Note 5 5 6" xfId="29569"/>
    <cellStyle name="Note 5 6" xfId="913"/>
    <cellStyle name="Note 5 6 2" xfId="3800"/>
    <cellStyle name="Note 5 6 2 2" xfId="9841"/>
    <cellStyle name="Note 5 6 2 2 2" xfId="26888"/>
    <cellStyle name="Note 5 6 2 2 2 2" xfId="55749"/>
    <cellStyle name="Note 5 6 2 2 3" xfId="38702"/>
    <cellStyle name="Note 5 6 2 3" xfId="20910"/>
    <cellStyle name="Note 5 6 2 3 2" xfId="49771"/>
    <cellStyle name="Note 5 6 2 4" xfId="32661"/>
    <cellStyle name="Note 5 6 3" xfId="6955"/>
    <cellStyle name="Note 5 6 3 2" xfId="24002"/>
    <cellStyle name="Note 5 6 3 2 2" xfId="52863"/>
    <cellStyle name="Note 5 6 3 3" xfId="35816"/>
    <cellStyle name="Note 5 6 4" xfId="12769"/>
    <cellStyle name="Note 5 6 4 2" xfId="18230"/>
    <cellStyle name="Note 5 6 4 2 2" xfId="47091"/>
    <cellStyle name="Note 5 6 4 3" xfId="41630"/>
    <cellStyle name="Note 5 6 5" xfId="15550"/>
    <cellStyle name="Note 5 6 5 2" xfId="44411"/>
    <cellStyle name="Note 5 6 6" xfId="29775"/>
    <cellStyle name="Note 5 7" xfId="1119"/>
    <cellStyle name="Note 5 7 2" xfId="4006"/>
    <cellStyle name="Note 5 7 2 2" xfId="10047"/>
    <cellStyle name="Note 5 7 2 2 2" xfId="27094"/>
    <cellStyle name="Note 5 7 2 2 2 2" xfId="55955"/>
    <cellStyle name="Note 5 7 2 2 3" xfId="38908"/>
    <cellStyle name="Note 5 7 2 3" xfId="21116"/>
    <cellStyle name="Note 5 7 2 3 2" xfId="49977"/>
    <cellStyle name="Note 5 7 2 4" xfId="32867"/>
    <cellStyle name="Note 5 7 3" xfId="7161"/>
    <cellStyle name="Note 5 7 3 2" xfId="24208"/>
    <cellStyle name="Note 5 7 3 2 2" xfId="53069"/>
    <cellStyle name="Note 5 7 3 3" xfId="36022"/>
    <cellStyle name="Note 5 7 4" xfId="12105"/>
    <cellStyle name="Note 5 7 4 2" xfId="18436"/>
    <cellStyle name="Note 5 7 4 2 2" xfId="47297"/>
    <cellStyle name="Note 5 7 4 3" xfId="40966"/>
    <cellStyle name="Note 5 7 5" xfId="15756"/>
    <cellStyle name="Note 5 7 5 2" xfId="44617"/>
    <cellStyle name="Note 5 7 6" xfId="29981"/>
    <cellStyle name="Note 5 8" xfId="1325"/>
    <cellStyle name="Note 5 8 2" xfId="4212"/>
    <cellStyle name="Note 5 8 2 2" xfId="10253"/>
    <cellStyle name="Note 5 8 2 2 2" xfId="27300"/>
    <cellStyle name="Note 5 8 2 2 2 2" xfId="56161"/>
    <cellStyle name="Note 5 8 2 2 3" xfId="39114"/>
    <cellStyle name="Note 5 8 2 3" xfId="21322"/>
    <cellStyle name="Note 5 8 2 3 2" xfId="50183"/>
    <cellStyle name="Note 5 8 2 4" xfId="33073"/>
    <cellStyle name="Note 5 8 3" xfId="7367"/>
    <cellStyle name="Note 5 8 3 2" xfId="24414"/>
    <cellStyle name="Note 5 8 3 2 2" xfId="53275"/>
    <cellStyle name="Note 5 8 3 3" xfId="36228"/>
    <cellStyle name="Note 5 8 4" xfId="13953"/>
    <cellStyle name="Note 5 8 4 2" xfId="18642"/>
    <cellStyle name="Note 5 8 4 2 2" xfId="47503"/>
    <cellStyle name="Note 5 8 4 3" xfId="42814"/>
    <cellStyle name="Note 5 8 5" xfId="15962"/>
    <cellStyle name="Note 5 8 5 2" xfId="44823"/>
    <cellStyle name="Note 5 8 6" xfId="30187"/>
    <cellStyle name="Note 5 9" xfId="1531"/>
    <cellStyle name="Note 5 9 2" xfId="4418"/>
    <cellStyle name="Note 5 9 2 2" xfId="10459"/>
    <cellStyle name="Note 5 9 2 2 2" xfId="27506"/>
    <cellStyle name="Note 5 9 2 2 2 2" xfId="56367"/>
    <cellStyle name="Note 5 9 2 2 3" xfId="39320"/>
    <cellStyle name="Note 5 9 2 3" xfId="21528"/>
    <cellStyle name="Note 5 9 2 3 2" xfId="50389"/>
    <cellStyle name="Note 5 9 2 4" xfId="33279"/>
    <cellStyle name="Note 5 9 3" xfId="7573"/>
    <cellStyle name="Note 5 9 3 2" xfId="24620"/>
    <cellStyle name="Note 5 9 3 2 2" xfId="53481"/>
    <cellStyle name="Note 5 9 3 3" xfId="36434"/>
    <cellStyle name="Note 5 9 4" xfId="12172"/>
    <cellStyle name="Note 5 9 4 2" xfId="18848"/>
    <cellStyle name="Note 5 9 4 2 2" xfId="47709"/>
    <cellStyle name="Note 5 9 4 3" xfId="41033"/>
    <cellStyle name="Note 5 9 5" xfId="16168"/>
    <cellStyle name="Note 5 9 5 2" xfId="45029"/>
    <cellStyle name="Note 5 9 6" xfId="30393"/>
    <cellStyle name="Output" xfId="58" builtinId="21" customBuiltin="1"/>
    <cellStyle name="Percent" xfId="2534" builtinId="5"/>
    <cellStyle name="Percent 2" xfId="45"/>
    <cellStyle name="Percent 3" xfId="46"/>
    <cellStyle name="Percent 3 10" xfId="1723"/>
    <cellStyle name="Percent 3 10 2" xfId="4610"/>
    <cellStyle name="Percent 3 10 2 2" xfId="10651"/>
    <cellStyle name="Percent 3 10 2 2 2" xfId="27698"/>
    <cellStyle name="Percent 3 10 2 2 2 2" xfId="56559"/>
    <cellStyle name="Percent 3 10 2 2 3" xfId="39512"/>
    <cellStyle name="Percent 3 10 2 3" xfId="21720"/>
    <cellStyle name="Percent 3 10 2 3 2" xfId="50581"/>
    <cellStyle name="Percent 3 10 2 4" xfId="33471"/>
    <cellStyle name="Percent 3 10 3" xfId="7765"/>
    <cellStyle name="Percent 3 10 3 2" xfId="24812"/>
    <cellStyle name="Percent 3 10 3 2 2" xfId="53673"/>
    <cellStyle name="Percent 3 10 3 3" xfId="36626"/>
    <cellStyle name="Percent 3 10 4" xfId="12488"/>
    <cellStyle name="Percent 3 10 4 2" xfId="19040"/>
    <cellStyle name="Percent 3 10 4 2 2" xfId="47901"/>
    <cellStyle name="Percent 3 10 4 3" xfId="41349"/>
    <cellStyle name="Percent 3 10 5" xfId="16360"/>
    <cellStyle name="Percent 3 10 5 2" xfId="45221"/>
    <cellStyle name="Percent 3 10 6" xfId="30585"/>
    <cellStyle name="Percent 3 11" xfId="1929"/>
    <cellStyle name="Percent 3 11 2" xfId="4816"/>
    <cellStyle name="Percent 3 11 2 2" xfId="10857"/>
    <cellStyle name="Percent 3 11 2 2 2" xfId="27904"/>
    <cellStyle name="Percent 3 11 2 2 2 2" xfId="56765"/>
    <cellStyle name="Percent 3 11 2 2 3" xfId="39718"/>
    <cellStyle name="Percent 3 11 2 3" xfId="21926"/>
    <cellStyle name="Percent 3 11 2 3 2" xfId="50787"/>
    <cellStyle name="Percent 3 11 2 4" xfId="33677"/>
    <cellStyle name="Percent 3 11 3" xfId="7971"/>
    <cellStyle name="Percent 3 11 3 2" xfId="25018"/>
    <cellStyle name="Percent 3 11 3 2 2" xfId="53879"/>
    <cellStyle name="Percent 3 11 3 3" xfId="36832"/>
    <cellStyle name="Percent 3 11 4" xfId="14339"/>
    <cellStyle name="Percent 3 11 4 2" xfId="19246"/>
    <cellStyle name="Percent 3 11 4 2 2" xfId="48107"/>
    <cellStyle name="Percent 3 11 4 3" xfId="43200"/>
    <cellStyle name="Percent 3 11 5" xfId="16566"/>
    <cellStyle name="Percent 3 11 5 2" xfId="45427"/>
    <cellStyle name="Percent 3 11 6" xfId="30791"/>
    <cellStyle name="Percent 3 12" xfId="2341"/>
    <cellStyle name="Percent 3 12 2" xfId="5228"/>
    <cellStyle name="Percent 3 12 2 2" xfId="11269"/>
    <cellStyle name="Percent 3 12 2 2 2" xfId="28316"/>
    <cellStyle name="Percent 3 12 2 2 2 2" xfId="57177"/>
    <cellStyle name="Percent 3 12 2 2 3" xfId="40130"/>
    <cellStyle name="Percent 3 12 2 3" xfId="22338"/>
    <cellStyle name="Percent 3 12 2 3 2" xfId="51199"/>
    <cellStyle name="Percent 3 12 2 4" xfId="34089"/>
    <cellStyle name="Percent 3 12 3" xfId="8383"/>
    <cellStyle name="Percent 3 12 3 2" xfId="25430"/>
    <cellStyle name="Percent 3 12 3 2 2" xfId="54291"/>
    <cellStyle name="Percent 3 12 3 3" xfId="37244"/>
    <cellStyle name="Percent 3 12 4" xfId="13908"/>
    <cellStyle name="Percent 3 12 4 2" xfId="19658"/>
    <cellStyle name="Percent 3 12 4 2 2" xfId="48519"/>
    <cellStyle name="Percent 3 12 4 3" xfId="42769"/>
    <cellStyle name="Percent 3 12 5" xfId="16978"/>
    <cellStyle name="Percent 3 12 5 2" xfId="45839"/>
    <cellStyle name="Percent 3 12 6" xfId="31203"/>
    <cellStyle name="Percent 3 13" xfId="2550"/>
    <cellStyle name="Percent 3 13 2" xfId="5436"/>
    <cellStyle name="Percent 3 13 2 2" xfId="11477"/>
    <cellStyle name="Percent 3 13 2 2 2" xfId="28524"/>
    <cellStyle name="Percent 3 13 2 2 2 2" xfId="57385"/>
    <cellStyle name="Percent 3 13 2 2 3" xfId="40338"/>
    <cellStyle name="Percent 3 13 2 3" xfId="22546"/>
    <cellStyle name="Percent 3 13 2 3 2" xfId="51407"/>
    <cellStyle name="Percent 3 13 2 4" xfId="34297"/>
    <cellStyle name="Percent 3 13 3" xfId="8591"/>
    <cellStyle name="Percent 3 13 3 2" xfId="25638"/>
    <cellStyle name="Percent 3 13 3 2 2" xfId="54499"/>
    <cellStyle name="Percent 3 13 3 3" xfId="37452"/>
    <cellStyle name="Percent 3 13 4" xfId="12518"/>
    <cellStyle name="Percent 3 13 4 2" xfId="19866"/>
    <cellStyle name="Percent 3 13 4 2 2" xfId="48727"/>
    <cellStyle name="Percent 3 13 4 3" xfId="41379"/>
    <cellStyle name="Percent 3 13 5" xfId="17186"/>
    <cellStyle name="Percent 3 13 5 2" xfId="46047"/>
    <cellStyle name="Percent 3 13 6" xfId="31411"/>
    <cellStyle name="Percent 3 14" xfId="2962"/>
    <cellStyle name="Percent 3 14 2" xfId="9003"/>
    <cellStyle name="Percent 3 14 2 2" xfId="26050"/>
    <cellStyle name="Percent 3 14 2 2 2" xfId="54911"/>
    <cellStyle name="Percent 3 14 2 3" xfId="37864"/>
    <cellStyle name="Percent 3 14 3" xfId="12152"/>
    <cellStyle name="Percent 3 14 3 2" xfId="20072"/>
    <cellStyle name="Percent 3 14 3 2 2" xfId="48933"/>
    <cellStyle name="Percent 3 14 3 3" xfId="41013"/>
    <cellStyle name="Percent 3 14 4" xfId="14712"/>
    <cellStyle name="Percent 3 14 4 2" xfId="43573"/>
    <cellStyle name="Percent 3 14 5" xfId="31823"/>
    <cellStyle name="Percent 3 15" xfId="2756"/>
    <cellStyle name="Percent 3 15 2" xfId="8797"/>
    <cellStyle name="Percent 3 15 2 2" xfId="25844"/>
    <cellStyle name="Percent 3 15 2 2 2" xfId="54705"/>
    <cellStyle name="Percent 3 15 2 3" xfId="37658"/>
    <cellStyle name="Percent 3 15 3" xfId="17392"/>
    <cellStyle name="Percent 3 15 3 2" xfId="46253"/>
    <cellStyle name="Percent 3 15 4" xfId="31617"/>
    <cellStyle name="Percent 3 16" xfId="5642"/>
    <cellStyle name="Percent 3 16 2" xfId="11683"/>
    <cellStyle name="Percent 3 16 2 2" xfId="28730"/>
    <cellStyle name="Percent 3 16 2 2 2" xfId="57591"/>
    <cellStyle name="Percent 3 16 2 3" xfId="40544"/>
    <cellStyle name="Percent 3 16 3" xfId="22752"/>
    <cellStyle name="Percent 3 16 3 2" xfId="51613"/>
    <cellStyle name="Percent 3 16 4" xfId="34503"/>
    <cellStyle name="Percent 3 17" xfId="5853"/>
    <cellStyle name="Percent 3 17 2" xfId="22958"/>
    <cellStyle name="Percent 3 17 2 2" xfId="51819"/>
    <cellStyle name="Percent 3 17 3" xfId="34714"/>
    <cellStyle name="Percent 3 18" xfId="6117"/>
    <cellStyle name="Percent 3 18 2" xfId="23164"/>
    <cellStyle name="Percent 3 18 2 2" xfId="52025"/>
    <cellStyle name="Percent 3 18 3" xfId="34978"/>
    <cellStyle name="Percent 3 19" xfId="14506"/>
    <cellStyle name="Percent 3 19 2" xfId="43367"/>
    <cellStyle name="Percent 3 2" xfId="281"/>
    <cellStyle name="Percent 3 2 10" xfId="2444"/>
    <cellStyle name="Percent 3 2 10 2" xfId="5331"/>
    <cellStyle name="Percent 3 2 10 2 2" xfId="11372"/>
    <cellStyle name="Percent 3 2 10 2 2 2" xfId="28419"/>
    <cellStyle name="Percent 3 2 10 2 2 2 2" xfId="57280"/>
    <cellStyle name="Percent 3 2 10 2 2 3" xfId="40233"/>
    <cellStyle name="Percent 3 2 10 2 3" xfId="22441"/>
    <cellStyle name="Percent 3 2 10 2 3 2" xfId="51302"/>
    <cellStyle name="Percent 3 2 10 2 4" xfId="34192"/>
    <cellStyle name="Percent 3 2 10 3" xfId="8486"/>
    <cellStyle name="Percent 3 2 10 3 2" xfId="25533"/>
    <cellStyle name="Percent 3 2 10 3 2 2" xfId="54394"/>
    <cellStyle name="Percent 3 2 10 3 3" xfId="37347"/>
    <cellStyle name="Percent 3 2 10 4" xfId="13320"/>
    <cellStyle name="Percent 3 2 10 4 2" xfId="19761"/>
    <cellStyle name="Percent 3 2 10 4 2 2" xfId="48622"/>
    <cellStyle name="Percent 3 2 10 4 3" xfId="42181"/>
    <cellStyle name="Percent 3 2 10 5" xfId="17081"/>
    <cellStyle name="Percent 3 2 10 5 2" xfId="45942"/>
    <cellStyle name="Percent 3 2 10 6" xfId="31306"/>
    <cellStyle name="Percent 3 2 11" xfId="2653"/>
    <cellStyle name="Percent 3 2 11 2" xfId="5539"/>
    <cellStyle name="Percent 3 2 11 2 2" xfId="11580"/>
    <cellStyle name="Percent 3 2 11 2 2 2" xfId="28627"/>
    <cellStyle name="Percent 3 2 11 2 2 2 2" xfId="57488"/>
    <cellStyle name="Percent 3 2 11 2 2 3" xfId="40441"/>
    <cellStyle name="Percent 3 2 11 2 3" xfId="22649"/>
    <cellStyle name="Percent 3 2 11 2 3 2" xfId="51510"/>
    <cellStyle name="Percent 3 2 11 2 4" xfId="34400"/>
    <cellStyle name="Percent 3 2 11 3" xfId="8694"/>
    <cellStyle name="Percent 3 2 11 3 2" xfId="25741"/>
    <cellStyle name="Percent 3 2 11 3 2 2" xfId="54602"/>
    <cellStyle name="Percent 3 2 11 3 3" xfId="37555"/>
    <cellStyle name="Percent 3 2 11 4" xfId="13964"/>
    <cellStyle name="Percent 3 2 11 4 2" xfId="19969"/>
    <cellStyle name="Percent 3 2 11 4 2 2" xfId="48830"/>
    <cellStyle name="Percent 3 2 11 4 3" xfId="42825"/>
    <cellStyle name="Percent 3 2 11 5" xfId="17289"/>
    <cellStyle name="Percent 3 2 11 5 2" xfId="46150"/>
    <cellStyle name="Percent 3 2 11 6" xfId="31514"/>
    <cellStyle name="Percent 3 2 12" xfId="3168"/>
    <cellStyle name="Percent 3 2 12 2" xfId="9209"/>
    <cellStyle name="Percent 3 2 12 2 2" xfId="26256"/>
    <cellStyle name="Percent 3 2 12 2 2 2" xfId="55117"/>
    <cellStyle name="Percent 3 2 12 2 3" xfId="38070"/>
    <cellStyle name="Percent 3 2 12 3" xfId="13338"/>
    <cellStyle name="Percent 3 2 12 3 2" xfId="20278"/>
    <cellStyle name="Percent 3 2 12 3 2 2" xfId="49139"/>
    <cellStyle name="Percent 3 2 12 3 3" xfId="42199"/>
    <cellStyle name="Percent 3 2 12 4" xfId="14918"/>
    <cellStyle name="Percent 3 2 12 4 2" xfId="43779"/>
    <cellStyle name="Percent 3 2 12 5" xfId="32029"/>
    <cellStyle name="Percent 3 2 13" xfId="2859"/>
    <cellStyle name="Percent 3 2 13 2" xfId="8900"/>
    <cellStyle name="Percent 3 2 13 2 2" xfId="25947"/>
    <cellStyle name="Percent 3 2 13 2 2 2" xfId="54808"/>
    <cellStyle name="Percent 3 2 13 2 3" xfId="37761"/>
    <cellStyle name="Percent 3 2 13 3" xfId="17495"/>
    <cellStyle name="Percent 3 2 13 3 2" xfId="46356"/>
    <cellStyle name="Percent 3 2 13 4" xfId="31720"/>
    <cellStyle name="Percent 3 2 14" xfId="5745"/>
    <cellStyle name="Percent 3 2 14 2" xfId="11786"/>
    <cellStyle name="Percent 3 2 14 2 2" xfId="28833"/>
    <cellStyle name="Percent 3 2 14 2 2 2" xfId="57694"/>
    <cellStyle name="Percent 3 2 14 2 3" xfId="40647"/>
    <cellStyle name="Percent 3 2 14 3" xfId="22855"/>
    <cellStyle name="Percent 3 2 14 3 2" xfId="51716"/>
    <cellStyle name="Percent 3 2 14 4" xfId="34606"/>
    <cellStyle name="Percent 3 2 15" xfId="5962"/>
    <cellStyle name="Percent 3 2 15 2" xfId="23061"/>
    <cellStyle name="Percent 3 2 15 2 2" xfId="51922"/>
    <cellStyle name="Percent 3 2 15 3" xfId="34823"/>
    <cellStyle name="Percent 3 2 16" xfId="6323"/>
    <cellStyle name="Percent 3 2 16 2" xfId="23370"/>
    <cellStyle name="Percent 3 2 16 2 2" xfId="52231"/>
    <cellStyle name="Percent 3 2 16 3" xfId="35184"/>
    <cellStyle name="Percent 3 2 17" xfId="14609"/>
    <cellStyle name="Percent 3 2 17 2" xfId="43470"/>
    <cellStyle name="Percent 3 2 18" xfId="29143"/>
    <cellStyle name="Percent 3 2 2" xfId="487"/>
    <cellStyle name="Percent 3 2 2 2" xfId="2238"/>
    <cellStyle name="Percent 3 2 2 2 2" xfId="5125"/>
    <cellStyle name="Percent 3 2 2 2 2 2" xfId="11166"/>
    <cellStyle name="Percent 3 2 2 2 2 2 2" xfId="28213"/>
    <cellStyle name="Percent 3 2 2 2 2 2 2 2" xfId="57074"/>
    <cellStyle name="Percent 3 2 2 2 2 2 3" xfId="40027"/>
    <cellStyle name="Percent 3 2 2 2 2 3" xfId="22235"/>
    <cellStyle name="Percent 3 2 2 2 2 3 2" xfId="51096"/>
    <cellStyle name="Percent 3 2 2 2 2 4" xfId="33986"/>
    <cellStyle name="Percent 3 2 2 2 3" xfId="8280"/>
    <cellStyle name="Percent 3 2 2 2 3 2" xfId="25327"/>
    <cellStyle name="Percent 3 2 2 2 3 2 2" xfId="54188"/>
    <cellStyle name="Percent 3 2 2 2 3 3" xfId="37141"/>
    <cellStyle name="Percent 3 2 2 2 4" xfId="13434"/>
    <cellStyle name="Percent 3 2 2 2 4 2" xfId="19555"/>
    <cellStyle name="Percent 3 2 2 2 4 2 2" xfId="48416"/>
    <cellStyle name="Percent 3 2 2 2 4 3" xfId="42295"/>
    <cellStyle name="Percent 3 2 2 2 5" xfId="16875"/>
    <cellStyle name="Percent 3 2 2 2 5 2" xfId="45736"/>
    <cellStyle name="Percent 3 2 2 2 6" xfId="31100"/>
    <cellStyle name="Percent 3 2 2 3" xfId="3374"/>
    <cellStyle name="Percent 3 2 2 3 2" xfId="9415"/>
    <cellStyle name="Percent 3 2 2 3 2 2" xfId="26462"/>
    <cellStyle name="Percent 3 2 2 3 2 2 2" xfId="55323"/>
    <cellStyle name="Percent 3 2 2 3 2 3" xfId="38276"/>
    <cellStyle name="Percent 3 2 2 3 3" xfId="20484"/>
    <cellStyle name="Percent 3 2 2 3 3 2" xfId="49345"/>
    <cellStyle name="Percent 3 2 2 3 4" xfId="32235"/>
    <cellStyle name="Percent 3 2 2 4" xfId="6529"/>
    <cellStyle name="Percent 3 2 2 4 2" xfId="23576"/>
    <cellStyle name="Percent 3 2 2 4 2 2" xfId="52437"/>
    <cellStyle name="Percent 3 2 2 4 3" xfId="35390"/>
    <cellStyle name="Percent 3 2 2 5" xfId="14408"/>
    <cellStyle name="Percent 3 2 2 5 2" xfId="17804"/>
    <cellStyle name="Percent 3 2 2 5 2 2" xfId="46665"/>
    <cellStyle name="Percent 3 2 2 5 3" xfId="43269"/>
    <cellStyle name="Percent 3 2 2 6" xfId="15124"/>
    <cellStyle name="Percent 3 2 2 6 2" xfId="43985"/>
    <cellStyle name="Percent 3 2 2 7" xfId="29349"/>
    <cellStyle name="Percent 3 2 3" xfId="796"/>
    <cellStyle name="Percent 3 2 3 2" xfId="3683"/>
    <cellStyle name="Percent 3 2 3 2 2" xfId="9724"/>
    <cellStyle name="Percent 3 2 3 2 2 2" xfId="26771"/>
    <cellStyle name="Percent 3 2 3 2 2 2 2" xfId="55632"/>
    <cellStyle name="Percent 3 2 3 2 2 3" xfId="38585"/>
    <cellStyle name="Percent 3 2 3 2 3" xfId="20793"/>
    <cellStyle name="Percent 3 2 3 2 3 2" xfId="49654"/>
    <cellStyle name="Percent 3 2 3 2 4" xfId="32544"/>
    <cellStyle name="Percent 3 2 3 3" xfId="6838"/>
    <cellStyle name="Percent 3 2 3 3 2" xfId="23885"/>
    <cellStyle name="Percent 3 2 3 3 2 2" xfId="52746"/>
    <cellStyle name="Percent 3 2 3 3 3" xfId="35699"/>
    <cellStyle name="Percent 3 2 3 4" xfId="13045"/>
    <cellStyle name="Percent 3 2 3 4 2" xfId="18113"/>
    <cellStyle name="Percent 3 2 3 4 2 2" xfId="46974"/>
    <cellStyle name="Percent 3 2 3 4 3" xfId="41906"/>
    <cellStyle name="Percent 3 2 3 5" xfId="15433"/>
    <cellStyle name="Percent 3 2 3 5 2" xfId="44294"/>
    <cellStyle name="Percent 3 2 3 6" xfId="29658"/>
    <cellStyle name="Percent 3 2 4" xfId="1002"/>
    <cellStyle name="Percent 3 2 4 2" xfId="3889"/>
    <cellStyle name="Percent 3 2 4 2 2" xfId="9930"/>
    <cellStyle name="Percent 3 2 4 2 2 2" xfId="26977"/>
    <cellStyle name="Percent 3 2 4 2 2 2 2" xfId="55838"/>
    <cellStyle name="Percent 3 2 4 2 2 3" xfId="38791"/>
    <cellStyle name="Percent 3 2 4 2 3" xfId="20999"/>
    <cellStyle name="Percent 3 2 4 2 3 2" xfId="49860"/>
    <cellStyle name="Percent 3 2 4 2 4" xfId="32750"/>
    <cellStyle name="Percent 3 2 4 3" xfId="7044"/>
    <cellStyle name="Percent 3 2 4 3 2" xfId="24091"/>
    <cellStyle name="Percent 3 2 4 3 2 2" xfId="52952"/>
    <cellStyle name="Percent 3 2 4 3 3" xfId="35905"/>
    <cellStyle name="Percent 3 2 4 4" xfId="13749"/>
    <cellStyle name="Percent 3 2 4 4 2" xfId="18319"/>
    <cellStyle name="Percent 3 2 4 4 2 2" xfId="47180"/>
    <cellStyle name="Percent 3 2 4 4 3" xfId="42610"/>
    <cellStyle name="Percent 3 2 4 5" xfId="15639"/>
    <cellStyle name="Percent 3 2 4 5 2" xfId="44500"/>
    <cellStyle name="Percent 3 2 4 6" xfId="29864"/>
    <cellStyle name="Percent 3 2 5" xfId="1208"/>
    <cellStyle name="Percent 3 2 5 2" xfId="4095"/>
    <cellStyle name="Percent 3 2 5 2 2" xfId="10136"/>
    <cellStyle name="Percent 3 2 5 2 2 2" xfId="27183"/>
    <cellStyle name="Percent 3 2 5 2 2 2 2" xfId="56044"/>
    <cellStyle name="Percent 3 2 5 2 2 3" xfId="38997"/>
    <cellStyle name="Percent 3 2 5 2 3" xfId="21205"/>
    <cellStyle name="Percent 3 2 5 2 3 2" xfId="50066"/>
    <cellStyle name="Percent 3 2 5 2 4" xfId="32956"/>
    <cellStyle name="Percent 3 2 5 3" xfId="7250"/>
    <cellStyle name="Percent 3 2 5 3 2" xfId="24297"/>
    <cellStyle name="Percent 3 2 5 3 2 2" xfId="53158"/>
    <cellStyle name="Percent 3 2 5 3 3" xfId="36111"/>
    <cellStyle name="Percent 3 2 5 4" xfId="14206"/>
    <cellStyle name="Percent 3 2 5 4 2" xfId="18525"/>
    <cellStyle name="Percent 3 2 5 4 2 2" xfId="47386"/>
    <cellStyle name="Percent 3 2 5 4 3" xfId="43067"/>
    <cellStyle name="Percent 3 2 5 5" xfId="15845"/>
    <cellStyle name="Percent 3 2 5 5 2" xfId="44706"/>
    <cellStyle name="Percent 3 2 5 6" xfId="30070"/>
    <cellStyle name="Percent 3 2 6" xfId="1414"/>
    <cellStyle name="Percent 3 2 6 2" xfId="4301"/>
    <cellStyle name="Percent 3 2 6 2 2" xfId="10342"/>
    <cellStyle name="Percent 3 2 6 2 2 2" xfId="27389"/>
    <cellStyle name="Percent 3 2 6 2 2 2 2" xfId="56250"/>
    <cellStyle name="Percent 3 2 6 2 2 3" xfId="39203"/>
    <cellStyle name="Percent 3 2 6 2 3" xfId="21411"/>
    <cellStyle name="Percent 3 2 6 2 3 2" xfId="50272"/>
    <cellStyle name="Percent 3 2 6 2 4" xfId="33162"/>
    <cellStyle name="Percent 3 2 6 3" xfId="7456"/>
    <cellStyle name="Percent 3 2 6 3 2" xfId="24503"/>
    <cellStyle name="Percent 3 2 6 3 2 2" xfId="53364"/>
    <cellStyle name="Percent 3 2 6 3 3" xfId="36317"/>
    <cellStyle name="Percent 3 2 6 4" xfId="12087"/>
    <cellStyle name="Percent 3 2 6 4 2" xfId="18731"/>
    <cellStyle name="Percent 3 2 6 4 2 2" xfId="47592"/>
    <cellStyle name="Percent 3 2 6 4 3" xfId="40948"/>
    <cellStyle name="Percent 3 2 6 5" xfId="16051"/>
    <cellStyle name="Percent 3 2 6 5 2" xfId="44912"/>
    <cellStyle name="Percent 3 2 6 6" xfId="30276"/>
    <cellStyle name="Percent 3 2 7" xfId="1620"/>
    <cellStyle name="Percent 3 2 7 2" xfId="4507"/>
    <cellStyle name="Percent 3 2 7 2 2" xfId="10548"/>
    <cellStyle name="Percent 3 2 7 2 2 2" xfId="27595"/>
    <cellStyle name="Percent 3 2 7 2 2 2 2" xfId="56456"/>
    <cellStyle name="Percent 3 2 7 2 2 3" xfId="39409"/>
    <cellStyle name="Percent 3 2 7 2 3" xfId="21617"/>
    <cellStyle name="Percent 3 2 7 2 3 2" xfId="50478"/>
    <cellStyle name="Percent 3 2 7 2 4" xfId="33368"/>
    <cellStyle name="Percent 3 2 7 3" xfId="7662"/>
    <cellStyle name="Percent 3 2 7 3 2" xfId="24709"/>
    <cellStyle name="Percent 3 2 7 3 2 2" xfId="53570"/>
    <cellStyle name="Percent 3 2 7 3 3" xfId="36523"/>
    <cellStyle name="Percent 3 2 7 4" xfId="12868"/>
    <cellStyle name="Percent 3 2 7 4 2" xfId="18937"/>
    <cellStyle name="Percent 3 2 7 4 2 2" xfId="47798"/>
    <cellStyle name="Percent 3 2 7 4 3" xfId="41729"/>
    <cellStyle name="Percent 3 2 7 5" xfId="16257"/>
    <cellStyle name="Percent 3 2 7 5 2" xfId="45118"/>
    <cellStyle name="Percent 3 2 7 6" xfId="30482"/>
    <cellStyle name="Percent 3 2 8" xfId="1826"/>
    <cellStyle name="Percent 3 2 8 2" xfId="4713"/>
    <cellStyle name="Percent 3 2 8 2 2" xfId="10754"/>
    <cellStyle name="Percent 3 2 8 2 2 2" xfId="27801"/>
    <cellStyle name="Percent 3 2 8 2 2 2 2" xfId="56662"/>
    <cellStyle name="Percent 3 2 8 2 2 3" xfId="39615"/>
    <cellStyle name="Percent 3 2 8 2 3" xfId="21823"/>
    <cellStyle name="Percent 3 2 8 2 3 2" xfId="50684"/>
    <cellStyle name="Percent 3 2 8 2 4" xfId="33574"/>
    <cellStyle name="Percent 3 2 8 3" xfId="7868"/>
    <cellStyle name="Percent 3 2 8 3 2" xfId="24915"/>
    <cellStyle name="Percent 3 2 8 3 2 2" xfId="53776"/>
    <cellStyle name="Percent 3 2 8 3 3" xfId="36729"/>
    <cellStyle name="Percent 3 2 8 4" xfId="13056"/>
    <cellStyle name="Percent 3 2 8 4 2" xfId="19143"/>
    <cellStyle name="Percent 3 2 8 4 2 2" xfId="48004"/>
    <cellStyle name="Percent 3 2 8 4 3" xfId="41917"/>
    <cellStyle name="Percent 3 2 8 5" xfId="16463"/>
    <cellStyle name="Percent 3 2 8 5 2" xfId="45324"/>
    <cellStyle name="Percent 3 2 8 6" xfId="30688"/>
    <cellStyle name="Percent 3 2 9" xfId="2032"/>
    <cellStyle name="Percent 3 2 9 2" xfId="4919"/>
    <cellStyle name="Percent 3 2 9 2 2" xfId="10960"/>
    <cellStyle name="Percent 3 2 9 2 2 2" xfId="28007"/>
    <cellStyle name="Percent 3 2 9 2 2 2 2" xfId="56868"/>
    <cellStyle name="Percent 3 2 9 2 2 3" xfId="39821"/>
    <cellStyle name="Percent 3 2 9 2 3" xfId="22029"/>
    <cellStyle name="Percent 3 2 9 2 3 2" xfId="50890"/>
    <cellStyle name="Percent 3 2 9 2 4" xfId="33780"/>
    <cellStyle name="Percent 3 2 9 3" xfId="8074"/>
    <cellStyle name="Percent 3 2 9 3 2" xfId="25121"/>
    <cellStyle name="Percent 3 2 9 3 2 2" xfId="53982"/>
    <cellStyle name="Percent 3 2 9 3 3" xfId="36935"/>
    <cellStyle name="Percent 3 2 9 4" xfId="12251"/>
    <cellStyle name="Percent 3 2 9 4 2" xfId="19349"/>
    <cellStyle name="Percent 3 2 9 4 2 2" xfId="48210"/>
    <cellStyle name="Percent 3 2 9 4 3" xfId="41112"/>
    <cellStyle name="Percent 3 2 9 5" xfId="16669"/>
    <cellStyle name="Percent 3 2 9 5 2" xfId="45530"/>
    <cellStyle name="Percent 3 2 9 6" xfId="30894"/>
    <cellStyle name="Percent 3 20" xfId="28937"/>
    <cellStyle name="Percent 3 3" xfId="178"/>
    <cellStyle name="Percent 3 3 2" xfId="590"/>
    <cellStyle name="Percent 3 3 2 2" xfId="3477"/>
    <cellStyle name="Percent 3 3 2 2 2" xfId="9518"/>
    <cellStyle name="Percent 3 3 2 2 2 2" xfId="26565"/>
    <cellStyle name="Percent 3 3 2 2 2 2 2" xfId="55426"/>
    <cellStyle name="Percent 3 3 2 2 2 3" xfId="38379"/>
    <cellStyle name="Percent 3 3 2 2 3" xfId="20587"/>
    <cellStyle name="Percent 3 3 2 2 3 2" xfId="49448"/>
    <cellStyle name="Percent 3 3 2 2 4" xfId="32338"/>
    <cellStyle name="Percent 3 3 2 3" xfId="6632"/>
    <cellStyle name="Percent 3 3 2 3 2" xfId="23679"/>
    <cellStyle name="Percent 3 3 2 3 2 2" xfId="52540"/>
    <cellStyle name="Percent 3 3 2 3 3" xfId="35493"/>
    <cellStyle name="Percent 3 3 2 4" xfId="12180"/>
    <cellStyle name="Percent 3 3 2 4 2" xfId="17907"/>
    <cellStyle name="Percent 3 3 2 4 2 2" xfId="46768"/>
    <cellStyle name="Percent 3 3 2 4 3" xfId="41041"/>
    <cellStyle name="Percent 3 3 2 5" xfId="15227"/>
    <cellStyle name="Percent 3 3 2 5 2" xfId="44088"/>
    <cellStyle name="Percent 3 3 2 6" xfId="29452"/>
    <cellStyle name="Percent 3 3 3" xfId="2135"/>
    <cellStyle name="Percent 3 3 3 2" xfId="5022"/>
    <cellStyle name="Percent 3 3 3 2 2" xfId="11063"/>
    <cellStyle name="Percent 3 3 3 2 2 2" xfId="28110"/>
    <cellStyle name="Percent 3 3 3 2 2 2 2" xfId="56971"/>
    <cellStyle name="Percent 3 3 3 2 2 3" xfId="39924"/>
    <cellStyle name="Percent 3 3 3 2 3" xfId="22132"/>
    <cellStyle name="Percent 3 3 3 2 3 2" xfId="50993"/>
    <cellStyle name="Percent 3 3 3 2 4" xfId="33883"/>
    <cellStyle name="Percent 3 3 3 3" xfId="8177"/>
    <cellStyle name="Percent 3 3 3 3 2" xfId="25224"/>
    <cellStyle name="Percent 3 3 3 3 2 2" xfId="54085"/>
    <cellStyle name="Percent 3 3 3 3 3" xfId="37038"/>
    <cellStyle name="Percent 3 3 3 4" xfId="13867"/>
    <cellStyle name="Percent 3 3 3 4 2" xfId="19452"/>
    <cellStyle name="Percent 3 3 3 4 2 2" xfId="48313"/>
    <cellStyle name="Percent 3 3 3 4 3" xfId="42728"/>
    <cellStyle name="Percent 3 3 3 5" xfId="16772"/>
    <cellStyle name="Percent 3 3 3 5 2" xfId="45633"/>
    <cellStyle name="Percent 3 3 3 6" xfId="30997"/>
    <cellStyle name="Percent 3 3 4" xfId="3065"/>
    <cellStyle name="Percent 3 3 4 2" xfId="9106"/>
    <cellStyle name="Percent 3 3 4 2 2" xfId="26153"/>
    <cellStyle name="Percent 3 3 4 2 2 2" xfId="55014"/>
    <cellStyle name="Percent 3 3 4 2 3" xfId="37967"/>
    <cellStyle name="Percent 3 3 4 3" xfId="20175"/>
    <cellStyle name="Percent 3 3 4 3 2" xfId="49036"/>
    <cellStyle name="Percent 3 3 4 4" xfId="31926"/>
    <cellStyle name="Percent 3 3 5" xfId="6220"/>
    <cellStyle name="Percent 3 3 5 2" xfId="23267"/>
    <cellStyle name="Percent 3 3 5 2 2" xfId="52128"/>
    <cellStyle name="Percent 3 3 5 3" xfId="35081"/>
    <cellStyle name="Percent 3 3 6" xfId="11946"/>
    <cellStyle name="Percent 3 3 6 2" xfId="17598"/>
    <cellStyle name="Percent 3 3 6 2 2" xfId="46459"/>
    <cellStyle name="Percent 3 3 6 3" xfId="40807"/>
    <cellStyle name="Percent 3 3 7" xfId="14815"/>
    <cellStyle name="Percent 3 3 7 2" xfId="43676"/>
    <cellStyle name="Percent 3 3 8" xfId="29040"/>
    <cellStyle name="Percent 3 4" xfId="384"/>
    <cellStyle name="Percent 3 4 2" xfId="3271"/>
    <cellStyle name="Percent 3 4 2 2" xfId="9312"/>
    <cellStyle name="Percent 3 4 2 2 2" xfId="26359"/>
    <cellStyle name="Percent 3 4 2 2 2 2" xfId="55220"/>
    <cellStyle name="Percent 3 4 2 2 3" xfId="38173"/>
    <cellStyle name="Percent 3 4 2 3" xfId="20381"/>
    <cellStyle name="Percent 3 4 2 3 2" xfId="49242"/>
    <cellStyle name="Percent 3 4 2 4" xfId="32132"/>
    <cellStyle name="Percent 3 4 3" xfId="6426"/>
    <cellStyle name="Percent 3 4 3 2" xfId="23473"/>
    <cellStyle name="Percent 3 4 3 2 2" xfId="52334"/>
    <cellStyle name="Percent 3 4 3 3" xfId="35287"/>
    <cellStyle name="Percent 3 4 4" xfId="13086"/>
    <cellStyle name="Percent 3 4 4 2" xfId="17701"/>
    <cellStyle name="Percent 3 4 4 2 2" xfId="46562"/>
    <cellStyle name="Percent 3 4 4 3" xfId="41947"/>
    <cellStyle name="Percent 3 4 5" xfId="15021"/>
    <cellStyle name="Percent 3 4 5 2" xfId="43882"/>
    <cellStyle name="Percent 3 4 6" xfId="29246"/>
    <cellStyle name="Percent 3 5" xfId="693"/>
    <cellStyle name="Percent 3 5 2" xfId="3580"/>
    <cellStyle name="Percent 3 5 2 2" xfId="9621"/>
    <cellStyle name="Percent 3 5 2 2 2" xfId="26668"/>
    <cellStyle name="Percent 3 5 2 2 2 2" xfId="55529"/>
    <cellStyle name="Percent 3 5 2 2 3" xfId="38482"/>
    <cellStyle name="Percent 3 5 2 3" xfId="20690"/>
    <cellStyle name="Percent 3 5 2 3 2" xfId="49551"/>
    <cellStyle name="Percent 3 5 2 4" xfId="32441"/>
    <cellStyle name="Percent 3 5 3" xfId="6735"/>
    <cellStyle name="Percent 3 5 3 2" xfId="23782"/>
    <cellStyle name="Percent 3 5 3 2 2" xfId="52643"/>
    <cellStyle name="Percent 3 5 3 3" xfId="35596"/>
    <cellStyle name="Percent 3 5 4" xfId="13928"/>
    <cellStyle name="Percent 3 5 4 2" xfId="18010"/>
    <cellStyle name="Percent 3 5 4 2 2" xfId="46871"/>
    <cellStyle name="Percent 3 5 4 3" xfId="42789"/>
    <cellStyle name="Percent 3 5 5" xfId="15330"/>
    <cellStyle name="Percent 3 5 5 2" xfId="44191"/>
    <cellStyle name="Percent 3 5 6" xfId="29555"/>
    <cellStyle name="Percent 3 6" xfId="899"/>
    <cellStyle name="Percent 3 6 2" xfId="3786"/>
    <cellStyle name="Percent 3 6 2 2" xfId="9827"/>
    <cellStyle name="Percent 3 6 2 2 2" xfId="26874"/>
    <cellStyle name="Percent 3 6 2 2 2 2" xfId="55735"/>
    <cellStyle name="Percent 3 6 2 2 3" xfId="38688"/>
    <cellStyle name="Percent 3 6 2 3" xfId="20896"/>
    <cellStyle name="Percent 3 6 2 3 2" xfId="49757"/>
    <cellStyle name="Percent 3 6 2 4" xfId="32647"/>
    <cellStyle name="Percent 3 6 3" xfId="6941"/>
    <cellStyle name="Percent 3 6 3 2" xfId="23988"/>
    <cellStyle name="Percent 3 6 3 2 2" xfId="52849"/>
    <cellStyle name="Percent 3 6 3 3" xfId="35802"/>
    <cellStyle name="Percent 3 6 4" xfId="13737"/>
    <cellStyle name="Percent 3 6 4 2" xfId="18216"/>
    <cellStyle name="Percent 3 6 4 2 2" xfId="47077"/>
    <cellStyle name="Percent 3 6 4 3" xfId="42598"/>
    <cellStyle name="Percent 3 6 5" xfId="15536"/>
    <cellStyle name="Percent 3 6 5 2" xfId="44397"/>
    <cellStyle name="Percent 3 6 6" xfId="29761"/>
    <cellStyle name="Percent 3 7" xfId="1105"/>
    <cellStyle name="Percent 3 7 2" xfId="3992"/>
    <cellStyle name="Percent 3 7 2 2" xfId="10033"/>
    <cellStyle name="Percent 3 7 2 2 2" xfId="27080"/>
    <cellStyle name="Percent 3 7 2 2 2 2" xfId="55941"/>
    <cellStyle name="Percent 3 7 2 2 3" xfId="38894"/>
    <cellStyle name="Percent 3 7 2 3" xfId="21102"/>
    <cellStyle name="Percent 3 7 2 3 2" xfId="49963"/>
    <cellStyle name="Percent 3 7 2 4" xfId="32853"/>
    <cellStyle name="Percent 3 7 3" xfId="7147"/>
    <cellStyle name="Percent 3 7 3 2" xfId="24194"/>
    <cellStyle name="Percent 3 7 3 2 2" xfId="53055"/>
    <cellStyle name="Percent 3 7 3 3" xfId="36008"/>
    <cellStyle name="Percent 3 7 4" xfId="13725"/>
    <cellStyle name="Percent 3 7 4 2" xfId="18422"/>
    <cellStyle name="Percent 3 7 4 2 2" xfId="47283"/>
    <cellStyle name="Percent 3 7 4 3" xfId="42586"/>
    <cellStyle name="Percent 3 7 5" xfId="15742"/>
    <cellStyle name="Percent 3 7 5 2" xfId="44603"/>
    <cellStyle name="Percent 3 7 6" xfId="29967"/>
    <cellStyle name="Percent 3 8" xfId="1311"/>
    <cellStyle name="Percent 3 8 2" xfId="4198"/>
    <cellStyle name="Percent 3 8 2 2" xfId="10239"/>
    <cellStyle name="Percent 3 8 2 2 2" xfId="27286"/>
    <cellStyle name="Percent 3 8 2 2 2 2" xfId="56147"/>
    <cellStyle name="Percent 3 8 2 2 3" xfId="39100"/>
    <cellStyle name="Percent 3 8 2 3" xfId="21308"/>
    <cellStyle name="Percent 3 8 2 3 2" xfId="50169"/>
    <cellStyle name="Percent 3 8 2 4" xfId="33059"/>
    <cellStyle name="Percent 3 8 3" xfId="7353"/>
    <cellStyle name="Percent 3 8 3 2" xfId="24400"/>
    <cellStyle name="Percent 3 8 3 2 2" xfId="53261"/>
    <cellStyle name="Percent 3 8 3 3" xfId="36214"/>
    <cellStyle name="Percent 3 8 4" xfId="12795"/>
    <cellStyle name="Percent 3 8 4 2" xfId="18628"/>
    <cellStyle name="Percent 3 8 4 2 2" xfId="47489"/>
    <cellStyle name="Percent 3 8 4 3" xfId="41656"/>
    <cellStyle name="Percent 3 8 5" xfId="15948"/>
    <cellStyle name="Percent 3 8 5 2" xfId="44809"/>
    <cellStyle name="Percent 3 8 6" xfId="30173"/>
    <cellStyle name="Percent 3 9" xfId="1517"/>
    <cellStyle name="Percent 3 9 2" xfId="4404"/>
    <cellStyle name="Percent 3 9 2 2" xfId="10445"/>
    <cellStyle name="Percent 3 9 2 2 2" xfId="27492"/>
    <cellStyle name="Percent 3 9 2 2 2 2" xfId="56353"/>
    <cellStyle name="Percent 3 9 2 2 3" xfId="39306"/>
    <cellStyle name="Percent 3 9 2 3" xfId="21514"/>
    <cellStyle name="Percent 3 9 2 3 2" xfId="50375"/>
    <cellStyle name="Percent 3 9 2 4" xfId="33265"/>
    <cellStyle name="Percent 3 9 3" xfId="7559"/>
    <cellStyle name="Percent 3 9 3 2" xfId="24606"/>
    <cellStyle name="Percent 3 9 3 2 2" xfId="53467"/>
    <cellStyle name="Percent 3 9 3 3" xfId="36420"/>
    <cellStyle name="Percent 3 9 4" xfId="12603"/>
    <cellStyle name="Percent 3 9 4 2" xfId="18834"/>
    <cellStyle name="Percent 3 9 4 2 2" xfId="47695"/>
    <cellStyle name="Percent 3 9 4 3" xfId="41464"/>
    <cellStyle name="Percent 3 9 5" xfId="16154"/>
    <cellStyle name="Percent 3 9 5 2" xfId="45015"/>
    <cellStyle name="Percent 3 9 6" xfId="30379"/>
    <cellStyle name="Percent 4" xfId="47"/>
    <cellStyle name="Percent 4 10" xfId="1724"/>
    <cellStyle name="Percent 4 10 2" xfId="4611"/>
    <cellStyle name="Percent 4 10 2 2" xfId="10652"/>
    <cellStyle name="Percent 4 10 2 2 2" xfId="27699"/>
    <cellStyle name="Percent 4 10 2 2 2 2" xfId="56560"/>
    <cellStyle name="Percent 4 10 2 2 3" xfId="39513"/>
    <cellStyle name="Percent 4 10 2 3" xfId="21721"/>
    <cellStyle name="Percent 4 10 2 3 2" xfId="50582"/>
    <cellStyle name="Percent 4 10 2 4" xfId="33472"/>
    <cellStyle name="Percent 4 10 3" xfId="7766"/>
    <cellStyle name="Percent 4 10 3 2" xfId="24813"/>
    <cellStyle name="Percent 4 10 3 2 2" xfId="53674"/>
    <cellStyle name="Percent 4 10 3 3" xfId="36627"/>
    <cellStyle name="Percent 4 10 4" xfId="13246"/>
    <cellStyle name="Percent 4 10 4 2" xfId="19041"/>
    <cellStyle name="Percent 4 10 4 2 2" xfId="47902"/>
    <cellStyle name="Percent 4 10 4 3" xfId="42107"/>
    <cellStyle name="Percent 4 10 5" xfId="16361"/>
    <cellStyle name="Percent 4 10 5 2" xfId="45222"/>
    <cellStyle name="Percent 4 10 6" xfId="30586"/>
    <cellStyle name="Percent 4 11" xfId="1930"/>
    <cellStyle name="Percent 4 11 2" xfId="4817"/>
    <cellStyle name="Percent 4 11 2 2" xfId="10858"/>
    <cellStyle name="Percent 4 11 2 2 2" xfId="27905"/>
    <cellStyle name="Percent 4 11 2 2 2 2" xfId="56766"/>
    <cellStyle name="Percent 4 11 2 2 3" xfId="39719"/>
    <cellStyle name="Percent 4 11 2 3" xfId="21927"/>
    <cellStyle name="Percent 4 11 2 3 2" xfId="50788"/>
    <cellStyle name="Percent 4 11 2 4" xfId="33678"/>
    <cellStyle name="Percent 4 11 3" xfId="7972"/>
    <cellStyle name="Percent 4 11 3 2" xfId="25019"/>
    <cellStyle name="Percent 4 11 3 2 2" xfId="53880"/>
    <cellStyle name="Percent 4 11 3 3" xfId="36833"/>
    <cellStyle name="Percent 4 11 4" xfId="14138"/>
    <cellStyle name="Percent 4 11 4 2" xfId="19247"/>
    <cellStyle name="Percent 4 11 4 2 2" xfId="48108"/>
    <cellStyle name="Percent 4 11 4 3" xfId="42999"/>
    <cellStyle name="Percent 4 11 5" xfId="16567"/>
    <cellStyle name="Percent 4 11 5 2" xfId="45428"/>
    <cellStyle name="Percent 4 11 6" xfId="30792"/>
    <cellStyle name="Percent 4 12" xfId="2342"/>
    <cellStyle name="Percent 4 12 2" xfId="5229"/>
    <cellStyle name="Percent 4 12 2 2" xfId="11270"/>
    <cellStyle name="Percent 4 12 2 2 2" xfId="28317"/>
    <cellStyle name="Percent 4 12 2 2 2 2" xfId="57178"/>
    <cellStyle name="Percent 4 12 2 2 3" xfId="40131"/>
    <cellStyle name="Percent 4 12 2 3" xfId="22339"/>
    <cellStyle name="Percent 4 12 2 3 2" xfId="51200"/>
    <cellStyle name="Percent 4 12 2 4" xfId="34090"/>
    <cellStyle name="Percent 4 12 3" xfId="8384"/>
    <cellStyle name="Percent 4 12 3 2" xfId="25431"/>
    <cellStyle name="Percent 4 12 3 2 2" xfId="54292"/>
    <cellStyle name="Percent 4 12 3 3" xfId="37245"/>
    <cellStyle name="Percent 4 12 4" xfId="13470"/>
    <cellStyle name="Percent 4 12 4 2" xfId="19659"/>
    <cellStyle name="Percent 4 12 4 2 2" xfId="48520"/>
    <cellStyle name="Percent 4 12 4 3" xfId="42331"/>
    <cellStyle name="Percent 4 12 5" xfId="16979"/>
    <cellStyle name="Percent 4 12 5 2" xfId="45840"/>
    <cellStyle name="Percent 4 12 6" xfId="31204"/>
    <cellStyle name="Percent 4 13" xfId="2551"/>
    <cellStyle name="Percent 4 13 2" xfId="5437"/>
    <cellStyle name="Percent 4 13 2 2" xfId="11478"/>
    <cellStyle name="Percent 4 13 2 2 2" xfId="28525"/>
    <cellStyle name="Percent 4 13 2 2 2 2" xfId="57386"/>
    <cellStyle name="Percent 4 13 2 2 3" xfId="40339"/>
    <cellStyle name="Percent 4 13 2 3" xfId="22547"/>
    <cellStyle name="Percent 4 13 2 3 2" xfId="51408"/>
    <cellStyle name="Percent 4 13 2 4" xfId="34298"/>
    <cellStyle name="Percent 4 13 3" xfId="8592"/>
    <cellStyle name="Percent 4 13 3 2" xfId="25639"/>
    <cellStyle name="Percent 4 13 3 2 2" xfId="54500"/>
    <cellStyle name="Percent 4 13 3 3" xfId="37453"/>
    <cellStyle name="Percent 4 13 4" xfId="13950"/>
    <cellStyle name="Percent 4 13 4 2" xfId="19867"/>
    <cellStyle name="Percent 4 13 4 2 2" xfId="48728"/>
    <cellStyle name="Percent 4 13 4 3" xfId="42811"/>
    <cellStyle name="Percent 4 13 5" xfId="17187"/>
    <cellStyle name="Percent 4 13 5 2" xfId="46048"/>
    <cellStyle name="Percent 4 13 6" xfId="31412"/>
    <cellStyle name="Percent 4 14" xfId="2963"/>
    <cellStyle name="Percent 4 14 2" xfId="9004"/>
    <cellStyle name="Percent 4 14 2 2" xfId="26051"/>
    <cellStyle name="Percent 4 14 2 2 2" xfId="54912"/>
    <cellStyle name="Percent 4 14 2 3" xfId="37865"/>
    <cellStyle name="Percent 4 14 3" xfId="12471"/>
    <cellStyle name="Percent 4 14 3 2" xfId="20073"/>
    <cellStyle name="Percent 4 14 3 2 2" xfId="48934"/>
    <cellStyle name="Percent 4 14 3 3" xfId="41332"/>
    <cellStyle name="Percent 4 14 4" xfId="14713"/>
    <cellStyle name="Percent 4 14 4 2" xfId="43574"/>
    <cellStyle name="Percent 4 14 5" xfId="31824"/>
    <cellStyle name="Percent 4 15" xfId="2757"/>
    <cellStyle name="Percent 4 15 2" xfId="8798"/>
    <cellStyle name="Percent 4 15 2 2" xfId="25845"/>
    <cellStyle name="Percent 4 15 2 2 2" xfId="54706"/>
    <cellStyle name="Percent 4 15 2 3" xfId="37659"/>
    <cellStyle name="Percent 4 15 3" xfId="17393"/>
    <cellStyle name="Percent 4 15 3 2" xfId="46254"/>
    <cellStyle name="Percent 4 15 4" xfId="31618"/>
    <cellStyle name="Percent 4 16" xfId="5643"/>
    <cellStyle name="Percent 4 16 2" xfId="11684"/>
    <cellStyle name="Percent 4 16 2 2" xfId="28731"/>
    <cellStyle name="Percent 4 16 2 2 2" xfId="57592"/>
    <cellStyle name="Percent 4 16 2 3" xfId="40545"/>
    <cellStyle name="Percent 4 16 3" xfId="22753"/>
    <cellStyle name="Percent 4 16 3 2" xfId="51614"/>
    <cellStyle name="Percent 4 16 4" xfId="34504"/>
    <cellStyle name="Percent 4 17" xfId="5854"/>
    <cellStyle name="Percent 4 17 2" xfId="22959"/>
    <cellStyle name="Percent 4 17 2 2" xfId="51820"/>
    <cellStyle name="Percent 4 17 3" xfId="34715"/>
    <cellStyle name="Percent 4 18" xfId="6118"/>
    <cellStyle name="Percent 4 18 2" xfId="23165"/>
    <cellStyle name="Percent 4 18 2 2" xfId="52026"/>
    <cellStyle name="Percent 4 18 3" xfId="34979"/>
    <cellStyle name="Percent 4 19" xfId="14507"/>
    <cellStyle name="Percent 4 19 2" xfId="43368"/>
    <cellStyle name="Percent 4 2" xfId="282"/>
    <cellStyle name="Percent 4 2 10" xfId="2445"/>
    <cellStyle name="Percent 4 2 10 2" xfId="5332"/>
    <cellStyle name="Percent 4 2 10 2 2" xfId="11373"/>
    <cellStyle name="Percent 4 2 10 2 2 2" xfId="28420"/>
    <cellStyle name="Percent 4 2 10 2 2 2 2" xfId="57281"/>
    <cellStyle name="Percent 4 2 10 2 2 3" xfId="40234"/>
    <cellStyle name="Percent 4 2 10 2 3" xfId="22442"/>
    <cellStyle name="Percent 4 2 10 2 3 2" xfId="51303"/>
    <cellStyle name="Percent 4 2 10 2 4" xfId="34193"/>
    <cellStyle name="Percent 4 2 10 3" xfId="8487"/>
    <cellStyle name="Percent 4 2 10 3 2" xfId="25534"/>
    <cellStyle name="Percent 4 2 10 3 2 2" xfId="54395"/>
    <cellStyle name="Percent 4 2 10 3 3" xfId="37348"/>
    <cellStyle name="Percent 4 2 10 4" xfId="12946"/>
    <cellStyle name="Percent 4 2 10 4 2" xfId="19762"/>
    <cellStyle name="Percent 4 2 10 4 2 2" xfId="48623"/>
    <cellStyle name="Percent 4 2 10 4 3" xfId="41807"/>
    <cellStyle name="Percent 4 2 10 5" xfId="17082"/>
    <cellStyle name="Percent 4 2 10 5 2" xfId="45943"/>
    <cellStyle name="Percent 4 2 10 6" xfId="31307"/>
    <cellStyle name="Percent 4 2 11" xfId="2654"/>
    <cellStyle name="Percent 4 2 11 2" xfId="5540"/>
    <cellStyle name="Percent 4 2 11 2 2" xfId="11581"/>
    <cellStyle name="Percent 4 2 11 2 2 2" xfId="28628"/>
    <cellStyle name="Percent 4 2 11 2 2 2 2" xfId="57489"/>
    <cellStyle name="Percent 4 2 11 2 2 3" xfId="40442"/>
    <cellStyle name="Percent 4 2 11 2 3" xfId="22650"/>
    <cellStyle name="Percent 4 2 11 2 3 2" xfId="51511"/>
    <cellStyle name="Percent 4 2 11 2 4" xfId="34401"/>
    <cellStyle name="Percent 4 2 11 3" xfId="8695"/>
    <cellStyle name="Percent 4 2 11 3 2" xfId="25742"/>
    <cellStyle name="Percent 4 2 11 3 2 2" xfId="54603"/>
    <cellStyle name="Percent 4 2 11 3 3" xfId="37556"/>
    <cellStyle name="Percent 4 2 11 4" xfId="12757"/>
    <cellStyle name="Percent 4 2 11 4 2" xfId="19970"/>
    <cellStyle name="Percent 4 2 11 4 2 2" xfId="48831"/>
    <cellStyle name="Percent 4 2 11 4 3" xfId="41618"/>
    <cellStyle name="Percent 4 2 11 5" xfId="17290"/>
    <cellStyle name="Percent 4 2 11 5 2" xfId="46151"/>
    <cellStyle name="Percent 4 2 11 6" xfId="31515"/>
    <cellStyle name="Percent 4 2 12" xfId="3169"/>
    <cellStyle name="Percent 4 2 12 2" xfId="9210"/>
    <cellStyle name="Percent 4 2 12 2 2" xfId="26257"/>
    <cellStyle name="Percent 4 2 12 2 2 2" xfId="55118"/>
    <cellStyle name="Percent 4 2 12 2 3" xfId="38071"/>
    <cellStyle name="Percent 4 2 12 3" xfId="11910"/>
    <cellStyle name="Percent 4 2 12 3 2" xfId="20279"/>
    <cellStyle name="Percent 4 2 12 3 2 2" xfId="49140"/>
    <cellStyle name="Percent 4 2 12 3 3" xfId="40771"/>
    <cellStyle name="Percent 4 2 12 4" xfId="14919"/>
    <cellStyle name="Percent 4 2 12 4 2" xfId="43780"/>
    <cellStyle name="Percent 4 2 12 5" xfId="32030"/>
    <cellStyle name="Percent 4 2 13" xfId="2860"/>
    <cellStyle name="Percent 4 2 13 2" xfId="8901"/>
    <cellStyle name="Percent 4 2 13 2 2" xfId="25948"/>
    <cellStyle name="Percent 4 2 13 2 2 2" xfId="54809"/>
    <cellStyle name="Percent 4 2 13 2 3" xfId="37762"/>
    <cellStyle name="Percent 4 2 13 3" xfId="17496"/>
    <cellStyle name="Percent 4 2 13 3 2" xfId="46357"/>
    <cellStyle name="Percent 4 2 13 4" xfId="31721"/>
    <cellStyle name="Percent 4 2 14" xfId="5746"/>
    <cellStyle name="Percent 4 2 14 2" xfId="11787"/>
    <cellStyle name="Percent 4 2 14 2 2" xfId="28834"/>
    <cellStyle name="Percent 4 2 14 2 2 2" xfId="57695"/>
    <cellStyle name="Percent 4 2 14 2 3" xfId="40648"/>
    <cellStyle name="Percent 4 2 14 3" xfId="22856"/>
    <cellStyle name="Percent 4 2 14 3 2" xfId="51717"/>
    <cellStyle name="Percent 4 2 14 4" xfId="34607"/>
    <cellStyle name="Percent 4 2 15" xfId="5963"/>
    <cellStyle name="Percent 4 2 15 2" xfId="23062"/>
    <cellStyle name="Percent 4 2 15 2 2" xfId="51923"/>
    <cellStyle name="Percent 4 2 15 3" xfId="34824"/>
    <cellStyle name="Percent 4 2 16" xfId="6324"/>
    <cellStyle name="Percent 4 2 16 2" xfId="23371"/>
    <cellStyle name="Percent 4 2 16 2 2" xfId="52232"/>
    <cellStyle name="Percent 4 2 16 3" xfId="35185"/>
    <cellStyle name="Percent 4 2 17" xfId="14610"/>
    <cellStyle name="Percent 4 2 17 2" xfId="43471"/>
    <cellStyle name="Percent 4 2 18" xfId="29144"/>
    <cellStyle name="Percent 4 2 2" xfId="488"/>
    <cellStyle name="Percent 4 2 2 2" xfId="2239"/>
    <cellStyle name="Percent 4 2 2 2 2" xfId="5126"/>
    <cellStyle name="Percent 4 2 2 2 2 2" xfId="11167"/>
    <cellStyle name="Percent 4 2 2 2 2 2 2" xfId="28214"/>
    <cellStyle name="Percent 4 2 2 2 2 2 2 2" xfId="57075"/>
    <cellStyle name="Percent 4 2 2 2 2 2 3" xfId="40028"/>
    <cellStyle name="Percent 4 2 2 2 2 3" xfId="22236"/>
    <cellStyle name="Percent 4 2 2 2 2 3 2" xfId="51097"/>
    <cellStyle name="Percent 4 2 2 2 2 4" xfId="33987"/>
    <cellStyle name="Percent 4 2 2 2 3" xfId="8281"/>
    <cellStyle name="Percent 4 2 2 2 3 2" xfId="25328"/>
    <cellStyle name="Percent 4 2 2 2 3 2 2" xfId="54189"/>
    <cellStyle name="Percent 4 2 2 2 3 3" xfId="37142"/>
    <cellStyle name="Percent 4 2 2 2 4" xfId="12630"/>
    <cellStyle name="Percent 4 2 2 2 4 2" xfId="19556"/>
    <cellStyle name="Percent 4 2 2 2 4 2 2" xfId="48417"/>
    <cellStyle name="Percent 4 2 2 2 4 3" xfId="41491"/>
    <cellStyle name="Percent 4 2 2 2 5" xfId="16876"/>
    <cellStyle name="Percent 4 2 2 2 5 2" xfId="45737"/>
    <cellStyle name="Percent 4 2 2 2 6" xfId="31101"/>
    <cellStyle name="Percent 4 2 2 3" xfId="3375"/>
    <cellStyle name="Percent 4 2 2 3 2" xfId="9416"/>
    <cellStyle name="Percent 4 2 2 3 2 2" xfId="26463"/>
    <cellStyle name="Percent 4 2 2 3 2 2 2" xfId="55324"/>
    <cellStyle name="Percent 4 2 2 3 2 3" xfId="38277"/>
    <cellStyle name="Percent 4 2 2 3 3" xfId="20485"/>
    <cellStyle name="Percent 4 2 2 3 3 2" xfId="49346"/>
    <cellStyle name="Percent 4 2 2 3 4" xfId="32236"/>
    <cellStyle name="Percent 4 2 2 4" xfId="6530"/>
    <cellStyle name="Percent 4 2 2 4 2" xfId="23577"/>
    <cellStyle name="Percent 4 2 2 4 2 2" xfId="52438"/>
    <cellStyle name="Percent 4 2 2 4 3" xfId="35391"/>
    <cellStyle name="Percent 4 2 2 5" xfId="14466"/>
    <cellStyle name="Percent 4 2 2 5 2" xfId="17805"/>
    <cellStyle name="Percent 4 2 2 5 2 2" xfId="46666"/>
    <cellStyle name="Percent 4 2 2 5 3" xfId="43327"/>
    <cellStyle name="Percent 4 2 2 6" xfId="15125"/>
    <cellStyle name="Percent 4 2 2 6 2" xfId="43986"/>
    <cellStyle name="Percent 4 2 2 7" xfId="29350"/>
    <cellStyle name="Percent 4 2 3" xfId="797"/>
    <cellStyle name="Percent 4 2 3 2" xfId="3684"/>
    <cellStyle name="Percent 4 2 3 2 2" xfId="9725"/>
    <cellStyle name="Percent 4 2 3 2 2 2" xfId="26772"/>
    <cellStyle name="Percent 4 2 3 2 2 2 2" xfId="55633"/>
    <cellStyle name="Percent 4 2 3 2 2 3" xfId="38586"/>
    <cellStyle name="Percent 4 2 3 2 3" xfId="20794"/>
    <cellStyle name="Percent 4 2 3 2 3 2" xfId="49655"/>
    <cellStyle name="Percent 4 2 3 2 4" xfId="32545"/>
    <cellStyle name="Percent 4 2 3 3" xfId="6839"/>
    <cellStyle name="Percent 4 2 3 3 2" xfId="23886"/>
    <cellStyle name="Percent 4 2 3 3 2 2" xfId="52747"/>
    <cellStyle name="Percent 4 2 3 3 3" xfId="35700"/>
    <cellStyle name="Percent 4 2 3 4" xfId="12633"/>
    <cellStyle name="Percent 4 2 3 4 2" xfId="18114"/>
    <cellStyle name="Percent 4 2 3 4 2 2" xfId="46975"/>
    <cellStyle name="Percent 4 2 3 4 3" xfId="41494"/>
    <cellStyle name="Percent 4 2 3 5" xfId="15434"/>
    <cellStyle name="Percent 4 2 3 5 2" xfId="44295"/>
    <cellStyle name="Percent 4 2 3 6" xfId="29659"/>
    <cellStyle name="Percent 4 2 4" xfId="1003"/>
    <cellStyle name="Percent 4 2 4 2" xfId="3890"/>
    <cellStyle name="Percent 4 2 4 2 2" xfId="9931"/>
    <cellStyle name="Percent 4 2 4 2 2 2" xfId="26978"/>
    <cellStyle name="Percent 4 2 4 2 2 2 2" xfId="55839"/>
    <cellStyle name="Percent 4 2 4 2 2 3" xfId="38792"/>
    <cellStyle name="Percent 4 2 4 2 3" xfId="21000"/>
    <cellStyle name="Percent 4 2 4 2 3 2" xfId="49861"/>
    <cellStyle name="Percent 4 2 4 2 4" xfId="32751"/>
    <cellStyle name="Percent 4 2 4 3" xfId="7045"/>
    <cellStyle name="Percent 4 2 4 3 2" xfId="24092"/>
    <cellStyle name="Percent 4 2 4 3 2 2" xfId="52953"/>
    <cellStyle name="Percent 4 2 4 3 3" xfId="35906"/>
    <cellStyle name="Percent 4 2 4 4" xfId="13542"/>
    <cellStyle name="Percent 4 2 4 4 2" xfId="18320"/>
    <cellStyle name="Percent 4 2 4 4 2 2" xfId="47181"/>
    <cellStyle name="Percent 4 2 4 4 3" xfId="42403"/>
    <cellStyle name="Percent 4 2 4 5" xfId="15640"/>
    <cellStyle name="Percent 4 2 4 5 2" xfId="44501"/>
    <cellStyle name="Percent 4 2 4 6" xfId="29865"/>
    <cellStyle name="Percent 4 2 5" xfId="1209"/>
    <cellStyle name="Percent 4 2 5 2" xfId="4096"/>
    <cellStyle name="Percent 4 2 5 2 2" xfId="10137"/>
    <cellStyle name="Percent 4 2 5 2 2 2" xfId="27184"/>
    <cellStyle name="Percent 4 2 5 2 2 2 2" xfId="56045"/>
    <cellStyle name="Percent 4 2 5 2 2 3" xfId="38998"/>
    <cellStyle name="Percent 4 2 5 2 3" xfId="21206"/>
    <cellStyle name="Percent 4 2 5 2 3 2" xfId="50067"/>
    <cellStyle name="Percent 4 2 5 2 4" xfId="32957"/>
    <cellStyle name="Percent 4 2 5 3" xfId="7251"/>
    <cellStyle name="Percent 4 2 5 3 2" xfId="24298"/>
    <cellStyle name="Percent 4 2 5 3 2 2" xfId="53159"/>
    <cellStyle name="Percent 4 2 5 3 3" xfId="36112"/>
    <cellStyle name="Percent 4 2 5 4" xfId="13118"/>
    <cellStyle name="Percent 4 2 5 4 2" xfId="18526"/>
    <cellStyle name="Percent 4 2 5 4 2 2" xfId="47387"/>
    <cellStyle name="Percent 4 2 5 4 3" xfId="41979"/>
    <cellStyle name="Percent 4 2 5 5" xfId="15846"/>
    <cellStyle name="Percent 4 2 5 5 2" xfId="44707"/>
    <cellStyle name="Percent 4 2 5 6" xfId="30071"/>
    <cellStyle name="Percent 4 2 6" xfId="1415"/>
    <cellStyle name="Percent 4 2 6 2" xfId="4302"/>
    <cellStyle name="Percent 4 2 6 2 2" xfId="10343"/>
    <cellStyle name="Percent 4 2 6 2 2 2" xfId="27390"/>
    <cellStyle name="Percent 4 2 6 2 2 2 2" xfId="56251"/>
    <cellStyle name="Percent 4 2 6 2 2 3" xfId="39204"/>
    <cellStyle name="Percent 4 2 6 2 3" xfId="21412"/>
    <cellStyle name="Percent 4 2 6 2 3 2" xfId="50273"/>
    <cellStyle name="Percent 4 2 6 2 4" xfId="33163"/>
    <cellStyle name="Percent 4 2 6 3" xfId="7457"/>
    <cellStyle name="Percent 4 2 6 3 2" xfId="24504"/>
    <cellStyle name="Percent 4 2 6 3 2 2" xfId="53365"/>
    <cellStyle name="Percent 4 2 6 3 3" xfId="36318"/>
    <cellStyle name="Percent 4 2 6 4" xfId="14007"/>
    <cellStyle name="Percent 4 2 6 4 2" xfId="18732"/>
    <cellStyle name="Percent 4 2 6 4 2 2" xfId="47593"/>
    <cellStyle name="Percent 4 2 6 4 3" xfId="42868"/>
    <cellStyle name="Percent 4 2 6 5" xfId="16052"/>
    <cellStyle name="Percent 4 2 6 5 2" xfId="44913"/>
    <cellStyle name="Percent 4 2 6 6" xfId="30277"/>
    <cellStyle name="Percent 4 2 7" xfId="1621"/>
    <cellStyle name="Percent 4 2 7 2" xfId="4508"/>
    <cellStyle name="Percent 4 2 7 2 2" xfId="10549"/>
    <cellStyle name="Percent 4 2 7 2 2 2" xfId="27596"/>
    <cellStyle name="Percent 4 2 7 2 2 2 2" xfId="56457"/>
    <cellStyle name="Percent 4 2 7 2 2 3" xfId="39410"/>
    <cellStyle name="Percent 4 2 7 2 3" xfId="21618"/>
    <cellStyle name="Percent 4 2 7 2 3 2" xfId="50479"/>
    <cellStyle name="Percent 4 2 7 2 4" xfId="33369"/>
    <cellStyle name="Percent 4 2 7 3" xfId="7663"/>
    <cellStyle name="Percent 4 2 7 3 2" xfId="24710"/>
    <cellStyle name="Percent 4 2 7 3 2 2" xfId="53571"/>
    <cellStyle name="Percent 4 2 7 3 3" xfId="36524"/>
    <cellStyle name="Percent 4 2 7 4" xfId="13186"/>
    <cellStyle name="Percent 4 2 7 4 2" xfId="18938"/>
    <cellStyle name="Percent 4 2 7 4 2 2" xfId="47799"/>
    <cellStyle name="Percent 4 2 7 4 3" xfId="42047"/>
    <cellStyle name="Percent 4 2 7 5" xfId="16258"/>
    <cellStyle name="Percent 4 2 7 5 2" xfId="45119"/>
    <cellStyle name="Percent 4 2 7 6" xfId="30483"/>
    <cellStyle name="Percent 4 2 8" xfId="1827"/>
    <cellStyle name="Percent 4 2 8 2" xfId="4714"/>
    <cellStyle name="Percent 4 2 8 2 2" xfId="10755"/>
    <cellStyle name="Percent 4 2 8 2 2 2" xfId="27802"/>
    <cellStyle name="Percent 4 2 8 2 2 2 2" xfId="56663"/>
    <cellStyle name="Percent 4 2 8 2 2 3" xfId="39616"/>
    <cellStyle name="Percent 4 2 8 2 3" xfId="21824"/>
    <cellStyle name="Percent 4 2 8 2 3 2" xfId="50685"/>
    <cellStyle name="Percent 4 2 8 2 4" xfId="33575"/>
    <cellStyle name="Percent 4 2 8 3" xfId="7869"/>
    <cellStyle name="Percent 4 2 8 3 2" xfId="24916"/>
    <cellStyle name="Percent 4 2 8 3 2 2" xfId="53777"/>
    <cellStyle name="Percent 4 2 8 3 3" xfId="36730"/>
    <cellStyle name="Percent 4 2 8 4" xfId="12323"/>
    <cellStyle name="Percent 4 2 8 4 2" xfId="19144"/>
    <cellStyle name="Percent 4 2 8 4 2 2" xfId="48005"/>
    <cellStyle name="Percent 4 2 8 4 3" xfId="41184"/>
    <cellStyle name="Percent 4 2 8 5" xfId="16464"/>
    <cellStyle name="Percent 4 2 8 5 2" xfId="45325"/>
    <cellStyle name="Percent 4 2 8 6" xfId="30689"/>
    <cellStyle name="Percent 4 2 9" xfId="2033"/>
    <cellStyle name="Percent 4 2 9 2" xfId="4920"/>
    <cellStyle name="Percent 4 2 9 2 2" xfId="10961"/>
    <cellStyle name="Percent 4 2 9 2 2 2" xfId="28008"/>
    <cellStyle name="Percent 4 2 9 2 2 2 2" xfId="56869"/>
    <cellStyle name="Percent 4 2 9 2 2 3" xfId="39822"/>
    <cellStyle name="Percent 4 2 9 2 3" xfId="22030"/>
    <cellStyle name="Percent 4 2 9 2 3 2" xfId="50891"/>
    <cellStyle name="Percent 4 2 9 2 4" xfId="33781"/>
    <cellStyle name="Percent 4 2 9 3" xfId="8075"/>
    <cellStyle name="Percent 4 2 9 3 2" xfId="25122"/>
    <cellStyle name="Percent 4 2 9 3 2 2" xfId="53983"/>
    <cellStyle name="Percent 4 2 9 3 3" xfId="36936"/>
    <cellStyle name="Percent 4 2 9 4" xfId="13054"/>
    <cellStyle name="Percent 4 2 9 4 2" xfId="19350"/>
    <cellStyle name="Percent 4 2 9 4 2 2" xfId="48211"/>
    <cellStyle name="Percent 4 2 9 4 3" xfId="41915"/>
    <cellStyle name="Percent 4 2 9 5" xfId="16670"/>
    <cellStyle name="Percent 4 2 9 5 2" xfId="45531"/>
    <cellStyle name="Percent 4 2 9 6" xfId="30895"/>
    <cellStyle name="Percent 4 20" xfId="28938"/>
    <cellStyle name="Percent 4 3" xfId="179"/>
    <cellStyle name="Percent 4 3 2" xfId="591"/>
    <cellStyle name="Percent 4 3 2 2" xfId="3478"/>
    <cellStyle name="Percent 4 3 2 2 2" xfId="9519"/>
    <cellStyle name="Percent 4 3 2 2 2 2" xfId="26566"/>
    <cellStyle name="Percent 4 3 2 2 2 2 2" xfId="55427"/>
    <cellStyle name="Percent 4 3 2 2 2 3" xfId="38380"/>
    <cellStyle name="Percent 4 3 2 2 3" xfId="20588"/>
    <cellStyle name="Percent 4 3 2 2 3 2" xfId="49449"/>
    <cellStyle name="Percent 4 3 2 2 4" xfId="32339"/>
    <cellStyle name="Percent 4 3 2 3" xfId="6633"/>
    <cellStyle name="Percent 4 3 2 3 2" xfId="23680"/>
    <cellStyle name="Percent 4 3 2 3 2 2" xfId="52541"/>
    <cellStyle name="Percent 4 3 2 3 3" xfId="35494"/>
    <cellStyle name="Percent 4 3 2 4" xfId="14398"/>
    <cellStyle name="Percent 4 3 2 4 2" xfId="17908"/>
    <cellStyle name="Percent 4 3 2 4 2 2" xfId="46769"/>
    <cellStyle name="Percent 4 3 2 4 3" xfId="43259"/>
    <cellStyle name="Percent 4 3 2 5" xfId="15228"/>
    <cellStyle name="Percent 4 3 2 5 2" xfId="44089"/>
    <cellStyle name="Percent 4 3 2 6" xfId="29453"/>
    <cellStyle name="Percent 4 3 3" xfId="2136"/>
    <cellStyle name="Percent 4 3 3 2" xfId="5023"/>
    <cellStyle name="Percent 4 3 3 2 2" xfId="11064"/>
    <cellStyle name="Percent 4 3 3 2 2 2" xfId="28111"/>
    <cellStyle name="Percent 4 3 3 2 2 2 2" xfId="56972"/>
    <cellStyle name="Percent 4 3 3 2 2 3" xfId="39925"/>
    <cellStyle name="Percent 4 3 3 2 3" xfId="22133"/>
    <cellStyle name="Percent 4 3 3 2 3 2" xfId="50994"/>
    <cellStyle name="Percent 4 3 3 2 4" xfId="33884"/>
    <cellStyle name="Percent 4 3 3 3" xfId="8178"/>
    <cellStyle name="Percent 4 3 3 3 2" xfId="25225"/>
    <cellStyle name="Percent 4 3 3 3 2 2" xfId="54086"/>
    <cellStyle name="Percent 4 3 3 3 3" xfId="37039"/>
    <cellStyle name="Percent 4 3 3 4" xfId="12265"/>
    <cellStyle name="Percent 4 3 3 4 2" xfId="19453"/>
    <cellStyle name="Percent 4 3 3 4 2 2" xfId="48314"/>
    <cellStyle name="Percent 4 3 3 4 3" xfId="41126"/>
    <cellStyle name="Percent 4 3 3 5" xfId="16773"/>
    <cellStyle name="Percent 4 3 3 5 2" xfId="45634"/>
    <cellStyle name="Percent 4 3 3 6" xfId="30998"/>
    <cellStyle name="Percent 4 3 4" xfId="3066"/>
    <cellStyle name="Percent 4 3 4 2" xfId="9107"/>
    <cellStyle name="Percent 4 3 4 2 2" xfId="26154"/>
    <cellStyle name="Percent 4 3 4 2 2 2" xfId="55015"/>
    <cellStyle name="Percent 4 3 4 2 3" xfId="37968"/>
    <cellStyle name="Percent 4 3 4 3" xfId="20176"/>
    <cellStyle name="Percent 4 3 4 3 2" xfId="49037"/>
    <cellStyle name="Percent 4 3 4 4" xfId="31927"/>
    <cellStyle name="Percent 4 3 5" xfId="6221"/>
    <cellStyle name="Percent 4 3 5 2" xfId="23268"/>
    <cellStyle name="Percent 4 3 5 2 2" xfId="52129"/>
    <cellStyle name="Percent 4 3 5 3" xfId="35082"/>
    <cellStyle name="Percent 4 3 6" xfId="13792"/>
    <cellStyle name="Percent 4 3 6 2" xfId="17599"/>
    <cellStyle name="Percent 4 3 6 2 2" xfId="46460"/>
    <cellStyle name="Percent 4 3 6 3" xfId="42653"/>
    <cellStyle name="Percent 4 3 7" xfId="14816"/>
    <cellStyle name="Percent 4 3 7 2" xfId="43677"/>
    <cellStyle name="Percent 4 3 8" xfId="29041"/>
    <cellStyle name="Percent 4 4" xfId="385"/>
    <cellStyle name="Percent 4 4 2" xfId="3272"/>
    <cellStyle name="Percent 4 4 2 2" xfId="9313"/>
    <cellStyle name="Percent 4 4 2 2 2" xfId="26360"/>
    <cellStyle name="Percent 4 4 2 2 2 2" xfId="55221"/>
    <cellStyle name="Percent 4 4 2 2 3" xfId="38174"/>
    <cellStyle name="Percent 4 4 2 3" xfId="20382"/>
    <cellStyle name="Percent 4 4 2 3 2" xfId="49243"/>
    <cellStyle name="Percent 4 4 2 4" xfId="32133"/>
    <cellStyle name="Percent 4 4 3" xfId="6427"/>
    <cellStyle name="Percent 4 4 3 2" xfId="23474"/>
    <cellStyle name="Percent 4 4 3 2 2" xfId="52335"/>
    <cellStyle name="Percent 4 4 3 3" xfId="35288"/>
    <cellStyle name="Percent 4 4 4" xfId="12556"/>
    <cellStyle name="Percent 4 4 4 2" xfId="17702"/>
    <cellStyle name="Percent 4 4 4 2 2" xfId="46563"/>
    <cellStyle name="Percent 4 4 4 3" xfId="41417"/>
    <cellStyle name="Percent 4 4 5" xfId="15022"/>
    <cellStyle name="Percent 4 4 5 2" xfId="43883"/>
    <cellStyle name="Percent 4 4 6" xfId="29247"/>
    <cellStyle name="Percent 4 5" xfId="694"/>
    <cellStyle name="Percent 4 5 2" xfId="3581"/>
    <cellStyle name="Percent 4 5 2 2" xfId="9622"/>
    <cellStyle name="Percent 4 5 2 2 2" xfId="26669"/>
    <cellStyle name="Percent 4 5 2 2 2 2" xfId="55530"/>
    <cellStyle name="Percent 4 5 2 2 3" xfId="38483"/>
    <cellStyle name="Percent 4 5 2 3" xfId="20691"/>
    <cellStyle name="Percent 4 5 2 3 2" xfId="49552"/>
    <cellStyle name="Percent 4 5 2 4" xfId="32442"/>
    <cellStyle name="Percent 4 5 3" xfId="6736"/>
    <cellStyle name="Percent 4 5 3 2" xfId="23783"/>
    <cellStyle name="Percent 4 5 3 2 2" xfId="52644"/>
    <cellStyle name="Percent 4 5 3 3" xfId="35597"/>
    <cellStyle name="Percent 4 5 4" xfId="6101"/>
    <cellStyle name="Percent 4 5 4 2" xfId="18011"/>
    <cellStyle name="Percent 4 5 4 2 2" xfId="46872"/>
    <cellStyle name="Percent 4 5 4 3" xfId="34962"/>
    <cellStyle name="Percent 4 5 5" xfId="15331"/>
    <cellStyle name="Percent 4 5 5 2" xfId="44192"/>
    <cellStyle name="Percent 4 5 6" xfId="29556"/>
    <cellStyle name="Percent 4 6" xfId="900"/>
    <cellStyle name="Percent 4 6 2" xfId="3787"/>
    <cellStyle name="Percent 4 6 2 2" xfId="9828"/>
    <cellStyle name="Percent 4 6 2 2 2" xfId="26875"/>
    <cellStyle name="Percent 4 6 2 2 2 2" xfId="55736"/>
    <cellStyle name="Percent 4 6 2 2 3" xfId="38689"/>
    <cellStyle name="Percent 4 6 2 3" xfId="20897"/>
    <cellStyle name="Percent 4 6 2 3 2" xfId="49758"/>
    <cellStyle name="Percent 4 6 2 4" xfId="32648"/>
    <cellStyle name="Percent 4 6 3" xfId="6942"/>
    <cellStyle name="Percent 4 6 3 2" xfId="23989"/>
    <cellStyle name="Percent 4 6 3 2 2" xfId="52850"/>
    <cellStyle name="Percent 4 6 3 3" xfId="35803"/>
    <cellStyle name="Percent 4 6 4" xfId="14065"/>
    <cellStyle name="Percent 4 6 4 2" xfId="18217"/>
    <cellStyle name="Percent 4 6 4 2 2" xfId="47078"/>
    <cellStyle name="Percent 4 6 4 3" xfId="42926"/>
    <cellStyle name="Percent 4 6 5" xfId="15537"/>
    <cellStyle name="Percent 4 6 5 2" xfId="44398"/>
    <cellStyle name="Percent 4 6 6" xfId="29762"/>
    <cellStyle name="Percent 4 7" xfId="1106"/>
    <cellStyle name="Percent 4 7 2" xfId="3993"/>
    <cellStyle name="Percent 4 7 2 2" xfId="10034"/>
    <cellStyle name="Percent 4 7 2 2 2" xfId="27081"/>
    <cellStyle name="Percent 4 7 2 2 2 2" xfId="55942"/>
    <cellStyle name="Percent 4 7 2 2 3" xfId="38895"/>
    <cellStyle name="Percent 4 7 2 3" xfId="21103"/>
    <cellStyle name="Percent 4 7 2 3 2" xfId="49964"/>
    <cellStyle name="Percent 4 7 2 4" xfId="32854"/>
    <cellStyle name="Percent 4 7 3" xfId="7148"/>
    <cellStyle name="Percent 4 7 3 2" xfId="24195"/>
    <cellStyle name="Percent 4 7 3 2 2" xfId="53056"/>
    <cellStyle name="Percent 4 7 3 3" xfId="36009"/>
    <cellStyle name="Percent 4 7 4" xfId="13663"/>
    <cellStyle name="Percent 4 7 4 2" xfId="18423"/>
    <cellStyle name="Percent 4 7 4 2 2" xfId="47284"/>
    <cellStyle name="Percent 4 7 4 3" xfId="42524"/>
    <cellStyle name="Percent 4 7 5" xfId="15743"/>
    <cellStyle name="Percent 4 7 5 2" xfId="44604"/>
    <cellStyle name="Percent 4 7 6" xfId="29968"/>
    <cellStyle name="Percent 4 8" xfId="1312"/>
    <cellStyle name="Percent 4 8 2" xfId="4199"/>
    <cellStyle name="Percent 4 8 2 2" xfId="10240"/>
    <cellStyle name="Percent 4 8 2 2 2" xfId="27287"/>
    <cellStyle name="Percent 4 8 2 2 2 2" xfId="56148"/>
    <cellStyle name="Percent 4 8 2 2 3" xfId="39101"/>
    <cellStyle name="Percent 4 8 2 3" xfId="21309"/>
    <cellStyle name="Percent 4 8 2 3 2" xfId="50170"/>
    <cellStyle name="Percent 4 8 2 4" xfId="33060"/>
    <cellStyle name="Percent 4 8 3" xfId="7354"/>
    <cellStyle name="Percent 4 8 3 2" xfId="24401"/>
    <cellStyle name="Percent 4 8 3 2 2" xfId="53262"/>
    <cellStyle name="Percent 4 8 3 3" xfId="36215"/>
    <cellStyle name="Percent 4 8 4" xfId="12991"/>
    <cellStyle name="Percent 4 8 4 2" xfId="18629"/>
    <cellStyle name="Percent 4 8 4 2 2" xfId="47490"/>
    <cellStyle name="Percent 4 8 4 3" xfId="41852"/>
    <cellStyle name="Percent 4 8 5" xfId="15949"/>
    <cellStyle name="Percent 4 8 5 2" xfId="44810"/>
    <cellStyle name="Percent 4 8 6" xfId="30174"/>
    <cellStyle name="Percent 4 9" xfId="1518"/>
    <cellStyle name="Percent 4 9 2" xfId="4405"/>
    <cellStyle name="Percent 4 9 2 2" xfId="10446"/>
    <cellStyle name="Percent 4 9 2 2 2" xfId="27493"/>
    <cellStyle name="Percent 4 9 2 2 2 2" xfId="56354"/>
    <cellStyle name="Percent 4 9 2 2 3" xfId="39307"/>
    <cellStyle name="Percent 4 9 2 3" xfId="21515"/>
    <cellStyle name="Percent 4 9 2 3 2" xfId="50376"/>
    <cellStyle name="Percent 4 9 2 4" xfId="33266"/>
    <cellStyle name="Percent 4 9 3" xfId="7560"/>
    <cellStyle name="Percent 4 9 3 2" xfId="24607"/>
    <cellStyle name="Percent 4 9 3 2 2" xfId="53468"/>
    <cellStyle name="Percent 4 9 3 3" xfId="36421"/>
    <cellStyle name="Percent 4 9 4" xfId="13566"/>
    <cellStyle name="Percent 4 9 4 2" xfId="18835"/>
    <cellStyle name="Percent 4 9 4 2 2" xfId="47696"/>
    <cellStyle name="Percent 4 9 4 3" xfId="42427"/>
    <cellStyle name="Percent 4 9 5" xfId="16155"/>
    <cellStyle name="Percent 4 9 5 2" xfId="45016"/>
    <cellStyle name="Percent 4 9 6" xfId="30380"/>
    <cellStyle name="Percent 5" xfId="157"/>
    <cellStyle name="Percent 5 10" xfId="1805"/>
    <cellStyle name="Percent 5 10 2" xfId="4692"/>
    <cellStyle name="Percent 5 10 2 2" xfId="10733"/>
    <cellStyle name="Percent 5 10 2 2 2" xfId="27780"/>
    <cellStyle name="Percent 5 10 2 2 2 2" xfId="56641"/>
    <cellStyle name="Percent 5 10 2 2 3" xfId="39594"/>
    <cellStyle name="Percent 5 10 2 3" xfId="21802"/>
    <cellStyle name="Percent 5 10 2 3 2" xfId="50663"/>
    <cellStyle name="Percent 5 10 2 4" xfId="33553"/>
    <cellStyle name="Percent 5 10 3" xfId="7847"/>
    <cellStyle name="Percent 5 10 3 2" xfId="24894"/>
    <cellStyle name="Percent 5 10 3 2 2" xfId="53755"/>
    <cellStyle name="Percent 5 10 3 3" xfId="36708"/>
    <cellStyle name="Percent 5 10 4" xfId="13462"/>
    <cellStyle name="Percent 5 10 4 2" xfId="19122"/>
    <cellStyle name="Percent 5 10 4 2 2" xfId="47983"/>
    <cellStyle name="Percent 5 10 4 3" xfId="42323"/>
    <cellStyle name="Percent 5 10 5" xfId="16442"/>
    <cellStyle name="Percent 5 10 5 2" xfId="45303"/>
    <cellStyle name="Percent 5 10 6" xfId="30667"/>
    <cellStyle name="Percent 5 11" xfId="2011"/>
    <cellStyle name="Percent 5 11 2" xfId="4898"/>
    <cellStyle name="Percent 5 11 2 2" xfId="10939"/>
    <cellStyle name="Percent 5 11 2 2 2" xfId="27986"/>
    <cellStyle name="Percent 5 11 2 2 2 2" xfId="56847"/>
    <cellStyle name="Percent 5 11 2 2 3" xfId="39800"/>
    <cellStyle name="Percent 5 11 2 3" xfId="22008"/>
    <cellStyle name="Percent 5 11 2 3 2" xfId="50869"/>
    <cellStyle name="Percent 5 11 2 4" xfId="33759"/>
    <cellStyle name="Percent 5 11 3" xfId="8053"/>
    <cellStyle name="Percent 5 11 3 2" xfId="25100"/>
    <cellStyle name="Percent 5 11 3 2 2" xfId="53961"/>
    <cellStyle name="Percent 5 11 3 3" xfId="36914"/>
    <cellStyle name="Percent 5 11 4" xfId="6071"/>
    <cellStyle name="Percent 5 11 4 2" xfId="19328"/>
    <cellStyle name="Percent 5 11 4 2 2" xfId="48189"/>
    <cellStyle name="Percent 5 11 4 3" xfId="34932"/>
    <cellStyle name="Percent 5 11 5" xfId="16648"/>
    <cellStyle name="Percent 5 11 5 2" xfId="45509"/>
    <cellStyle name="Percent 5 11 6" xfId="30873"/>
    <cellStyle name="Percent 5 12" xfId="2423"/>
    <cellStyle name="Percent 5 12 2" xfId="5310"/>
    <cellStyle name="Percent 5 12 2 2" xfId="11351"/>
    <cellStyle name="Percent 5 12 2 2 2" xfId="28398"/>
    <cellStyle name="Percent 5 12 2 2 2 2" xfId="57259"/>
    <cellStyle name="Percent 5 12 2 2 3" xfId="40212"/>
    <cellStyle name="Percent 5 12 2 3" xfId="22420"/>
    <cellStyle name="Percent 5 12 2 3 2" xfId="51281"/>
    <cellStyle name="Percent 5 12 2 4" xfId="34171"/>
    <cellStyle name="Percent 5 12 3" xfId="8465"/>
    <cellStyle name="Percent 5 12 3 2" xfId="25512"/>
    <cellStyle name="Percent 5 12 3 2 2" xfId="54373"/>
    <cellStyle name="Percent 5 12 3 3" xfId="37326"/>
    <cellStyle name="Percent 5 12 4" xfId="14103"/>
    <cellStyle name="Percent 5 12 4 2" xfId="19740"/>
    <cellStyle name="Percent 5 12 4 2 2" xfId="48601"/>
    <cellStyle name="Percent 5 12 4 3" xfId="42964"/>
    <cellStyle name="Percent 5 12 5" xfId="17060"/>
    <cellStyle name="Percent 5 12 5 2" xfId="45921"/>
    <cellStyle name="Percent 5 12 6" xfId="31285"/>
    <cellStyle name="Percent 5 13" xfId="2632"/>
    <cellStyle name="Percent 5 13 2" xfId="5518"/>
    <cellStyle name="Percent 5 13 2 2" xfId="11559"/>
    <cellStyle name="Percent 5 13 2 2 2" xfId="28606"/>
    <cellStyle name="Percent 5 13 2 2 2 2" xfId="57467"/>
    <cellStyle name="Percent 5 13 2 2 3" xfId="40420"/>
    <cellStyle name="Percent 5 13 2 3" xfId="22628"/>
    <cellStyle name="Percent 5 13 2 3 2" xfId="51489"/>
    <cellStyle name="Percent 5 13 2 4" xfId="34379"/>
    <cellStyle name="Percent 5 13 3" xfId="8673"/>
    <cellStyle name="Percent 5 13 3 2" xfId="25720"/>
    <cellStyle name="Percent 5 13 3 2 2" xfId="54581"/>
    <cellStyle name="Percent 5 13 3 3" xfId="37534"/>
    <cellStyle name="Percent 5 13 4" xfId="14341"/>
    <cellStyle name="Percent 5 13 4 2" xfId="19948"/>
    <cellStyle name="Percent 5 13 4 2 2" xfId="48809"/>
    <cellStyle name="Percent 5 13 4 3" xfId="43202"/>
    <cellStyle name="Percent 5 13 5" xfId="17268"/>
    <cellStyle name="Percent 5 13 5 2" xfId="46129"/>
    <cellStyle name="Percent 5 13 6" xfId="31493"/>
    <cellStyle name="Percent 5 14" xfId="3044"/>
    <cellStyle name="Percent 5 14 2" xfId="9085"/>
    <cellStyle name="Percent 5 14 2 2" xfId="26132"/>
    <cellStyle name="Percent 5 14 2 2 2" xfId="54993"/>
    <cellStyle name="Percent 5 14 2 3" xfId="37946"/>
    <cellStyle name="Percent 5 14 3" xfId="13438"/>
    <cellStyle name="Percent 5 14 3 2" xfId="20154"/>
    <cellStyle name="Percent 5 14 3 2 2" xfId="49015"/>
    <cellStyle name="Percent 5 14 3 3" xfId="42299"/>
    <cellStyle name="Percent 5 14 4" xfId="14794"/>
    <cellStyle name="Percent 5 14 4 2" xfId="43655"/>
    <cellStyle name="Percent 5 14 5" xfId="31905"/>
    <cellStyle name="Percent 5 15" xfId="2838"/>
    <cellStyle name="Percent 5 15 2" xfId="8879"/>
    <cellStyle name="Percent 5 15 2 2" xfId="25926"/>
    <cellStyle name="Percent 5 15 2 2 2" xfId="54787"/>
    <cellStyle name="Percent 5 15 2 3" xfId="37740"/>
    <cellStyle name="Percent 5 15 3" xfId="17474"/>
    <cellStyle name="Percent 5 15 3 2" xfId="46335"/>
    <cellStyle name="Percent 5 15 4" xfId="31699"/>
    <cellStyle name="Percent 5 16" xfId="5724"/>
    <cellStyle name="Percent 5 16 2" xfId="11765"/>
    <cellStyle name="Percent 5 16 2 2" xfId="28812"/>
    <cellStyle name="Percent 5 16 2 2 2" xfId="57673"/>
    <cellStyle name="Percent 5 16 2 3" xfId="40626"/>
    <cellStyle name="Percent 5 16 3" xfId="22834"/>
    <cellStyle name="Percent 5 16 3 2" xfId="51695"/>
    <cellStyle name="Percent 5 16 4" xfId="34585"/>
    <cellStyle name="Percent 5 17" xfId="5941"/>
    <cellStyle name="Percent 5 17 2" xfId="23040"/>
    <cellStyle name="Percent 5 17 2 2" xfId="51901"/>
    <cellStyle name="Percent 5 17 3" xfId="34802"/>
    <cellStyle name="Percent 5 18" xfId="6199"/>
    <cellStyle name="Percent 5 18 2" xfId="23246"/>
    <cellStyle name="Percent 5 18 2 2" xfId="52107"/>
    <cellStyle name="Percent 5 18 3" xfId="35060"/>
    <cellStyle name="Percent 5 19" xfId="14588"/>
    <cellStyle name="Percent 5 19 2" xfId="43449"/>
    <cellStyle name="Percent 5 2" xfId="363"/>
    <cellStyle name="Percent 5 2 10" xfId="2526"/>
    <cellStyle name="Percent 5 2 10 2" xfId="5413"/>
    <cellStyle name="Percent 5 2 10 2 2" xfId="11454"/>
    <cellStyle name="Percent 5 2 10 2 2 2" xfId="28501"/>
    <cellStyle name="Percent 5 2 10 2 2 2 2" xfId="57362"/>
    <cellStyle name="Percent 5 2 10 2 2 3" xfId="40315"/>
    <cellStyle name="Percent 5 2 10 2 3" xfId="22523"/>
    <cellStyle name="Percent 5 2 10 2 3 2" xfId="51384"/>
    <cellStyle name="Percent 5 2 10 2 4" xfId="34274"/>
    <cellStyle name="Percent 5 2 10 3" xfId="8568"/>
    <cellStyle name="Percent 5 2 10 3 2" xfId="25615"/>
    <cellStyle name="Percent 5 2 10 3 2 2" xfId="54476"/>
    <cellStyle name="Percent 5 2 10 3 3" xfId="37429"/>
    <cellStyle name="Percent 5 2 10 4" xfId="12254"/>
    <cellStyle name="Percent 5 2 10 4 2" xfId="19843"/>
    <cellStyle name="Percent 5 2 10 4 2 2" xfId="48704"/>
    <cellStyle name="Percent 5 2 10 4 3" xfId="41115"/>
    <cellStyle name="Percent 5 2 10 5" xfId="17163"/>
    <cellStyle name="Percent 5 2 10 5 2" xfId="46024"/>
    <cellStyle name="Percent 5 2 10 6" xfId="31388"/>
    <cellStyle name="Percent 5 2 11" xfId="2735"/>
    <cellStyle name="Percent 5 2 11 2" xfId="5621"/>
    <cellStyle name="Percent 5 2 11 2 2" xfId="11662"/>
    <cellStyle name="Percent 5 2 11 2 2 2" xfId="28709"/>
    <cellStyle name="Percent 5 2 11 2 2 2 2" xfId="57570"/>
    <cellStyle name="Percent 5 2 11 2 2 3" xfId="40523"/>
    <cellStyle name="Percent 5 2 11 2 3" xfId="22731"/>
    <cellStyle name="Percent 5 2 11 2 3 2" xfId="51592"/>
    <cellStyle name="Percent 5 2 11 2 4" xfId="34482"/>
    <cellStyle name="Percent 5 2 11 3" xfId="8776"/>
    <cellStyle name="Percent 5 2 11 3 2" xfId="25823"/>
    <cellStyle name="Percent 5 2 11 3 2 2" xfId="54684"/>
    <cellStyle name="Percent 5 2 11 3 3" xfId="37637"/>
    <cellStyle name="Percent 5 2 11 4" xfId="13970"/>
    <cellStyle name="Percent 5 2 11 4 2" xfId="20051"/>
    <cellStyle name="Percent 5 2 11 4 2 2" xfId="48912"/>
    <cellStyle name="Percent 5 2 11 4 3" xfId="42831"/>
    <cellStyle name="Percent 5 2 11 5" xfId="17371"/>
    <cellStyle name="Percent 5 2 11 5 2" xfId="46232"/>
    <cellStyle name="Percent 5 2 11 6" xfId="31596"/>
    <cellStyle name="Percent 5 2 12" xfId="3250"/>
    <cellStyle name="Percent 5 2 12 2" xfId="9291"/>
    <cellStyle name="Percent 5 2 12 2 2" xfId="26338"/>
    <cellStyle name="Percent 5 2 12 2 2 2" xfId="55199"/>
    <cellStyle name="Percent 5 2 12 2 3" xfId="38152"/>
    <cellStyle name="Percent 5 2 12 3" xfId="14043"/>
    <cellStyle name="Percent 5 2 12 3 2" xfId="20360"/>
    <cellStyle name="Percent 5 2 12 3 2 2" xfId="49221"/>
    <cellStyle name="Percent 5 2 12 3 3" xfId="42904"/>
    <cellStyle name="Percent 5 2 12 4" xfId="15000"/>
    <cellStyle name="Percent 5 2 12 4 2" xfId="43861"/>
    <cellStyle name="Percent 5 2 12 5" xfId="32111"/>
    <cellStyle name="Percent 5 2 13" xfId="2941"/>
    <cellStyle name="Percent 5 2 13 2" xfId="8982"/>
    <cellStyle name="Percent 5 2 13 2 2" xfId="26029"/>
    <cellStyle name="Percent 5 2 13 2 2 2" xfId="54890"/>
    <cellStyle name="Percent 5 2 13 2 3" xfId="37843"/>
    <cellStyle name="Percent 5 2 13 3" xfId="17577"/>
    <cellStyle name="Percent 5 2 13 3 2" xfId="46438"/>
    <cellStyle name="Percent 5 2 13 4" xfId="31802"/>
    <cellStyle name="Percent 5 2 14" xfId="5827"/>
    <cellStyle name="Percent 5 2 14 2" xfId="11868"/>
    <cellStyle name="Percent 5 2 14 2 2" xfId="28915"/>
    <cellStyle name="Percent 5 2 14 2 2 2" xfId="57776"/>
    <cellStyle name="Percent 5 2 14 2 3" xfId="40729"/>
    <cellStyle name="Percent 5 2 14 3" xfId="22937"/>
    <cellStyle name="Percent 5 2 14 3 2" xfId="51798"/>
    <cellStyle name="Percent 5 2 14 4" xfId="34688"/>
    <cellStyle name="Percent 5 2 15" xfId="6044"/>
    <cellStyle name="Percent 5 2 15 2" xfId="23143"/>
    <cellStyle name="Percent 5 2 15 2 2" xfId="52004"/>
    <cellStyle name="Percent 5 2 15 3" xfId="34905"/>
    <cellStyle name="Percent 5 2 16" xfId="6405"/>
    <cellStyle name="Percent 5 2 16 2" xfId="23452"/>
    <cellStyle name="Percent 5 2 16 2 2" xfId="52313"/>
    <cellStyle name="Percent 5 2 16 3" xfId="35266"/>
    <cellStyle name="Percent 5 2 17" xfId="14691"/>
    <cellStyle name="Percent 5 2 17 2" xfId="43552"/>
    <cellStyle name="Percent 5 2 18" xfId="29225"/>
    <cellStyle name="Percent 5 2 2" xfId="569"/>
    <cellStyle name="Percent 5 2 2 2" xfId="2320"/>
    <cellStyle name="Percent 5 2 2 2 2" xfId="5207"/>
    <cellStyle name="Percent 5 2 2 2 2 2" xfId="11248"/>
    <cellStyle name="Percent 5 2 2 2 2 2 2" xfId="28295"/>
    <cellStyle name="Percent 5 2 2 2 2 2 2 2" xfId="57156"/>
    <cellStyle name="Percent 5 2 2 2 2 2 3" xfId="40109"/>
    <cellStyle name="Percent 5 2 2 2 2 3" xfId="22317"/>
    <cellStyle name="Percent 5 2 2 2 2 3 2" xfId="51178"/>
    <cellStyle name="Percent 5 2 2 2 2 4" xfId="34068"/>
    <cellStyle name="Percent 5 2 2 2 3" xfId="8362"/>
    <cellStyle name="Percent 5 2 2 2 3 2" xfId="25409"/>
    <cellStyle name="Percent 5 2 2 2 3 2 2" xfId="54270"/>
    <cellStyle name="Percent 5 2 2 2 3 3" xfId="37223"/>
    <cellStyle name="Percent 5 2 2 2 4" xfId="13195"/>
    <cellStyle name="Percent 5 2 2 2 4 2" xfId="19637"/>
    <cellStyle name="Percent 5 2 2 2 4 2 2" xfId="48498"/>
    <cellStyle name="Percent 5 2 2 2 4 3" xfId="42056"/>
    <cellStyle name="Percent 5 2 2 2 5" xfId="16957"/>
    <cellStyle name="Percent 5 2 2 2 5 2" xfId="45818"/>
    <cellStyle name="Percent 5 2 2 2 6" xfId="31182"/>
    <cellStyle name="Percent 5 2 2 3" xfId="3456"/>
    <cellStyle name="Percent 5 2 2 3 2" xfId="9497"/>
    <cellStyle name="Percent 5 2 2 3 2 2" xfId="26544"/>
    <cellStyle name="Percent 5 2 2 3 2 2 2" xfId="55405"/>
    <cellStyle name="Percent 5 2 2 3 2 3" xfId="38358"/>
    <cellStyle name="Percent 5 2 2 3 3" xfId="20566"/>
    <cellStyle name="Percent 5 2 2 3 3 2" xfId="49427"/>
    <cellStyle name="Percent 5 2 2 3 4" xfId="32317"/>
    <cellStyle name="Percent 5 2 2 4" xfId="6611"/>
    <cellStyle name="Percent 5 2 2 4 2" xfId="23658"/>
    <cellStyle name="Percent 5 2 2 4 2 2" xfId="52519"/>
    <cellStyle name="Percent 5 2 2 4 3" xfId="35472"/>
    <cellStyle name="Percent 5 2 2 5" xfId="11937"/>
    <cellStyle name="Percent 5 2 2 5 2" xfId="17886"/>
    <cellStyle name="Percent 5 2 2 5 2 2" xfId="46747"/>
    <cellStyle name="Percent 5 2 2 5 3" xfId="40798"/>
    <cellStyle name="Percent 5 2 2 6" xfId="15206"/>
    <cellStyle name="Percent 5 2 2 6 2" xfId="44067"/>
    <cellStyle name="Percent 5 2 2 7" xfId="29431"/>
    <cellStyle name="Percent 5 2 3" xfId="878"/>
    <cellStyle name="Percent 5 2 3 2" xfId="3765"/>
    <cellStyle name="Percent 5 2 3 2 2" xfId="9806"/>
    <cellStyle name="Percent 5 2 3 2 2 2" xfId="26853"/>
    <cellStyle name="Percent 5 2 3 2 2 2 2" xfId="55714"/>
    <cellStyle name="Percent 5 2 3 2 2 3" xfId="38667"/>
    <cellStyle name="Percent 5 2 3 2 3" xfId="20875"/>
    <cellStyle name="Percent 5 2 3 2 3 2" xfId="49736"/>
    <cellStyle name="Percent 5 2 3 2 4" xfId="32626"/>
    <cellStyle name="Percent 5 2 3 3" xfId="6920"/>
    <cellStyle name="Percent 5 2 3 3 2" xfId="23967"/>
    <cellStyle name="Percent 5 2 3 3 2 2" xfId="52828"/>
    <cellStyle name="Percent 5 2 3 3 3" xfId="35781"/>
    <cellStyle name="Percent 5 2 3 4" xfId="14279"/>
    <cellStyle name="Percent 5 2 3 4 2" xfId="18195"/>
    <cellStyle name="Percent 5 2 3 4 2 2" xfId="47056"/>
    <cellStyle name="Percent 5 2 3 4 3" xfId="43140"/>
    <cellStyle name="Percent 5 2 3 5" xfId="15515"/>
    <cellStyle name="Percent 5 2 3 5 2" xfId="44376"/>
    <cellStyle name="Percent 5 2 3 6" xfId="29740"/>
    <cellStyle name="Percent 5 2 4" xfId="1084"/>
    <cellStyle name="Percent 5 2 4 2" xfId="3971"/>
    <cellStyle name="Percent 5 2 4 2 2" xfId="10012"/>
    <cellStyle name="Percent 5 2 4 2 2 2" xfId="27059"/>
    <cellStyle name="Percent 5 2 4 2 2 2 2" xfId="55920"/>
    <cellStyle name="Percent 5 2 4 2 2 3" xfId="38873"/>
    <cellStyle name="Percent 5 2 4 2 3" xfId="21081"/>
    <cellStyle name="Percent 5 2 4 2 3 2" xfId="49942"/>
    <cellStyle name="Percent 5 2 4 2 4" xfId="32832"/>
    <cellStyle name="Percent 5 2 4 3" xfId="7126"/>
    <cellStyle name="Percent 5 2 4 3 2" xfId="24173"/>
    <cellStyle name="Percent 5 2 4 3 2 2" xfId="53034"/>
    <cellStyle name="Percent 5 2 4 3 3" xfId="35987"/>
    <cellStyle name="Percent 5 2 4 4" xfId="14434"/>
    <cellStyle name="Percent 5 2 4 4 2" xfId="18401"/>
    <cellStyle name="Percent 5 2 4 4 2 2" xfId="47262"/>
    <cellStyle name="Percent 5 2 4 4 3" xfId="43295"/>
    <cellStyle name="Percent 5 2 4 5" xfId="15721"/>
    <cellStyle name="Percent 5 2 4 5 2" xfId="44582"/>
    <cellStyle name="Percent 5 2 4 6" xfId="29946"/>
    <cellStyle name="Percent 5 2 5" xfId="1290"/>
    <cellStyle name="Percent 5 2 5 2" xfId="4177"/>
    <cellStyle name="Percent 5 2 5 2 2" xfId="10218"/>
    <cellStyle name="Percent 5 2 5 2 2 2" xfId="27265"/>
    <cellStyle name="Percent 5 2 5 2 2 2 2" xfId="56126"/>
    <cellStyle name="Percent 5 2 5 2 2 3" xfId="39079"/>
    <cellStyle name="Percent 5 2 5 2 3" xfId="21287"/>
    <cellStyle name="Percent 5 2 5 2 3 2" xfId="50148"/>
    <cellStyle name="Percent 5 2 5 2 4" xfId="33038"/>
    <cellStyle name="Percent 5 2 5 3" xfId="7332"/>
    <cellStyle name="Percent 5 2 5 3 2" xfId="24379"/>
    <cellStyle name="Percent 5 2 5 3 2 2" xfId="53240"/>
    <cellStyle name="Percent 5 2 5 3 3" xfId="36193"/>
    <cellStyle name="Percent 5 2 5 4" xfId="14021"/>
    <cellStyle name="Percent 5 2 5 4 2" xfId="18607"/>
    <cellStyle name="Percent 5 2 5 4 2 2" xfId="47468"/>
    <cellStyle name="Percent 5 2 5 4 3" xfId="42882"/>
    <cellStyle name="Percent 5 2 5 5" xfId="15927"/>
    <cellStyle name="Percent 5 2 5 5 2" xfId="44788"/>
    <cellStyle name="Percent 5 2 5 6" xfId="30152"/>
    <cellStyle name="Percent 5 2 6" xfId="1496"/>
    <cellStyle name="Percent 5 2 6 2" xfId="4383"/>
    <cellStyle name="Percent 5 2 6 2 2" xfId="10424"/>
    <cellStyle name="Percent 5 2 6 2 2 2" xfId="27471"/>
    <cellStyle name="Percent 5 2 6 2 2 2 2" xfId="56332"/>
    <cellStyle name="Percent 5 2 6 2 2 3" xfId="39285"/>
    <cellStyle name="Percent 5 2 6 2 3" xfId="21493"/>
    <cellStyle name="Percent 5 2 6 2 3 2" xfId="50354"/>
    <cellStyle name="Percent 5 2 6 2 4" xfId="33244"/>
    <cellStyle name="Percent 5 2 6 3" xfId="7538"/>
    <cellStyle name="Percent 5 2 6 3 2" xfId="24585"/>
    <cellStyle name="Percent 5 2 6 3 2 2" xfId="53446"/>
    <cellStyle name="Percent 5 2 6 3 3" xfId="36399"/>
    <cellStyle name="Percent 5 2 6 4" xfId="13272"/>
    <cellStyle name="Percent 5 2 6 4 2" xfId="18813"/>
    <cellStyle name="Percent 5 2 6 4 2 2" xfId="47674"/>
    <cellStyle name="Percent 5 2 6 4 3" xfId="42133"/>
    <cellStyle name="Percent 5 2 6 5" xfId="16133"/>
    <cellStyle name="Percent 5 2 6 5 2" xfId="44994"/>
    <cellStyle name="Percent 5 2 6 6" xfId="30358"/>
    <cellStyle name="Percent 5 2 7" xfId="1702"/>
    <cellStyle name="Percent 5 2 7 2" xfId="4589"/>
    <cellStyle name="Percent 5 2 7 2 2" xfId="10630"/>
    <cellStyle name="Percent 5 2 7 2 2 2" xfId="27677"/>
    <cellStyle name="Percent 5 2 7 2 2 2 2" xfId="56538"/>
    <cellStyle name="Percent 5 2 7 2 2 3" xfId="39491"/>
    <cellStyle name="Percent 5 2 7 2 3" xfId="21699"/>
    <cellStyle name="Percent 5 2 7 2 3 2" xfId="50560"/>
    <cellStyle name="Percent 5 2 7 2 4" xfId="33450"/>
    <cellStyle name="Percent 5 2 7 3" xfId="7744"/>
    <cellStyle name="Percent 5 2 7 3 2" xfId="24791"/>
    <cellStyle name="Percent 5 2 7 3 2 2" xfId="53652"/>
    <cellStyle name="Percent 5 2 7 3 3" xfId="36605"/>
    <cellStyle name="Percent 5 2 7 4" xfId="12976"/>
    <cellStyle name="Percent 5 2 7 4 2" xfId="19019"/>
    <cellStyle name="Percent 5 2 7 4 2 2" xfId="47880"/>
    <cellStyle name="Percent 5 2 7 4 3" xfId="41837"/>
    <cellStyle name="Percent 5 2 7 5" xfId="16339"/>
    <cellStyle name="Percent 5 2 7 5 2" xfId="45200"/>
    <cellStyle name="Percent 5 2 7 6" xfId="30564"/>
    <cellStyle name="Percent 5 2 8" xfId="1908"/>
    <cellStyle name="Percent 5 2 8 2" xfId="4795"/>
    <cellStyle name="Percent 5 2 8 2 2" xfId="10836"/>
    <cellStyle name="Percent 5 2 8 2 2 2" xfId="27883"/>
    <cellStyle name="Percent 5 2 8 2 2 2 2" xfId="56744"/>
    <cellStyle name="Percent 5 2 8 2 2 3" xfId="39697"/>
    <cellStyle name="Percent 5 2 8 2 3" xfId="21905"/>
    <cellStyle name="Percent 5 2 8 2 3 2" xfId="50766"/>
    <cellStyle name="Percent 5 2 8 2 4" xfId="33656"/>
    <cellStyle name="Percent 5 2 8 3" xfId="7950"/>
    <cellStyle name="Percent 5 2 8 3 2" xfId="24997"/>
    <cellStyle name="Percent 5 2 8 3 2 2" xfId="53858"/>
    <cellStyle name="Percent 5 2 8 3 3" xfId="36811"/>
    <cellStyle name="Percent 5 2 8 4" xfId="12626"/>
    <cellStyle name="Percent 5 2 8 4 2" xfId="19225"/>
    <cellStyle name="Percent 5 2 8 4 2 2" xfId="48086"/>
    <cellStyle name="Percent 5 2 8 4 3" xfId="41487"/>
    <cellStyle name="Percent 5 2 8 5" xfId="16545"/>
    <cellStyle name="Percent 5 2 8 5 2" xfId="45406"/>
    <cellStyle name="Percent 5 2 8 6" xfId="30770"/>
    <cellStyle name="Percent 5 2 9" xfId="2114"/>
    <cellStyle name="Percent 5 2 9 2" xfId="5001"/>
    <cellStyle name="Percent 5 2 9 2 2" xfId="11042"/>
    <cellStyle name="Percent 5 2 9 2 2 2" xfId="28089"/>
    <cellStyle name="Percent 5 2 9 2 2 2 2" xfId="56950"/>
    <cellStyle name="Percent 5 2 9 2 2 3" xfId="39903"/>
    <cellStyle name="Percent 5 2 9 2 3" xfId="22111"/>
    <cellStyle name="Percent 5 2 9 2 3 2" xfId="50972"/>
    <cellStyle name="Percent 5 2 9 2 4" xfId="33862"/>
    <cellStyle name="Percent 5 2 9 3" xfId="8156"/>
    <cellStyle name="Percent 5 2 9 3 2" xfId="25203"/>
    <cellStyle name="Percent 5 2 9 3 2 2" xfId="54064"/>
    <cellStyle name="Percent 5 2 9 3 3" xfId="37017"/>
    <cellStyle name="Percent 5 2 9 4" xfId="13810"/>
    <cellStyle name="Percent 5 2 9 4 2" xfId="19431"/>
    <cellStyle name="Percent 5 2 9 4 2 2" xfId="48292"/>
    <cellStyle name="Percent 5 2 9 4 3" xfId="42671"/>
    <cellStyle name="Percent 5 2 9 5" xfId="16751"/>
    <cellStyle name="Percent 5 2 9 5 2" xfId="45612"/>
    <cellStyle name="Percent 5 2 9 6" xfId="30976"/>
    <cellStyle name="Percent 5 20" xfId="29019"/>
    <cellStyle name="Percent 5 3" xfId="260"/>
    <cellStyle name="Percent 5 3 2" xfId="672"/>
    <cellStyle name="Percent 5 3 2 2" xfId="3559"/>
    <cellStyle name="Percent 5 3 2 2 2" xfId="9600"/>
    <cellStyle name="Percent 5 3 2 2 2 2" xfId="26647"/>
    <cellStyle name="Percent 5 3 2 2 2 2 2" xfId="55508"/>
    <cellStyle name="Percent 5 3 2 2 2 3" xfId="38461"/>
    <cellStyle name="Percent 5 3 2 2 3" xfId="20669"/>
    <cellStyle name="Percent 5 3 2 2 3 2" xfId="49530"/>
    <cellStyle name="Percent 5 3 2 2 4" xfId="32420"/>
    <cellStyle name="Percent 5 3 2 3" xfId="6714"/>
    <cellStyle name="Percent 5 3 2 3 2" xfId="23761"/>
    <cellStyle name="Percent 5 3 2 3 2 2" xfId="52622"/>
    <cellStyle name="Percent 5 3 2 3 3" xfId="35575"/>
    <cellStyle name="Percent 5 3 2 4" xfId="14058"/>
    <cellStyle name="Percent 5 3 2 4 2" xfId="17989"/>
    <cellStyle name="Percent 5 3 2 4 2 2" xfId="46850"/>
    <cellStyle name="Percent 5 3 2 4 3" xfId="42919"/>
    <cellStyle name="Percent 5 3 2 5" xfId="15309"/>
    <cellStyle name="Percent 5 3 2 5 2" xfId="44170"/>
    <cellStyle name="Percent 5 3 2 6" xfId="29534"/>
    <cellStyle name="Percent 5 3 3" xfId="2217"/>
    <cellStyle name="Percent 5 3 3 2" xfId="5104"/>
    <cellStyle name="Percent 5 3 3 2 2" xfId="11145"/>
    <cellStyle name="Percent 5 3 3 2 2 2" xfId="28192"/>
    <cellStyle name="Percent 5 3 3 2 2 2 2" xfId="57053"/>
    <cellStyle name="Percent 5 3 3 2 2 3" xfId="40006"/>
    <cellStyle name="Percent 5 3 3 2 3" xfId="22214"/>
    <cellStyle name="Percent 5 3 3 2 3 2" xfId="51075"/>
    <cellStyle name="Percent 5 3 3 2 4" xfId="33965"/>
    <cellStyle name="Percent 5 3 3 3" xfId="8259"/>
    <cellStyle name="Percent 5 3 3 3 2" xfId="25306"/>
    <cellStyle name="Percent 5 3 3 3 2 2" xfId="54167"/>
    <cellStyle name="Percent 5 3 3 3 3" xfId="37120"/>
    <cellStyle name="Percent 5 3 3 4" xfId="13503"/>
    <cellStyle name="Percent 5 3 3 4 2" xfId="19534"/>
    <cellStyle name="Percent 5 3 3 4 2 2" xfId="48395"/>
    <cellStyle name="Percent 5 3 3 4 3" xfId="42364"/>
    <cellStyle name="Percent 5 3 3 5" xfId="16854"/>
    <cellStyle name="Percent 5 3 3 5 2" xfId="45715"/>
    <cellStyle name="Percent 5 3 3 6" xfId="31079"/>
    <cellStyle name="Percent 5 3 4" xfId="3147"/>
    <cellStyle name="Percent 5 3 4 2" xfId="9188"/>
    <cellStyle name="Percent 5 3 4 2 2" xfId="26235"/>
    <cellStyle name="Percent 5 3 4 2 2 2" xfId="55096"/>
    <cellStyle name="Percent 5 3 4 2 3" xfId="38049"/>
    <cellStyle name="Percent 5 3 4 3" xfId="20257"/>
    <cellStyle name="Percent 5 3 4 3 2" xfId="49118"/>
    <cellStyle name="Percent 5 3 4 4" xfId="32008"/>
    <cellStyle name="Percent 5 3 5" xfId="6302"/>
    <cellStyle name="Percent 5 3 5 2" xfId="23349"/>
    <cellStyle name="Percent 5 3 5 2 2" xfId="52210"/>
    <cellStyle name="Percent 5 3 5 3" xfId="35163"/>
    <cellStyle name="Percent 5 3 6" xfId="6087"/>
    <cellStyle name="Percent 5 3 6 2" xfId="17680"/>
    <cellStyle name="Percent 5 3 6 2 2" xfId="46541"/>
    <cellStyle name="Percent 5 3 6 3" xfId="34948"/>
    <cellStyle name="Percent 5 3 7" xfId="14897"/>
    <cellStyle name="Percent 5 3 7 2" xfId="43758"/>
    <cellStyle name="Percent 5 3 8" xfId="29122"/>
    <cellStyle name="Percent 5 4" xfId="466"/>
    <cellStyle name="Percent 5 4 2" xfId="3353"/>
    <cellStyle name="Percent 5 4 2 2" xfId="9394"/>
    <cellStyle name="Percent 5 4 2 2 2" xfId="26441"/>
    <cellStyle name="Percent 5 4 2 2 2 2" xfId="55302"/>
    <cellStyle name="Percent 5 4 2 2 3" xfId="38255"/>
    <cellStyle name="Percent 5 4 2 3" xfId="20463"/>
    <cellStyle name="Percent 5 4 2 3 2" xfId="49324"/>
    <cellStyle name="Percent 5 4 2 4" xfId="32214"/>
    <cellStyle name="Percent 5 4 3" xfId="6508"/>
    <cellStyle name="Percent 5 4 3 2" xfId="23555"/>
    <cellStyle name="Percent 5 4 3 2 2" xfId="52416"/>
    <cellStyle name="Percent 5 4 3 3" xfId="35369"/>
    <cellStyle name="Percent 5 4 4" xfId="12506"/>
    <cellStyle name="Percent 5 4 4 2" xfId="17783"/>
    <cellStyle name="Percent 5 4 4 2 2" xfId="46644"/>
    <cellStyle name="Percent 5 4 4 3" xfId="41367"/>
    <cellStyle name="Percent 5 4 5" xfId="15103"/>
    <cellStyle name="Percent 5 4 5 2" xfId="43964"/>
    <cellStyle name="Percent 5 4 6" xfId="29328"/>
    <cellStyle name="Percent 5 5" xfId="775"/>
    <cellStyle name="Percent 5 5 2" xfId="3662"/>
    <cellStyle name="Percent 5 5 2 2" xfId="9703"/>
    <cellStyle name="Percent 5 5 2 2 2" xfId="26750"/>
    <cellStyle name="Percent 5 5 2 2 2 2" xfId="55611"/>
    <cellStyle name="Percent 5 5 2 2 3" xfId="38564"/>
    <cellStyle name="Percent 5 5 2 3" xfId="20772"/>
    <cellStyle name="Percent 5 5 2 3 2" xfId="49633"/>
    <cellStyle name="Percent 5 5 2 4" xfId="32523"/>
    <cellStyle name="Percent 5 5 3" xfId="6817"/>
    <cellStyle name="Percent 5 5 3 2" xfId="23864"/>
    <cellStyle name="Percent 5 5 3 2 2" xfId="52725"/>
    <cellStyle name="Percent 5 5 3 3" xfId="35678"/>
    <cellStyle name="Percent 5 5 4" xfId="13355"/>
    <cellStyle name="Percent 5 5 4 2" xfId="18092"/>
    <cellStyle name="Percent 5 5 4 2 2" xfId="46953"/>
    <cellStyle name="Percent 5 5 4 3" xfId="42216"/>
    <cellStyle name="Percent 5 5 5" xfId="15412"/>
    <cellStyle name="Percent 5 5 5 2" xfId="44273"/>
    <cellStyle name="Percent 5 5 6" xfId="29637"/>
    <cellStyle name="Percent 5 6" xfId="981"/>
    <cellStyle name="Percent 5 6 2" xfId="3868"/>
    <cellStyle name="Percent 5 6 2 2" xfId="9909"/>
    <cellStyle name="Percent 5 6 2 2 2" xfId="26956"/>
    <cellStyle name="Percent 5 6 2 2 2 2" xfId="55817"/>
    <cellStyle name="Percent 5 6 2 2 3" xfId="38770"/>
    <cellStyle name="Percent 5 6 2 3" xfId="20978"/>
    <cellStyle name="Percent 5 6 2 3 2" xfId="49839"/>
    <cellStyle name="Percent 5 6 2 4" xfId="32729"/>
    <cellStyle name="Percent 5 6 3" xfId="7023"/>
    <cellStyle name="Percent 5 6 3 2" xfId="24070"/>
    <cellStyle name="Percent 5 6 3 2 2" xfId="52931"/>
    <cellStyle name="Percent 5 6 3 3" xfId="35884"/>
    <cellStyle name="Percent 5 6 4" xfId="6082"/>
    <cellStyle name="Percent 5 6 4 2" xfId="18298"/>
    <cellStyle name="Percent 5 6 4 2 2" xfId="47159"/>
    <cellStyle name="Percent 5 6 4 3" xfId="34943"/>
    <cellStyle name="Percent 5 6 5" xfId="15618"/>
    <cellStyle name="Percent 5 6 5 2" xfId="44479"/>
    <cellStyle name="Percent 5 6 6" xfId="29843"/>
    <cellStyle name="Percent 5 7" xfId="1187"/>
    <cellStyle name="Percent 5 7 2" xfId="4074"/>
    <cellStyle name="Percent 5 7 2 2" xfId="10115"/>
    <cellStyle name="Percent 5 7 2 2 2" xfId="27162"/>
    <cellStyle name="Percent 5 7 2 2 2 2" xfId="56023"/>
    <cellStyle name="Percent 5 7 2 2 3" xfId="38976"/>
    <cellStyle name="Percent 5 7 2 3" xfId="21184"/>
    <cellStyle name="Percent 5 7 2 3 2" xfId="50045"/>
    <cellStyle name="Percent 5 7 2 4" xfId="32935"/>
    <cellStyle name="Percent 5 7 3" xfId="7229"/>
    <cellStyle name="Percent 5 7 3 2" xfId="24276"/>
    <cellStyle name="Percent 5 7 3 2 2" xfId="53137"/>
    <cellStyle name="Percent 5 7 3 3" xfId="36090"/>
    <cellStyle name="Percent 5 7 4" xfId="14049"/>
    <cellStyle name="Percent 5 7 4 2" xfId="18504"/>
    <cellStyle name="Percent 5 7 4 2 2" xfId="47365"/>
    <cellStyle name="Percent 5 7 4 3" xfId="42910"/>
    <cellStyle name="Percent 5 7 5" xfId="15824"/>
    <cellStyle name="Percent 5 7 5 2" xfId="44685"/>
    <cellStyle name="Percent 5 7 6" xfId="30049"/>
    <cellStyle name="Percent 5 8" xfId="1393"/>
    <cellStyle name="Percent 5 8 2" xfId="4280"/>
    <cellStyle name="Percent 5 8 2 2" xfId="10321"/>
    <cellStyle name="Percent 5 8 2 2 2" xfId="27368"/>
    <cellStyle name="Percent 5 8 2 2 2 2" xfId="56229"/>
    <cellStyle name="Percent 5 8 2 2 3" xfId="39182"/>
    <cellStyle name="Percent 5 8 2 3" xfId="21390"/>
    <cellStyle name="Percent 5 8 2 3 2" xfId="50251"/>
    <cellStyle name="Percent 5 8 2 4" xfId="33141"/>
    <cellStyle name="Percent 5 8 3" xfId="7435"/>
    <cellStyle name="Percent 5 8 3 2" xfId="24482"/>
    <cellStyle name="Percent 5 8 3 2 2" xfId="53343"/>
    <cellStyle name="Percent 5 8 3 3" xfId="36296"/>
    <cellStyle name="Percent 5 8 4" xfId="11935"/>
    <cellStyle name="Percent 5 8 4 2" xfId="18710"/>
    <cellStyle name="Percent 5 8 4 2 2" xfId="47571"/>
    <cellStyle name="Percent 5 8 4 3" xfId="40796"/>
    <cellStyle name="Percent 5 8 5" xfId="16030"/>
    <cellStyle name="Percent 5 8 5 2" xfId="44891"/>
    <cellStyle name="Percent 5 8 6" xfId="30255"/>
    <cellStyle name="Percent 5 9" xfId="1599"/>
    <cellStyle name="Percent 5 9 2" xfId="4486"/>
    <cellStyle name="Percent 5 9 2 2" xfId="10527"/>
    <cellStyle name="Percent 5 9 2 2 2" xfId="27574"/>
    <cellStyle name="Percent 5 9 2 2 2 2" xfId="56435"/>
    <cellStyle name="Percent 5 9 2 2 3" xfId="39388"/>
    <cellStyle name="Percent 5 9 2 3" xfId="21596"/>
    <cellStyle name="Percent 5 9 2 3 2" xfId="50457"/>
    <cellStyle name="Percent 5 9 2 4" xfId="33347"/>
    <cellStyle name="Percent 5 9 3" xfId="7641"/>
    <cellStyle name="Percent 5 9 3 2" xfId="24688"/>
    <cellStyle name="Percent 5 9 3 2 2" xfId="53549"/>
    <cellStyle name="Percent 5 9 3 3" xfId="36502"/>
    <cellStyle name="Percent 5 9 4" xfId="13733"/>
    <cellStyle name="Percent 5 9 4 2" xfId="18916"/>
    <cellStyle name="Percent 5 9 4 2 2" xfId="47777"/>
    <cellStyle name="Percent 5 9 4 3" xfId="42594"/>
    <cellStyle name="Percent 5 9 5" xfId="16236"/>
    <cellStyle name="Percent 5 9 5 2" xfId="45097"/>
    <cellStyle name="Percent 5 9 6" xfId="30461"/>
    <cellStyle name="Percent 6" xfId="161"/>
    <cellStyle name="Percent 6 10" xfId="1809"/>
    <cellStyle name="Percent 6 10 2" xfId="4696"/>
    <cellStyle name="Percent 6 10 2 2" xfId="10737"/>
    <cellStyle name="Percent 6 10 2 2 2" xfId="27784"/>
    <cellStyle name="Percent 6 10 2 2 2 2" xfId="56645"/>
    <cellStyle name="Percent 6 10 2 2 3" xfId="39598"/>
    <cellStyle name="Percent 6 10 2 3" xfId="21806"/>
    <cellStyle name="Percent 6 10 2 3 2" xfId="50667"/>
    <cellStyle name="Percent 6 10 2 4" xfId="33557"/>
    <cellStyle name="Percent 6 10 3" xfId="7851"/>
    <cellStyle name="Percent 6 10 3 2" xfId="24898"/>
    <cellStyle name="Percent 6 10 3 2 2" xfId="53759"/>
    <cellStyle name="Percent 6 10 3 3" xfId="36712"/>
    <cellStyle name="Percent 6 10 4" xfId="12226"/>
    <cellStyle name="Percent 6 10 4 2" xfId="19126"/>
    <cellStyle name="Percent 6 10 4 2 2" xfId="47987"/>
    <cellStyle name="Percent 6 10 4 3" xfId="41087"/>
    <cellStyle name="Percent 6 10 5" xfId="16446"/>
    <cellStyle name="Percent 6 10 5 2" xfId="45307"/>
    <cellStyle name="Percent 6 10 6" xfId="30671"/>
    <cellStyle name="Percent 6 11" xfId="2015"/>
    <cellStyle name="Percent 6 11 2" xfId="4902"/>
    <cellStyle name="Percent 6 11 2 2" xfId="10943"/>
    <cellStyle name="Percent 6 11 2 2 2" xfId="27990"/>
    <cellStyle name="Percent 6 11 2 2 2 2" xfId="56851"/>
    <cellStyle name="Percent 6 11 2 2 3" xfId="39804"/>
    <cellStyle name="Percent 6 11 2 3" xfId="22012"/>
    <cellStyle name="Percent 6 11 2 3 2" xfId="50873"/>
    <cellStyle name="Percent 6 11 2 4" xfId="33763"/>
    <cellStyle name="Percent 6 11 3" xfId="8057"/>
    <cellStyle name="Percent 6 11 3 2" xfId="25104"/>
    <cellStyle name="Percent 6 11 3 2 2" xfId="53965"/>
    <cellStyle name="Percent 6 11 3 3" xfId="36918"/>
    <cellStyle name="Percent 6 11 4" xfId="12993"/>
    <cellStyle name="Percent 6 11 4 2" xfId="19332"/>
    <cellStyle name="Percent 6 11 4 2 2" xfId="48193"/>
    <cellStyle name="Percent 6 11 4 3" xfId="41854"/>
    <cellStyle name="Percent 6 11 5" xfId="16652"/>
    <cellStyle name="Percent 6 11 5 2" xfId="45513"/>
    <cellStyle name="Percent 6 11 6" xfId="30877"/>
    <cellStyle name="Percent 6 12" xfId="2427"/>
    <cellStyle name="Percent 6 12 2" xfId="5314"/>
    <cellStyle name="Percent 6 12 2 2" xfId="11355"/>
    <cellStyle name="Percent 6 12 2 2 2" xfId="28402"/>
    <cellStyle name="Percent 6 12 2 2 2 2" xfId="57263"/>
    <cellStyle name="Percent 6 12 2 2 3" xfId="40216"/>
    <cellStyle name="Percent 6 12 2 3" xfId="22424"/>
    <cellStyle name="Percent 6 12 2 3 2" xfId="51285"/>
    <cellStyle name="Percent 6 12 2 4" xfId="34175"/>
    <cellStyle name="Percent 6 12 3" xfId="8469"/>
    <cellStyle name="Percent 6 12 3 2" xfId="25516"/>
    <cellStyle name="Percent 6 12 3 2 2" xfId="54377"/>
    <cellStyle name="Percent 6 12 3 3" xfId="37330"/>
    <cellStyle name="Percent 6 12 4" xfId="12622"/>
    <cellStyle name="Percent 6 12 4 2" xfId="19744"/>
    <cellStyle name="Percent 6 12 4 2 2" xfId="48605"/>
    <cellStyle name="Percent 6 12 4 3" xfId="41483"/>
    <cellStyle name="Percent 6 12 5" xfId="17064"/>
    <cellStyle name="Percent 6 12 5 2" xfId="45925"/>
    <cellStyle name="Percent 6 12 6" xfId="31289"/>
    <cellStyle name="Percent 6 13" xfId="2636"/>
    <cellStyle name="Percent 6 13 2" xfId="5522"/>
    <cellStyle name="Percent 6 13 2 2" xfId="11563"/>
    <cellStyle name="Percent 6 13 2 2 2" xfId="28610"/>
    <cellStyle name="Percent 6 13 2 2 2 2" xfId="57471"/>
    <cellStyle name="Percent 6 13 2 2 3" xfId="40424"/>
    <cellStyle name="Percent 6 13 2 3" xfId="22632"/>
    <cellStyle name="Percent 6 13 2 3 2" xfId="51493"/>
    <cellStyle name="Percent 6 13 2 4" xfId="34383"/>
    <cellStyle name="Percent 6 13 3" xfId="8677"/>
    <cellStyle name="Percent 6 13 3 2" xfId="25724"/>
    <cellStyle name="Percent 6 13 3 2 2" xfId="54585"/>
    <cellStyle name="Percent 6 13 3 3" xfId="37538"/>
    <cellStyle name="Percent 6 13 4" xfId="14406"/>
    <cellStyle name="Percent 6 13 4 2" xfId="19952"/>
    <cellStyle name="Percent 6 13 4 2 2" xfId="48813"/>
    <cellStyle name="Percent 6 13 4 3" xfId="43267"/>
    <cellStyle name="Percent 6 13 5" xfId="17272"/>
    <cellStyle name="Percent 6 13 5 2" xfId="46133"/>
    <cellStyle name="Percent 6 13 6" xfId="31497"/>
    <cellStyle name="Percent 6 14" xfId="3048"/>
    <cellStyle name="Percent 6 14 2" xfId="9089"/>
    <cellStyle name="Percent 6 14 2 2" xfId="26136"/>
    <cellStyle name="Percent 6 14 2 2 2" xfId="54997"/>
    <cellStyle name="Percent 6 14 2 3" xfId="37950"/>
    <cellStyle name="Percent 6 14 3" xfId="12692"/>
    <cellStyle name="Percent 6 14 3 2" xfId="20158"/>
    <cellStyle name="Percent 6 14 3 2 2" xfId="49019"/>
    <cellStyle name="Percent 6 14 3 3" xfId="41553"/>
    <cellStyle name="Percent 6 14 4" xfId="14798"/>
    <cellStyle name="Percent 6 14 4 2" xfId="43659"/>
    <cellStyle name="Percent 6 14 5" xfId="31909"/>
    <cellStyle name="Percent 6 15" xfId="2842"/>
    <cellStyle name="Percent 6 15 2" xfId="8883"/>
    <cellStyle name="Percent 6 15 2 2" xfId="25930"/>
    <cellStyle name="Percent 6 15 2 2 2" xfId="54791"/>
    <cellStyle name="Percent 6 15 2 3" xfId="37744"/>
    <cellStyle name="Percent 6 15 3" xfId="17478"/>
    <cellStyle name="Percent 6 15 3 2" xfId="46339"/>
    <cellStyle name="Percent 6 15 4" xfId="31703"/>
    <cellStyle name="Percent 6 16" xfId="5728"/>
    <cellStyle name="Percent 6 16 2" xfId="11769"/>
    <cellStyle name="Percent 6 16 2 2" xfId="28816"/>
    <cellStyle name="Percent 6 16 2 2 2" xfId="57677"/>
    <cellStyle name="Percent 6 16 2 3" xfId="40630"/>
    <cellStyle name="Percent 6 16 3" xfId="22838"/>
    <cellStyle name="Percent 6 16 3 2" xfId="51699"/>
    <cellStyle name="Percent 6 16 4" xfId="34589"/>
    <cellStyle name="Percent 6 17" xfId="5945"/>
    <cellStyle name="Percent 6 17 2" xfId="23044"/>
    <cellStyle name="Percent 6 17 2 2" xfId="51905"/>
    <cellStyle name="Percent 6 17 3" xfId="34806"/>
    <cellStyle name="Percent 6 18" xfId="6203"/>
    <cellStyle name="Percent 6 18 2" xfId="23250"/>
    <cellStyle name="Percent 6 18 2 2" xfId="52111"/>
    <cellStyle name="Percent 6 18 3" xfId="35064"/>
    <cellStyle name="Percent 6 19" xfId="14592"/>
    <cellStyle name="Percent 6 19 2" xfId="43453"/>
    <cellStyle name="Percent 6 2" xfId="367"/>
    <cellStyle name="Percent 6 2 10" xfId="2530"/>
    <cellStyle name="Percent 6 2 10 2" xfId="5417"/>
    <cellStyle name="Percent 6 2 10 2 2" xfId="11458"/>
    <cellStyle name="Percent 6 2 10 2 2 2" xfId="28505"/>
    <cellStyle name="Percent 6 2 10 2 2 2 2" xfId="57366"/>
    <cellStyle name="Percent 6 2 10 2 2 3" xfId="40319"/>
    <cellStyle name="Percent 6 2 10 2 3" xfId="22527"/>
    <cellStyle name="Percent 6 2 10 2 3 2" xfId="51388"/>
    <cellStyle name="Percent 6 2 10 2 4" xfId="34278"/>
    <cellStyle name="Percent 6 2 10 3" xfId="8572"/>
    <cellStyle name="Percent 6 2 10 3 2" xfId="25619"/>
    <cellStyle name="Percent 6 2 10 3 2 2" xfId="54480"/>
    <cellStyle name="Percent 6 2 10 3 3" xfId="37433"/>
    <cellStyle name="Percent 6 2 10 4" xfId="13406"/>
    <cellStyle name="Percent 6 2 10 4 2" xfId="19847"/>
    <cellStyle name="Percent 6 2 10 4 2 2" xfId="48708"/>
    <cellStyle name="Percent 6 2 10 4 3" xfId="42267"/>
    <cellStyle name="Percent 6 2 10 5" xfId="17167"/>
    <cellStyle name="Percent 6 2 10 5 2" xfId="46028"/>
    <cellStyle name="Percent 6 2 10 6" xfId="31392"/>
    <cellStyle name="Percent 6 2 11" xfId="2739"/>
    <cellStyle name="Percent 6 2 11 2" xfId="5625"/>
    <cellStyle name="Percent 6 2 11 2 2" xfId="11666"/>
    <cellStyle name="Percent 6 2 11 2 2 2" xfId="28713"/>
    <cellStyle name="Percent 6 2 11 2 2 2 2" xfId="57574"/>
    <cellStyle name="Percent 6 2 11 2 2 3" xfId="40527"/>
    <cellStyle name="Percent 6 2 11 2 3" xfId="22735"/>
    <cellStyle name="Percent 6 2 11 2 3 2" xfId="51596"/>
    <cellStyle name="Percent 6 2 11 2 4" xfId="34486"/>
    <cellStyle name="Percent 6 2 11 3" xfId="8780"/>
    <cellStyle name="Percent 6 2 11 3 2" xfId="25827"/>
    <cellStyle name="Percent 6 2 11 3 2 2" xfId="54688"/>
    <cellStyle name="Percent 6 2 11 3 3" xfId="37641"/>
    <cellStyle name="Percent 6 2 11 4" xfId="13328"/>
    <cellStyle name="Percent 6 2 11 4 2" xfId="20055"/>
    <cellStyle name="Percent 6 2 11 4 2 2" xfId="48916"/>
    <cellStyle name="Percent 6 2 11 4 3" xfId="42189"/>
    <cellStyle name="Percent 6 2 11 5" xfId="17375"/>
    <cellStyle name="Percent 6 2 11 5 2" xfId="46236"/>
    <cellStyle name="Percent 6 2 11 6" xfId="31600"/>
    <cellStyle name="Percent 6 2 12" xfId="3254"/>
    <cellStyle name="Percent 6 2 12 2" xfId="9295"/>
    <cellStyle name="Percent 6 2 12 2 2" xfId="26342"/>
    <cellStyle name="Percent 6 2 12 2 2 2" xfId="55203"/>
    <cellStyle name="Percent 6 2 12 2 3" xfId="38156"/>
    <cellStyle name="Percent 6 2 12 3" xfId="12242"/>
    <cellStyle name="Percent 6 2 12 3 2" xfId="20364"/>
    <cellStyle name="Percent 6 2 12 3 2 2" xfId="49225"/>
    <cellStyle name="Percent 6 2 12 3 3" xfId="41103"/>
    <cellStyle name="Percent 6 2 12 4" xfId="15004"/>
    <cellStyle name="Percent 6 2 12 4 2" xfId="43865"/>
    <cellStyle name="Percent 6 2 12 5" xfId="32115"/>
    <cellStyle name="Percent 6 2 13" xfId="2945"/>
    <cellStyle name="Percent 6 2 13 2" xfId="8986"/>
    <cellStyle name="Percent 6 2 13 2 2" xfId="26033"/>
    <cellStyle name="Percent 6 2 13 2 2 2" xfId="54894"/>
    <cellStyle name="Percent 6 2 13 2 3" xfId="37847"/>
    <cellStyle name="Percent 6 2 13 3" xfId="17581"/>
    <cellStyle name="Percent 6 2 13 3 2" xfId="46442"/>
    <cellStyle name="Percent 6 2 13 4" xfId="31806"/>
    <cellStyle name="Percent 6 2 14" xfId="5831"/>
    <cellStyle name="Percent 6 2 14 2" xfId="11872"/>
    <cellStyle name="Percent 6 2 14 2 2" xfId="28919"/>
    <cellStyle name="Percent 6 2 14 2 2 2" xfId="57780"/>
    <cellStyle name="Percent 6 2 14 2 3" xfId="40733"/>
    <cellStyle name="Percent 6 2 14 3" xfId="22941"/>
    <cellStyle name="Percent 6 2 14 3 2" xfId="51802"/>
    <cellStyle name="Percent 6 2 14 4" xfId="34692"/>
    <cellStyle name="Percent 6 2 15" xfId="6048"/>
    <cellStyle name="Percent 6 2 15 2" xfId="23147"/>
    <cellStyle name="Percent 6 2 15 2 2" xfId="52008"/>
    <cellStyle name="Percent 6 2 15 3" xfId="34909"/>
    <cellStyle name="Percent 6 2 16" xfId="6409"/>
    <cellStyle name="Percent 6 2 16 2" xfId="23456"/>
    <cellStyle name="Percent 6 2 16 2 2" xfId="52317"/>
    <cellStyle name="Percent 6 2 16 3" xfId="35270"/>
    <cellStyle name="Percent 6 2 17" xfId="14695"/>
    <cellStyle name="Percent 6 2 17 2" xfId="43556"/>
    <cellStyle name="Percent 6 2 18" xfId="29229"/>
    <cellStyle name="Percent 6 2 2" xfId="573"/>
    <cellStyle name="Percent 6 2 2 2" xfId="2324"/>
    <cellStyle name="Percent 6 2 2 2 2" xfId="5211"/>
    <cellStyle name="Percent 6 2 2 2 2 2" xfId="11252"/>
    <cellStyle name="Percent 6 2 2 2 2 2 2" xfId="28299"/>
    <cellStyle name="Percent 6 2 2 2 2 2 2 2" xfId="57160"/>
    <cellStyle name="Percent 6 2 2 2 2 2 3" xfId="40113"/>
    <cellStyle name="Percent 6 2 2 2 2 3" xfId="22321"/>
    <cellStyle name="Percent 6 2 2 2 2 3 2" xfId="51182"/>
    <cellStyle name="Percent 6 2 2 2 2 4" xfId="34072"/>
    <cellStyle name="Percent 6 2 2 2 3" xfId="8366"/>
    <cellStyle name="Percent 6 2 2 2 3 2" xfId="25413"/>
    <cellStyle name="Percent 6 2 2 2 3 2 2" xfId="54274"/>
    <cellStyle name="Percent 6 2 2 2 3 3" xfId="37227"/>
    <cellStyle name="Percent 6 2 2 2 4" xfId="13534"/>
    <cellStyle name="Percent 6 2 2 2 4 2" xfId="19641"/>
    <cellStyle name="Percent 6 2 2 2 4 2 2" xfId="48502"/>
    <cellStyle name="Percent 6 2 2 2 4 3" xfId="42395"/>
    <cellStyle name="Percent 6 2 2 2 5" xfId="16961"/>
    <cellStyle name="Percent 6 2 2 2 5 2" xfId="45822"/>
    <cellStyle name="Percent 6 2 2 2 6" xfId="31186"/>
    <cellStyle name="Percent 6 2 2 3" xfId="3460"/>
    <cellStyle name="Percent 6 2 2 3 2" xfId="9501"/>
    <cellStyle name="Percent 6 2 2 3 2 2" xfId="26548"/>
    <cellStyle name="Percent 6 2 2 3 2 2 2" xfId="55409"/>
    <cellStyle name="Percent 6 2 2 3 2 3" xfId="38362"/>
    <cellStyle name="Percent 6 2 2 3 3" xfId="20570"/>
    <cellStyle name="Percent 6 2 2 3 3 2" xfId="49431"/>
    <cellStyle name="Percent 6 2 2 3 4" xfId="32321"/>
    <cellStyle name="Percent 6 2 2 4" xfId="6615"/>
    <cellStyle name="Percent 6 2 2 4 2" xfId="23662"/>
    <cellStyle name="Percent 6 2 2 4 2 2" xfId="52523"/>
    <cellStyle name="Percent 6 2 2 4 3" xfId="35476"/>
    <cellStyle name="Percent 6 2 2 5" xfId="12787"/>
    <cellStyle name="Percent 6 2 2 5 2" xfId="17890"/>
    <cellStyle name="Percent 6 2 2 5 2 2" xfId="46751"/>
    <cellStyle name="Percent 6 2 2 5 3" xfId="41648"/>
    <cellStyle name="Percent 6 2 2 6" xfId="15210"/>
    <cellStyle name="Percent 6 2 2 6 2" xfId="44071"/>
    <cellStyle name="Percent 6 2 2 7" xfId="29435"/>
    <cellStyle name="Percent 6 2 3" xfId="882"/>
    <cellStyle name="Percent 6 2 3 2" xfId="3769"/>
    <cellStyle name="Percent 6 2 3 2 2" xfId="9810"/>
    <cellStyle name="Percent 6 2 3 2 2 2" xfId="26857"/>
    <cellStyle name="Percent 6 2 3 2 2 2 2" xfId="55718"/>
    <cellStyle name="Percent 6 2 3 2 2 3" xfId="38671"/>
    <cellStyle name="Percent 6 2 3 2 3" xfId="20879"/>
    <cellStyle name="Percent 6 2 3 2 3 2" xfId="49740"/>
    <cellStyle name="Percent 6 2 3 2 4" xfId="32630"/>
    <cellStyle name="Percent 6 2 3 3" xfId="6924"/>
    <cellStyle name="Percent 6 2 3 3 2" xfId="23971"/>
    <cellStyle name="Percent 6 2 3 3 2 2" xfId="52832"/>
    <cellStyle name="Percent 6 2 3 3 3" xfId="35785"/>
    <cellStyle name="Percent 6 2 3 4" xfId="12999"/>
    <cellStyle name="Percent 6 2 3 4 2" xfId="18199"/>
    <cellStyle name="Percent 6 2 3 4 2 2" xfId="47060"/>
    <cellStyle name="Percent 6 2 3 4 3" xfId="41860"/>
    <cellStyle name="Percent 6 2 3 5" xfId="15519"/>
    <cellStyle name="Percent 6 2 3 5 2" xfId="44380"/>
    <cellStyle name="Percent 6 2 3 6" xfId="29744"/>
    <cellStyle name="Percent 6 2 4" xfId="1088"/>
    <cellStyle name="Percent 6 2 4 2" xfId="3975"/>
    <cellStyle name="Percent 6 2 4 2 2" xfId="10016"/>
    <cellStyle name="Percent 6 2 4 2 2 2" xfId="27063"/>
    <cellStyle name="Percent 6 2 4 2 2 2 2" xfId="55924"/>
    <cellStyle name="Percent 6 2 4 2 2 3" xfId="38877"/>
    <cellStyle name="Percent 6 2 4 2 3" xfId="21085"/>
    <cellStyle name="Percent 6 2 4 2 3 2" xfId="49946"/>
    <cellStyle name="Percent 6 2 4 2 4" xfId="32836"/>
    <cellStyle name="Percent 6 2 4 3" xfId="7130"/>
    <cellStyle name="Percent 6 2 4 3 2" xfId="24177"/>
    <cellStyle name="Percent 6 2 4 3 2 2" xfId="53038"/>
    <cellStyle name="Percent 6 2 4 3 3" xfId="35991"/>
    <cellStyle name="Percent 6 2 4 4" xfId="12394"/>
    <cellStyle name="Percent 6 2 4 4 2" xfId="18405"/>
    <cellStyle name="Percent 6 2 4 4 2 2" xfId="47266"/>
    <cellStyle name="Percent 6 2 4 4 3" xfId="41255"/>
    <cellStyle name="Percent 6 2 4 5" xfId="15725"/>
    <cellStyle name="Percent 6 2 4 5 2" xfId="44586"/>
    <cellStyle name="Percent 6 2 4 6" xfId="29950"/>
    <cellStyle name="Percent 6 2 5" xfId="1294"/>
    <cellStyle name="Percent 6 2 5 2" xfId="4181"/>
    <cellStyle name="Percent 6 2 5 2 2" xfId="10222"/>
    <cellStyle name="Percent 6 2 5 2 2 2" xfId="27269"/>
    <cellStyle name="Percent 6 2 5 2 2 2 2" xfId="56130"/>
    <cellStyle name="Percent 6 2 5 2 2 3" xfId="39083"/>
    <cellStyle name="Percent 6 2 5 2 3" xfId="21291"/>
    <cellStyle name="Percent 6 2 5 2 3 2" xfId="50152"/>
    <cellStyle name="Percent 6 2 5 2 4" xfId="33042"/>
    <cellStyle name="Percent 6 2 5 3" xfId="7336"/>
    <cellStyle name="Percent 6 2 5 3 2" xfId="24383"/>
    <cellStyle name="Percent 6 2 5 3 2 2" xfId="53244"/>
    <cellStyle name="Percent 6 2 5 3 3" xfId="36197"/>
    <cellStyle name="Percent 6 2 5 4" xfId="12206"/>
    <cellStyle name="Percent 6 2 5 4 2" xfId="18611"/>
    <cellStyle name="Percent 6 2 5 4 2 2" xfId="47472"/>
    <cellStyle name="Percent 6 2 5 4 3" xfId="41067"/>
    <cellStyle name="Percent 6 2 5 5" xfId="15931"/>
    <cellStyle name="Percent 6 2 5 5 2" xfId="44792"/>
    <cellStyle name="Percent 6 2 5 6" xfId="30156"/>
    <cellStyle name="Percent 6 2 6" xfId="1500"/>
    <cellStyle name="Percent 6 2 6 2" xfId="4387"/>
    <cellStyle name="Percent 6 2 6 2 2" xfId="10428"/>
    <cellStyle name="Percent 6 2 6 2 2 2" xfId="27475"/>
    <cellStyle name="Percent 6 2 6 2 2 2 2" xfId="56336"/>
    <cellStyle name="Percent 6 2 6 2 2 3" xfId="39289"/>
    <cellStyle name="Percent 6 2 6 2 3" xfId="21497"/>
    <cellStyle name="Percent 6 2 6 2 3 2" xfId="50358"/>
    <cellStyle name="Percent 6 2 6 2 4" xfId="33248"/>
    <cellStyle name="Percent 6 2 6 3" xfId="7542"/>
    <cellStyle name="Percent 6 2 6 3 2" xfId="24589"/>
    <cellStyle name="Percent 6 2 6 3 2 2" xfId="53450"/>
    <cellStyle name="Percent 6 2 6 3 3" xfId="36403"/>
    <cellStyle name="Percent 6 2 6 4" xfId="13380"/>
    <cellStyle name="Percent 6 2 6 4 2" xfId="18817"/>
    <cellStyle name="Percent 6 2 6 4 2 2" xfId="47678"/>
    <cellStyle name="Percent 6 2 6 4 3" xfId="42241"/>
    <cellStyle name="Percent 6 2 6 5" xfId="16137"/>
    <cellStyle name="Percent 6 2 6 5 2" xfId="44998"/>
    <cellStyle name="Percent 6 2 6 6" xfId="30362"/>
    <cellStyle name="Percent 6 2 7" xfId="1706"/>
    <cellStyle name="Percent 6 2 7 2" xfId="4593"/>
    <cellStyle name="Percent 6 2 7 2 2" xfId="10634"/>
    <cellStyle name="Percent 6 2 7 2 2 2" xfId="27681"/>
    <cellStyle name="Percent 6 2 7 2 2 2 2" xfId="56542"/>
    <cellStyle name="Percent 6 2 7 2 2 3" xfId="39495"/>
    <cellStyle name="Percent 6 2 7 2 3" xfId="21703"/>
    <cellStyle name="Percent 6 2 7 2 3 2" xfId="50564"/>
    <cellStyle name="Percent 6 2 7 2 4" xfId="33454"/>
    <cellStyle name="Percent 6 2 7 3" xfId="7748"/>
    <cellStyle name="Percent 6 2 7 3 2" xfId="24795"/>
    <cellStyle name="Percent 6 2 7 3 2 2" xfId="53656"/>
    <cellStyle name="Percent 6 2 7 3 3" xfId="36609"/>
    <cellStyle name="Percent 6 2 7 4" xfId="12841"/>
    <cellStyle name="Percent 6 2 7 4 2" xfId="19023"/>
    <cellStyle name="Percent 6 2 7 4 2 2" xfId="47884"/>
    <cellStyle name="Percent 6 2 7 4 3" xfId="41702"/>
    <cellStyle name="Percent 6 2 7 5" xfId="16343"/>
    <cellStyle name="Percent 6 2 7 5 2" xfId="45204"/>
    <cellStyle name="Percent 6 2 7 6" xfId="30568"/>
    <cellStyle name="Percent 6 2 8" xfId="1912"/>
    <cellStyle name="Percent 6 2 8 2" xfId="4799"/>
    <cellStyle name="Percent 6 2 8 2 2" xfId="10840"/>
    <cellStyle name="Percent 6 2 8 2 2 2" xfId="27887"/>
    <cellStyle name="Percent 6 2 8 2 2 2 2" xfId="56748"/>
    <cellStyle name="Percent 6 2 8 2 2 3" xfId="39701"/>
    <cellStyle name="Percent 6 2 8 2 3" xfId="21909"/>
    <cellStyle name="Percent 6 2 8 2 3 2" xfId="50770"/>
    <cellStyle name="Percent 6 2 8 2 4" xfId="33660"/>
    <cellStyle name="Percent 6 2 8 3" xfId="7954"/>
    <cellStyle name="Percent 6 2 8 3 2" xfId="25001"/>
    <cellStyle name="Percent 6 2 8 3 2 2" xfId="53862"/>
    <cellStyle name="Percent 6 2 8 3 3" xfId="36815"/>
    <cellStyle name="Percent 6 2 8 4" xfId="13155"/>
    <cellStyle name="Percent 6 2 8 4 2" xfId="19229"/>
    <cellStyle name="Percent 6 2 8 4 2 2" xfId="48090"/>
    <cellStyle name="Percent 6 2 8 4 3" xfId="42016"/>
    <cellStyle name="Percent 6 2 8 5" xfId="16549"/>
    <cellStyle name="Percent 6 2 8 5 2" xfId="45410"/>
    <cellStyle name="Percent 6 2 8 6" xfId="30774"/>
    <cellStyle name="Percent 6 2 9" xfId="2118"/>
    <cellStyle name="Percent 6 2 9 2" xfId="5005"/>
    <cellStyle name="Percent 6 2 9 2 2" xfId="11046"/>
    <cellStyle name="Percent 6 2 9 2 2 2" xfId="28093"/>
    <cellStyle name="Percent 6 2 9 2 2 2 2" xfId="56954"/>
    <cellStyle name="Percent 6 2 9 2 2 3" xfId="39907"/>
    <cellStyle name="Percent 6 2 9 2 3" xfId="22115"/>
    <cellStyle name="Percent 6 2 9 2 3 2" xfId="50976"/>
    <cellStyle name="Percent 6 2 9 2 4" xfId="33866"/>
    <cellStyle name="Percent 6 2 9 3" xfId="8160"/>
    <cellStyle name="Percent 6 2 9 3 2" xfId="25207"/>
    <cellStyle name="Percent 6 2 9 3 2 2" xfId="54068"/>
    <cellStyle name="Percent 6 2 9 3 3" xfId="37021"/>
    <cellStyle name="Percent 6 2 9 4" xfId="12109"/>
    <cellStyle name="Percent 6 2 9 4 2" xfId="19435"/>
    <cellStyle name="Percent 6 2 9 4 2 2" xfId="48296"/>
    <cellStyle name="Percent 6 2 9 4 3" xfId="40970"/>
    <cellStyle name="Percent 6 2 9 5" xfId="16755"/>
    <cellStyle name="Percent 6 2 9 5 2" xfId="45616"/>
    <cellStyle name="Percent 6 2 9 6" xfId="30980"/>
    <cellStyle name="Percent 6 20" xfId="29023"/>
    <cellStyle name="Percent 6 3" xfId="264"/>
    <cellStyle name="Percent 6 3 2" xfId="676"/>
    <cellStyle name="Percent 6 3 2 2" xfId="3563"/>
    <cellStyle name="Percent 6 3 2 2 2" xfId="9604"/>
    <cellStyle name="Percent 6 3 2 2 2 2" xfId="26651"/>
    <cellStyle name="Percent 6 3 2 2 2 2 2" xfId="55512"/>
    <cellStyle name="Percent 6 3 2 2 2 3" xfId="38465"/>
    <cellStyle name="Percent 6 3 2 2 3" xfId="20673"/>
    <cellStyle name="Percent 6 3 2 2 3 2" xfId="49534"/>
    <cellStyle name="Percent 6 3 2 2 4" xfId="32424"/>
    <cellStyle name="Percent 6 3 2 3" xfId="6718"/>
    <cellStyle name="Percent 6 3 2 3 2" xfId="23765"/>
    <cellStyle name="Percent 6 3 2 3 2 2" xfId="52626"/>
    <cellStyle name="Percent 6 3 2 3 3" xfId="35579"/>
    <cellStyle name="Percent 6 3 2 4" xfId="12730"/>
    <cellStyle name="Percent 6 3 2 4 2" xfId="17993"/>
    <cellStyle name="Percent 6 3 2 4 2 2" xfId="46854"/>
    <cellStyle name="Percent 6 3 2 4 3" xfId="41591"/>
    <cellStyle name="Percent 6 3 2 5" xfId="15313"/>
    <cellStyle name="Percent 6 3 2 5 2" xfId="44174"/>
    <cellStyle name="Percent 6 3 2 6" xfId="29538"/>
    <cellStyle name="Percent 6 3 3" xfId="2221"/>
    <cellStyle name="Percent 6 3 3 2" xfId="5108"/>
    <cellStyle name="Percent 6 3 3 2 2" xfId="11149"/>
    <cellStyle name="Percent 6 3 3 2 2 2" xfId="28196"/>
    <cellStyle name="Percent 6 3 3 2 2 2 2" xfId="57057"/>
    <cellStyle name="Percent 6 3 3 2 2 3" xfId="40010"/>
    <cellStyle name="Percent 6 3 3 2 3" xfId="22218"/>
    <cellStyle name="Percent 6 3 3 2 3 2" xfId="51079"/>
    <cellStyle name="Percent 6 3 3 2 4" xfId="33969"/>
    <cellStyle name="Percent 6 3 3 3" xfId="8263"/>
    <cellStyle name="Percent 6 3 3 3 2" xfId="25310"/>
    <cellStyle name="Percent 6 3 3 3 2 2" xfId="54171"/>
    <cellStyle name="Percent 6 3 3 3 3" xfId="37124"/>
    <cellStyle name="Percent 6 3 3 4" xfId="11924"/>
    <cellStyle name="Percent 6 3 3 4 2" xfId="19538"/>
    <cellStyle name="Percent 6 3 3 4 2 2" xfId="48399"/>
    <cellStyle name="Percent 6 3 3 4 3" xfId="40785"/>
    <cellStyle name="Percent 6 3 3 5" xfId="16858"/>
    <cellStyle name="Percent 6 3 3 5 2" xfId="45719"/>
    <cellStyle name="Percent 6 3 3 6" xfId="31083"/>
    <cellStyle name="Percent 6 3 4" xfId="3151"/>
    <cellStyle name="Percent 6 3 4 2" xfId="9192"/>
    <cellStyle name="Percent 6 3 4 2 2" xfId="26239"/>
    <cellStyle name="Percent 6 3 4 2 2 2" xfId="55100"/>
    <cellStyle name="Percent 6 3 4 2 3" xfId="38053"/>
    <cellStyle name="Percent 6 3 4 3" xfId="20261"/>
    <cellStyle name="Percent 6 3 4 3 2" xfId="49122"/>
    <cellStyle name="Percent 6 3 4 4" xfId="32012"/>
    <cellStyle name="Percent 6 3 5" xfId="6306"/>
    <cellStyle name="Percent 6 3 5 2" xfId="23353"/>
    <cellStyle name="Percent 6 3 5 2 2" xfId="52214"/>
    <cellStyle name="Percent 6 3 5 3" xfId="35167"/>
    <cellStyle name="Percent 6 3 6" xfId="12433"/>
    <cellStyle name="Percent 6 3 6 2" xfId="17684"/>
    <cellStyle name="Percent 6 3 6 2 2" xfId="46545"/>
    <cellStyle name="Percent 6 3 6 3" xfId="41294"/>
    <cellStyle name="Percent 6 3 7" xfId="14901"/>
    <cellStyle name="Percent 6 3 7 2" xfId="43762"/>
    <cellStyle name="Percent 6 3 8" xfId="29126"/>
    <cellStyle name="Percent 6 4" xfId="470"/>
    <cellStyle name="Percent 6 4 2" xfId="3357"/>
    <cellStyle name="Percent 6 4 2 2" xfId="9398"/>
    <cellStyle name="Percent 6 4 2 2 2" xfId="26445"/>
    <cellStyle name="Percent 6 4 2 2 2 2" xfId="55306"/>
    <cellStyle name="Percent 6 4 2 2 3" xfId="38259"/>
    <cellStyle name="Percent 6 4 2 3" xfId="20467"/>
    <cellStyle name="Percent 6 4 2 3 2" xfId="49328"/>
    <cellStyle name="Percent 6 4 2 4" xfId="32218"/>
    <cellStyle name="Percent 6 4 3" xfId="6512"/>
    <cellStyle name="Percent 6 4 3 2" xfId="23559"/>
    <cellStyle name="Percent 6 4 3 2 2" xfId="52420"/>
    <cellStyle name="Percent 6 4 3 3" xfId="35373"/>
    <cellStyle name="Percent 6 4 4" xfId="13849"/>
    <cellStyle name="Percent 6 4 4 2" xfId="17787"/>
    <cellStyle name="Percent 6 4 4 2 2" xfId="46648"/>
    <cellStyle name="Percent 6 4 4 3" xfId="42710"/>
    <cellStyle name="Percent 6 4 5" xfId="15107"/>
    <cellStyle name="Percent 6 4 5 2" xfId="43968"/>
    <cellStyle name="Percent 6 4 6" xfId="29332"/>
    <cellStyle name="Percent 6 5" xfId="779"/>
    <cellStyle name="Percent 6 5 2" xfId="3666"/>
    <cellStyle name="Percent 6 5 2 2" xfId="9707"/>
    <cellStyle name="Percent 6 5 2 2 2" xfId="26754"/>
    <cellStyle name="Percent 6 5 2 2 2 2" xfId="55615"/>
    <cellStyle name="Percent 6 5 2 2 3" xfId="38568"/>
    <cellStyle name="Percent 6 5 2 3" xfId="20776"/>
    <cellStyle name="Percent 6 5 2 3 2" xfId="49637"/>
    <cellStyle name="Percent 6 5 2 4" xfId="32527"/>
    <cellStyle name="Percent 6 5 3" xfId="6821"/>
    <cellStyle name="Percent 6 5 3 2" xfId="23868"/>
    <cellStyle name="Percent 6 5 3 2 2" xfId="52729"/>
    <cellStyle name="Percent 6 5 3 3" xfId="35682"/>
    <cellStyle name="Percent 6 5 4" xfId="12895"/>
    <cellStyle name="Percent 6 5 4 2" xfId="18096"/>
    <cellStyle name="Percent 6 5 4 2 2" xfId="46957"/>
    <cellStyle name="Percent 6 5 4 3" xfId="41756"/>
    <cellStyle name="Percent 6 5 5" xfId="15416"/>
    <cellStyle name="Percent 6 5 5 2" xfId="44277"/>
    <cellStyle name="Percent 6 5 6" xfId="29641"/>
    <cellStyle name="Percent 6 6" xfId="985"/>
    <cellStyle name="Percent 6 6 2" xfId="3872"/>
    <cellStyle name="Percent 6 6 2 2" xfId="9913"/>
    <cellStyle name="Percent 6 6 2 2 2" xfId="26960"/>
    <cellStyle name="Percent 6 6 2 2 2 2" xfId="55821"/>
    <cellStyle name="Percent 6 6 2 2 3" xfId="38774"/>
    <cellStyle name="Percent 6 6 2 3" xfId="20982"/>
    <cellStyle name="Percent 6 6 2 3 2" xfId="49843"/>
    <cellStyle name="Percent 6 6 2 4" xfId="32733"/>
    <cellStyle name="Percent 6 6 3" xfId="7027"/>
    <cellStyle name="Percent 6 6 3 2" xfId="24074"/>
    <cellStyle name="Percent 6 6 3 2 2" xfId="52935"/>
    <cellStyle name="Percent 6 6 3 3" xfId="35888"/>
    <cellStyle name="Percent 6 6 4" xfId="12108"/>
    <cellStyle name="Percent 6 6 4 2" xfId="18302"/>
    <cellStyle name="Percent 6 6 4 2 2" xfId="47163"/>
    <cellStyle name="Percent 6 6 4 3" xfId="40969"/>
    <cellStyle name="Percent 6 6 5" xfId="15622"/>
    <cellStyle name="Percent 6 6 5 2" xfId="44483"/>
    <cellStyle name="Percent 6 6 6" xfId="29847"/>
    <cellStyle name="Percent 6 7" xfId="1191"/>
    <cellStyle name="Percent 6 7 2" xfId="4078"/>
    <cellStyle name="Percent 6 7 2 2" xfId="10119"/>
    <cellStyle name="Percent 6 7 2 2 2" xfId="27166"/>
    <cellStyle name="Percent 6 7 2 2 2 2" xfId="56027"/>
    <cellStyle name="Percent 6 7 2 2 3" xfId="38980"/>
    <cellStyle name="Percent 6 7 2 3" xfId="21188"/>
    <cellStyle name="Percent 6 7 2 3 2" xfId="50049"/>
    <cellStyle name="Percent 6 7 2 4" xfId="32939"/>
    <cellStyle name="Percent 6 7 3" xfId="7233"/>
    <cellStyle name="Percent 6 7 3 2" xfId="24280"/>
    <cellStyle name="Percent 6 7 3 2 2" xfId="53141"/>
    <cellStyle name="Percent 6 7 3 3" xfId="36094"/>
    <cellStyle name="Percent 6 7 4" xfId="14212"/>
    <cellStyle name="Percent 6 7 4 2" xfId="18508"/>
    <cellStyle name="Percent 6 7 4 2 2" xfId="47369"/>
    <cellStyle name="Percent 6 7 4 3" xfId="43073"/>
    <cellStyle name="Percent 6 7 5" xfId="15828"/>
    <cellStyle name="Percent 6 7 5 2" xfId="44689"/>
    <cellStyle name="Percent 6 7 6" xfId="30053"/>
    <cellStyle name="Percent 6 8" xfId="1397"/>
    <cellStyle name="Percent 6 8 2" xfId="4284"/>
    <cellStyle name="Percent 6 8 2 2" xfId="10325"/>
    <cellStyle name="Percent 6 8 2 2 2" xfId="27372"/>
    <cellStyle name="Percent 6 8 2 2 2 2" xfId="56233"/>
    <cellStyle name="Percent 6 8 2 2 3" xfId="39186"/>
    <cellStyle name="Percent 6 8 2 3" xfId="21394"/>
    <cellStyle name="Percent 6 8 2 3 2" xfId="50255"/>
    <cellStyle name="Percent 6 8 2 4" xfId="33145"/>
    <cellStyle name="Percent 6 8 3" xfId="7439"/>
    <cellStyle name="Percent 6 8 3 2" xfId="24486"/>
    <cellStyle name="Percent 6 8 3 2 2" xfId="53347"/>
    <cellStyle name="Percent 6 8 3 3" xfId="36300"/>
    <cellStyle name="Percent 6 8 4" xfId="13654"/>
    <cellStyle name="Percent 6 8 4 2" xfId="18714"/>
    <cellStyle name="Percent 6 8 4 2 2" xfId="47575"/>
    <cellStyle name="Percent 6 8 4 3" xfId="42515"/>
    <cellStyle name="Percent 6 8 5" xfId="16034"/>
    <cellStyle name="Percent 6 8 5 2" xfId="44895"/>
    <cellStyle name="Percent 6 8 6" xfId="30259"/>
    <cellStyle name="Percent 6 9" xfId="1603"/>
    <cellStyle name="Percent 6 9 2" xfId="4490"/>
    <cellStyle name="Percent 6 9 2 2" xfId="10531"/>
    <cellStyle name="Percent 6 9 2 2 2" xfId="27578"/>
    <cellStyle name="Percent 6 9 2 2 2 2" xfId="56439"/>
    <cellStyle name="Percent 6 9 2 2 3" xfId="39392"/>
    <cellStyle name="Percent 6 9 2 3" xfId="21600"/>
    <cellStyle name="Percent 6 9 2 3 2" xfId="50461"/>
    <cellStyle name="Percent 6 9 2 4" xfId="33351"/>
    <cellStyle name="Percent 6 9 3" xfId="7645"/>
    <cellStyle name="Percent 6 9 3 2" xfId="24692"/>
    <cellStyle name="Percent 6 9 3 2 2" xfId="53553"/>
    <cellStyle name="Percent 6 9 3 3" xfId="36506"/>
    <cellStyle name="Percent 6 9 4" xfId="12563"/>
    <cellStyle name="Percent 6 9 4 2" xfId="18920"/>
    <cellStyle name="Percent 6 9 4 2 2" xfId="47781"/>
    <cellStyle name="Percent 6 9 4 3" xfId="41424"/>
    <cellStyle name="Percent 6 9 5" xfId="16240"/>
    <cellStyle name="Percent 6 9 5 2" xfId="45101"/>
    <cellStyle name="Percent 6 9 6" xfId="30465"/>
    <cellStyle name="Title" xfId="49" builtinId="15" customBuiltin="1"/>
    <cellStyle name="Total" xfId="64" builtinId="25" customBuiltin="1"/>
    <cellStyle name="Total 2" xfId="48"/>
    <cellStyle name="Warning Text" xfId="62"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landry\Documents\FY%202017%20Budget%20Detail%20-%20Approved%20-%20060816-with%20HR%20data-print%20format%20for%20list%20of%20position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xcel%20Files\Timesheets%20&amp;%20Leave\timecard%20template-RJL-201702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LHC\Budget\2025\Dept%20Submissions%20by%20Budget%20Unit\2025%20Budget%20Template%20-%20Desk%20Monitoring%20-%20D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LHC\Budget\2025\Board%20Member%20Reports\092024%20-%20Rpted%20112024%20Mtg\FY%202025%20Budget%20Detail%20-%20FINAL%20DRAFT%20-%2011.08.24%20-%20JG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Revenues"/>
      <sheetName val="MF Issuer Fees"/>
      <sheetName val="SF Issuer Fees"/>
      <sheetName val="HUD Disposition Prop"/>
      <sheetName val="Total Expenses"/>
      <sheetName val="HR"/>
      <sheetName val="Travel"/>
      <sheetName val="Bldg Bond Int"/>
      <sheetName val="Bldg Maint ONLY"/>
      <sheetName val="Prof Serv"/>
      <sheetName val="Other Operating Expenses"/>
      <sheetName val="Supplies"/>
      <sheetName val="Capital Exp"/>
      <sheetName val="Lists"/>
      <sheetName val="Program Defini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A2" t="str">
            <v>Accounting/Budget/Finance</v>
          </cell>
        </row>
        <row r="3">
          <cell r="A3" t="str">
            <v>Board of Directors</v>
          </cell>
        </row>
        <row r="4">
          <cell r="A4" t="str">
            <v>Communications/Public Affairs</v>
          </cell>
        </row>
        <row r="5">
          <cell r="A5" t="str">
            <v>Compliance/Construction Monitoring/Env Review</v>
          </cell>
        </row>
        <row r="6">
          <cell r="A6" t="str">
            <v>Desk Monitoring</v>
          </cell>
        </row>
        <row r="7">
          <cell r="A7" t="str">
            <v>Disaster Housing</v>
          </cell>
        </row>
        <row r="8">
          <cell r="A8" t="str">
            <v>Energy Assistance Programs</v>
          </cell>
        </row>
        <row r="9">
          <cell r="A9" t="str">
            <v>Executive Staff</v>
          </cell>
        </row>
        <row r="10">
          <cell r="A10" t="str">
            <v>Human Resources</v>
          </cell>
        </row>
        <row r="11">
          <cell r="A11" t="str">
            <v>Information Technology</v>
          </cell>
        </row>
        <row r="12">
          <cell r="A12" t="str">
            <v>Internal Audit</v>
          </cell>
        </row>
        <row r="13">
          <cell r="A13" t="str">
            <v>Legal Council</v>
          </cell>
        </row>
        <row r="14">
          <cell r="A14" t="str">
            <v>Louisiana Housing Authority</v>
          </cell>
        </row>
        <row r="15">
          <cell r="A15" t="str">
            <v>Operations - Administration/Facilities &amp; Fleet Mgt</v>
          </cell>
        </row>
        <row r="16">
          <cell r="A16" t="str">
            <v>Performance-Based S8 Contract Administration Program</v>
          </cell>
        </row>
        <row r="17">
          <cell r="A17" t="str">
            <v>Policy &amp; Reporting</v>
          </cell>
        </row>
        <row r="18">
          <cell r="A18" t="str">
            <v>Rental Production (includes Single Family Production)</v>
          </cell>
        </row>
        <row r="19">
          <cell r="A19" t="str">
            <v>Single Family Production (part of Rental Production)</v>
          </cell>
        </row>
        <row r="23">
          <cell r="A23" t="str">
            <v>Admin Exp - Unallocable - General Fund</v>
          </cell>
        </row>
        <row r="24">
          <cell r="A24" t="str">
            <v>ARRA TCAP</v>
          </cell>
        </row>
        <row r="25">
          <cell r="A25" t="str">
            <v>ARRA TCEX</v>
          </cell>
        </row>
        <row r="26">
          <cell r="A26" t="str">
            <v>ARRA Weatherization</v>
          </cell>
        </row>
        <row r="27">
          <cell r="A27" t="str">
            <v>CDBG QAP Program Income</v>
          </cell>
        </row>
        <row r="28">
          <cell r="A28" t="str">
            <v>Continuum of Care</v>
          </cell>
        </row>
        <row r="29">
          <cell r="A29" t="str">
            <v>Disaster Case Mgt - FEMA</v>
          </cell>
        </row>
        <row r="30">
          <cell r="A30" t="str">
            <v>ESG Shelter Program</v>
          </cell>
        </row>
        <row r="31">
          <cell r="A31" t="str">
            <v>Gustav/Ike Parish Affordable Rental Pgm</v>
          </cell>
        </row>
        <row r="32">
          <cell r="A32" t="str">
            <v>Gustav/Ike Parish Alloc Hsg Pgms</v>
          </cell>
        </row>
        <row r="33">
          <cell r="A33" t="str">
            <v>Gustav/Ike Parish Alloc Pgm/Homelessness Prevention</v>
          </cell>
        </row>
        <row r="34">
          <cell r="A34" t="str">
            <v>Gustav/Ike Piggyback Pgm</v>
          </cell>
        </row>
        <row r="35">
          <cell r="A35" t="str">
            <v>Gustav/Ike Public/Supportive Housing</v>
          </cell>
        </row>
        <row r="36">
          <cell r="A36" t="str">
            <v>Gustav/Ike Soft Seconds</v>
          </cell>
        </row>
        <row r="37">
          <cell r="A37" t="str">
            <v>Gustav/Ike State Affordable Rental Pgm</v>
          </cell>
        </row>
        <row r="38">
          <cell r="A38" t="str">
            <v>HOME Pgm</v>
          </cell>
        </row>
        <row r="39">
          <cell r="A39" t="str">
            <v>HOME Tenant-Based Rental Assistance Pgm</v>
          </cell>
        </row>
        <row r="40">
          <cell r="A40" t="str">
            <v>Homebuyer Education (Classes - Gen Fund)</v>
          </cell>
        </row>
        <row r="41">
          <cell r="A41" t="str">
            <v>HUD Disposition - Gaslight/Village de Jardin</v>
          </cell>
        </row>
        <row r="42">
          <cell r="A42" t="str">
            <v>HUD Disposition - Willowbrook</v>
          </cell>
        </row>
        <row r="43">
          <cell r="A43" t="str">
            <v>HUD Hsg Counseling Pgm</v>
          </cell>
        </row>
        <row r="44">
          <cell r="A44" t="str">
            <v>Isaac Hazard Mitigation</v>
          </cell>
        </row>
        <row r="45">
          <cell r="A45" t="str">
            <v>Isaac Homeowner Repair Program</v>
          </cell>
        </row>
        <row r="46">
          <cell r="A46" t="str">
            <v>Isaac Plaq Homeowner Asst Pgm</v>
          </cell>
        </row>
        <row r="47">
          <cell r="A47" t="str">
            <v>Isaac St. John 1st Time Homebuyer Pgm (formerly Homeowner Asst Pgm)</v>
          </cell>
        </row>
        <row r="48">
          <cell r="A48" t="str">
            <v>Isaac St. John Demolition &amp; Clearance Pgm</v>
          </cell>
        </row>
        <row r="49">
          <cell r="A49" t="str">
            <v>Isaac St. John Elevation Pgm</v>
          </cell>
        </row>
        <row r="50">
          <cell r="A50" t="str">
            <v>Isaac St. John Homeowner Rehab Pgm</v>
          </cell>
        </row>
        <row r="51">
          <cell r="A51" t="str">
            <v>Isaac St. John Small Rental Rehab Pgm</v>
          </cell>
        </row>
        <row r="52">
          <cell r="A52" t="str">
            <v>Kat/Rita 1st Time Homebuyer Pgm</v>
          </cell>
        </row>
        <row r="53">
          <cell r="A53" t="str">
            <v>Kat/Rita Homelessness Supports &amp; Hsg Pgm</v>
          </cell>
        </row>
        <row r="54">
          <cell r="A54" t="str">
            <v>Kat/Rita Hsg Dev Loan Fund</v>
          </cell>
        </row>
        <row r="55">
          <cell r="A55" t="str">
            <v>Kat/Rita Land Assembly Operations</v>
          </cell>
        </row>
        <row r="56">
          <cell r="A56" t="str">
            <v>Kat/Rita LIHTC Piggyback Pgm</v>
          </cell>
        </row>
        <row r="57">
          <cell r="A57" t="str">
            <v>Kat/Rita NRPP Plaquemines</v>
          </cell>
        </row>
        <row r="58">
          <cell r="A58" t="str">
            <v>Kat/Rita NRPP Rd 1 &amp; Rd 3 (formerly ALL NRPP)</v>
          </cell>
        </row>
        <row r="59">
          <cell r="A59" t="str">
            <v>Kat/Rita Small Rental Property Pgm</v>
          </cell>
        </row>
        <row r="60">
          <cell r="A60" t="str">
            <v>Kat/Rita Soft Seconds</v>
          </cell>
        </row>
        <row r="61">
          <cell r="A61" t="str">
            <v>Kat/Rita STARS Contam Drywall Project Delivery</v>
          </cell>
        </row>
        <row r="62">
          <cell r="A62" t="str">
            <v>Kat/Rita STARS Drywall Admin</v>
          </cell>
        </row>
        <row r="63">
          <cell r="A63" t="str">
            <v>Kat/Rita Supportive Hsg Svcs Pgm</v>
          </cell>
        </row>
        <row r="64">
          <cell r="A64" t="str">
            <v>LA Housing Trust Fund</v>
          </cell>
        </row>
        <row r="65">
          <cell r="A65" t="str">
            <v>LA Hsg Disaster Task Force</v>
          </cell>
        </row>
        <row r="66">
          <cell r="A66" t="str">
            <v>Lean 6 Sigma</v>
          </cell>
        </row>
        <row r="67">
          <cell r="A67" t="str">
            <v>LIHEAP</v>
          </cell>
        </row>
        <row r="68">
          <cell r="A68" t="str">
            <v>LIHTC</v>
          </cell>
        </row>
        <row r="69">
          <cell r="A69" t="str">
            <v>M2M</v>
          </cell>
        </row>
        <row r="70">
          <cell r="A70" t="str">
            <v>Mid-City Gardens</v>
          </cell>
        </row>
        <row r="71">
          <cell r="A71" t="str">
            <v>Mortgage Revenue Bonds</v>
          </cell>
        </row>
        <row r="72">
          <cell r="A72" t="str">
            <v>Nat'l Foreclosure Mitigation Counseling</v>
          </cell>
        </row>
        <row r="73">
          <cell r="A73" t="str">
            <v>Nat'l Housing Trust Fund</v>
          </cell>
        </row>
        <row r="74">
          <cell r="A74" t="str">
            <v>NDRC</v>
          </cell>
        </row>
        <row r="75">
          <cell r="A75" t="str">
            <v>Neighborhood Stabilization Program</v>
          </cell>
        </row>
        <row r="76">
          <cell r="A76" t="str">
            <v>NSP 3 (Big CEA)</v>
          </cell>
        </row>
        <row r="77">
          <cell r="A77" t="str">
            <v>Paid Time Off Allocation Code</v>
          </cell>
        </row>
        <row r="78">
          <cell r="A78" t="str">
            <v>Performance-Based S8 Contract Administration</v>
          </cell>
        </row>
        <row r="79">
          <cell r="A79" t="str">
            <v>Petroleum Violation Funds</v>
          </cell>
        </row>
        <row r="80">
          <cell r="A80" t="str">
            <v>Project-Based Section 8 Voucher Pgm</v>
          </cell>
        </row>
        <row r="81">
          <cell r="A81" t="str">
            <v>Risk Sharing Program</v>
          </cell>
        </row>
        <row r="82">
          <cell r="A82" t="str">
            <v>Section 811 Supportive Hsg Pgm</v>
          </cell>
        </row>
        <row r="83">
          <cell r="A83" t="str">
            <v>Shared - General Fund</v>
          </cell>
        </row>
        <row r="84">
          <cell r="A84" t="str">
            <v>Shelter Plus Care Pgm</v>
          </cell>
        </row>
        <row r="85">
          <cell r="A85" t="str">
            <v>Weatherization</v>
          </cell>
        </row>
        <row r="86">
          <cell r="A86" t="str">
            <v>Workforce Development Program</v>
          </cell>
        </row>
        <row r="90">
          <cell r="A90" t="str">
            <v>Administrative Fees</v>
          </cell>
        </row>
        <row r="91">
          <cell r="A91" t="str">
            <v>Allocation/Award Fees</v>
          </cell>
        </row>
        <row r="92">
          <cell r="A92" t="str">
            <v>Analysis Fees</v>
          </cell>
        </row>
        <row r="93">
          <cell r="A93" t="str">
            <v>Application Fees</v>
          </cell>
        </row>
        <row r="94">
          <cell r="A94" t="str">
            <v>Compliance Fees</v>
          </cell>
        </row>
        <row r="95">
          <cell r="A95" t="str">
            <v>HUD Disposition Program Income</v>
          </cell>
        </row>
        <row r="96">
          <cell r="A96" t="str">
            <v>Investment/Interest Income</v>
          </cell>
        </row>
        <row r="97">
          <cell r="A97" t="str">
            <v>Investment/Interest Income</v>
          </cell>
        </row>
        <row r="98">
          <cell r="A98" t="str">
            <v>Issuer Fees - Multi-Family Bonds</v>
          </cell>
        </row>
        <row r="99">
          <cell r="A99" t="str">
            <v>Issuer Fees - Single Family Bonds</v>
          </cell>
        </row>
        <row r="100">
          <cell r="A100" t="str">
            <v>Market Study Fees</v>
          </cell>
        </row>
        <row r="101">
          <cell r="A101" t="str">
            <v>Miscellaneous Income</v>
          </cell>
        </row>
        <row r="102">
          <cell r="A102" t="str">
            <v>Placed-in-Service Fees</v>
          </cell>
        </row>
        <row r="103">
          <cell r="A103" t="str">
            <v>Program Fees in Lieu of SF Issuer Fees</v>
          </cell>
        </row>
        <row r="104">
          <cell r="A104" t="str">
            <v>Program Income - SF Loans</v>
          </cell>
        </row>
        <row r="105">
          <cell r="A105" t="str">
            <v>Project Delivery</v>
          </cell>
        </row>
        <row r="106">
          <cell r="A106" t="str">
            <v>Rental Income</v>
          </cell>
        </row>
        <row r="107">
          <cell r="A107" t="str">
            <v>Re-Processing Fees</v>
          </cell>
        </row>
        <row r="108">
          <cell r="A108" t="str">
            <v>Residual Equity Transfers - Single Family Bond Programs</v>
          </cell>
        </row>
        <row r="109">
          <cell r="A109" t="str">
            <v>S8CA - IBPS - General Reporting Requirements</v>
          </cell>
        </row>
        <row r="110">
          <cell r="A110" t="str">
            <v>S8CA - IBPS - Life-Threatening Health &amp; Safety</v>
          </cell>
        </row>
        <row r="111">
          <cell r="A111" t="str">
            <v>S8CA - IBPS - Management Occupancy Reviews</v>
          </cell>
        </row>
        <row r="112">
          <cell r="A112" t="str">
            <v>S8CA - IBPS - Non-Life Threatening Health &amp; Safety</v>
          </cell>
        </row>
        <row r="113">
          <cell r="A113" t="str">
            <v>S8CA - IBPS - Processing Rental Adjustments</v>
          </cell>
        </row>
        <row r="114">
          <cell r="A114" t="str">
            <v>S8CA - IBPS - Renewals of Expiring Section 8 Contracts</v>
          </cell>
        </row>
        <row r="115">
          <cell r="A115" t="str">
            <v>S8CA - IBPS - Review, Verify &amp; Authorize Monthly Vouchers</v>
          </cell>
        </row>
        <row r="116">
          <cell r="A116" t="str">
            <v>Training and Technical Assistance</v>
          </cell>
        </row>
        <row r="117">
          <cell r="A117" t="str">
            <v>Sub-Layering Fees</v>
          </cell>
        </row>
      </sheetData>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2"/>
      <sheetName val="B"/>
      <sheetName val="ALL Dept Template"/>
      <sheetName val="Lists"/>
      <sheetName val="timecard"/>
      <sheetName val="Tables"/>
      <sheetName val="CODES"/>
    </sheetNames>
    <sheetDataSet>
      <sheetData sheetId="0"/>
      <sheetData sheetId="1"/>
      <sheetData sheetId="2"/>
      <sheetData sheetId="3">
        <row r="2">
          <cell r="A2" t="str">
            <v>Allocable - All Others</v>
          </cell>
        </row>
        <row r="3">
          <cell r="A3" t="str">
            <v>ARRA TC Assistance Program</v>
          </cell>
        </row>
        <row r="4">
          <cell r="A4" t="str">
            <v>ARRA TC Exchange</v>
          </cell>
        </row>
        <row r="5">
          <cell r="A5" t="str">
            <v>Continuum of Care</v>
          </cell>
        </row>
        <row r="6">
          <cell r="A6" t="str">
            <v>Disaster Case Management - FEMA</v>
          </cell>
        </row>
        <row r="7">
          <cell r="A7" t="str">
            <v>ESG Shelter Program</v>
          </cell>
        </row>
        <row r="8">
          <cell r="A8" t="str">
            <v>Gustav/Ike Nat'l Disaster Resilience Competition</v>
          </cell>
        </row>
        <row r="9">
          <cell r="A9" t="str">
            <v>Gustav/Ike Parish Affordable Rental Pgm</v>
          </cell>
        </row>
        <row r="10">
          <cell r="A10" t="str">
            <v>Gustav/Ike Parish Alloc Hsg Pgms</v>
          </cell>
        </row>
        <row r="11">
          <cell r="A11" t="str">
            <v>Gustav/Ike Parish Alloc Pgm/Homelessness Prevention</v>
          </cell>
        </row>
        <row r="12">
          <cell r="A12" t="str">
            <v>Gustav/Ike Piggyback Program</v>
          </cell>
        </row>
        <row r="13">
          <cell r="A13" t="str">
            <v>Gustav/Ike Public/Supportive Housing</v>
          </cell>
        </row>
        <row r="14">
          <cell r="A14" t="str">
            <v>Gustav/Ike Soft Seconds</v>
          </cell>
        </row>
        <row r="15">
          <cell r="A15" t="str">
            <v>Gustav/Ike State Affordable Rental Pgm</v>
          </cell>
        </row>
        <row r="16">
          <cell r="A16" t="str">
            <v>HOME Program</v>
          </cell>
        </row>
        <row r="17">
          <cell r="A17" t="str">
            <v>HOME Tenant-Based Rental Assistance</v>
          </cell>
        </row>
        <row r="18">
          <cell r="A18" t="str">
            <v xml:space="preserve">Homebuyer Education </v>
          </cell>
        </row>
        <row r="19">
          <cell r="A19" t="str">
            <v>Hsg Counseling Pgm (HUD)</v>
          </cell>
        </row>
        <row r="20">
          <cell r="A20" t="str">
            <v>Isaac Hazard Mitigation</v>
          </cell>
        </row>
        <row r="21">
          <cell r="A21" t="str">
            <v>Isaac NRPP</v>
          </cell>
        </row>
        <row r="22">
          <cell r="A22" t="str">
            <v>Isaac Plaq Homeowner Asst Pgm</v>
          </cell>
        </row>
        <row r="23">
          <cell r="A23" t="str">
            <v>Isaac St. John 1st Time Homebuyer Pgm</v>
          </cell>
        </row>
        <row r="24">
          <cell r="A24" t="str">
            <v>Isaac St. John Demolition &amp; Clearance Pgm</v>
          </cell>
        </row>
        <row r="25">
          <cell r="A25" t="str">
            <v>Isaac St. John Elevation Program</v>
          </cell>
        </row>
        <row r="26">
          <cell r="A26" t="str">
            <v>Isaac St. John Homeowner Rehab Pgm</v>
          </cell>
        </row>
        <row r="27">
          <cell r="A27" t="str">
            <v>Isaac St. John Small Rental Rehab Pgm</v>
          </cell>
        </row>
        <row r="28">
          <cell r="A28" t="str">
            <v>Katrina/Rita 1st Time Homebuyer</v>
          </cell>
        </row>
        <row r="29">
          <cell r="A29" t="str">
            <v>Katrina/Rita Homelessness Supports &amp; Hsg Pgm</v>
          </cell>
        </row>
        <row r="30">
          <cell r="A30" t="str">
            <v>Katrina/Rita Housing Development Loan Fund</v>
          </cell>
        </row>
        <row r="31">
          <cell r="A31" t="str">
            <v>Katrina/Rita Land Assembly Operations</v>
          </cell>
        </row>
        <row r="32">
          <cell r="A32" t="str">
            <v>Katrina/Rita LIHTC Piggyback Program</v>
          </cell>
        </row>
        <row r="33">
          <cell r="A33" t="str">
            <v>Katrina/Rita NRPP - Plaquemine Parish</v>
          </cell>
        </row>
        <row r="34">
          <cell r="A34" t="str">
            <v>Katrina/Rita NRPP - Rd 1 &amp; Rd 3</v>
          </cell>
        </row>
        <row r="35">
          <cell r="A35" t="str">
            <v>Katrina/Rita Small Rental Property Pgm</v>
          </cell>
        </row>
        <row r="36">
          <cell r="A36" t="str">
            <v>Katrina/Rita Soft Seconds</v>
          </cell>
        </row>
        <row r="37">
          <cell r="A37" t="str">
            <v>Katrina/Rita Stars Contaminated Drywall</v>
          </cell>
        </row>
        <row r="38">
          <cell r="A38" t="str">
            <v>Katrina/Rita Stars Contaminated Drywall Project Delivery</v>
          </cell>
        </row>
        <row r="39">
          <cell r="A39" t="str">
            <v>Katrina/Rita Supportive Hsg Svcs Pgm</v>
          </cell>
        </row>
        <row r="40">
          <cell r="A40" t="str">
            <v>LA Housing Trust Fund</v>
          </cell>
        </row>
        <row r="41">
          <cell r="A41" t="str">
            <v>LA Hsg Disaster Task Force</v>
          </cell>
        </row>
        <row r="42">
          <cell r="A42" t="str">
            <v>Lean 6 Sigma</v>
          </cell>
        </row>
        <row r="43">
          <cell r="A43" t="str">
            <v>LIHEAP</v>
          </cell>
        </row>
        <row r="44">
          <cell r="A44" t="str">
            <v>LIHTC</v>
          </cell>
        </row>
        <row r="45">
          <cell r="A45" t="str">
            <v>Mark 2 Market Program</v>
          </cell>
        </row>
        <row r="46">
          <cell r="A46" t="str">
            <v>Mid City Garden</v>
          </cell>
        </row>
        <row r="47">
          <cell r="A47" t="str">
            <v>Mortgage Revenue Bonds</v>
          </cell>
        </row>
        <row r="48">
          <cell r="A48" t="str">
            <v>National Foreclosure Mitigation (NeighborWorks)</v>
          </cell>
        </row>
        <row r="49">
          <cell r="A49" t="str">
            <v>National Housing Trust Fund</v>
          </cell>
        </row>
        <row r="50">
          <cell r="A50" t="str">
            <v>NSP</v>
          </cell>
        </row>
        <row r="51">
          <cell r="A51" t="str">
            <v>NSP 3</v>
          </cell>
        </row>
        <row r="52">
          <cell r="A52" t="str">
            <v>Performance Based Section 8 Contract Administration</v>
          </cell>
        </row>
        <row r="53">
          <cell r="A53" t="str">
            <v>Project Based Section 8 Voucher Pgm</v>
          </cell>
        </row>
        <row r="54">
          <cell r="A54" t="str">
            <v>QAP Program Income</v>
          </cell>
        </row>
        <row r="55">
          <cell r="A55" t="str">
            <v>Risk Sharing Program</v>
          </cell>
        </row>
        <row r="56">
          <cell r="A56" t="str">
            <v>Section 811 Supportive Housing Program</v>
          </cell>
        </row>
        <row r="57">
          <cell r="A57" t="str">
            <v>Shelter Plus Care Program</v>
          </cell>
        </row>
        <row r="58">
          <cell r="A58" t="str">
            <v>St. John Housing Authority Project</v>
          </cell>
        </row>
        <row r="59">
          <cell r="A59" t="str">
            <v>Unallocable - Shared Admin Expenses - LHC General Fund</v>
          </cell>
        </row>
        <row r="60">
          <cell r="A60" t="str">
            <v>Village de Jardin</v>
          </cell>
        </row>
        <row r="61">
          <cell r="A61" t="str">
            <v>Weatherization</v>
          </cell>
        </row>
        <row r="62">
          <cell r="A62" t="str">
            <v>WAP T&amp;TA</v>
          </cell>
        </row>
        <row r="63">
          <cell r="A63" t="str">
            <v>Willowbrook</v>
          </cell>
        </row>
      </sheetData>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Budget"/>
      <sheetName val="Revenues"/>
      <sheetName val="Payroll"/>
      <sheetName val="Travel"/>
      <sheetName val="Operating Services"/>
      <sheetName val="Supplies"/>
      <sheetName val="Professional Services"/>
      <sheetName val="Capital Assets"/>
      <sheetName val="Codes"/>
      <sheetName val="Department Re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16 Fld - CDBG - Piggyback Fld - Delivery</v>
          </cell>
        </row>
        <row r="2">
          <cell r="A2" t="str">
            <v>16 Fld - CDBG Piggyback - Admin</v>
          </cell>
        </row>
        <row r="3">
          <cell r="A3" t="str">
            <v>16 Fld - EBR Sanction Developer Admin  - CDBG</v>
          </cell>
        </row>
        <row r="4">
          <cell r="A4" t="str">
            <v>16 Fld - EBR Sanction Landlord Admin - CDBG</v>
          </cell>
        </row>
        <row r="5">
          <cell r="A5" t="str">
            <v>16 Fld - Landlord Admin - CDBG</v>
          </cell>
        </row>
        <row r="6">
          <cell r="A6" t="str">
            <v>16 Fld - Landlord Program Delivery -CDBG</v>
          </cell>
        </row>
        <row r="7">
          <cell r="A7" t="str">
            <v xml:space="preserve">16 Fld - MF Admin - CDBG </v>
          </cell>
        </row>
        <row r="8">
          <cell r="A8" t="str">
            <v xml:space="preserve">16 Fld - MF Program Delivery - CDBG </v>
          </cell>
        </row>
        <row r="9">
          <cell r="A9" t="str">
            <v>Allocable - All Others</v>
          </cell>
        </row>
        <row r="10">
          <cell r="A10" t="str">
            <v>ARRA TC Assistance Program</v>
          </cell>
        </row>
        <row r="11">
          <cell r="A11" t="str">
            <v>ARRA TC Exchange</v>
          </cell>
        </row>
        <row r="12">
          <cell r="A12" t="str">
            <v>BIL WAP Admin</v>
          </cell>
        </row>
        <row r="13">
          <cell r="A13" t="str">
            <v>BIL WAP DOE T&amp;TA</v>
          </cell>
        </row>
        <row r="14">
          <cell r="A14" t="str">
            <v>Blue Tarp Admin</v>
          </cell>
        </row>
        <row r="15">
          <cell r="A15" t="str">
            <v>Blue Tarp Pgm Del</v>
          </cell>
        </row>
        <row r="16">
          <cell r="A16" t="str">
            <v>CDBG 2016 Flood Blight Remediation Admin</v>
          </cell>
        </row>
        <row r="17">
          <cell r="A17" t="str">
            <v>CDBG 2016 Flood Blight Remediation Prog Delivery</v>
          </cell>
        </row>
        <row r="18">
          <cell r="A18" t="str">
            <v>CDBG 2016 Flood NLRP Phase II Admin</v>
          </cell>
        </row>
        <row r="19">
          <cell r="A19" t="str">
            <v>CDBG 2016 Flood NLRP Phase II Prog Delivery</v>
          </cell>
        </row>
        <row r="20">
          <cell r="A20" t="str">
            <v>CDBG Ida MidMkt Admin</v>
          </cell>
        </row>
        <row r="21">
          <cell r="A21" t="str">
            <v>CDBG Ida Midmkt Pgm Del</v>
          </cell>
        </row>
        <row r="22">
          <cell r="A22" t="str">
            <v>CDBG Ida NLRP Admin</v>
          </cell>
        </row>
        <row r="23">
          <cell r="A23" t="str">
            <v>CDBG Ida NLRP Pgm Del</v>
          </cell>
        </row>
        <row r="24">
          <cell r="A24" t="str">
            <v>CDBG IDA Permanent Supportive Housing Admin</v>
          </cell>
        </row>
        <row r="25">
          <cell r="A25" t="str">
            <v>CDBG Ida PRIME Admin</v>
          </cell>
        </row>
        <row r="26">
          <cell r="A26" t="str">
            <v>CDBG Ida PRIME Pgm Del</v>
          </cell>
        </row>
        <row r="27">
          <cell r="A27" t="str">
            <v>CDBG IDA PSH Pgm Del</v>
          </cell>
        </row>
        <row r="28">
          <cell r="A28" t="str">
            <v>CDBG IDA Rapid Rehousing Admin</v>
          </cell>
        </row>
        <row r="29">
          <cell r="A29" t="str">
            <v>CDBG IDA Rapid Rehousing Pgm Del</v>
          </cell>
        </row>
        <row r="30">
          <cell r="A30" t="str">
            <v>CDBG IDA Soft Seconds Admin</v>
          </cell>
        </row>
        <row r="31">
          <cell r="A31" t="str">
            <v>CDBG IDA Soft Seconds Pgm Del</v>
          </cell>
        </row>
        <row r="32">
          <cell r="A32" t="str">
            <v>CDBG Laura/Delta MidMkt Admin</v>
          </cell>
        </row>
        <row r="33">
          <cell r="A33" t="str">
            <v>CDBG Laura/Delta MidMkt Pgm Del</v>
          </cell>
        </row>
        <row r="34">
          <cell r="A34" t="str">
            <v>CDBG Laura/Delta NLRP Admin</v>
          </cell>
        </row>
        <row r="35">
          <cell r="A35" t="str">
            <v>CDBG Laura/Delta NLRP Pgm Del</v>
          </cell>
        </row>
        <row r="36">
          <cell r="A36" t="str">
            <v>CDBG Laura/Delta Permanent Supportive Housing Admin</v>
          </cell>
        </row>
        <row r="37">
          <cell r="A37" t="str">
            <v>CDBG Laura/Delta PRIME Admin</v>
          </cell>
        </row>
        <row r="38">
          <cell r="A38" t="str">
            <v>CDBG Laura/Delta PRIME Pgm Del</v>
          </cell>
        </row>
        <row r="39">
          <cell r="A39" t="str">
            <v>CDBG Laura/Delta PSH Pgm Del</v>
          </cell>
        </row>
        <row r="40">
          <cell r="A40" t="str">
            <v>CDBG Laura/Delta Rapid Rehousing Admin</v>
          </cell>
        </row>
        <row r="41">
          <cell r="A41" t="str">
            <v>CDBG Laura/Delta Rapid Rehousing Pgm Del</v>
          </cell>
        </row>
        <row r="42">
          <cell r="A42" t="str">
            <v>CDBG Laura/Delta Soft Seconds Admin</v>
          </cell>
        </row>
        <row r="43">
          <cell r="A43" t="str">
            <v>CDBG Laura/Delta Soft Seconds Pgm Del</v>
          </cell>
        </row>
        <row r="44">
          <cell r="A44" t="str">
            <v>CoC Coordinator Entry - Admin</v>
          </cell>
        </row>
        <row r="45">
          <cell r="A45" t="str">
            <v xml:space="preserve">CoC Coordinator Entry - Project Delivery </v>
          </cell>
        </row>
        <row r="46">
          <cell r="A46" t="str">
            <v>CoC RRH HMIS</v>
          </cell>
        </row>
        <row r="47">
          <cell r="A47" t="str">
            <v>Continuum of Care</v>
          </cell>
        </row>
        <row r="48">
          <cell r="A48" t="str">
            <v>Continuum of Care - Admin</v>
          </cell>
        </row>
        <row r="49">
          <cell r="A49" t="str">
            <v>Continuum of Care - HMIS SW - Admin</v>
          </cell>
        </row>
        <row r="50">
          <cell r="A50" t="str">
            <v>Continuum of Care - Options Foundation</v>
          </cell>
        </row>
        <row r="51">
          <cell r="A51" t="str">
            <v>Continuum of Care Planning Grant</v>
          </cell>
        </row>
        <row r="52">
          <cell r="A52" t="str">
            <v>Continuum of Care RRH Grant - Rental Assist/ Proj Delivery</v>
          </cell>
        </row>
        <row r="53">
          <cell r="A53" t="str">
            <v>Contiuum of Care RRH Grant</v>
          </cell>
        </row>
        <row r="54">
          <cell r="A54" t="str">
            <v>COVID-19 - FEMA</v>
          </cell>
        </row>
        <row r="55">
          <cell r="A55" t="str">
            <v>DHHS Weatherization Training &amp; Technical Assistance</v>
          </cell>
        </row>
        <row r="56">
          <cell r="A56" t="str">
            <v>Disaster Case Management - FEMA</v>
          </cell>
        </row>
        <row r="57">
          <cell r="A57" t="str">
            <v>DOE Weatherization Training &amp; Technical Assistance</v>
          </cell>
        </row>
        <row r="58">
          <cell r="A58" t="str">
            <v>DOJ Nursing Home Transition</v>
          </cell>
        </row>
        <row r="59">
          <cell r="A59" t="str">
            <v xml:space="preserve">EBR PHA Endeavor Agreement </v>
          </cell>
        </row>
        <row r="60">
          <cell r="A60" t="str">
            <v>Emergency Housing Voucher Award Pgm</v>
          </cell>
        </row>
        <row r="61">
          <cell r="A61" t="str">
            <v>Emergency Rental Assistance Program (ERAP)</v>
          </cell>
        </row>
        <row r="62">
          <cell r="A62" t="str">
            <v>ESG Shelter Program</v>
          </cell>
        </row>
        <row r="63">
          <cell r="A63" t="str">
            <v>FEMA - Hurricanes Laura/Delta/Zeta</v>
          </cell>
        </row>
        <row r="64">
          <cell r="A64" t="str">
            <v>Fld Sanction - Developers - EBR Aug 16</v>
          </cell>
        </row>
        <row r="65">
          <cell r="A65" t="str">
            <v>Fld Sanction - Landlords - EBR Aug 16</v>
          </cell>
        </row>
        <row r="66">
          <cell r="A66" t="str">
            <v>Gus/Ike - Affordable Rental Pgm - Parish</v>
          </cell>
        </row>
        <row r="67">
          <cell r="A67" t="str">
            <v>Gus/Ike Alloc Hsg Pgms - Parish</v>
          </cell>
        </row>
        <row r="68">
          <cell r="A68" t="str">
            <v>Gus/Ike closeout</v>
          </cell>
        </row>
        <row r="69">
          <cell r="A69" t="str">
            <v>Gus/Ike Homelessness Prevention - Parish Alloc Pgm</v>
          </cell>
        </row>
        <row r="70">
          <cell r="A70" t="str">
            <v>Gus/Ike Nat'l Disaster Resilience Competition</v>
          </cell>
        </row>
        <row r="71">
          <cell r="A71" t="str">
            <v>Gus/Ike Piggyback Program</v>
          </cell>
        </row>
        <row r="72">
          <cell r="A72" t="str">
            <v>Gus/Ike Public/Supportive Housing</v>
          </cell>
        </row>
        <row r="73">
          <cell r="A73" t="str">
            <v>Gus/Ike State Affordable Rental Pgm</v>
          </cell>
        </row>
        <row r="74">
          <cell r="A74" t="str">
            <v xml:space="preserve">HMIS SW </v>
          </cell>
        </row>
        <row r="75">
          <cell r="A75" t="str">
            <v>HOME (American Rescue Plan)</v>
          </cell>
        </row>
        <row r="76">
          <cell r="A76" t="str">
            <v>HOME Program</v>
          </cell>
        </row>
        <row r="77">
          <cell r="A77" t="str">
            <v>HOME Tenant Based Rental Assistance</v>
          </cell>
        </row>
        <row r="78">
          <cell r="A78" t="str">
            <v xml:space="preserve">Homebuyer Education </v>
          </cell>
        </row>
        <row r="79">
          <cell r="A79" t="str">
            <v>Homeowner Assistance Fund</v>
          </cell>
        </row>
        <row r="80">
          <cell r="A80" t="str">
            <v>Housing Preservation Grant</v>
          </cell>
        </row>
        <row r="81">
          <cell r="A81" t="str">
            <v>Hsg Counseling Pgm (HUD)</v>
          </cell>
        </row>
        <row r="82">
          <cell r="A82" t="str">
            <v>K/R Plaq Glen Oaks Admin</v>
          </cell>
        </row>
        <row r="83">
          <cell r="A83" t="str">
            <v>K/R Plaq Glen Oaks Pgm Del</v>
          </cell>
        </row>
        <row r="84">
          <cell r="A84" t="str">
            <v>Katrina/Rita 1st Time Homebuyer</v>
          </cell>
        </row>
        <row r="85">
          <cell r="A85" t="str">
            <v>Katrina/Rita Closeout</v>
          </cell>
        </row>
        <row r="86">
          <cell r="A86" t="str">
            <v>Katrina/Rita Homelessness Supports &amp; Hsg Pgm</v>
          </cell>
        </row>
        <row r="87">
          <cell r="A87" t="str">
            <v>Katrina/Rita Housing Development Loan Fund</v>
          </cell>
        </row>
        <row r="88">
          <cell r="A88" t="str">
            <v>Katrina/Rita Land Assembly Operations</v>
          </cell>
        </row>
        <row r="89">
          <cell r="A89" t="str">
            <v>Katrina/Rita LIHTC Piggyback Program</v>
          </cell>
        </row>
        <row r="90">
          <cell r="A90" t="str">
            <v>Katrina/Rita NRPP - Plaquemine Parish</v>
          </cell>
        </row>
        <row r="91">
          <cell r="A91" t="str">
            <v>Katrina/Rita NRPP - Rd 1 &amp; Rd 3</v>
          </cell>
        </row>
        <row r="92">
          <cell r="A92" t="str">
            <v>Katrina/Rita QAP2 Admin</v>
          </cell>
        </row>
        <row r="93">
          <cell r="A93" t="str">
            <v>Katrina/Rita QAP2 Prog Delivery</v>
          </cell>
        </row>
        <row r="94">
          <cell r="A94" t="str">
            <v>Katrina/Rita QAP3 Admin</v>
          </cell>
        </row>
        <row r="95">
          <cell r="A95" t="str">
            <v>Katrina/Rita QAP3 Prog Delivery</v>
          </cell>
        </row>
        <row r="96">
          <cell r="A96" t="str">
            <v>Katrina/Rita Small Rental Proj Delivery</v>
          </cell>
        </row>
        <row r="97">
          <cell r="A97" t="str">
            <v>Katrina/Rita Small Rental Property Pgm</v>
          </cell>
        </row>
        <row r="98">
          <cell r="A98" t="str">
            <v>Katrina/Rita Supportive Hsg Svcs Pgm</v>
          </cell>
        </row>
        <row r="99">
          <cell r="A99" t="str">
            <v>LA Housing Trust Fund</v>
          </cell>
        </row>
        <row r="100">
          <cell r="A100" t="str">
            <v>LA Hsg Disaster Task Force</v>
          </cell>
        </row>
        <row r="101">
          <cell r="A101" t="str">
            <v>Lafourche National Disaster Resiliency - Admin</v>
          </cell>
        </row>
        <row r="102">
          <cell r="A102" t="str">
            <v>Lafourche National Disaster Resiliency - Prog Delivery</v>
          </cell>
        </row>
        <row r="103">
          <cell r="A103" t="str">
            <v>LDH SOAR Admin</v>
          </cell>
        </row>
        <row r="104">
          <cell r="A104" t="str">
            <v xml:space="preserve">LDH SOAR Program Delivery </v>
          </cell>
        </row>
        <row r="105">
          <cell r="A105" t="str">
            <v>Lead Hazard Grant - Admin Expenses</v>
          </cell>
        </row>
        <row r="106">
          <cell r="A106" t="str">
            <v>Lead Hazard Grant - Program Delivery Expenses</v>
          </cell>
        </row>
        <row r="107">
          <cell r="A107" t="str">
            <v>Lean 6 Sigma</v>
          </cell>
        </row>
        <row r="108">
          <cell r="A108" t="str">
            <v xml:space="preserve">LIHEAP </v>
          </cell>
        </row>
        <row r="109">
          <cell r="A109" t="str">
            <v>LIHEAP - American Rescue Plan</v>
          </cell>
        </row>
        <row r="110">
          <cell r="A110" t="str">
            <v>LIHEAP Client Education</v>
          </cell>
        </row>
        <row r="111">
          <cell r="A111" t="str">
            <v>LIHTC</v>
          </cell>
        </row>
        <row r="112">
          <cell r="A112" t="str">
            <v>LIHWAP - American Rescue Plan</v>
          </cell>
        </row>
        <row r="113">
          <cell r="A113" t="str">
            <v>LIHWAP - Consolidated Ap Act</v>
          </cell>
        </row>
        <row r="114">
          <cell r="A114" t="str">
            <v>Mark 2 Market Program</v>
          </cell>
        </row>
        <row r="115">
          <cell r="A115" t="str">
            <v>Mid City Garden</v>
          </cell>
        </row>
        <row r="116">
          <cell r="A116" t="str">
            <v>Mortgage Revenue Bonds</v>
          </cell>
        </row>
        <row r="117">
          <cell r="A117" t="str">
            <v>National Foreclosure Mitigation (NeighborWorks)</v>
          </cell>
        </row>
        <row r="118">
          <cell r="A118" t="str">
            <v>National Housing Trust Fund</v>
          </cell>
        </row>
        <row r="119">
          <cell r="A119" t="str">
            <v>NSP</v>
          </cell>
        </row>
        <row r="120">
          <cell r="A120" t="str">
            <v>NSP 3</v>
          </cell>
        </row>
        <row r="121">
          <cell r="A121" t="str">
            <v>OCD Flood NLRP 3 - Admin Expenses</v>
          </cell>
        </row>
        <row r="122">
          <cell r="A122" t="str">
            <v>OCD Flood NLRP 3 - Program Delivery Expenses</v>
          </cell>
        </row>
        <row r="123">
          <cell r="A123" t="str">
            <v>OCD PRIME Program - Admin Expenses</v>
          </cell>
        </row>
        <row r="124">
          <cell r="A124" t="str">
            <v>OCD PRIME Program - Program Delivery Expenses</v>
          </cell>
        </row>
        <row r="125">
          <cell r="A125" t="str">
            <v>OCD Rural Bond Pgm - Admin</v>
          </cell>
        </row>
        <row r="126">
          <cell r="A126" t="str">
            <v>OCD Rural Bond Pgm - Pgm Delivery</v>
          </cell>
        </row>
        <row r="127">
          <cell r="A127" t="str">
            <v>Performance Based Section 8 Contract Administration</v>
          </cell>
        </row>
        <row r="128">
          <cell r="A128" t="str">
            <v>Project Based Section 8 Voucher Pgm</v>
          </cell>
        </row>
        <row r="129">
          <cell r="A129" t="str">
            <v>QAP Program Income</v>
          </cell>
        </row>
        <row r="130">
          <cell r="A130" t="str">
            <v>Risk Sharing Program</v>
          </cell>
        </row>
        <row r="131">
          <cell r="A131" t="str">
            <v>Safe Haven Admin</v>
          </cell>
        </row>
        <row r="132">
          <cell r="A132" t="str">
            <v>Safe Haven Pgm Del</v>
          </cell>
        </row>
        <row r="133">
          <cell r="A133" t="str">
            <v>Section 811 Mainstream Program</v>
          </cell>
        </row>
        <row r="134">
          <cell r="A134" t="str">
            <v>Section 811 Supportive Housing Program</v>
          </cell>
        </row>
        <row r="135">
          <cell r="A135" t="str">
            <v>St. John Housing Authority Project</v>
          </cell>
        </row>
        <row r="136">
          <cell r="A136" t="str">
            <v>Unallocable - Shared Admin Expenses - LHC General Fund</v>
          </cell>
        </row>
        <row r="137">
          <cell r="A137" t="str">
            <v>Village de Jardin</v>
          </cell>
        </row>
        <row r="138">
          <cell r="A138" t="str">
            <v>Weatherization</v>
          </cell>
        </row>
        <row r="139">
          <cell r="A139" t="str">
            <v>Willowbrook</v>
          </cell>
        </row>
      </sheetData>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UD Disposition Prop"/>
      <sheetName val="Sum by Bud Unit CD-MW"/>
      <sheetName val="PGM Revenues CD-MW"/>
      <sheetName val="Sum by Bud Unit JGH"/>
      <sheetName val="PGM Revenues JGH"/>
      <sheetName val="MF Issuer Fees"/>
      <sheetName val="SF Issuer Fees"/>
      <sheetName val="Total Expenses"/>
      <sheetName val="HR"/>
      <sheetName val="Travel"/>
      <sheetName val="Bldg Maint ONLY"/>
      <sheetName val="Prof Serv"/>
      <sheetName val="Other Operating Expenses"/>
      <sheetName val="Supplies"/>
      <sheetName val="Capital Exp"/>
      <sheetName val="Program Definitions"/>
      <sheetName val="Lists"/>
    </sheetNames>
    <sheetDataSet>
      <sheetData sheetId="0">
        <row r="5">
          <cell r="K5">
            <v>2749206.1001121639</v>
          </cell>
        </row>
        <row r="6">
          <cell r="K6">
            <v>1765633.78215588</v>
          </cell>
        </row>
        <row r="7">
          <cell r="K7">
            <v>900000</v>
          </cell>
        </row>
        <row r="8">
          <cell r="K8">
            <v>1725916.9653989279</v>
          </cell>
        </row>
        <row r="9">
          <cell r="K9">
            <v>575000</v>
          </cell>
        </row>
        <row r="10">
          <cell r="K10">
            <v>2778750</v>
          </cell>
        </row>
        <row r="11">
          <cell r="K11">
            <v>637000</v>
          </cell>
        </row>
        <row r="12">
          <cell r="K12">
            <v>2202792.34</v>
          </cell>
        </row>
        <row r="13">
          <cell r="K13">
            <v>4430715</v>
          </cell>
        </row>
        <row r="14">
          <cell r="K14">
            <v>83590</v>
          </cell>
        </row>
        <row r="15">
          <cell r="K15">
            <v>1225200</v>
          </cell>
        </row>
        <row r="16">
          <cell r="K16">
            <v>4789683.1117707826</v>
          </cell>
        </row>
        <row r="17">
          <cell r="K17">
            <v>84300</v>
          </cell>
        </row>
        <row r="18">
          <cell r="K18">
            <v>54797.999002377604</v>
          </cell>
        </row>
        <row r="22">
          <cell r="K22">
            <v>18347591.692378495</v>
          </cell>
        </row>
        <row r="23">
          <cell r="K23">
            <v>684210.78</v>
          </cell>
        </row>
        <row r="24">
          <cell r="K24">
            <v>2549996.08</v>
          </cell>
        </row>
        <row r="25">
          <cell r="K25">
            <v>605524</v>
          </cell>
        </row>
        <row r="26">
          <cell r="K26">
            <v>132502</v>
          </cell>
        </row>
        <row r="27">
          <cell r="K27">
            <v>201777.28</v>
          </cell>
        </row>
        <row r="28">
          <cell r="K28">
            <v>235000</v>
          </cell>
        </row>
        <row r="29">
          <cell r="K29">
            <v>4113909.85</v>
          </cell>
        </row>
        <row r="30">
          <cell r="K30">
            <v>188470</v>
          </cell>
        </row>
        <row r="35">
          <cell r="K35">
            <v>97852.2</v>
          </cell>
        </row>
        <row r="39">
          <cell r="K39">
            <v>3154249</v>
          </cell>
        </row>
        <row r="43">
          <cell r="K43">
            <v>171</v>
          </cell>
        </row>
      </sheetData>
      <sheetData sheetId="1"/>
      <sheetData sheetId="2"/>
      <sheetData sheetId="3"/>
      <sheetData sheetId="4"/>
      <sheetData sheetId="5"/>
      <sheetData sheetId="6"/>
      <sheetData sheetId="7"/>
      <sheetData sheetId="8"/>
      <sheetData sheetId="9">
        <row r="184">
          <cell r="Z184">
            <v>1036.7872319999999</v>
          </cell>
        </row>
        <row r="199">
          <cell r="Z199">
            <v>27881.719967999994</v>
          </cell>
        </row>
        <row r="200">
          <cell r="Z200">
            <v>2073.5744639999998</v>
          </cell>
        </row>
        <row r="201">
          <cell r="Z201">
            <v>3455.9574399999997</v>
          </cell>
        </row>
        <row r="202">
          <cell r="Z202">
            <v>1036.7872319999999</v>
          </cell>
        </row>
        <row r="203">
          <cell r="Z203">
            <v>691.19148800000005</v>
          </cell>
        </row>
        <row r="204">
          <cell r="Z204">
            <v>1209.585104</v>
          </cell>
        </row>
        <row r="205">
          <cell r="Z205">
            <v>1900.7765919999997</v>
          </cell>
        </row>
        <row r="206">
          <cell r="Z206">
            <v>863.98935999999992</v>
          </cell>
        </row>
        <row r="207">
          <cell r="Z207">
            <v>1382.3829760000001</v>
          </cell>
        </row>
        <row r="208">
          <cell r="Z208">
            <v>3455.9574399999997</v>
          </cell>
        </row>
        <row r="209">
          <cell r="Z209">
            <v>2764.7659520000002</v>
          </cell>
        </row>
        <row r="210">
          <cell r="Z210">
            <v>1382.3829760000001</v>
          </cell>
        </row>
        <row r="211">
          <cell r="Z211">
            <v>1900.7765919999997</v>
          </cell>
        </row>
        <row r="212">
          <cell r="Z212">
            <v>863.98935999999992</v>
          </cell>
        </row>
        <row r="213">
          <cell r="Z213">
            <v>3455.9574399999997</v>
          </cell>
        </row>
        <row r="214">
          <cell r="Z214">
            <v>3455.9574399999997</v>
          </cell>
        </row>
        <row r="215">
          <cell r="Z215">
            <v>2246.3723359999999</v>
          </cell>
        </row>
        <row r="216">
          <cell r="Z216">
            <v>345.59574400000002</v>
          </cell>
        </row>
        <row r="217">
          <cell r="Z217">
            <v>345.59574400000002</v>
          </cell>
        </row>
        <row r="218">
          <cell r="Z218">
            <v>1382.3829760000001</v>
          </cell>
        </row>
        <row r="219">
          <cell r="Z219">
            <v>2591.9680799999996</v>
          </cell>
        </row>
        <row r="220">
          <cell r="Z220">
            <v>1727.9787199999998</v>
          </cell>
        </row>
        <row r="221">
          <cell r="Z221">
            <v>2073.5744639999998</v>
          </cell>
        </row>
        <row r="222">
          <cell r="Z222">
            <v>9676.680832</v>
          </cell>
        </row>
        <row r="223">
          <cell r="Z223">
            <v>691.19148800000005</v>
          </cell>
        </row>
        <row r="224">
          <cell r="Z224">
            <v>1382.3829760000001</v>
          </cell>
        </row>
        <row r="225">
          <cell r="Z225">
            <v>345.59574400000002</v>
          </cell>
        </row>
        <row r="226">
          <cell r="Z226">
            <v>172.79787200000001</v>
          </cell>
        </row>
        <row r="227">
          <cell r="Z227">
            <v>11576.041047999999</v>
          </cell>
        </row>
        <row r="258">
          <cell r="Z258">
            <v>54657.949840000008</v>
          </cell>
        </row>
        <row r="259">
          <cell r="Z259">
            <v>55697.569824000013</v>
          </cell>
        </row>
        <row r="260">
          <cell r="Z260">
            <v>18565.856608000002</v>
          </cell>
        </row>
        <row r="261">
          <cell r="Z261">
            <v>13924.392456000003</v>
          </cell>
        </row>
        <row r="262">
          <cell r="Z262">
            <v>8038.9869470000012</v>
          </cell>
        </row>
        <row r="263">
          <cell r="Z263">
            <v>33937.785335999994</v>
          </cell>
        </row>
        <row r="264">
          <cell r="Z264">
            <v>19393.020192</v>
          </cell>
        </row>
        <row r="265">
          <cell r="Z265">
            <v>9696.510096</v>
          </cell>
        </row>
        <row r="266">
          <cell r="Z266">
            <v>9696.510096</v>
          </cell>
        </row>
        <row r="267">
          <cell r="Z267">
            <v>9696.510096</v>
          </cell>
        </row>
        <row r="268">
          <cell r="Z268">
            <v>4848.255048</v>
          </cell>
        </row>
        <row r="269">
          <cell r="Z269">
            <v>4848.255048</v>
          </cell>
        </row>
        <row r="270">
          <cell r="Z270">
            <v>24314.974947999999</v>
          </cell>
        </row>
        <row r="271">
          <cell r="Z271">
            <v>12173.75172</v>
          </cell>
        </row>
        <row r="272">
          <cell r="Z272">
            <v>20289.586200000002</v>
          </cell>
        </row>
        <row r="273">
          <cell r="Z273">
            <v>16231.668960000003</v>
          </cell>
        </row>
        <row r="274">
          <cell r="Z274">
            <v>8115.8344800000013</v>
          </cell>
        </row>
        <row r="275">
          <cell r="Z275">
            <v>8115.8344800000013</v>
          </cell>
        </row>
        <row r="276">
          <cell r="Z276">
            <v>8115.8344800000013</v>
          </cell>
        </row>
        <row r="277">
          <cell r="Z277">
            <v>19226.447274999999</v>
          </cell>
        </row>
        <row r="278">
          <cell r="Z278">
            <v>17051.423920000001</v>
          </cell>
        </row>
        <row r="279">
          <cell r="Z279">
            <v>21967.991760000001</v>
          </cell>
        </row>
        <row r="287">
          <cell r="Z287">
            <v>8821.1897280000012</v>
          </cell>
        </row>
        <row r="288">
          <cell r="Z288">
            <v>8821.1897280000012</v>
          </cell>
        </row>
        <row r="289">
          <cell r="Z289">
            <v>4410.5948640000006</v>
          </cell>
        </row>
        <row r="290">
          <cell r="Z290">
            <v>15446.407659</v>
          </cell>
        </row>
        <row r="291">
          <cell r="Z291">
            <v>62207.233920000006</v>
          </cell>
        </row>
        <row r="292">
          <cell r="Z292">
            <v>18134.717675</v>
          </cell>
        </row>
        <row r="298">
          <cell r="Z298">
            <v>6485.7556691200007</v>
          </cell>
        </row>
        <row r="299">
          <cell r="Z299">
            <v>6485.7556691200007</v>
          </cell>
        </row>
        <row r="300">
          <cell r="Z300">
            <v>18776.848464120001</v>
          </cell>
        </row>
        <row r="301">
          <cell r="Z301">
            <v>36508.507776000006</v>
          </cell>
        </row>
        <row r="302">
          <cell r="Z302">
            <v>13690.690415999998</v>
          </cell>
        </row>
        <row r="314">
          <cell r="Z314">
            <v>11925.885919999999</v>
          </cell>
        </row>
        <row r="315">
          <cell r="Z315">
            <v>5962.9429599999994</v>
          </cell>
        </row>
        <row r="316">
          <cell r="Z316">
            <v>28131.498879999999</v>
          </cell>
        </row>
        <row r="317">
          <cell r="Z317">
            <v>27647.659519999997</v>
          </cell>
        </row>
        <row r="318">
          <cell r="Z318">
            <v>24191.702079999995</v>
          </cell>
        </row>
        <row r="323">
          <cell r="Z323">
            <v>15139.643063999998</v>
          </cell>
        </row>
        <row r="324">
          <cell r="Z324">
            <v>13534.987688000001</v>
          </cell>
        </row>
        <row r="325">
          <cell r="Z325">
            <v>57047.730246000006</v>
          </cell>
        </row>
        <row r="326">
          <cell r="Z326">
            <v>15809.099489</v>
          </cell>
        </row>
        <row r="327">
          <cell r="Z327">
            <v>124997.82608</v>
          </cell>
        </row>
        <row r="328">
          <cell r="Z328">
            <v>125103.22104</v>
          </cell>
        </row>
        <row r="329">
          <cell r="Z329">
            <v>95915.611228319976</v>
          </cell>
        </row>
        <row r="330">
          <cell r="Z330">
            <v>18339.788834639996</v>
          </cell>
        </row>
        <row r="331">
          <cell r="Z331">
            <v>18339.788834639996</v>
          </cell>
        </row>
        <row r="332">
          <cell r="Z332">
            <v>38946.705391999996</v>
          </cell>
        </row>
        <row r="333">
          <cell r="Z333">
            <v>30299.115392</v>
          </cell>
        </row>
        <row r="334">
          <cell r="Z334">
            <v>30299.115392</v>
          </cell>
        </row>
        <row r="336">
          <cell r="Z336">
            <v>30299.115392</v>
          </cell>
        </row>
        <row r="338">
          <cell r="Z338">
            <v>6722.1204959999995</v>
          </cell>
        </row>
        <row r="339">
          <cell r="Z339">
            <v>6722.1204959999995</v>
          </cell>
        </row>
        <row r="340">
          <cell r="Z340">
            <v>23527.421736000004</v>
          </cell>
        </row>
        <row r="341">
          <cell r="Z341">
            <v>23527.421736000004</v>
          </cell>
        </row>
        <row r="342">
          <cell r="Z342">
            <v>4903.4937119999995</v>
          </cell>
        </row>
        <row r="343">
          <cell r="Z343">
            <v>4903.4937119999995</v>
          </cell>
        </row>
        <row r="349">
          <cell r="Z349">
            <v>9628.5240480000011</v>
          </cell>
        </row>
        <row r="350">
          <cell r="Z350">
            <v>24071.310119999998</v>
          </cell>
        </row>
        <row r="351">
          <cell r="Z351">
            <v>24071.310119999998</v>
          </cell>
        </row>
        <row r="352">
          <cell r="Z352">
            <v>4814.2620240000006</v>
          </cell>
        </row>
        <row r="353">
          <cell r="Z353">
            <v>4814.2620240000006</v>
          </cell>
        </row>
        <row r="356">
          <cell r="Z356">
            <v>9658.2679439999993</v>
          </cell>
        </row>
        <row r="362">
          <cell r="Z362">
            <v>7584.6934800000008</v>
          </cell>
        </row>
        <row r="363">
          <cell r="Z363">
            <v>45508.160879999996</v>
          </cell>
        </row>
        <row r="365">
          <cell r="Z365">
            <v>7584.6934800000008</v>
          </cell>
        </row>
        <row r="366">
          <cell r="Z366">
            <v>7584.6934800000008</v>
          </cell>
        </row>
        <row r="367">
          <cell r="Z367">
            <v>3792.3467400000004</v>
          </cell>
        </row>
        <row r="371">
          <cell r="Z371">
            <v>10186.576192</v>
          </cell>
        </row>
        <row r="372">
          <cell r="Z372">
            <v>10186.576192</v>
          </cell>
        </row>
        <row r="373">
          <cell r="Z373">
            <v>30559.728576000001</v>
          </cell>
        </row>
        <row r="374">
          <cell r="Z374">
            <v>30559.728576000001</v>
          </cell>
        </row>
        <row r="375">
          <cell r="Z375">
            <v>5877.5480960000004</v>
          </cell>
        </row>
        <row r="376">
          <cell r="Z376">
            <v>5093.2880960000002</v>
          </cell>
        </row>
        <row r="377">
          <cell r="Z377">
            <v>89696.515119999996</v>
          </cell>
        </row>
        <row r="379">
          <cell r="Z379">
            <v>17119.736711999998</v>
          </cell>
        </row>
        <row r="380">
          <cell r="Z380">
            <v>77409.622440799998</v>
          </cell>
        </row>
        <row r="381">
          <cell r="Z381">
            <v>92058.188479999983</v>
          </cell>
        </row>
        <row r="383">
          <cell r="Z383">
            <v>20451.902889599998</v>
          </cell>
        </row>
        <row r="384">
          <cell r="Z384">
            <v>3029.9115391999994</v>
          </cell>
        </row>
        <row r="385">
          <cell r="Z385">
            <v>757.47788479999986</v>
          </cell>
        </row>
        <row r="386">
          <cell r="Z386">
            <v>6817.3009631999994</v>
          </cell>
        </row>
        <row r="387">
          <cell r="Z387">
            <v>1514.9557695999997</v>
          </cell>
        </row>
        <row r="388">
          <cell r="Z388">
            <v>757.47788479999986</v>
          </cell>
        </row>
        <row r="389">
          <cell r="Z389">
            <v>2272.4336543999998</v>
          </cell>
        </row>
        <row r="390">
          <cell r="Z390">
            <v>2272.4336543999998</v>
          </cell>
        </row>
        <row r="391">
          <cell r="Z391">
            <v>7693.7544320000006</v>
          </cell>
        </row>
        <row r="392">
          <cell r="Z392">
            <v>34621.894943999992</v>
          </cell>
        </row>
        <row r="397">
          <cell r="Z397">
            <v>115712.10008</v>
          </cell>
        </row>
        <row r="398">
          <cell r="Z398">
            <v>93509.143520000012</v>
          </cell>
        </row>
        <row r="399">
          <cell r="Z399">
            <v>98637.374415999991</v>
          </cell>
        </row>
        <row r="400">
          <cell r="Z400">
            <v>11050.565552</v>
          </cell>
        </row>
        <row r="402">
          <cell r="Z402">
            <v>5525.282776</v>
          </cell>
        </row>
        <row r="403">
          <cell r="Z403">
            <v>25847.171503999998</v>
          </cell>
        </row>
        <row r="404">
          <cell r="Z404">
            <v>31171.603008000002</v>
          </cell>
        </row>
        <row r="405">
          <cell r="Z405">
            <v>31171.603008000002</v>
          </cell>
        </row>
        <row r="406">
          <cell r="Z406">
            <v>83707.821599999996</v>
          </cell>
        </row>
        <row r="407">
          <cell r="Z407">
            <v>79292.28</v>
          </cell>
        </row>
        <row r="408">
          <cell r="Z408">
            <v>4222.216856</v>
          </cell>
        </row>
        <row r="409">
          <cell r="Z409">
            <v>4222.216856</v>
          </cell>
        </row>
        <row r="410">
          <cell r="Z410">
            <v>8444.433712</v>
          </cell>
        </row>
        <row r="411">
          <cell r="Z411">
            <v>8444.433712</v>
          </cell>
        </row>
        <row r="413">
          <cell r="Z413">
            <v>5066.6602272</v>
          </cell>
        </row>
        <row r="414">
          <cell r="Z414">
            <v>25333.301135999998</v>
          </cell>
        </row>
        <row r="415">
          <cell r="Z415">
            <v>844.44337119999989</v>
          </cell>
        </row>
        <row r="416">
          <cell r="Z416">
            <v>31662.5876512</v>
          </cell>
        </row>
        <row r="417">
          <cell r="Z417">
            <v>844.44337119999989</v>
          </cell>
        </row>
        <row r="418">
          <cell r="Z418">
            <v>2487.5627559119998</v>
          </cell>
        </row>
        <row r="419">
          <cell r="Z419">
            <v>2487.5627559119998</v>
          </cell>
        </row>
        <row r="420">
          <cell r="Z420">
            <v>12437.81377956</v>
          </cell>
        </row>
        <row r="421">
          <cell r="Z421">
            <v>12437.81377956</v>
          </cell>
        </row>
        <row r="422">
          <cell r="Z422">
            <v>4975.1255118239997</v>
          </cell>
        </row>
        <row r="435">
          <cell r="Z435">
            <v>4695.2864399999999</v>
          </cell>
        </row>
        <row r="436">
          <cell r="Z436">
            <v>14085.859320000001</v>
          </cell>
        </row>
        <row r="437">
          <cell r="Z437">
            <v>391.27386999999999</v>
          </cell>
        </row>
        <row r="438">
          <cell r="Z438">
            <v>3912.7386999999999</v>
          </cell>
        </row>
        <row r="439">
          <cell r="Z439">
            <v>391.27386999999999</v>
          </cell>
        </row>
        <row r="440">
          <cell r="Z440">
            <v>29051.421239999996</v>
          </cell>
        </row>
        <row r="441">
          <cell r="Z441">
            <v>782.54773999999998</v>
          </cell>
        </row>
        <row r="442">
          <cell r="Z442">
            <v>736.51552000000004</v>
          </cell>
        </row>
        <row r="443">
          <cell r="Z443">
            <v>736.51552000000004</v>
          </cell>
        </row>
        <row r="444">
          <cell r="Z444">
            <v>736.51552000000004</v>
          </cell>
        </row>
        <row r="445">
          <cell r="Z445">
            <v>17676.372480000002</v>
          </cell>
        </row>
        <row r="446">
          <cell r="Z446">
            <v>11784.248320000001</v>
          </cell>
        </row>
        <row r="447">
          <cell r="Z447">
            <v>11784.248320000001</v>
          </cell>
        </row>
        <row r="448">
          <cell r="Z448">
            <v>8838.1862400000009</v>
          </cell>
        </row>
        <row r="449">
          <cell r="Z449">
            <v>11784.248320000001</v>
          </cell>
        </row>
        <row r="450">
          <cell r="Z450">
            <v>5892.1241600000003</v>
          </cell>
        </row>
        <row r="451">
          <cell r="Z451">
            <v>5892.1241600000003</v>
          </cell>
        </row>
        <row r="452">
          <cell r="Z452">
            <v>1473.0310400000001</v>
          </cell>
        </row>
        <row r="453">
          <cell r="Z453">
            <v>4419.0931200000005</v>
          </cell>
        </row>
        <row r="454">
          <cell r="Z454">
            <v>4419.0931200000005</v>
          </cell>
        </row>
        <row r="455">
          <cell r="Z455">
            <v>1473.0310400000001</v>
          </cell>
        </row>
        <row r="456">
          <cell r="Z456">
            <v>7365.1552000000001</v>
          </cell>
        </row>
        <row r="457">
          <cell r="Z457">
            <v>2946.0620800000002</v>
          </cell>
        </row>
        <row r="458">
          <cell r="Z458">
            <v>46859.547039999998</v>
          </cell>
        </row>
        <row r="459">
          <cell r="Z459">
            <v>736.51552000000004</v>
          </cell>
        </row>
        <row r="460">
          <cell r="Z460">
            <v>2946.0620800000002</v>
          </cell>
        </row>
        <row r="461">
          <cell r="Z461">
            <v>7365.1552000000001</v>
          </cell>
        </row>
        <row r="462">
          <cell r="Z462">
            <v>311.95681400000001</v>
          </cell>
        </row>
        <row r="463">
          <cell r="Z463">
            <v>311.95681400000001</v>
          </cell>
        </row>
        <row r="465">
          <cell r="Z465">
            <v>2495.6545120000001</v>
          </cell>
        </row>
        <row r="466">
          <cell r="Z466">
            <v>18717.40884</v>
          </cell>
        </row>
        <row r="503">
          <cell r="Z503">
            <v>7671.0924160000004</v>
          </cell>
        </row>
        <row r="504">
          <cell r="Z504">
            <v>74091.190159999984</v>
          </cell>
        </row>
        <row r="505">
          <cell r="Z505">
            <v>51170.832128000002</v>
          </cell>
        </row>
        <row r="509">
          <cell r="Z509">
            <v>29976.181664</v>
          </cell>
        </row>
        <row r="512">
          <cell r="Z512">
            <v>14988.090832</v>
          </cell>
        </row>
        <row r="513">
          <cell r="Z513">
            <v>7494.0454159999999</v>
          </cell>
        </row>
        <row r="519">
          <cell r="Z519">
            <v>200230.80480000001</v>
          </cell>
        </row>
        <row r="520">
          <cell r="Z520">
            <v>131871.26312000002</v>
          </cell>
        </row>
        <row r="521">
          <cell r="Z521">
            <v>213230.87424</v>
          </cell>
        </row>
        <row r="522">
          <cell r="Z522">
            <v>178784.56</v>
          </cell>
        </row>
        <row r="523">
          <cell r="Z523">
            <v>185981.71000000002</v>
          </cell>
        </row>
        <row r="524">
          <cell r="Z524">
            <v>307425.71136000002</v>
          </cell>
        </row>
        <row r="525">
          <cell r="Z525">
            <v>55215.079625600003</v>
          </cell>
        </row>
        <row r="526">
          <cell r="Z526">
            <v>9989.699928</v>
          </cell>
        </row>
        <row r="527">
          <cell r="Z527">
            <v>3329.8999760000006</v>
          </cell>
        </row>
        <row r="528">
          <cell r="Z528">
            <v>1331.9599903999999</v>
          </cell>
        </row>
        <row r="529">
          <cell r="Z529">
            <v>37873.894239999994</v>
          </cell>
        </row>
        <row r="530">
          <cell r="Z530">
            <v>7574.7788479999999</v>
          </cell>
        </row>
        <row r="535">
          <cell r="Z535">
            <v>7574.7788479999999</v>
          </cell>
        </row>
        <row r="536">
          <cell r="Z536">
            <v>3029.9115391999994</v>
          </cell>
        </row>
        <row r="537">
          <cell r="Z537">
            <v>3029.9115391999994</v>
          </cell>
        </row>
        <row r="538">
          <cell r="Z538">
            <v>7574.7788479999999</v>
          </cell>
        </row>
        <row r="539">
          <cell r="Z539">
            <v>49993.540396799996</v>
          </cell>
        </row>
        <row r="540">
          <cell r="Z540">
            <v>11781.111539199999</v>
          </cell>
        </row>
        <row r="541">
          <cell r="Z541">
            <v>3029.9115391999994</v>
          </cell>
        </row>
        <row r="542">
          <cell r="Z542">
            <v>3029.9115391999994</v>
          </cell>
        </row>
        <row r="543">
          <cell r="Z543">
            <v>92664.983424000005</v>
          </cell>
        </row>
        <row r="544">
          <cell r="Z544">
            <v>5791.5614640000003</v>
          </cell>
        </row>
        <row r="545">
          <cell r="Z545">
            <v>5791.5614640000003</v>
          </cell>
        </row>
        <row r="546">
          <cell r="Z546">
            <v>5791.5614640000003</v>
          </cell>
        </row>
        <row r="547">
          <cell r="Z547">
            <v>14918.721464</v>
          </cell>
        </row>
        <row r="548">
          <cell r="Z548">
            <v>89357.614406399996</v>
          </cell>
        </row>
        <row r="549">
          <cell r="Z549">
            <v>55503.977151999999</v>
          </cell>
        </row>
        <row r="550">
          <cell r="Z550">
            <v>11738.924288</v>
          </cell>
        </row>
        <row r="551">
          <cell r="Z551">
            <v>56722.103679999993</v>
          </cell>
        </row>
        <row r="552">
          <cell r="Z552">
            <v>51244.483679999998</v>
          </cell>
        </row>
        <row r="553">
          <cell r="Z553">
            <v>35055.306000000004</v>
          </cell>
        </row>
        <row r="554">
          <cell r="Z554">
            <v>7790.0679999999993</v>
          </cell>
        </row>
        <row r="557">
          <cell r="Z557">
            <v>18908.619599999998</v>
          </cell>
        </row>
        <row r="558">
          <cell r="Z558">
            <v>70429.390383999998</v>
          </cell>
        </row>
        <row r="562">
          <cell r="Z562">
            <v>2478.6579999999999</v>
          </cell>
        </row>
        <row r="563">
          <cell r="Z563">
            <v>2478.6579999999999</v>
          </cell>
        </row>
        <row r="580">
          <cell r="Z580">
            <v>15976.721279999998</v>
          </cell>
        </row>
        <row r="581">
          <cell r="Z581">
            <v>5325.5737600000002</v>
          </cell>
        </row>
        <row r="582">
          <cell r="Z582">
            <v>15976.721279999998</v>
          </cell>
        </row>
        <row r="583">
          <cell r="Z583">
            <v>10651.14752</v>
          </cell>
        </row>
        <row r="584">
          <cell r="Z584">
            <v>14668.963759999999</v>
          </cell>
        </row>
        <row r="585">
          <cell r="Z585">
            <v>4314.2812960000001</v>
          </cell>
        </row>
        <row r="586">
          <cell r="Z586">
            <v>12942.843888000001</v>
          </cell>
        </row>
        <row r="587">
          <cell r="Z587">
            <v>21571.406480000001</v>
          </cell>
        </row>
        <row r="588">
          <cell r="Z588">
            <v>8628.5625920000002</v>
          </cell>
        </row>
        <row r="589">
          <cell r="Z589">
            <v>47045.791664000004</v>
          </cell>
        </row>
        <row r="590">
          <cell r="Z590">
            <v>77592.628799999991</v>
          </cell>
        </row>
        <row r="591">
          <cell r="Z591">
            <v>32701.917000000001</v>
          </cell>
        </row>
        <row r="601">
          <cell r="Z601">
            <v>119148.84143999999</v>
          </cell>
        </row>
        <row r="602">
          <cell r="Z602">
            <v>161062.15656000003</v>
          </cell>
        </row>
        <row r="603">
          <cell r="Z603">
            <v>107239.86856</v>
          </cell>
        </row>
        <row r="607">
          <cell r="Z607">
            <v>11359.335520000002</v>
          </cell>
        </row>
        <row r="608">
          <cell r="Z608">
            <v>22718.671040000005</v>
          </cell>
        </row>
        <row r="609">
          <cell r="Z609">
            <v>22718.671040000005</v>
          </cell>
        </row>
        <row r="610">
          <cell r="Z610">
            <v>75336.116800000003</v>
          </cell>
        </row>
        <row r="612">
          <cell r="Z612">
            <v>26514.558720000001</v>
          </cell>
        </row>
        <row r="613">
          <cell r="Z613">
            <v>26514.558720000001</v>
          </cell>
        </row>
        <row r="614">
          <cell r="Z614">
            <v>30182.467408</v>
          </cell>
        </row>
        <row r="615">
          <cell r="Z615">
            <v>14194.212083999997</v>
          </cell>
        </row>
        <row r="620">
          <cell r="Z620">
            <v>14194.212083999997</v>
          </cell>
        </row>
        <row r="621">
          <cell r="Z621">
            <v>14194.212083999997</v>
          </cell>
        </row>
        <row r="622">
          <cell r="Z622">
            <v>14194.212083999997</v>
          </cell>
        </row>
        <row r="623">
          <cell r="Z623">
            <v>15043.900016000001</v>
          </cell>
        </row>
        <row r="624">
          <cell r="Z624">
            <v>8789.3212679999979</v>
          </cell>
        </row>
        <row r="625">
          <cell r="Z625">
            <v>8789.3212679999979</v>
          </cell>
        </row>
        <row r="626">
          <cell r="Z626">
            <v>8789.3212679999979</v>
          </cell>
        </row>
        <row r="627">
          <cell r="Z627">
            <v>8789.3212679999979</v>
          </cell>
        </row>
        <row r="628">
          <cell r="Z628">
            <v>8789.3212679999979</v>
          </cell>
        </row>
        <row r="629">
          <cell r="Z629">
            <v>8789.3212679999979</v>
          </cell>
        </row>
        <row r="630">
          <cell r="Z630">
            <v>8789.3212679999979</v>
          </cell>
        </row>
        <row r="631">
          <cell r="Z631">
            <v>8789.3212679999979</v>
          </cell>
        </row>
        <row r="632">
          <cell r="Z632">
            <v>179518.89431999999</v>
          </cell>
        </row>
        <row r="633">
          <cell r="Z633">
            <v>26500.323872000004</v>
          </cell>
        </row>
        <row r="634">
          <cell r="Z634">
            <v>11746.714355999999</v>
          </cell>
        </row>
        <row r="636">
          <cell r="Z636">
            <v>11746.714355999999</v>
          </cell>
        </row>
        <row r="637">
          <cell r="Z637">
            <v>11746.714355999999</v>
          </cell>
        </row>
        <row r="638">
          <cell r="Z638">
            <v>11746.714355999999</v>
          </cell>
        </row>
        <row r="639">
          <cell r="Z639">
            <v>11746.714355999999</v>
          </cell>
        </row>
        <row r="640">
          <cell r="Z640">
            <v>11746.714355999999</v>
          </cell>
        </row>
        <row r="641">
          <cell r="Z641">
            <v>11746.714355999999</v>
          </cell>
        </row>
        <row r="657">
          <cell r="Z657">
            <v>98793.65535999999</v>
          </cell>
        </row>
        <row r="659">
          <cell r="Z659">
            <v>77446.811039999986</v>
          </cell>
        </row>
        <row r="661">
          <cell r="Z661">
            <v>56440.217119999994</v>
          </cell>
        </row>
        <row r="665">
          <cell r="Z665">
            <v>72357.71256</v>
          </cell>
        </row>
        <row r="666">
          <cell r="Z666">
            <v>52407.108975999996</v>
          </cell>
        </row>
        <row r="668">
          <cell r="Z668">
            <v>52341.371200000001</v>
          </cell>
        </row>
        <row r="669">
          <cell r="Z669">
            <v>57301.383699999998</v>
          </cell>
        </row>
        <row r="671">
          <cell r="Z671">
            <v>70001.090769599978</v>
          </cell>
        </row>
        <row r="672">
          <cell r="Z672">
            <v>61171.54264</v>
          </cell>
        </row>
        <row r="673">
          <cell r="Z673">
            <v>87943.222800000003</v>
          </cell>
        </row>
        <row r="674">
          <cell r="Z674">
            <v>58827.318040000006</v>
          </cell>
        </row>
        <row r="678">
          <cell r="Z678">
            <v>59218.680560000001</v>
          </cell>
        </row>
        <row r="679">
          <cell r="Z679">
            <v>76597.614079999999</v>
          </cell>
        </row>
        <row r="681">
          <cell r="Z681">
            <v>1416.376</v>
          </cell>
        </row>
        <row r="682">
          <cell r="Z682">
            <v>145699.180352</v>
          </cell>
        </row>
        <row r="685">
          <cell r="Z685">
            <v>58158.2094</v>
          </cell>
        </row>
        <row r="686">
          <cell r="Z686">
            <v>45104.493720000006</v>
          </cell>
        </row>
        <row r="687">
          <cell r="Z687">
            <v>43737.690880000002</v>
          </cell>
        </row>
        <row r="688">
          <cell r="Z688">
            <v>8747.538176</v>
          </cell>
        </row>
        <row r="689">
          <cell r="Z689">
            <v>8747.538176</v>
          </cell>
        </row>
        <row r="690">
          <cell r="Z690">
            <v>8747.538176</v>
          </cell>
        </row>
        <row r="698">
          <cell r="Z698">
            <v>19551.654304</v>
          </cell>
        </row>
        <row r="699">
          <cell r="Z699">
            <v>81770.466159999996</v>
          </cell>
        </row>
        <row r="700">
          <cell r="Z700">
            <v>24741.650431999999</v>
          </cell>
        </row>
        <row r="701">
          <cell r="Z701">
            <v>21632.310647999999</v>
          </cell>
        </row>
        <row r="702">
          <cell r="Z702">
            <v>7210.7702160000008</v>
          </cell>
        </row>
        <row r="703">
          <cell r="Z703">
            <v>14421.540432000002</v>
          </cell>
        </row>
        <row r="704">
          <cell r="Z704">
            <v>28843.080864000003</v>
          </cell>
        </row>
        <row r="705">
          <cell r="Z705">
            <v>14421.540432000002</v>
          </cell>
        </row>
        <row r="706">
          <cell r="Z706">
            <v>28843.080864000003</v>
          </cell>
        </row>
        <row r="707">
          <cell r="Z707">
            <v>7210.7702160000008</v>
          </cell>
        </row>
        <row r="708">
          <cell r="Z708">
            <v>7210.7702160000008</v>
          </cell>
        </row>
        <row r="709">
          <cell r="Z709">
            <v>71876.135263999982</v>
          </cell>
        </row>
        <row r="710">
          <cell r="Z710">
            <v>3336.9818559999994</v>
          </cell>
        </row>
        <row r="711">
          <cell r="Z711">
            <v>86465.505671999999</v>
          </cell>
        </row>
        <row r="712">
          <cell r="Z712">
            <v>4550.8160880000005</v>
          </cell>
        </row>
        <row r="713">
          <cell r="Z713">
            <v>132429.73962399998</v>
          </cell>
        </row>
        <row r="714">
          <cell r="Z714">
            <v>6969.986296</v>
          </cell>
        </row>
        <row r="717">
          <cell r="Z717">
            <v>26599.541280000001</v>
          </cell>
        </row>
        <row r="718">
          <cell r="Z718">
            <v>10639.816512000001</v>
          </cell>
        </row>
        <row r="719">
          <cell r="Z719">
            <v>31919.449536000004</v>
          </cell>
        </row>
        <row r="720">
          <cell r="Z720">
            <v>7979.8623840000009</v>
          </cell>
        </row>
        <row r="721">
          <cell r="Z721">
            <v>10639.816512000001</v>
          </cell>
        </row>
        <row r="722">
          <cell r="Z722">
            <v>43882.930390300004</v>
          </cell>
        </row>
        <row r="723">
          <cell r="Z723">
            <v>81515.990319999997</v>
          </cell>
        </row>
        <row r="724">
          <cell r="Z724">
            <v>8115.8344800000013</v>
          </cell>
        </row>
        <row r="725">
          <cell r="Z725">
            <v>14662.334932000002</v>
          </cell>
        </row>
        <row r="726">
          <cell r="Z726">
            <v>8251.8065760000009</v>
          </cell>
        </row>
        <row r="727">
          <cell r="Z727">
            <v>20629.516440000003</v>
          </cell>
        </row>
        <row r="739">
          <cell r="Z739">
            <v>22799.7336928</v>
          </cell>
        </row>
        <row r="740">
          <cell r="Z740">
            <v>86568.90112000001</v>
          </cell>
        </row>
        <row r="741">
          <cell r="Z741">
            <v>30438.315280000003</v>
          </cell>
        </row>
        <row r="746">
          <cell r="Z746">
            <v>11560.460912000002</v>
          </cell>
        </row>
        <row r="747">
          <cell r="Z747">
            <v>50553.192735999997</v>
          </cell>
        </row>
        <row r="750">
          <cell r="Z750">
            <v>32531.323968000004</v>
          </cell>
        </row>
        <row r="751">
          <cell r="Z751">
            <v>32531.323968000004</v>
          </cell>
        </row>
        <row r="752">
          <cell r="Z752">
            <v>25075.301984000002</v>
          </cell>
        </row>
        <row r="753">
          <cell r="Z753">
            <v>10605.823488</v>
          </cell>
        </row>
        <row r="754">
          <cell r="Z754">
            <v>10605.823488</v>
          </cell>
        </row>
        <row r="755">
          <cell r="Z755">
            <v>10605.823488</v>
          </cell>
        </row>
        <row r="756">
          <cell r="Z756">
            <v>5302.911744</v>
          </cell>
        </row>
        <row r="757">
          <cell r="Z757">
            <v>24718.375231999999</v>
          </cell>
        </row>
        <row r="758">
          <cell r="Z758">
            <v>49085.926656000003</v>
          </cell>
        </row>
        <row r="759">
          <cell r="Z759">
            <v>20894.141664000002</v>
          </cell>
        </row>
        <row r="760">
          <cell r="Z760">
            <v>45295.704479999993</v>
          </cell>
        </row>
        <row r="761">
          <cell r="Z761">
            <v>24049.989255</v>
          </cell>
        </row>
        <row r="762">
          <cell r="Z762">
            <v>61978.499775999997</v>
          </cell>
        </row>
        <row r="763">
          <cell r="Z763">
            <v>17835.006592000002</v>
          </cell>
        </row>
        <row r="768">
          <cell r="Z768">
            <v>130743.39823999998</v>
          </cell>
        </row>
        <row r="769">
          <cell r="Z769">
            <v>129373.78528</v>
          </cell>
        </row>
        <row r="770">
          <cell r="Z770">
            <v>102616.44831999998</v>
          </cell>
        </row>
        <row r="771">
          <cell r="Z771">
            <v>90022.647760000007</v>
          </cell>
        </row>
        <row r="774">
          <cell r="Z774">
            <v>0</v>
          </cell>
        </row>
        <row r="775">
          <cell r="Z775">
            <v>0</v>
          </cell>
        </row>
        <row r="776">
          <cell r="Z776">
            <v>0</v>
          </cell>
        </row>
        <row r="777">
          <cell r="Z777">
            <v>0</v>
          </cell>
        </row>
        <row r="778">
          <cell r="Z778">
            <v>0</v>
          </cell>
        </row>
        <row r="779">
          <cell r="Z779">
            <v>0</v>
          </cell>
        </row>
      </sheetData>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5"/>
  <sheetViews>
    <sheetView zoomScale="115" zoomScaleNormal="115" workbookViewId="0">
      <pane xSplit="1" ySplit="4" topLeftCell="D5" activePane="bottomRight" state="frozen"/>
      <selection activeCell="F24" sqref="F24"/>
      <selection pane="topRight" activeCell="F24" sqref="F24"/>
      <selection pane="bottomLeft" activeCell="F24" sqref="F24"/>
      <selection pane="bottomRight" activeCell="F24" sqref="F24"/>
    </sheetView>
  </sheetViews>
  <sheetFormatPr defaultRowHeight="12.75" x14ac:dyDescent="0.2"/>
  <cols>
    <col min="1" max="1" width="58.5703125" customWidth="1"/>
    <col min="2" max="2" width="13.28515625" hidden="1" customWidth="1"/>
    <col min="3" max="3" width="13" hidden="1" customWidth="1"/>
    <col min="4" max="4" width="14.140625" customWidth="1"/>
    <col min="5" max="5" width="13.7109375" customWidth="1"/>
    <col min="6" max="6" width="13.5703125" customWidth="1"/>
    <col min="7" max="7" width="14.42578125" customWidth="1"/>
    <col min="8" max="8" width="12.85546875" style="236" customWidth="1"/>
    <col min="9" max="9" width="14.7109375" style="236" customWidth="1"/>
    <col min="10" max="11" width="16.85546875" customWidth="1"/>
    <col min="12" max="12" width="12.85546875" customWidth="1"/>
    <col min="13" max="13" width="14.7109375" customWidth="1"/>
    <col min="14" max="14" width="12.85546875" style="236" hidden="1" customWidth="1"/>
    <col min="15" max="15" width="14.7109375" style="236" hidden="1" customWidth="1"/>
    <col min="16" max="16" width="14.7109375" style="236" customWidth="1"/>
    <col min="17" max="17" width="12.5703125" customWidth="1"/>
    <col min="18" max="18" width="14.5703125" customWidth="1"/>
    <col min="19" max="19" width="15.28515625" style="236" customWidth="1"/>
    <col min="20" max="20" width="20.42578125" hidden="1" customWidth="1"/>
    <col min="21" max="21" width="52" hidden="1" customWidth="1"/>
    <col min="23" max="23" width="0" hidden="1" customWidth="1"/>
    <col min="24" max="24" width="12.140625" hidden="1" customWidth="1"/>
    <col min="26" max="26" width="10.140625" bestFit="1" customWidth="1"/>
  </cols>
  <sheetData>
    <row r="1" spans="1:25" ht="21" x14ac:dyDescent="0.35">
      <c r="A1" s="92" t="s">
        <v>269</v>
      </c>
    </row>
    <row r="2" spans="1:25" ht="18.75" x14ac:dyDescent="0.3">
      <c r="A2" s="10" t="s">
        <v>1589</v>
      </c>
    </row>
    <row r="3" spans="1:25" ht="15.75" thickBot="1" x14ac:dyDescent="0.3">
      <c r="A3" s="11"/>
    </row>
    <row r="4" spans="1:25" ht="39.75" customHeight="1" x14ac:dyDescent="0.25">
      <c r="A4" s="93" t="s">
        <v>265</v>
      </c>
      <c r="B4" s="170" t="s">
        <v>916</v>
      </c>
      <c r="C4" s="171" t="s">
        <v>917</v>
      </c>
      <c r="D4" s="170" t="s">
        <v>915</v>
      </c>
      <c r="E4" s="171" t="s">
        <v>914</v>
      </c>
      <c r="F4" s="170" t="s">
        <v>913</v>
      </c>
      <c r="G4" s="184" t="s">
        <v>912</v>
      </c>
      <c r="H4" s="170" t="s">
        <v>1622</v>
      </c>
      <c r="I4" s="184" t="s">
        <v>1623</v>
      </c>
      <c r="J4" s="170" t="s">
        <v>1625</v>
      </c>
      <c r="K4" s="171" t="s">
        <v>1626</v>
      </c>
      <c r="L4" s="187" t="s">
        <v>1624</v>
      </c>
      <c r="M4" s="656" t="s">
        <v>1590</v>
      </c>
      <c r="N4" s="187" t="s">
        <v>1611</v>
      </c>
      <c r="O4" s="700" t="s">
        <v>1590</v>
      </c>
      <c r="P4" s="657" t="s">
        <v>1584</v>
      </c>
      <c r="Q4" s="95" t="s">
        <v>16</v>
      </c>
      <c r="R4" s="95" t="s">
        <v>919</v>
      </c>
      <c r="S4" s="95" t="s">
        <v>1485</v>
      </c>
      <c r="T4" s="95" t="s">
        <v>0</v>
      </c>
      <c r="U4" s="95" t="s">
        <v>1</v>
      </c>
      <c r="V4" s="95" t="s">
        <v>1486</v>
      </c>
      <c r="X4" s="95" t="s">
        <v>1585</v>
      </c>
    </row>
    <row r="5" spans="1:25" ht="16.5" customHeight="1" x14ac:dyDescent="0.2">
      <c r="A5" s="94" t="s">
        <v>496</v>
      </c>
      <c r="B5" s="176">
        <v>1620000</v>
      </c>
      <c r="C5" s="177">
        <v>1682670</v>
      </c>
      <c r="D5" s="176">
        <v>1850000</v>
      </c>
      <c r="E5" s="177">
        <v>1545749</v>
      </c>
      <c r="F5" s="176">
        <v>2100000</v>
      </c>
      <c r="G5" s="185">
        <v>1616578</v>
      </c>
      <c r="H5" s="208">
        <v>2666703</v>
      </c>
      <c r="I5" s="186">
        <v>1162190</v>
      </c>
      <c r="J5" s="172">
        <f>AVERAGE(D5,F5,H5)</f>
        <v>2205567.6666666665</v>
      </c>
      <c r="K5" s="173">
        <f>AVERAGE(E5,G5,I5)</f>
        <v>1441505.6666666667</v>
      </c>
      <c r="L5" s="208"/>
      <c r="M5" s="186">
        <f>'Sum by Bud Unit JGH'!B5</f>
        <v>1500000</v>
      </c>
      <c r="N5" s="706">
        <f t="shared" ref="N5:N18" si="0">L5/10*12</f>
        <v>0</v>
      </c>
      <c r="O5" s="186"/>
      <c r="P5" s="658">
        <f>L5-M5</f>
        <v>-1500000</v>
      </c>
      <c r="Q5" s="96"/>
      <c r="R5" s="96">
        <f t="shared" ref="R5:R16" si="1">SUM(M5:Q5)</f>
        <v>0</v>
      </c>
      <c r="S5" s="265">
        <f t="shared" ref="S5:S10" si="2">(M5-F5)/F5</f>
        <v>-0.2857142857142857</v>
      </c>
      <c r="T5" s="2"/>
      <c r="V5" s="266">
        <f>M5/$M$19</f>
        <v>7.9200349657823424E-2</v>
      </c>
      <c r="X5" s="280">
        <f>M5-[4]Summary!K5</f>
        <v>-1249206.1001121639</v>
      </c>
    </row>
    <row r="6" spans="1:25" s="236" customFormat="1" ht="16.5" customHeight="1" x14ac:dyDescent="0.2">
      <c r="A6" s="94" t="s">
        <v>510</v>
      </c>
      <c r="B6" s="176">
        <v>1564000</v>
      </c>
      <c r="C6" s="177">
        <v>1472813</v>
      </c>
      <c r="D6" s="176">
        <v>1360000</v>
      </c>
      <c r="E6" s="177">
        <v>1539619</v>
      </c>
      <c r="F6" s="176">
        <v>1535000</v>
      </c>
      <c r="G6" s="185">
        <v>2203661</v>
      </c>
      <c r="H6" s="208">
        <v>1672196</v>
      </c>
      <c r="I6" s="186">
        <v>1641238</v>
      </c>
      <c r="J6" s="172">
        <f t="shared" ref="J6:J18" si="3">AVERAGE(D6,F6,H6)</f>
        <v>1522398.6666666667</v>
      </c>
      <c r="K6" s="173">
        <f t="shared" ref="K6:K18" si="4">AVERAGE(E6,G6,I6)</f>
        <v>1794839.3333333333</v>
      </c>
      <c r="L6" s="208"/>
      <c r="M6" s="186">
        <f>'Sum by Bud Unit JGH'!B6</f>
        <v>988984</v>
      </c>
      <c r="N6" s="706">
        <f t="shared" si="0"/>
        <v>0</v>
      </c>
      <c r="O6" s="188"/>
      <c r="P6" s="658">
        <f t="shared" ref="P6:P18" si="5">L6-M6</f>
        <v>-988984</v>
      </c>
      <c r="Q6" s="96"/>
      <c r="R6" s="96"/>
      <c r="S6" s="265">
        <f t="shared" si="2"/>
        <v>-0.35571074918566775</v>
      </c>
      <c r="T6" s="2"/>
      <c r="V6" s="266">
        <f t="shared" ref="V6:V18" si="6">M6/$M$19</f>
        <v>5.2218585737328564E-2</v>
      </c>
      <c r="X6" s="280">
        <f>M6-[4]Summary!K6</f>
        <v>-776649.78215588001</v>
      </c>
    </row>
    <row r="7" spans="1:25" ht="16.5" customHeight="1" x14ac:dyDescent="0.2">
      <c r="A7" s="94" t="s">
        <v>1580</v>
      </c>
      <c r="B7" s="176">
        <v>1525000</v>
      </c>
      <c r="C7" s="177">
        <v>551715</v>
      </c>
      <c r="D7" s="176">
        <v>1525000</v>
      </c>
      <c r="E7" s="177">
        <v>473656</v>
      </c>
      <c r="F7" s="176">
        <v>1725000</v>
      </c>
      <c r="G7" s="185">
        <v>-10949</v>
      </c>
      <c r="H7" s="208">
        <v>900000</v>
      </c>
      <c r="I7" s="186">
        <v>2227566</v>
      </c>
      <c r="J7" s="172">
        <f t="shared" si="3"/>
        <v>1383333.3333333333</v>
      </c>
      <c r="K7" s="173">
        <f t="shared" si="4"/>
        <v>896757.66666666663</v>
      </c>
      <c r="L7" s="208"/>
      <c r="M7" s="186">
        <f>'Sum by Bud Unit JGH'!B7</f>
        <v>1000000</v>
      </c>
      <c r="N7" s="706">
        <f t="shared" si="0"/>
        <v>0</v>
      </c>
      <c r="O7" s="188"/>
      <c r="P7" s="658">
        <f t="shared" si="5"/>
        <v>-1000000</v>
      </c>
      <c r="Q7" s="96"/>
      <c r="R7" s="96">
        <f t="shared" si="1"/>
        <v>0</v>
      </c>
      <c r="S7" s="265">
        <f t="shared" si="2"/>
        <v>-0.42028985507246375</v>
      </c>
      <c r="T7" s="2"/>
      <c r="V7" s="266">
        <f t="shared" si="6"/>
        <v>5.2800233105215623E-2</v>
      </c>
      <c r="X7" s="280">
        <f>M7-[4]Summary!K7</f>
        <v>100000</v>
      </c>
    </row>
    <row r="8" spans="1:25" ht="16.5" customHeight="1" x14ac:dyDescent="0.2">
      <c r="A8" s="94" t="s">
        <v>1480</v>
      </c>
      <c r="B8" s="176">
        <v>1720000</v>
      </c>
      <c r="C8" s="177">
        <v>1508272</v>
      </c>
      <c r="D8" s="176">
        <v>1590000</v>
      </c>
      <c r="E8" s="177">
        <v>1723576</v>
      </c>
      <c r="F8" s="176">
        <v>1715000</v>
      </c>
      <c r="G8" s="185">
        <v>1635302</v>
      </c>
      <c r="H8" s="208">
        <v>1772052</v>
      </c>
      <c r="I8" s="186">
        <v>1527313</v>
      </c>
      <c r="J8" s="172">
        <f t="shared" si="3"/>
        <v>1692350.6666666667</v>
      </c>
      <c r="K8" s="173">
        <f t="shared" si="4"/>
        <v>1628730.3333333333</v>
      </c>
      <c r="L8" s="208"/>
      <c r="M8" s="186">
        <f>'Sum by Bud Unit JGH'!B8</f>
        <v>1183636.8552960004</v>
      </c>
      <c r="N8" s="706">
        <f t="shared" si="0"/>
        <v>0</v>
      </c>
      <c r="O8" s="188"/>
      <c r="P8" s="658">
        <f t="shared" si="5"/>
        <v>-1183636.8552960004</v>
      </c>
      <c r="Q8" s="96"/>
      <c r="R8" s="96">
        <f t="shared" si="1"/>
        <v>0</v>
      </c>
      <c r="S8" s="265">
        <f t="shared" si="2"/>
        <v>-0.30983273743673445</v>
      </c>
      <c r="T8" s="2"/>
      <c r="V8" s="266">
        <f t="shared" si="6"/>
        <v>6.2496301871553188E-2</v>
      </c>
      <c r="X8" s="280">
        <f>M8-[4]Summary!K8</f>
        <v>-542280.11010292755</v>
      </c>
    </row>
    <row r="9" spans="1:25" ht="16.5" customHeight="1" x14ac:dyDescent="0.2">
      <c r="A9" s="27" t="s">
        <v>1565</v>
      </c>
      <c r="B9" s="176">
        <v>450900</v>
      </c>
      <c r="C9" s="177">
        <v>395743</v>
      </c>
      <c r="D9" s="176">
        <v>450900</v>
      </c>
      <c r="E9" s="177">
        <v>455194</v>
      </c>
      <c r="F9" s="176">
        <v>575900</v>
      </c>
      <c r="G9" s="185">
        <v>569761</v>
      </c>
      <c r="H9" s="208">
        <v>875000</v>
      </c>
      <c r="I9" s="186">
        <v>593373</v>
      </c>
      <c r="J9" s="172">
        <f t="shared" si="3"/>
        <v>633933.33333333337</v>
      </c>
      <c r="K9" s="173">
        <f t="shared" si="4"/>
        <v>539442.66666666663</v>
      </c>
      <c r="L9" s="208"/>
      <c r="M9" s="186">
        <f>'Sum by Bud Unit JGH'!B9</f>
        <v>500000</v>
      </c>
      <c r="N9" s="706">
        <f t="shared" si="0"/>
        <v>0</v>
      </c>
      <c r="O9" s="188"/>
      <c r="P9" s="658">
        <f t="shared" si="5"/>
        <v>-500000</v>
      </c>
      <c r="Q9" s="96"/>
      <c r="R9" s="96">
        <f t="shared" si="1"/>
        <v>0</v>
      </c>
      <c r="S9" s="265">
        <f t="shared" si="2"/>
        <v>-0.13179371418649072</v>
      </c>
      <c r="T9" s="2"/>
      <c r="V9" s="266">
        <f t="shared" si="6"/>
        <v>2.6400116552607811E-2</v>
      </c>
      <c r="X9" s="280">
        <f>M9-[4]Summary!K9</f>
        <v>-75000</v>
      </c>
    </row>
    <row r="10" spans="1:25" ht="16.5" customHeight="1" x14ac:dyDescent="0.2">
      <c r="A10" s="94" t="s">
        <v>1563</v>
      </c>
      <c r="B10" s="176">
        <v>2900000</v>
      </c>
      <c r="C10" s="177">
        <v>4244436.51</v>
      </c>
      <c r="D10" s="176">
        <v>3500000</v>
      </c>
      <c r="E10" s="177">
        <v>3910552.89</v>
      </c>
      <c r="F10" s="176">
        <v>3650000</v>
      </c>
      <c r="G10" s="185">
        <v>4791496.34</v>
      </c>
      <c r="H10" s="208">
        <v>2778750</v>
      </c>
      <c r="I10" s="186">
        <v>2441906</v>
      </c>
      <c r="J10" s="172">
        <f t="shared" si="3"/>
        <v>3309583.3333333335</v>
      </c>
      <c r="K10" s="173">
        <f t="shared" si="4"/>
        <v>3714651.7433333336</v>
      </c>
      <c r="L10" s="208"/>
      <c r="M10" s="186">
        <f>'Sum by Bud Unit JGH'!B10</f>
        <v>2123100</v>
      </c>
      <c r="N10" s="208">
        <f t="shared" si="0"/>
        <v>0</v>
      </c>
      <c r="O10" s="188"/>
      <c r="P10" s="658">
        <f t="shared" si="5"/>
        <v>-2123100</v>
      </c>
      <c r="Q10" s="96"/>
      <c r="R10" s="96">
        <f t="shared" si="1"/>
        <v>0</v>
      </c>
      <c r="S10" s="265">
        <f t="shared" si="2"/>
        <v>-0.41832876712328765</v>
      </c>
      <c r="T10" s="2"/>
      <c r="V10" s="266">
        <f t="shared" si="6"/>
        <v>0.11210017490568328</v>
      </c>
      <c r="X10" s="280">
        <f>M10-[4]Summary!K10</f>
        <v>-655650</v>
      </c>
    </row>
    <row r="11" spans="1:25" ht="16.5" customHeight="1" x14ac:dyDescent="0.2">
      <c r="A11" s="27" t="s">
        <v>1477</v>
      </c>
      <c r="B11" s="176">
        <v>0</v>
      </c>
      <c r="C11" s="177">
        <v>890100.49</v>
      </c>
      <c r="D11" s="176">
        <v>0</v>
      </c>
      <c r="E11" s="177">
        <v>628447.11</v>
      </c>
      <c r="F11" s="176">
        <v>0.01</v>
      </c>
      <c r="G11" s="185">
        <v>708419.66</v>
      </c>
      <c r="H11" s="208">
        <v>637000</v>
      </c>
      <c r="I11" s="186">
        <v>813303</v>
      </c>
      <c r="J11" s="172">
        <f t="shared" si="3"/>
        <v>212333.33666666667</v>
      </c>
      <c r="K11" s="173">
        <f t="shared" si="4"/>
        <v>716723.25666666671</v>
      </c>
      <c r="L11" s="208"/>
      <c r="M11" s="186">
        <f>'Sum by Bud Unit JGH'!B11</f>
        <v>724000</v>
      </c>
      <c r="N11" s="706">
        <f t="shared" si="0"/>
        <v>0</v>
      </c>
      <c r="O11" s="188"/>
      <c r="P11" s="658">
        <f t="shared" si="5"/>
        <v>-724000</v>
      </c>
      <c r="Q11" s="96"/>
      <c r="R11" s="96">
        <f t="shared" si="1"/>
        <v>0</v>
      </c>
      <c r="S11" s="265">
        <v>0</v>
      </c>
      <c r="T11" s="2"/>
      <c r="V11" s="266">
        <f t="shared" si="6"/>
        <v>3.8227368768176111E-2</v>
      </c>
      <c r="X11" s="280">
        <f>M11-[4]Summary!K11</f>
        <v>87000</v>
      </c>
    </row>
    <row r="12" spans="1:25" ht="16.5" customHeight="1" x14ac:dyDescent="0.2">
      <c r="A12" s="94" t="s">
        <v>918</v>
      </c>
      <c r="B12" s="176">
        <v>1650200</v>
      </c>
      <c r="C12" s="177">
        <v>1550418</v>
      </c>
      <c r="D12" s="176">
        <v>1650200</v>
      </c>
      <c r="E12" s="177">
        <v>1372872</v>
      </c>
      <c r="F12" s="176">
        <v>1925200</v>
      </c>
      <c r="G12" s="185">
        <v>1699275</v>
      </c>
      <c r="H12" s="208">
        <v>2290552</v>
      </c>
      <c r="I12" s="186">
        <v>1216285</v>
      </c>
      <c r="J12" s="172">
        <f t="shared" si="3"/>
        <v>1955317.3333333333</v>
      </c>
      <c r="K12" s="173">
        <f t="shared" si="4"/>
        <v>1429477.3333333333</v>
      </c>
      <c r="L12" s="208"/>
      <c r="M12" s="186">
        <f>'Sum by Bud Unit JGH'!B12</f>
        <v>1323264.3017916002</v>
      </c>
      <c r="N12" s="208">
        <f t="shared" si="0"/>
        <v>0</v>
      </c>
      <c r="O12" s="188"/>
      <c r="P12" s="658">
        <f t="shared" si="5"/>
        <v>-1323264.3017916002</v>
      </c>
      <c r="Q12" s="96"/>
      <c r="R12" s="96">
        <f t="shared" si="1"/>
        <v>0</v>
      </c>
      <c r="S12" s="265">
        <f>(M12-F12)/F12</f>
        <v>-0.3126613848994389</v>
      </c>
      <c r="T12" s="2"/>
      <c r="V12" s="266">
        <f t="shared" si="6"/>
        <v>6.9868663594406882E-2</v>
      </c>
      <c r="X12" s="280">
        <f>M12-[4]Summary!K12</f>
        <v>-879528.03820839967</v>
      </c>
      <c r="Y12" s="280"/>
    </row>
    <row r="13" spans="1:25" ht="16.5" customHeight="1" x14ac:dyDescent="0.2">
      <c r="A13" s="94" t="s">
        <v>279</v>
      </c>
      <c r="B13" s="176">
        <v>3390000</v>
      </c>
      <c r="C13" s="177">
        <v>3533101</v>
      </c>
      <c r="D13" s="176">
        <v>3600000</v>
      </c>
      <c r="E13" s="177">
        <v>3810644</v>
      </c>
      <c r="F13" s="176">
        <v>3900000</v>
      </c>
      <c r="G13" s="185">
        <v>4179050</v>
      </c>
      <c r="H13" s="208">
        <v>4430715</v>
      </c>
      <c r="I13" s="186">
        <v>4418785</v>
      </c>
      <c r="J13" s="172">
        <f t="shared" si="3"/>
        <v>3976905</v>
      </c>
      <c r="K13" s="173">
        <f t="shared" si="4"/>
        <v>4136159.6666666665</v>
      </c>
      <c r="L13" s="208"/>
      <c r="M13" s="186">
        <f>'Sum by Bud Unit JGH'!B13</f>
        <v>4047912</v>
      </c>
      <c r="N13" s="208">
        <f t="shared" si="0"/>
        <v>0</v>
      </c>
      <c r="O13" s="188"/>
      <c r="P13" s="658">
        <f t="shared" si="5"/>
        <v>-4047912</v>
      </c>
      <c r="Q13" s="96"/>
      <c r="R13" s="96">
        <f t="shared" si="1"/>
        <v>0</v>
      </c>
      <c r="S13" s="265">
        <f>(M13-F13)/F13</f>
        <v>3.7926153846153846E-2</v>
      </c>
      <c r="T13" s="2"/>
      <c r="V13" s="266">
        <f t="shared" si="6"/>
        <v>0.21373069718939958</v>
      </c>
      <c r="X13" s="280">
        <f>M13-[4]Summary!K13</f>
        <v>-382803</v>
      </c>
    </row>
    <row r="14" spans="1:25" ht="16.5" customHeight="1" x14ac:dyDescent="0.2">
      <c r="A14" s="94" t="s">
        <v>1476</v>
      </c>
      <c r="B14" s="172">
        <v>1700000</v>
      </c>
      <c r="C14" s="173">
        <v>227481.45999999996</v>
      </c>
      <c r="D14" s="172">
        <v>2300000</v>
      </c>
      <c r="E14" s="173">
        <v>234347.5</v>
      </c>
      <c r="F14" s="176">
        <v>2375000</v>
      </c>
      <c r="G14" s="185">
        <v>225899.52000000002</v>
      </c>
      <c r="H14" s="208">
        <v>83590</v>
      </c>
      <c r="I14" s="186">
        <v>143581</v>
      </c>
      <c r="J14" s="172">
        <f t="shared" si="3"/>
        <v>1586196.6666666667</v>
      </c>
      <c r="K14" s="173">
        <f t="shared" si="4"/>
        <v>201276.00666666668</v>
      </c>
      <c r="L14" s="208"/>
      <c r="M14" s="186">
        <f>'Sum by Bud Unit JGH'!B14</f>
        <v>58400</v>
      </c>
      <c r="N14" s="706">
        <f t="shared" si="0"/>
        <v>0</v>
      </c>
      <c r="O14" s="188"/>
      <c r="P14" s="658">
        <f t="shared" si="5"/>
        <v>-58400</v>
      </c>
      <c r="Q14" s="96"/>
      <c r="R14" s="96">
        <f t="shared" si="1"/>
        <v>0</v>
      </c>
      <c r="S14" s="265">
        <f>(M14+M15-F14-F15)/(F14+F15)</f>
        <v>-0.44446316023383936</v>
      </c>
      <c r="T14" s="2"/>
      <c r="V14" s="266">
        <f t="shared" si="6"/>
        <v>3.083533613344592E-3</v>
      </c>
      <c r="X14" s="280">
        <f>M14-[4]Summary!K14</f>
        <v>-25190</v>
      </c>
    </row>
    <row r="15" spans="1:25" ht="16.5" customHeight="1" x14ac:dyDescent="0.2">
      <c r="A15" s="94" t="s">
        <v>1564</v>
      </c>
      <c r="B15" s="176">
        <v>0</v>
      </c>
      <c r="C15" s="177">
        <v>1014443.54</v>
      </c>
      <c r="D15" s="176">
        <v>0</v>
      </c>
      <c r="E15" s="177">
        <v>1045843.5</v>
      </c>
      <c r="F15" s="176">
        <v>0.01</v>
      </c>
      <c r="G15" s="185">
        <v>1443852.48</v>
      </c>
      <c r="H15" s="208">
        <v>1225200</v>
      </c>
      <c r="I15" s="186">
        <v>1506071</v>
      </c>
      <c r="J15" s="172">
        <f t="shared" si="3"/>
        <v>408400.00333333336</v>
      </c>
      <c r="K15" s="173">
        <f t="shared" si="4"/>
        <v>1331922.3266666667</v>
      </c>
      <c r="L15" s="208"/>
      <c r="M15" s="186">
        <f>'Sum by Bud Unit JGH'!B15</f>
        <v>1261000</v>
      </c>
      <c r="N15" s="706">
        <f t="shared" si="0"/>
        <v>0</v>
      </c>
      <c r="O15" s="188"/>
      <c r="P15" s="658">
        <f t="shared" si="5"/>
        <v>-1261000</v>
      </c>
      <c r="Q15" s="96"/>
      <c r="R15" s="96">
        <f t="shared" si="1"/>
        <v>0</v>
      </c>
      <c r="S15" s="265">
        <v>0</v>
      </c>
      <c r="T15" s="2"/>
      <c r="V15" s="266">
        <f t="shared" si="6"/>
        <v>6.6581093945676892E-2</v>
      </c>
      <c r="X15" s="280">
        <f>M15-[4]Summary!K15</f>
        <v>35800</v>
      </c>
    </row>
    <row r="16" spans="1:25" ht="16.5" customHeight="1" x14ac:dyDescent="0.2">
      <c r="A16" s="94" t="s">
        <v>430</v>
      </c>
      <c r="B16" s="176">
        <v>3150000</v>
      </c>
      <c r="C16" s="177">
        <v>927361</v>
      </c>
      <c r="D16" s="176">
        <v>2750000</v>
      </c>
      <c r="E16" s="177">
        <v>696159</v>
      </c>
      <c r="F16" s="176">
        <v>3625000</v>
      </c>
      <c r="G16" s="185">
        <v>3847639</v>
      </c>
      <c r="H16" s="208">
        <v>4719534</v>
      </c>
      <c r="I16" s="186">
        <v>6975641</v>
      </c>
      <c r="J16" s="172">
        <f t="shared" si="3"/>
        <v>3698178</v>
      </c>
      <c r="K16" s="173">
        <f t="shared" si="4"/>
        <v>3839813</v>
      </c>
      <c r="L16" s="208"/>
      <c r="M16" s="186">
        <f>'Sum by Bud Unit JGH'!B16</f>
        <v>4153067.6876848061</v>
      </c>
      <c r="N16" s="706">
        <f t="shared" si="0"/>
        <v>0</v>
      </c>
      <c r="O16" s="188"/>
      <c r="P16" s="658">
        <f t="shared" si="5"/>
        <v>-4153067.6876848061</v>
      </c>
      <c r="Q16" s="96"/>
      <c r="R16" s="96">
        <f t="shared" si="1"/>
        <v>0</v>
      </c>
      <c r="S16" s="265">
        <f>(M16-F16)/F16</f>
        <v>0.14567384487856719</v>
      </c>
      <c r="T16" s="2"/>
      <c r="V16" s="266">
        <f t="shared" si="6"/>
        <v>0.21928294201149659</v>
      </c>
      <c r="X16" s="280">
        <f>M16-[4]Summary!K16</f>
        <v>-636615.42408597656</v>
      </c>
    </row>
    <row r="17" spans="1:26" s="236" customFormat="1" ht="16.5" customHeight="1" x14ac:dyDescent="0.2">
      <c r="A17" s="94" t="s">
        <v>1371</v>
      </c>
      <c r="B17" s="176">
        <v>0</v>
      </c>
      <c r="C17" s="177">
        <v>0</v>
      </c>
      <c r="D17" s="176">
        <v>0</v>
      </c>
      <c r="E17" s="177">
        <v>67875</v>
      </c>
      <c r="F17" s="176">
        <v>150000</v>
      </c>
      <c r="G17" s="185">
        <v>268876</v>
      </c>
      <c r="H17" s="208">
        <v>183108</v>
      </c>
      <c r="I17" s="186">
        <v>198758</v>
      </c>
      <c r="J17" s="172">
        <f t="shared" si="3"/>
        <v>111036</v>
      </c>
      <c r="K17" s="173">
        <f t="shared" si="4"/>
        <v>178503</v>
      </c>
      <c r="L17" s="208"/>
      <c r="M17" s="186">
        <v>0</v>
      </c>
      <c r="N17" s="706">
        <f t="shared" si="0"/>
        <v>0</v>
      </c>
      <c r="O17" s="188"/>
      <c r="P17" s="658">
        <f>L17-M17</f>
        <v>0</v>
      </c>
      <c r="Q17" s="96"/>
      <c r="R17" s="96"/>
      <c r="S17" s="265">
        <f>(M17-F17)/F17</f>
        <v>-1</v>
      </c>
      <c r="T17" s="2"/>
      <c r="V17" s="266">
        <f t="shared" si="6"/>
        <v>0</v>
      </c>
      <c r="X17" s="280">
        <f>M17-[4]Summary!K17</f>
        <v>-84300</v>
      </c>
    </row>
    <row r="18" spans="1:26" ht="16.5" customHeight="1" x14ac:dyDescent="0.2">
      <c r="A18" s="27" t="s">
        <v>166</v>
      </c>
      <c r="B18" s="183">
        <v>20000</v>
      </c>
      <c r="C18" s="193">
        <v>46547</v>
      </c>
      <c r="D18" s="183">
        <v>20000</v>
      </c>
      <c r="E18" s="193">
        <v>115247</v>
      </c>
      <c r="F18" s="183">
        <v>55000</v>
      </c>
      <c r="G18" s="185">
        <v>28029</v>
      </c>
      <c r="H18" s="208">
        <v>79305</v>
      </c>
      <c r="I18" s="186">
        <v>205714</v>
      </c>
      <c r="J18" s="172">
        <f t="shared" si="3"/>
        <v>51435</v>
      </c>
      <c r="K18" s="173">
        <f t="shared" si="4"/>
        <v>116330</v>
      </c>
      <c r="L18" s="208"/>
      <c r="M18" s="186">
        <f>'Sum by Bud Unit JGH'!B18</f>
        <v>75945.48</v>
      </c>
      <c r="N18" s="706">
        <f t="shared" si="0"/>
        <v>0</v>
      </c>
      <c r="O18" s="188"/>
      <c r="P18" s="658">
        <f t="shared" si="5"/>
        <v>-75945.48</v>
      </c>
      <c r="Q18" s="96"/>
      <c r="R18" s="96">
        <f>SUM(M18:Q18)</f>
        <v>0</v>
      </c>
      <c r="S18" s="265">
        <f>(M18-F18)/F18</f>
        <v>0.38082690909090899</v>
      </c>
      <c r="T18" s="2"/>
      <c r="V18" s="266">
        <f t="shared" si="6"/>
        <v>4.0099390472874905E-3</v>
      </c>
      <c r="X18" s="280">
        <f>M18-[4]Summary!K18</f>
        <v>21147.480997622391</v>
      </c>
    </row>
    <row r="19" spans="1:26" ht="16.5" customHeight="1" thickBot="1" x14ac:dyDescent="0.25">
      <c r="A19" s="98" t="s">
        <v>270</v>
      </c>
      <c r="B19" s="174">
        <f t="shared" ref="B19:R19" si="7">SUM(B5:B18)</f>
        <v>19690100</v>
      </c>
      <c r="C19" s="175">
        <f t="shared" si="7"/>
        <v>18045102</v>
      </c>
      <c r="D19" s="174">
        <f t="shared" si="7"/>
        <v>20596100</v>
      </c>
      <c r="E19" s="175">
        <f t="shared" si="7"/>
        <v>17619782</v>
      </c>
      <c r="F19" s="174">
        <f t="shared" si="7"/>
        <v>23331100.02</v>
      </c>
      <c r="G19" s="97">
        <f t="shared" si="7"/>
        <v>23206890</v>
      </c>
      <c r="H19" s="189">
        <f t="shared" ref="H19:I19" si="8">SUM(H5:H18)</f>
        <v>24313705</v>
      </c>
      <c r="I19" s="97">
        <f t="shared" si="8"/>
        <v>25071724</v>
      </c>
      <c r="J19" s="174">
        <f t="shared" si="7"/>
        <v>22746968.340000004</v>
      </c>
      <c r="K19" s="175">
        <f t="shared" si="7"/>
        <v>21966132</v>
      </c>
      <c r="L19" s="189">
        <f t="shared" si="7"/>
        <v>0</v>
      </c>
      <c r="M19" s="97">
        <f t="shared" si="7"/>
        <v>18939310.324772406</v>
      </c>
      <c r="N19" s="189">
        <f>SUM(N5:N18)</f>
        <v>0</v>
      </c>
      <c r="O19" s="701">
        <f>SUM(O5:O18)</f>
        <v>0</v>
      </c>
      <c r="P19" s="659">
        <f>SUM(P5:P18)</f>
        <v>-18939310.324772406</v>
      </c>
      <c r="Q19" s="97">
        <f t="shared" si="7"/>
        <v>0</v>
      </c>
      <c r="R19" s="97">
        <f t="shared" si="7"/>
        <v>0</v>
      </c>
      <c r="S19" s="551">
        <f>(M19-F19)/F19</f>
        <v>-0.18823757523060816</v>
      </c>
      <c r="T19" s="552"/>
      <c r="U19" s="553"/>
      <c r="V19" s="554">
        <f>SUM(V5:V18)</f>
        <v>1</v>
      </c>
      <c r="X19" s="97">
        <f>SUM(X5:X18)</f>
        <v>-5063274.9736677259</v>
      </c>
    </row>
    <row r="20" spans="1:26" x14ac:dyDescent="0.2">
      <c r="B20" s="290"/>
      <c r="C20" s="291"/>
      <c r="D20" s="290"/>
      <c r="E20" s="291"/>
      <c r="F20" s="290"/>
      <c r="G20" s="238"/>
      <c r="H20" s="190"/>
      <c r="I20" s="238"/>
      <c r="J20" s="290"/>
      <c r="K20" s="291"/>
      <c r="L20" s="190"/>
      <c r="M20" s="238"/>
      <c r="N20" s="239"/>
      <c r="O20" s="702"/>
      <c r="P20" s="660"/>
      <c r="Q20" s="224"/>
      <c r="R20" s="224"/>
      <c r="S20" s="265"/>
      <c r="T20" s="15"/>
      <c r="U20" s="15"/>
      <c r="V20" s="266"/>
      <c r="X20" s="280"/>
      <c r="Z20" s="641"/>
    </row>
    <row r="21" spans="1:26" ht="18" x14ac:dyDescent="0.25">
      <c r="A21" s="93" t="s">
        <v>271</v>
      </c>
      <c r="B21" s="290"/>
      <c r="C21" s="291"/>
      <c r="D21" s="290"/>
      <c r="E21" s="291"/>
      <c r="F21" s="290"/>
      <c r="G21" s="268"/>
      <c r="H21" s="267"/>
      <c r="I21" s="238"/>
      <c r="J21" s="290"/>
      <c r="K21" s="291"/>
      <c r="L21" s="267"/>
      <c r="M21" s="238"/>
      <c r="N21" s="267"/>
      <c r="O21" s="702"/>
      <c r="P21" s="660"/>
      <c r="Q21" s="224"/>
      <c r="R21" s="224"/>
      <c r="S21" s="265"/>
      <c r="T21" s="15"/>
      <c r="U21" s="15"/>
      <c r="V21" s="266"/>
      <c r="X21" s="280"/>
      <c r="Z21" s="641"/>
    </row>
    <row r="22" spans="1:26" ht="16.5" customHeight="1" x14ac:dyDescent="0.2">
      <c r="A22" s="94" t="s">
        <v>272</v>
      </c>
      <c r="B22" s="176">
        <v>14375245</v>
      </c>
      <c r="C22" s="177">
        <v>13362162</v>
      </c>
      <c r="D22" s="176">
        <v>15320369</v>
      </c>
      <c r="E22" s="177">
        <v>14667344</v>
      </c>
      <c r="F22" s="176">
        <v>17784322</v>
      </c>
      <c r="G22" s="185">
        <v>17043262</v>
      </c>
      <c r="H22" s="208">
        <v>17559414</v>
      </c>
      <c r="I22" s="186">
        <v>15775512</v>
      </c>
      <c r="J22" s="172">
        <f>AVERAGE(D22,F22,H22)</f>
        <v>16888035</v>
      </c>
      <c r="K22" s="173">
        <f>AVERAGE(E22,G22,I22)</f>
        <v>15828706</v>
      </c>
      <c r="L22" s="208"/>
      <c r="M22" s="186">
        <f>'Sum by Bud Unit JGH'!B22</f>
        <v>13723801.184067201</v>
      </c>
      <c r="N22" s="208">
        <v>10000000</v>
      </c>
      <c r="O22" s="188"/>
      <c r="P22" s="658">
        <f t="shared" ref="P22:P30" si="9">L22-M22</f>
        <v>-13723801.184067201</v>
      </c>
      <c r="Q22" s="96"/>
      <c r="R22" s="96">
        <f>SUM(M22:Q22)</f>
        <v>10000000</v>
      </c>
      <c r="S22" s="265">
        <f t="shared" ref="S22:S31" si="10">(M22-F22)/F22</f>
        <v>-0.22832024835879597</v>
      </c>
      <c r="T22" s="48"/>
      <c r="U22" s="15"/>
      <c r="V22" s="266">
        <f>M22/$M$31</f>
        <v>0.74319884149177595</v>
      </c>
      <c r="X22" s="280">
        <f>M22-[4]Summary!K22</f>
        <v>-4623790.508311294</v>
      </c>
    </row>
    <row r="23" spans="1:26" ht="16.5" customHeight="1" x14ac:dyDescent="0.2">
      <c r="A23" s="94" t="s">
        <v>273</v>
      </c>
      <c r="B23" s="176">
        <v>366500</v>
      </c>
      <c r="C23" s="177">
        <v>224317</v>
      </c>
      <c r="D23" s="176">
        <v>422000</v>
      </c>
      <c r="E23" s="177">
        <v>396981</v>
      </c>
      <c r="F23" s="176">
        <v>459000</v>
      </c>
      <c r="G23" s="185">
        <v>396460</v>
      </c>
      <c r="H23" s="208">
        <v>579482</v>
      </c>
      <c r="I23" s="186">
        <v>255640</v>
      </c>
      <c r="J23" s="172">
        <f t="shared" ref="J23:J30" si="11">AVERAGE(D23,F23,H23)</f>
        <v>486827.33333333331</v>
      </c>
      <c r="K23" s="173">
        <f t="shared" ref="K23:K30" si="12">AVERAGE(E23,G23,I23)</f>
        <v>349693.66666666669</v>
      </c>
      <c r="L23" s="208"/>
      <c r="M23" s="186">
        <f>'Sum by Bud Unit JGH'!B23</f>
        <v>257796</v>
      </c>
      <c r="N23" s="208">
        <v>135000</v>
      </c>
      <c r="O23" s="188"/>
      <c r="P23" s="658">
        <f t="shared" si="9"/>
        <v>-257796</v>
      </c>
      <c r="Q23" s="96"/>
      <c r="R23" s="96">
        <f t="shared" ref="R23:R29" si="13">SUM(M23:Q23)</f>
        <v>135000</v>
      </c>
      <c r="S23" s="265">
        <f t="shared" si="10"/>
        <v>-0.43835294117647061</v>
      </c>
      <c r="T23" s="48"/>
      <c r="U23" s="15"/>
      <c r="V23" s="266">
        <f t="shared" ref="V23:V30" si="14">M23/$M$31</f>
        <v>1.3960686691063894E-2</v>
      </c>
      <c r="X23" s="280">
        <f>M23-[4]Summary!K23</f>
        <v>-426414.78</v>
      </c>
    </row>
    <row r="24" spans="1:26" ht="16.5" customHeight="1" x14ac:dyDescent="0.2">
      <c r="A24" s="94" t="s">
        <v>274</v>
      </c>
      <c r="B24" s="176">
        <v>1424000</v>
      </c>
      <c r="C24" s="177">
        <v>1420588</v>
      </c>
      <c r="D24" s="176">
        <v>1559400</v>
      </c>
      <c r="E24" s="177">
        <v>1511969</v>
      </c>
      <c r="F24" s="176">
        <v>1561500</v>
      </c>
      <c r="G24" s="185">
        <v>2042119</v>
      </c>
      <c r="H24" s="208">
        <v>2489386</v>
      </c>
      <c r="I24" s="186">
        <v>2493852</v>
      </c>
      <c r="J24" s="172">
        <f t="shared" si="11"/>
        <v>1870095.3333333333</v>
      </c>
      <c r="K24" s="173">
        <f t="shared" si="12"/>
        <v>2015980</v>
      </c>
      <c r="L24" s="208"/>
      <c r="M24" s="186">
        <f>'Sum by Bud Unit JGH'!B24</f>
        <v>1253852.8900000001</v>
      </c>
      <c r="N24" s="208">
        <v>1165000</v>
      </c>
      <c r="O24" s="188"/>
      <c r="P24" s="658">
        <f t="shared" si="9"/>
        <v>-1253852.8900000001</v>
      </c>
      <c r="Q24" s="96"/>
      <c r="R24" s="96">
        <f t="shared" si="13"/>
        <v>1165000</v>
      </c>
      <c r="S24" s="265">
        <f t="shared" si="10"/>
        <v>-0.19702024335574758</v>
      </c>
      <c r="T24" s="48"/>
      <c r="U24" s="15"/>
      <c r="V24" s="266">
        <f t="shared" si="14"/>
        <v>6.7901159653272355E-2</v>
      </c>
      <c r="X24" s="280">
        <f>M24-[4]Summary!K24</f>
        <v>-1296143.19</v>
      </c>
    </row>
    <row r="25" spans="1:26" ht="16.5" customHeight="1" x14ac:dyDescent="0.2">
      <c r="A25" s="27" t="s">
        <v>275</v>
      </c>
      <c r="B25" s="176">
        <v>425000</v>
      </c>
      <c r="C25" s="177">
        <v>471969</v>
      </c>
      <c r="D25" s="176">
        <v>450000</v>
      </c>
      <c r="E25" s="177">
        <v>596753</v>
      </c>
      <c r="F25" s="176">
        <v>450000</v>
      </c>
      <c r="G25" s="185">
        <v>486374</v>
      </c>
      <c r="H25" s="208">
        <v>627207</v>
      </c>
      <c r="I25" s="186">
        <v>593756</v>
      </c>
      <c r="J25" s="172">
        <f t="shared" si="11"/>
        <v>509069</v>
      </c>
      <c r="K25" s="173">
        <f t="shared" si="12"/>
        <v>558961</v>
      </c>
      <c r="L25" s="208"/>
      <c r="M25" s="186">
        <f>'Sum by Bud Unit JGH'!B25</f>
        <v>577306.77</v>
      </c>
      <c r="N25" s="208">
        <v>38275</v>
      </c>
      <c r="O25" s="188"/>
      <c r="P25" s="658">
        <f t="shared" si="9"/>
        <v>-577306.77</v>
      </c>
      <c r="Q25" s="96"/>
      <c r="R25" s="96">
        <f t="shared" si="13"/>
        <v>38275</v>
      </c>
      <c r="S25" s="265">
        <f t="shared" si="10"/>
        <v>0.28290393333333336</v>
      </c>
      <c r="T25" s="48"/>
      <c r="U25" s="15"/>
      <c r="V25" s="266">
        <f t="shared" si="14"/>
        <v>3.1263475541125865E-2</v>
      </c>
      <c r="X25" s="280">
        <f>M25-[4]Summary!K25</f>
        <v>-28217.229999999981</v>
      </c>
    </row>
    <row r="26" spans="1:26" ht="16.5" customHeight="1" x14ac:dyDescent="0.2">
      <c r="A26" s="94" t="s">
        <v>276</v>
      </c>
      <c r="B26" s="176">
        <v>128050</v>
      </c>
      <c r="C26" s="177">
        <v>86242</v>
      </c>
      <c r="D26" s="176">
        <v>141550</v>
      </c>
      <c r="E26" s="177">
        <v>103546</v>
      </c>
      <c r="F26" s="176">
        <v>141550</v>
      </c>
      <c r="G26" s="185">
        <v>123824</v>
      </c>
      <c r="H26" s="208">
        <v>128702</v>
      </c>
      <c r="I26" s="186">
        <v>100197</v>
      </c>
      <c r="J26" s="172">
        <f t="shared" si="11"/>
        <v>137267.33333333334</v>
      </c>
      <c r="K26" s="173">
        <f t="shared" si="12"/>
        <v>109189</v>
      </c>
      <c r="L26" s="208"/>
      <c r="M26" s="186">
        <f>'Sum by Bud Unit JGH'!B26</f>
        <v>122340</v>
      </c>
      <c r="N26" s="208">
        <v>300350</v>
      </c>
      <c r="O26" s="188"/>
      <c r="P26" s="658">
        <f t="shared" si="9"/>
        <v>-122340</v>
      </c>
      <c r="Q26" s="96"/>
      <c r="R26" s="96">
        <f t="shared" si="13"/>
        <v>300350</v>
      </c>
      <c r="S26" s="265">
        <f t="shared" si="10"/>
        <v>-0.13571176262804663</v>
      </c>
      <c r="T26" s="48"/>
      <c r="U26" s="15"/>
      <c r="V26" s="266">
        <f t="shared" si="14"/>
        <v>6.6252013599309399E-3</v>
      </c>
      <c r="X26" s="280">
        <f>M26-[4]Summary!K26</f>
        <v>-10162</v>
      </c>
    </row>
    <row r="27" spans="1:26" ht="16.5" customHeight="1" x14ac:dyDescent="0.2">
      <c r="A27" s="27" t="s">
        <v>277</v>
      </c>
      <c r="B27" s="176">
        <v>180000</v>
      </c>
      <c r="C27" s="177">
        <v>253495</v>
      </c>
      <c r="D27" s="176">
        <v>250000</v>
      </c>
      <c r="E27" s="177">
        <v>232285</v>
      </c>
      <c r="F27" s="176">
        <v>260000</v>
      </c>
      <c r="G27" s="185">
        <v>161585</v>
      </c>
      <c r="H27" s="208">
        <v>201777</v>
      </c>
      <c r="I27" s="186">
        <v>227195</v>
      </c>
      <c r="J27" s="172">
        <f t="shared" si="11"/>
        <v>237259</v>
      </c>
      <c r="K27" s="173">
        <f t="shared" si="12"/>
        <v>207021.66666666666</v>
      </c>
      <c r="L27" s="208"/>
      <c r="M27" s="186">
        <f>'Sum by Bud Unit JGH'!B27</f>
        <v>270240</v>
      </c>
      <c r="N27" s="208">
        <v>58450</v>
      </c>
      <c r="O27" s="188"/>
      <c r="P27" s="658">
        <f t="shared" si="9"/>
        <v>-270240</v>
      </c>
      <c r="Q27" s="96"/>
      <c r="R27" s="96">
        <f t="shared" si="13"/>
        <v>58450</v>
      </c>
      <c r="S27" s="265">
        <f t="shared" si="10"/>
        <v>3.9384615384615386E-2</v>
      </c>
      <c r="T27" s="48"/>
      <c r="U27" s="15"/>
      <c r="V27" s="266">
        <f t="shared" si="14"/>
        <v>1.4634579168773396E-2</v>
      </c>
      <c r="X27" s="280">
        <f>M27-[4]Summary!K27</f>
        <v>68462.720000000001</v>
      </c>
    </row>
    <row r="28" spans="1:26" ht="16.5" customHeight="1" x14ac:dyDescent="0.2">
      <c r="A28" s="94" t="s">
        <v>223</v>
      </c>
      <c r="B28" s="176">
        <v>135000</v>
      </c>
      <c r="C28" s="177">
        <v>120747</v>
      </c>
      <c r="D28" s="176">
        <v>124000</v>
      </c>
      <c r="E28" s="177">
        <v>115183</v>
      </c>
      <c r="F28" s="176">
        <v>132000</v>
      </c>
      <c r="G28" s="185">
        <v>117660</v>
      </c>
      <c r="H28" s="208">
        <v>180000</v>
      </c>
      <c r="I28" s="186">
        <v>126269</v>
      </c>
      <c r="J28" s="172">
        <f t="shared" si="11"/>
        <v>145333.33333333334</v>
      </c>
      <c r="K28" s="173">
        <f t="shared" si="12"/>
        <v>119704</v>
      </c>
      <c r="L28" s="208"/>
      <c r="M28" s="186">
        <f>'Sum by Bud Unit JGH'!B28</f>
        <v>51500</v>
      </c>
      <c r="N28" s="208">
        <v>230000</v>
      </c>
      <c r="O28" s="188"/>
      <c r="P28" s="658">
        <f t="shared" si="9"/>
        <v>-51500</v>
      </c>
      <c r="Q28" s="96"/>
      <c r="R28" s="96">
        <f t="shared" si="13"/>
        <v>230000</v>
      </c>
      <c r="S28" s="265">
        <f t="shared" si="10"/>
        <v>-0.60984848484848486</v>
      </c>
      <c r="T28" s="48"/>
      <c r="U28" s="15"/>
      <c r="V28" s="266">
        <f t="shared" si="14"/>
        <v>2.7889314209289147E-3</v>
      </c>
      <c r="X28" s="280">
        <f>M28-[4]Summary!K28</f>
        <v>-183500</v>
      </c>
    </row>
    <row r="29" spans="1:26" ht="16.5" customHeight="1" x14ac:dyDescent="0.2">
      <c r="A29" s="27" t="s">
        <v>278</v>
      </c>
      <c r="B29" s="176">
        <v>2459000</v>
      </c>
      <c r="C29" s="177">
        <v>2603972</v>
      </c>
      <c r="D29" s="176">
        <v>2173000</v>
      </c>
      <c r="E29" s="177">
        <v>3434534</v>
      </c>
      <c r="F29" s="176">
        <v>2206500</v>
      </c>
      <c r="G29" s="185">
        <v>4919120</v>
      </c>
      <c r="H29" s="208">
        <v>3772022</v>
      </c>
      <c r="I29" s="186">
        <v>5745987</v>
      </c>
      <c r="J29" s="172">
        <f t="shared" si="11"/>
        <v>2717174</v>
      </c>
      <c r="K29" s="173">
        <f t="shared" si="12"/>
        <v>4699880.333333333</v>
      </c>
      <c r="L29" s="208"/>
      <c r="M29" s="186">
        <f>'Sum by Bud Unit JGH'!B29</f>
        <v>2209017</v>
      </c>
      <c r="N29" s="208">
        <v>53000</v>
      </c>
      <c r="O29" s="188"/>
      <c r="P29" s="658">
        <f t="shared" si="9"/>
        <v>-2209017</v>
      </c>
      <c r="Q29" s="96"/>
      <c r="R29" s="96">
        <f t="shared" si="13"/>
        <v>53000</v>
      </c>
      <c r="S29" s="265">
        <f t="shared" si="10"/>
        <v>1.1407205982324948E-3</v>
      </c>
      <c r="T29" s="48"/>
      <c r="U29" s="15"/>
      <c r="V29" s="266">
        <f t="shared" si="14"/>
        <v>0.11962712467312871</v>
      </c>
      <c r="X29" s="280">
        <f>M29-[4]Summary!K29</f>
        <v>-1904892.85</v>
      </c>
    </row>
    <row r="30" spans="1:26" s="236" customFormat="1" ht="16.5" customHeight="1" x14ac:dyDescent="0.2">
      <c r="A30" s="27" t="s">
        <v>1371</v>
      </c>
      <c r="B30" s="176">
        <v>0</v>
      </c>
      <c r="C30" s="177">
        <v>177</v>
      </c>
      <c r="D30" s="176">
        <v>0</v>
      </c>
      <c r="E30" s="177">
        <v>15625</v>
      </c>
      <c r="F30" s="176">
        <v>120000</v>
      </c>
      <c r="G30" s="185">
        <v>225303</v>
      </c>
      <c r="H30" s="208">
        <v>238120</v>
      </c>
      <c r="I30" s="186">
        <v>210155</v>
      </c>
      <c r="J30" s="172">
        <f t="shared" si="11"/>
        <v>119373.33333333333</v>
      </c>
      <c r="K30" s="173">
        <f t="shared" si="12"/>
        <v>150361</v>
      </c>
      <c r="L30" s="208"/>
      <c r="M30" s="186">
        <f>'Sum by Bud Unit JGH'!B30</f>
        <v>0</v>
      </c>
      <c r="N30" s="208">
        <v>1300000</v>
      </c>
      <c r="O30" s="188"/>
      <c r="P30" s="658">
        <f t="shared" si="9"/>
        <v>0</v>
      </c>
      <c r="Q30" s="96"/>
      <c r="R30" s="96"/>
      <c r="S30" s="265">
        <f t="shared" si="10"/>
        <v>-1</v>
      </c>
      <c r="T30" s="48"/>
      <c r="U30" s="15"/>
      <c r="V30" s="266">
        <f t="shared" si="14"/>
        <v>0</v>
      </c>
      <c r="X30" s="280">
        <f>M30-[4]Summary!K30</f>
        <v>-188470</v>
      </c>
    </row>
    <row r="31" spans="1:26" ht="16.5" customHeight="1" thickBot="1" x14ac:dyDescent="0.25">
      <c r="A31" s="98" t="s">
        <v>426</v>
      </c>
      <c r="B31" s="174">
        <f>SUM(B22:B30)</f>
        <v>19492795</v>
      </c>
      <c r="C31" s="175">
        <f>SUM(C22:C30)</f>
        <v>18543669</v>
      </c>
      <c r="D31" s="174">
        <f t="shared" ref="D31:R31" si="15">SUM(D22:D30)</f>
        <v>20440319</v>
      </c>
      <c r="E31" s="175">
        <f t="shared" si="15"/>
        <v>21074220</v>
      </c>
      <c r="F31" s="174">
        <f t="shared" si="15"/>
        <v>23114872</v>
      </c>
      <c r="G31" s="97">
        <f t="shared" si="15"/>
        <v>25515707</v>
      </c>
      <c r="H31" s="189">
        <f>SUM(H22:H30)</f>
        <v>25776110</v>
      </c>
      <c r="I31" s="97">
        <f t="shared" ref="I31" si="16">SUM(I22:I30)</f>
        <v>25528563</v>
      </c>
      <c r="J31" s="174">
        <f t="shared" si="15"/>
        <v>23110433.66666666</v>
      </c>
      <c r="K31" s="175">
        <f t="shared" si="15"/>
        <v>24039496.666666664</v>
      </c>
      <c r="L31" s="189">
        <f>SUM(L22:L30)</f>
        <v>0</v>
      </c>
      <c r="M31" s="97">
        <f t="shared" si="15"/>
        <v>18465853.844067201</v>
      </c>
      <c r="N31" s="189">
        <f>SUM(N22:N30)</f>
        <v>13280075</v>
      </c>
      <c r="O31" s="701">
        <f>SUM(O22:O30)</f>
        <v>0</v>
      </c>
      <c r="P31" s="659">
        <f>SUM(P22:P30)</f>
        <v>-18465853.844067201</v>
      </c>
      <c r="Q31" s="97">
        <f t="shared" si="15"/>
        <v>0</v>
      </c>
      <c r="R31" s="97">
        <f t="shared" si="15"/>
        <v>11980075</v>
      </c>
      <c r="S31" s="551">
        <f t="shared" si="10"/>
        <v>-0.20112670993517934</v>
      </c>
      <c r="T31" s="48"/>
      <c r="U31" s="15"/>
      <c r="V31" s="281">
        <f>SUM(V22:V30)</f>
        <v>1</v>
      </c>
      <c r="X31" s="97">
        <f>SUM(X22:X30)</f>
        <v>-8593127.838311296</v>
      </c>
    </row>
    <row r="32" spans="1:26" ht="17.25" customHeight="1" x14ac:dyDescent="0.2">
      <c r="B32" s="290"/>
      <c r="C32" s="291"/>
      <c r="D32" s="290"/>
      <c r="E32" s="291"/>
      <c r="F32" s="290"/>
      <c r="G32" s="238"/>
      <c r="H32" s="239"/>
      <c r="I32" s="238"/>
      <c r="J32" s="290"/>
      <c r="K32" s="291"/>
      <c r="L32" s="239"/>
      <c r="M32" s="238"/>
      <c r="N32" s="239"/>
      <c r="O32" s="702"/>
      <c r="P32" s="660"/>
      <c r="Q32" s="224"/>
      <c r="R32" s="224"/>
      <c r="S32" s="265"/>
      <c r="T32" s="15"/>
      <c r="U32" s="15"/>
      <c r="V32" s="266"/>
    </row>
    <row r="33" spans="1:24" ht="17.25" customHeight="1" x14ac:dyDescent="0.2">
      <c r="A33" s="99" t="s">
        <v>1482</v>
      </c>
      <c r="B33" s="176">
        <f t="shared" ref="B33:G33" si="17">B19-B31</f>
        <v>197305</v>
      </c>
      <c r="C33" s="177">
        <f t="shared" si="17"/>
        <v>-498567</v>
      </c>
      <c r="D33" s="176">
        <f t="shared" si="17"/>
        <v>155781</v>
      </c>
      <c r="E33" s="177">
        <f t="shared" si="17"/>
        <v>-3454438</v>
      </c>
      <c r="F33" s="176">
        <f t="shared" si="17"/>
        <v>216228.01999999955</v>
      </c>
      <c r="G33" s="186">
        <f t="shared" si="17"/>
        <v>-2308817</v>
      </c>
      <c r="H33" s="190">
        <f>H19-H31</f>
        <v>-1462405</v>
      </c>
      <c r="I33" s="186">
        <f>I19-I31</f>
        <v>-456839</v>
      </c>
      <c r="J33" s="176">
        <f>AVERAGE(B33,D33,F33)</f>
        <v>189771.33999999985</v>
      </c>
      <c r="K33" s="177">
        <f>AVERAGE(C33,E33,G33)</f>
        <v>-2087274</v>
      </c>
      <c r="L33" s="190">
        <f>L19-L31</f>
        <v>0</v>
      </c>
      <c r="M33" s="186">
        <f>M19-M31</f>
        <v>473456.48070520535</v>
      </c>
      <c r="N33" s="190">
        <v>1879115</v>
      </c>
      <c r="O33" s="188"/>
      <c r="P33" s="658">
        <f>P19-P31</f>
        <v>-473456.48070520535</v>
      </c>
      <c r="Q33" s="96">
        <f>Q19-Q31</f>
        <v>0</v>
      </c>
      <c r="R33" s="96">
        <f>R19-R31</f>
        <v>-11980075</v>
      </c>
      <c r="S33" s="265">
        <f>(M33-F33)/F33</f>
        <v>1.1896166866126154</v>
      </c>
      <c r="T33" s="15"/>
      <c r="U33" s="15"/>
      <c r="V33" s="266">
        <f>M33/$M$31</f>
        <v>2.5639566125847994E-2</v>
      </c>
      <c r="X33" s="280">
        <f>X19-X31</f>
        <v>3529852.86464357</v>
      </c>
    </row>
    <row r="34" spans="1:24" ht="17.25" customHeight="1" x14ac:dyDescent="0.2">
      <c r="A34" s="1"/>
      <c r="B34" s="290"/>
      <c r="C34" s="291"/>
      <c r="D34" s="290"/>
      <c r="E34" s="291"/>
      <c r="F34" s="290"/>
      <c r="G34" s="238"/>
      <c r="H34" s="239"/>
      <c r="I34" s="238"/>
      <c r="J34" s="290"/>
      <c r="K34" s="291"/>
      <c r="L34" s="239"/>
      <c r="M34" s="238"/>
      <c r="N34" s="239"/>
      <c r="O34" s="702"/>
      <c r="P34" s="660"/>
      <c r="Q34" s="224"/>
      <c r="R34" s="224"/>
      <c r="S34" s="265"/>
      <c r="T34" s="15"/>
      <c r="U34" s="15"/>
      <c r="V34" s="266"/>
    </row>
    <row r="35" spans="1:24" ht="17.25" customHeight="1" x14ac:dyDescent="0.2">
      <c r="A35" s="100" t="s">
        <v>280</v>
      </c>
      <c r="B35" s="178">
        <v>0</v>
      </c>
      <c r="C35" s="179">
        <v>6568.83</v>
      </c>
      <c r="D35" s="480">
        <v>0</v>
      </c>
      <c r="E35" s="481">
        <f>44492.86+334265.75+98488</f>
        <v>477246.61</v>
      </c>
      <c r="F35" s="178">
        <v>0</v>
      </c>
      <c r="G35" s="101">
        <v>642432</v>
      </c>
      <c r="H35" s="191">
        <v>114720</v>
      </c>
      <c r="I35" s="101">
        <v>56410</v>
      </c>
      <c r="J35" s="178">
        <f>AVERAGE(B35,D35,F35)</f>
        <v>0</v>
      </c>
      <c r="K35" s="179">
        <f>AVERAGE(C35,E35,G35)</f>
        <v>375415.8133333333</v>
      </c>
      <c r="L35" s="191">
        <v>56410</v>
      </c>
      <c r="M35" s="101">
        <f>'Capital Exp'!E3</f>
        <v>0</v>
      </c>
      <c r="N35" s="191"/>
      <c r="O35" s="703"/>
      <c r="P35" s="661">
        <f>L35-M35</f>
        <v>56410</v>
      </c>
      <c r="Q35" s="101"/>
      <c r="R35" s="101">
        <f>SUM(M35:Q35)</f>
        <v>56410</v>
      </c>
      <c r="S35" s="545">
        <v>0</v>
      </c>
      <c r="T35" s="15"/>
      <c r="U35" s="15"/>
      <c r="V35" s="555">
        <f>M35/$M$31</f>
        <v>0</v>
      </c>
      <c r="X35" s="665">
        <f>M35-[4]Summary!K35</f>
        <v>-97852.2</v>
      </c>
    </row>
    <row r="36" spans="1:24" ht="17.25" customHeight="1" x14ac:dyDescent="0.2">
      <c r="A36" s="100"/>
      <c r="B36" s="290"/>
      <c r="C36" s="291"/>
      <c r="D36" s="290"/>
      <c r="E36" s="291"/>
      <c r="F36" s="290"/>
      <c r="G36" s="238"/>
      <c r="H36" s="239"/>
      <c r="I36" s="238"/>
      <c r="J36" s="290"/>
      <c r="K36" s="291"/>
      <c r="L36" s="239"/>
      <c r="M36" s="238"/>
      <c r="N36" s="239"/>
      <c r="O36" s="702"/>
      <c r="P36" s="660"/>
      <c r="Q36" s="238"/>
      <c r="R36" s="238"/>
      <c r="S36" s="292"/>
      <c r="T36" s="15"/>
      <c r="U36" s="15"/>
      <c r="V36" s="266"/>
    </row>
    <row r="37" spans="1:24" ht="17.25" customHeight="1" thickBot="1" x14ac:dyDescent="0.25">
      <c r="A37" s="299" t="s">
        <v>1483</v>
      </c>
      <c r="B37" s="180">
        <f t="shared" ref="B37:R37" si="18">B33-B35</f>
        <v>197305</v>
      </c>
      <c r="C37" s="181">
        <f t="shared" si="18"/>
        <v>-505135.83</v>
      </c>
      <c r="D37" s="180">
        <f t="shared" si="18"/>
        <v>155781</v>
      </c>
      <c r="E37" s="181">
        <f t="shared" si="18"/>
        <v>-3931684.61</v>
      </c>
      <c r="F37" s="180">
        <f t="shared" si="18"/>
        <v>216228.01999999955</v>
      </c>
      <c r="G37" s="102">
        <f t="shared" si="18"/>
        <v>-2951249</v>
      </c>
      <c r="H37" s="192">
        <f>H33-H35</f>
        <v>-1577125</v>
      </c>
      <c r="I37" s="102">
        <f t="shared" ref="I37" si="19">I33-I35</f>
        <v>-513249</v>
      </c>
      <c r="J37" s="180">
        <f>J33-J35</f>
        <v>189771.33999999985</v>
      </c>
      <c r="K37" s="181">
        <f>K33-K35</f>
        <v>-2462689.8133333335</v>
      </c>
      <c r="L37" s="192">
        <f>L33-L35</f>
        <v>-56410</v>
      </c>
      <c r="M37" s="102">
        <f t="shared" si="18"/>
        <v>473456.48070520535</v>
      </c>
      <c r="N37" s="192">
        <f>N33-N35</f>
        <v>1879115</v>
      </c>
      <c r="O37" s="704">
        <f>O33-O35</f>
        <v>0</v>
      </c>
      <c r="P37" s="662">
        <f>L37-M37</f>
        <v>-529866.48070520535</v>
      </c>
      <c r="Q37" s="102">
        <f t="shared" si="18"/>
        <v>0</v>
      </c>
      <c r="R37" s="102">
        <f t="shared" si="18"/>
        <v>-12036485</v>
      </c>
      <c r="S37" s="631">
        <f>(M37-F37)/F37</f>
        <v>1.1896166866126154</v>
      </c>
      <c r="V37" s="556">
        <f>M37/$M$31</f>
        <v>2.5639566125847994E-2</v>
      </c>
      <c r="X37" s="102">
        <f>X33-X35</f>
        <v>3627705.0646435702</v>
      </c>
    </row>
    <row r="38" spans="1:24" s="236" customFormat="1" ht="17.25" customHeight="1" thickTop="1" x14ac:dyDescent="0.2">
      <c r="A38" s="299"/>
      <c r="B38" s="186"/>
      <c r="C38" s="547"/>
      <c r="D38" s="186"/>
      <c r="E38" s="547"/>
      <c r="F38" s="186"/>
      <c r="G38" s="547"/>
      <c r="H38" s="186"/>
      <c r="I38" s="549"/>
      <c r="J38" s="186"/>
      <c r="K38" s="549"/>
      <c r="L38" s="186"/>
      <c r="M38" s="549"/>
      <c r="N38" s="186"/>
      <c r="O38" s="186"/>
      <c r="P38" s="658"/>
      <c r="Q38" s="186"/>
      <c r="R38" s="186"/>
      <c r="S38" s="186"/>
      <c r="V38" s="266"/>
    </row>
    <row r="39" spans="1:24" s="236" customFormat="1" ht="17.25" customHeight="1" x14ac:dyDescent="0.2">
      <c r="A39" s="100" t="s">
        <v>1481</v>
      </c>
      <c r="B39" s="186">
        <v>0</v>
      </c>
      <c r="C39" s="177">
        <v>0</v>
      </c>
      <c r="D39" s="186">
        <v>0</v>
      </c>
      <c r="E39" s="177">
        <v>0</v>
      </c>
      <c r="F39" s="186">
        <v>0</v>
      </c>
      <c r="G39" s="177">
        <v>0</v>
      </c>
      <c r="H39" s="186">
        <v>1577125</v>
      </c>
      <c r="I39" s="188">
        <v>513249</v>
      </c>
      <c r="J39" s="186">
        <f>AVERAGE(B39,D39,F39)</f>
        <v>0</v>
      </c>
      <c r="K39" s="188">
        <f>AVERAGE(C39,E39,G39)</f>
        <v>0</v>
      </c>
      <c r="L39" s="186">
        <v>1005885</v>
      </c>
      <c r="M39" s="188">
        <f>'Sum by Bud Unit JGH'!B39</f>
        <v>0</v>
      </c>
      <c r="N39" s="186"/>
      <c r="O39" s="186"/>
      <c r="P39" s="658">
        <f>L39-M39</f>
        <v>1005885</v>
      </c>
      <c r="Q39" s="186"/>
      <c r="R39" s="186"/>
      <c r="S39" s="186" t="e">
        <f>(M39-F39)/F39</f>
        <v>#DIV/0!</v>
      </c>
      <c r="V39" s="266">
        <f>M39/$M$31</f>
        <v>0</v>
      </c>
      <c r="X39" s="280">
        <f>M39-[4]Summary!K39</f>
        <v>-3154249</v>
      </c>
    </row>
    <row r="40" spans="1:24" s="236" customFormat="1" ht="17.25" customHeight="1" x14ac:dyDescent="0.2">
      <c r="A40" s="299"/>
      <c r="B40" s="186"/>
      <c r="C40" s="177"/>
      <c r="D40" s="186"/>
      <c r="E40" s="177"/>
      <c r="F40" s="186"/>
      <c r="G40" s="177"/>
      <c r="H40" s="186"/>
      <c r="I40" s="188"/>
      <c r="J40" s="186"/>
      <c r="K40" s="188"/>
      <c r="L40" s="186"/>
      <c r="M40" s="188"/>
      <c r="N40" s="186"/>
      <c r="O40" s="186"/>
      <c r="P40" s="658"/>
      <c r="Q40" s="186"/>
      <c r="R40" s="186"/>
      <c r="S40" s="186"/>
      <c r="V40" s="266"/>
    </row>
    <row r="41" spans="1:24" s="236" customFormat="1" ht="17.25" customHeight="1" thickBot="1" x14ac:dyDescent="0.25">
      <c r="A41" s="299" t="s">
        <v>1484</v>
      </c>
      <c r="B41" s="546">
        <f>SUM(B37:B39)</f>
        <v>197305</v>
      </c>
      <c r="C41" s="548">
        <f t="shared" ref="C41:P41" si="20">SUM(C37:C39)</f>
        <v>-505135.83</v>
      </c>
      <c r="D41" s="546">
        <f t="shared" si="20"/>
        <v>155781</v>
      </c>
      <c r="E41" s="548">
        <f t="shared" si="20"/>
        <v>-3931684.61</v>
      </c>
      <c r="F41" s="546">
        <f t="shared" si="20"/>
        <v>216228.01999999955</v>
      </c>
      <c r="G41" s="548">
        <f t="shared" si="20"/>
        <v>-2951249</v>
      </c>
      <c r="H41" s="546">
        <f>SUM(H37:H39)</f>
        <v>0</v>
      </c>
      <c r="I41" s="546">
        <f t="shared" ref="I41" si="21">SUM(I37:I39)</f>
        <v>0</v>
      </c>
      <c r="J41" s="546">
        <f t="shared" si="20"/>
        <v>189771.33999999985</v>
      </c>
      <c r="K41" s="550">
        <f t="shared" si="20"/>
        <v>-2462689.8133333335</v>
      </c>
      <c r="L41" s="546">
        <f>SUM(L37:L39)</f>
        <v>949475</v>
      </c>
      <c r="M41" s="546">
        <f t="shared" si="20"/>
        <v>473456.48070520535</v>
      </c>
      <c r="N41" s="546">
        <f t="shared" si="20"/>
        <v>1879115</v>
      </c>
      <c r="O41" s="546">
        <f t="shared" si="20"/>
        <v>0</v>
      </c>
      <c r="P41" s="663">
        <f t="shared" si="20"/>
        <v>476018.51929479465</v>
      </c>
      <c r="Q41" s="546"/>
      <c r="R41" s="546"/>
      <c r="S41" s="632">
        <f>(M41-F41)/F41</f>
        <v>1.1896166866126154</v>
      </c>
      <c r="V41" s="281">
        <f>M41/$M$31</f>
        <v>2.5639566125847994E-2</v>
      </c>
      <c r="X41" s="546">
        <f>SUM(X37:X39)</f>
        <v>473456.06464357022</v>
      </c>
    </row>
    <row r="42" spans="1:24" ht="17.25" customHeight="1" thickTop="1" thickBot="1" x14ac:dyDescent="0.25">
      <c r="B42" s="224"/>
      <c r="C42" s="224"/>
      <c r="D42" s="224"/>
      <c r="E42" s="224"/>
      <c r="F42" s="224"/>
      <c r="G42" s="224"/>
      <c r="H42" s="224"/>
      <c r="I42" s="224"/>
      <c r="J42" s="224"/>
      <c r="K42" s="224"/>
      <c r="L42" s="224"/>
      <c r="M42" s="224"/>
      <c r="N42" s="224"/>
      <c r="O42" s="224"/>
      <c r="P42" s="660"/>
      <c r="Q42" s="224"/>
      <c r="R42" s="224"/>
      <c r="S42" s="265"/>
      <c r="V42" s="266"/>
    </row>
    <row r="43" spans="1:24" ht="18" customHeight="1" thickBot="1" x14ac:dyDescent="0.25">
      <c r="A43" s="182" t="s">
        <v>395</v>
      </c>
      <c r="B43" s="293">
        <v>151</v>
      </c>
      <c r="C43" s="294">
        <v>143</v>
      </c>
      <c r="D43" s="293">
        <v>158</v>
      </c>
      <c r="E43" s="294">
        <v>150</v>
      </c>
      <c r="F43" s="293">
        <v>178</v>
      </c>
      <c r="G43" s="295">
        <v>159</v>
      </c>
      <c r="H43" s="296">
        <v>164</v>
      </c>
      <c r="I43" s="296">
        <f>HR!E3-HR!E14</f>
        <v>0</v>
      </c>
      <c r="J43" s="293">
        <f>AVERAGE(B43,D43,F43)</f>
        <v>162.33333333333334</v>
      </c>
      <c r="K43" s="294">
        <f>AVERAGE(C43,E43,G43)</f>
        <v>150.66666666666666</v>
      </c>
      <c r="L43" s="296">
        <v>148</v>
      </c>
      <c r="M43" s="296">
        <f>HR!I3-HR!I14</f>
        <v>116</v>
      </c>
      <c r="N43" s="296">
        <v>101</v>
      </c>
      <c r="O43" s="295">
        <v>110</v>
      </c>
      <c r="P43" s="664">
        <f>L43-M43</f>
        <v>32</v>
      </c>
      <c r="Q43" s="296"/>
      <c r="R43" s="296">
        <f>SUM(M43:Q43)</f>
        <v>359</v>
      </c>
      <c r="S43" s="633">
        <f>(M43-F43)/F43</f>
        <v>-0.34831460674157305</v>
      </c>
      <c r="V43" s="558">
        <f>M43/$M$31</f>
        <v>6.2818649481117298E-6</v>
      </c>
      <c r="X43" s="68">
        <f>M43-[4]Summary!K43</f>
        <v>-55</v>
      </c>
    </row>
    <row r="48" spans="1:24" ht="17.25" customHeight="1" x14ac:dyDescent="0.2">
      <c r="H48" s="298"/>
      <c r="L48" s="298"/>
      <c r="N48" s="705"/>
    </row>
    <row r="49" spans="8:19" ht="17.25" customHeight="1" x14ac:dyDescent="0.2">
      <c r="H49" s="298"/>
      <c r="L49" s="298"/>
      <c r="N49" s="705"/>
    </row>
    <row r="50" spans="8:19" ht="17.25" customHeight="1" x14ac:dyDescent="0.2">
      <c r="H50" s="298"/>
      <c r="I50" s="15"/>
      <c r="L50" s="298"/>
      <c r="M50" s="15"/>
      <c r="N50" s="705"/>
      <c r="O50" s="15"/>
      <c r="P50" s="15"/>
      <c r="Q50" s="15"/>
      <c r="R50" s="15"/>
      <c r="S50" s="15"/>
    </row>
    <row r="51" spans="8:19" ht="17.25" customHeight="1" x14ac:dyDescent="0.2">
      <c r="H51" s="15"/>
      <c r="I51" s="15"/>
      <c r="L51" s="15"/>
      <c r="M51" s="15"/>
      <c r="N51" s="15"/>
      <c r="O51" s="15"/>
      <c r="P51" s="15"/>
      <c r="Q51" s="15"/>
      <c r="R51" s="15"/>
      <c r="S51" s="15"/>
    </row>
    <row r="52" spans="8:19" ht="17.25" customHeight="1" x14ac:dyDescent="0.2">
      <c r="H52" s="15"/>
      <c r="I52" s="15"/>
      <c r="L52" s="15"/>
      <c r="M52" s="15"/>
      <c r="N52" s="15"/>
      <c r="O52" s="15"/>
      <c r="P52" s="15"/>
      <c r="Q52" s="15"/>
      <c r="R52" s="15"/>
      <c r="S52" s="15"/>
    </row>
    <row r="53" spans="8:19" ht="17.25" customHeight="1" x14ac:dyDescent="0.2">
      <c r="H53" s="298"/>
      <c r="I53" s="15"/>
      <c r="L53" s="298"/>
      <c r="M53" s="15"/>
      <c r="N53" s="705"/>
      <c r="O53" s="15"/>
      <c r="P53" s="15"/>
      <c r="Q53" s="15"/>
      <c r="R53" s="15"/>
      <c r="S53" s="15"/>
    </row>
    <row r="54" spans="8:19" ht="17.25" customHeight="1" x14ac:dyDescent="0.2">
      <c r="H54" s="298"/>
      <c r="I54" s="15"/>
      <c r="L54" s="298"/>
      <c r="M54" s="15"/>
      <c r="N54" s="705"/>
      <c r="O54" s="15"/>
      <c r="P54" s="15"/>
      <c r="Q54" s="15"/>
      <c r="R54" s="15"/>
      <c r="S54" s="15"/>
    </row>
    <row r="55" spans="8:19" s="236" customFormat="1" ht="17.25" customHeight="1" x14ac:dyDescent="0.2">
      <c r="H55" s="298"/>
      <c r="I55" s="15"/>
      <c r="L55" s="298"/>
      <c r="M55" s="15"/>
      <c r="N55" s="705"/>
      <c r="O55" s="15"/>
      <c r="P55" s="15"/>
      <c r="Q55" s="15"/>
      <c r="R55" s="15"/>
      <c r="S55" s="15"/>
    </row>
    <row r="56" spans="8:19" ht="17.25" customHeight="1" x14ac:dyDescent="0.2">
      <c r="H56" s="15"/>
      <c r="I56" s="15"/>
      <c r="L56" s="15"/>
      <c r="M56" s="15"/>
      <c r="N56" s="15"/>
      <c r="O56" s="15"/>
      <c r="P56" s="15"/>
      <c r="Q56" s="15"/>
      <c r="R56" s="15"/>
      <c r="S56" s="15"/>
    </row>
    <row r="57" spans="8:19" s="236" customFormat="1" ht="17.25" customHeight="1" x14ac:dyDescent="0.2">
      <c r="H57" s="15"/>
      <c r="I57" s="15"/>
      <c r="L57" s="15"/>
      <c r="M57" s="15"/>
      <c r="N57" s="15"/>
      <c r="O57" s="15"/>
      <c r="P57" s="15"/>
      <c r="Q57" s="15"/>
      <c r="R57" s="15"/>
      <c r="S57" s="15"/>
    </row>
    <row r="58" spans="8:19" s="236" customFormat="1" ht="16.5" customHeight="1" x14ac:dyDescent="0.2">
      <c r="H58" s="298"/>
      <c r="I58" s="15"/>
      <c r="L58" s="298"/>
      <c r="M58" s="15"/>
      <c r="N58" s="705"/>
      <c r="O58" s="15"/>
      <c r="P58" s="15"/>
      <c r="Q58" s="15"/>
      <c r="R58" s="15"/>
      <c r="S58" s="15"/>
    </row>
    <row r="59" spans="8:19" s="236" customFormat="1" ht="17.25" customHeight="1" x14ac:dyDescent="0.2">
      <c r="H59" s="298"/>
      <c r="I59" s="15"/>
      <c r="L59" s="298"/>
      <c r="M59" s="15"/>
      <c r="N59" s="705"/>
      <c r="O59" s="15"/>
      <c r="P59" s="15"/>
      <c r="Q59" s="15"/>
      <c r="R59" s="15"/>
      <c r="S59" s="15"/>
    </row>
    <row r="60" spans="8:19" s="236" customFormat="1" ht="17.25" customHeight="1" x14ac:dyDescent="0.2">
      <c r="H60" s="298"/>
      <c r="I60" s="15"/>
      <c r="L60" s="298"/>
      <c r="M60" s="15"/>
      <c r="N60" s="705"/>
      <c r="O60" s="15"/>
      <c r="P60" s="15"/>
      <c r="Q60" s="15"/>
      <c r="R60" s="15"/>
      <c r="S60" s="15"/>
    </row>
    <row r="61" spans="8:19" ht="17.25" customHeight="1" x14ac:dyDescent="0.2">
      <c r="H61" s="15"/>
      <c r="I61" s="15"/>
      <c r="L61" s="15"/>
      <c r="M61" s="15"/>
      <c r="N61" s="15"/>
      <c r="O61" s="15"/>
      <c r="P61" s="15"/>
      <c r="Q61" s="15"/>
      <c r="R61" s="15"/>
      <c r="S61" s="15"/>
    </row>
    <row r="62" spans="8:19" s="236" customFormat="1" ht="17.25" customHeight="1" x14ac:dyDescent="0.2">
      <c r="H62" s="15"/>
      <c r="I62" s="15"/>
      <c r="L62" s="15"/>
      <c r="M62" s="15"/>
      <c r="N62" s="15"/>
      <c r="O62" s="15"/>
      <c r="P62" s="15"/>
      <c r="Q62" s="15"/>
      <c r="R62" s="15"/>
      <c r="S62" s="15"/>
    </row>
    <row r="63" spans="8:19" s="236" customFormat="1" ht="17.25" customHeight="1" x14ac:dyDescent="0.2">
      <c r="H63" s="298"/>
      <c r="I63" s="15"/>
      <c r="L63" s="298"/>
      <c r="M63" s="15"/>
      <c r="N63" s="705"/>
      <c r="O63" s="15"/>
      <c r="P63" s="15"/>
      <c r="Q63" s="15"/>
      <c r="R63" s="15"/>
      <c r="S63" s="15"/>
    </row>
    <row r="64" spans="8:19" s="236" customFormat="1" ht="17.25" customHeight="1" x14ac:dyDescent="0.2">
      <c r="H64" s="298"/>
      <c r="I64" s="15"/>
      <c r="L64" s="298"/>
      <c r="M64" s="15"/>
      <c r="N64" s="705"/>
      <c r="O64" s="15"/>
      <c r="P64" s="15"/>
      <c r="Q64" s="15"/>
      <c r="R64" s="15"/>
      <c r="S64" s="15"/>
    </row>
    <row r="65" spans="8:19" s="236" customFormat="1" ht="17.25" customHeight="1" x14ac:dyDescent="0.2">
      <c r="H65" s="298"/>
      <c r="I65" s="15"/>
      <c r="L65" s="298"/>
      <c r="M65" s="15"/>
      <c r="N65" s="705"/>
      <c r="O65" s="15"/>
      <c r="P65" s="15"/>
      <c r="Q65" s="15"/>
      <c r="R65" s="15"/>
      <c r="S65" s="15"/>
    </row>
    <row r="66" spans="8:19" ht="17.25" customHeight="1" x14ac:dyDescent="0.2"/>
    <row r="67" spans="8:19" ht="17.25" customHeight="1" x14ac:dyDescent="0.2">
      <c r="H67" s="297"/>
      <c r="I67" s="15"/>
      <c r="L67" s="297"/>
      <c r="M67" s="15"/>
      <c r="N67" s="297"/>
      <c r="O67" s="15"/>
      <c r="P67" s="15"/>
      <c r="Q67" s="15"/>
      <c r="R67" s="15"/>
      <c r="S67" s="15"/>
    </row>
    <row r="69" spans="8:19" s="236" customFormat="1" x14ac:dyDescent="0.2"/>
    <row r="70" spans="8:19" ht="17.25" customHeight="1" x14ac:dyDescent="0.2"/>
    <row r="71" spans="8:19" ht="17.25" customHeight="1" x14ac:dyDescent="0.2"/>
    <row r="72" spans="8:19" ht="17.25" customHeight="1" x14ac:dyDescent="0.2"/>
    <row r="73" spans="8:19" ht="17.25" customHeight="1" x14ac:dyDescent="0.2"/>
    <row r="74" spans="8:19" ht="17.25" customHeight="1" x14ac:dyDescent="0.2"/>
    <row r="75" spans="8:19" ht="18" customHeight="1" x14ac:dyDescent="0.2"/>
  </sheetData>
  <sortState ref="A70:B75">
    <sortCondition ref="A19:A24"/>
  </sortState>
  <printOptions horizontalCentered="1"/>
  <pageMargins left="0.2" right="0.2" top="0.75" bottom="0.5" header="0.3" footer="0.3"/>
  <pageSetup paperSize="5" scale="65"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56"/>
  <sheetViews>
    <sheetView zoomScale="85" zoomScaleNormal="85" workbookViewId="0">
      <pane xSplit="9" ySplit="26" topLeftCell="J557" activePane="bottomRight" state="frozen"/>
      <selection activeCell="B1" sqref="B1"/>
      <selection pane="topRight" activeCell="J1" sqref="J1"/>
      <selection pane="bottomLeft" activeCell="B27" sqref="B27"/>
      <selection pane="bottomRight" activeCell="L14" sqref="L14"/>
    </sheetView>
  </sheetViews>
  <sheetFormatPr defaultRowHeight="12.75" x14ac:dyDescent="0.2"/>
  <cols>
    <col min="1" max="1" width="17.7109375" customWidth="1"/>
    <col min="2" max="2" width="15.7109375" customWidth="1"/>
    <col min="3" max="3" width="28.7109375" customWidth="1"/>
    <col min="4" max="4" width="10.28515625" customWidth="1"/>
    <col min="5" max="5" width="12" customWidth="1"/>
    <col min="6" max="6" width="13.85546875" hidden="1" customWidth="1"/>
    <col min="7" max="7" width="21.7109375" hidden="1" customWidth="1"/>
    <col min="8" max="8" width="21.140625" bestFit="1" customWidth="1"/>
    <col min="9" max="9" width="36.7109375" customWidth="1"/>
    <col min="10" max="10" width="67.5703125" bestFit="1" customWidth="1"/>
    <col min="11" max="11" width="15.85546875" customWidth="1"/>
    <col min="12" max="12" width="13.85546875" customWidth="1"/>
    <col min="13" max="13" width="12.5703125" customWidth="1"/>
    <col min="14" max="14" width="14.28515625" bestFit="1" customWidth="1"/>
    <col min="15" max="15" width="15.28515625" style="236" bestFit="1" customWidth="1"/>
    <col min="16" max="16" width="11.28515625" customWidth="1"/>
    <col min="17" max="17" width="16" customWidth="1"/>
    <col min="18" max="18" width="15.28515625" customWidth="1"/>
    <col min="19" max="19" width="12.42578125" customWidth="1"/>
    <col min="20" max="20" width="19.5703125" bestFit="1" customWidth="1"/>
    <col min="21" max="21" width="12.5703125" bestFit="1" customWidth="1"/>
    <col min="22" max="22" width="12.28515625" customWidth="1"/>
    <col min="23" max="23" width="16.140625" customWidth="1"/>
    <col min="24" max="24" width="12.42578125" customWidth="1"/>
    <col min="25" max="25" width="17.7109375" customWidth="1"/>
    <col min="26" max="26" width="16.42578125" customWidth="1"/>
    <col min="27" max="27" width="15" customWidth="1"/>
  </cols>
  <sheetData>
    <row r="1" spans="3:26" ht="18.75" x14ac:dyDescent="0.3">
      <c r="C1" s="62" t="s">
        <v>262</v>
      </c>
      <c r="D1" s="10"/>
      <c r="G1" s="10"/>
    </row>
    <row r="2" spans="3:26" ht="19.5" thickBot="1" x14ac:dyDescent="0.35">
      <c r="C2" s="10"/>
      <c r="D2" s="10"/>
      <c r="H2" s="10"/>
      <c r="I2" s="23" t="s">
        <v>427</v>
      </c>
      <c r="Z2" s="23" t="s">
        <v>506</v>
      </c>
    </row>
    <row r="3" spans="3:26" ht="18.75" x14ac:dyDescent="0.3">
      <c r="C3" s="61" t="s">
        <v>1610</v>
      </c>
      <c r="D3" s="53"/>
      <c r="E3" s="54"/>
      <c r="F3" s="54"/>
      <c r="G3" s="54"/>
      <c r="H3" s="158">
        <f>SUM(H4:H23)</f>
        <v>13723801.184067205</v>
      </c>
      <c r="I3" s="301">
        <f>SUM(I4:I23)</f>
        <v>127</v>
      </c>
      <c r="J3" s="280">
        <f>SUM(J4:J23)-J14</f>
        <v>171</v>
      </c>
      <c r="K3" s="403">
        <f>H3-W616</f>
        <v>1.6763806343078613E-8</v>
      </c>
      <c r="Z3" s="439">
        <f>+Z17+Z18+Z13+Z16+Z6+Z20+Z21</f>
        <v>2</v>
      </c>
    </row>
    <row r="4" spans="3:26" ht="15" customHeight="1" x14ac:dyDescent="0.25">
      <c r="C4" s="531" t="s">
        <v>259</v>
      </c>
      <c r="D4" s="389"/>
      <c r="E4" s="224"/>
      <c r="F4" s="15"/>
      <c r="G4" s="15"/>
      <c r="H4" s="683">
        <f>Z617</f>
        <v>1216800.2260415996</v>
      </c>
      <c r="I4" s="302">
        <f>SUM(B38:B169)</f>
        <v>10</v>
      </c>
      <c r="J4">
        <v>14</v>
      </c>
      <c r="Z4" s="439">
        <v>0</v>
      </c>
    </row>
    <row r="5" spans="3:26" ht="15" customHeight="1" x14ac:dyDescent="0.25">
      <c r="C5" s="531" t="s">
        <v>22</v>
      </c>
      <c r="D5" s="389"/>
      <c r="E5" s="224"/>
      <c r="F5" s="15"/>
      <c r="G5" s="15"/>
      <c r="H5" s="683">
        <f>Z619</f>
        <v>94632.297600000005</v>
      </c>
      <c r="I5" s="302">
        <f>SUM(B170)</f>
        <v>1</v>
      </c>
      <c r="J5">
        <v>1</v>
      </c>
      <c r="Z5" s="439">
        <v>0</v>
      </c>
    </row>
    <row r="6" spans="3:26" ht="15" customHeight="1" x14ac:dyDescent="0.3">
      <c r="C6" s="531" t="s">
        <v>1182</v>
      </c>
      <c r="D6" s="389"/>
      <c r="E6" s="381"/>
      <c r="F6" s="15"/>
      <c r="G6" s="15"/>
      <c r="H6" s="676">
        <f>Z625</f>
        <v>477886.84160000004</v>
      </c>
      <c r="I6" s="303">
        <f>SUM(B369:B371)</f>
        <v>3</v>
      </c>
      <c r="J6">
        <v>6</v>
      </c>
      <c r="Z6" s="439">
        <v>0</v>
      </c>
    </row>
    <row r="7" spans="3:26" ht="15.75" x14ac:dyDescent="0.25">
      <c r="C7" s="531" t="s">
        <v>272</v>
      </c>
      <c r="D7" s="389"/>
      <c r="E7" s="224"/>
      <c r="F7" s="15"/>
      <c r="G7" s="15"/>
      <c r="H7" s="683">
        <f>Z628</f>
        <v>488351.64160000003</v>
      </c>
      <c r="I7" s="302">
        <f>SUM(B420:B423)</f>
        <v>4</v>
      </c>
      <c r="J7">
        <v>4</v>
      </c>
      <c r="Z7" s="439">
        <v>0</v>
      </c>
    </row>
    <row r="8" spans="3:26" ht="15.75" x14ac:dyDescent="0.25">
      <c r="C8" s="531" t="s">
        <v>810</v>
      </c>
      <c r="D8" s="389"/>
      <c r="E8" s="224"/>
      <c r="F8" s="15"/>
      <c r="G8" s="15"/>
      <c r="H8" s="683">
        <f>Z631</f>
        <v>194531.11999999997</v>
      </c>
      <c r="I8" s="302">
        <f>SUM(B475:B477)</f>
        <v>3</v>
      </c>
      <c r="J8">
        <v>5</v>
      </c>
      <c r="Z8" s="439">
        <v>2</v>
      </c>
    </row>
    <row r="9" spans="3:26" ht="15.75" x14ac:dyDescent="0.25">
      <c r="C9" s="531" t="s">
        <v>23</v>
      </c>
      <c r="D9" s="389"/>
      <c r="E9" s="224"/>
      <c r="F9" s="15"/>
      <c r="G9" s="15"/>
      <c r="H9" s="683">
        <f>Z633</f>
        <v>254124.35536000005</v>
      </c>
      <c r="I9" s="302">
        <f>SUM(B481:B491)</f>
        <v>2</v>
      </c>
      <c r="J9">
        <v>4</v>
      </c>
      <c r="Z9" s="439">
        <v>-2</v>
      </c>
    </row>
    <row r="10" spans="3:26" ht="15.75" x14ac:dyDescent="0.25">
      <c r="C10" s="531" t="s">
        <v>920</v>
      </c>
      <c r="D10" s="389"/>
      <c r="E10" s="224"/>
      <c r="F10" s="15"/>
      <c r="G10" s="15"/>
      <c r="H10" s="683">
        <f>Z636</f>
        <v>762696.20799999987</v>
      </c>
      <c r="I10" s="302">
        <f>SUM(B565:B570)</f>
        <v>6</v>
      </c>
      <c r="J10">
        <v>9</v>
      </c>
      <c r="Z10" s="439">
        <v>0</v>
      </c>
    </row>
    <row r="11" spans="3:26" ht="15.75" x14ac:dyDescent="0.25">
      <c r="C11" s="531" t="s">
        <v>24</v>
      </c>
      <c r="D11" s="389"/>
      <c r="E11" s="224"/>
      <c r="F11" s="15"/>
      <c r="G11" s="15"/>
      <c r="H11" s="683">
        <f>Z620</f>
        <v>1306166.4070032004</v>
      </c>
      <c r="I11" s="302">
        <f>SUM(B174:B239)</f>
        <v>13</v>
      </c>
      <c r="J11">
        <v>18</v>
      </c>
      <c r="Z11" s="439">
        <v>1</v>
      </c>
    </row>
    <row r="12" spans="3:26" ht="15.75" x14ac:dyDescent="0.25">
      <c r="C12" s="531" t="s">
        <v>260</v>
      </c>
      <c r="D12" s="389"/>
      <c r="E12" s="224"/>
      <c r="F12" s="15"/>
      <c r="G12" s="15"/>
      <c r="H12" s="683">
        <f>Z621</f>
        <v>417493.89440000005</v>
      </c>
      <c r="I12" s="302">
        <f>SUM(B242:B251)</f>
        <v>3</v>
      </c>
      <c r="J12">
        <v>4</v>
      </c>
      <c r="Z12" s="439">
        <v>0</v>
      </c>
    </row>
    <row r="13" spans="3:26" ht="18.75" x14ac:dyDescent="0.3">
      <c r="C13" s="531" t="s">
        <v>508</v>
      </c>
      <c r="D13" s="389"/>
      <c r="E13" s="224"/>
      <c r="F13" s="15"/>
      <c r="G13" s="15"/>
      <c r="H13" s="676">
        <f>Z624</f>
        <v>336737.48080000019</v>
      </c>
      <c r="I13" s="303">
        <f>SUM(B312:B368)</f>
        <v>3</v>
      </c>
      <c r="J13">
        <v>6</v>
      </c>
      <c r="Z13" s="439">
        <f>SUM(Z22:Z23)</f>
        <v>2</v>
      </c>
    </row>
    <row r="14" spans="3:26" ht="18.75" x14ac:dyDescent="0.3">
      <c r="C14" s="531" t="s">
        <v>258</v>
      </c>
      <c r="D14" s="389"/>
      <c r="E14" s="224"/>
      <c r="F14" s="15"/>
      <c r="G14" s="15"/>
      <c r="H14" s="676">
        <f>Z618</f>
        <v>7104.9</v>
      </c>
      <c r="I14" s="303">
        <f>SUM(B27:B37)</f>
        <v>11</v>
      </c>
      <c r="J14">
        <v>12</v>
      </c>
      <c r="Z14" s="439">
        <v>0</v>
      </c>
    </row>
    <row r="15" spans="3:26" ht="18.75" x14ac:dyDescent="0.3">
      <c r="C15" s="531" t="s">
        <v>20</v>
      </c>
      <c r="D15" s="389"/>
      <c r="F15" s="15"/>
      <c r="G15" s="15"/>
      <c r="H15" s="676">
        <f>Z626</f>
        <v>2040935.4890624001</v>
      </c>
      <c r="I15" s="303">
        <f>SUM(B372:B382)-1</f>
        <v>10</v>
      </c>
      <c r="J15">
        <v>11</v>
      </c>
      <c r="Z15" s="439">
        <v>0</v>
      </c>
    </row>
    <row r="16" spans="3:26" ht="18.75" x14ac:dyDescent="0.3">
      <c r="C16" s="388" t="s">
        <v>21</v>
      </c>
      <c r="D16" s="389"/>
      <c r="E16" s="381"/>
      <c r="F16" s="15"/>
      <c r="G16" s="15"/>
      <c r="H16" s="676">
        <f>Z629</f>
        <v>523669.98080000025</v>
      </c>
      <c r="I16" s="303">
        <f>SUM(B424:B452)</f>
        <v>4</v>
      </c>
      <c r="J16">
        <v>7</v>
      </c>
      <c r="Z16" s="439">
        <v>0</v>
      </c>
    </row>
    <row r="17" spans="1:27" ht="18.75" x14ac:dyDescent="0.3">
      <c r="C17" s="388" t="s">
        <v>394</v>
      </c>
      <c r="D17" s="389"/>
      <c r="E17" s="392"/>
      <c r="F17" s="15"/>
      <c r="G17" s="15"/>
      <c r="H17" s="676">
        <f>Z622</f>
        <v>476520.7680000001</v>
      </c>
      <c r="I17" s="303">
        <f>SUM(B252:B276)</f>
        <v>4</v>
      </c>
      <c r="J17">
        <v>6</v>
      </c>
      <c r="Z17" s="439">
        <v>0</v>
      </c>
    </row>
    <row r="18" spans="1:27" ht="18.75" x14ac:dyDescent="0.3">
      <c r="C18" s="388" t="s">
        <v>350</v>
      </c>
      <c r="D18" s="389"/>
      <c r="E18" s="392"/>
      <c r="F18" s="15"/>
      <c r="G18" s="15"/>
      <c r="H18" s="676">
        <f>Z623</f>
        <v>980608.33600000013</v>
      </c>
      <c r="I18" s="303">
        <f>SUM(B277:B311)</f>
        <v>9</v>
      </c>
      <c r="J18">
        <v>11</v>
      </c>
      <c r="Z18" s="439">
        <v>0</v>
      </c>
    </row>
    <row r="19" spans="1:27" s="236" customFormat="1" ht="18.75" x14ac:dyDescent="0.3">
      <c r="C19" s="388" t="s">
        <v>510</v>
      </c>
      <c r="D19" s="389"/>
      <c r="E19" s="392"/>
      <c r="F19" s="15"/>
      <c r="G19" s="15"/>
      <c r="H19" s="676">
        <f>Z627</f>
        <v>991157.69279999984</v>
      </c>
      <c r="I19" s="303">
        <f>SUM(B383:B419)</f>
        <v>9</v>
      </c>
      <c r="J19" s="236">
        <v>20</v>
      </c>
      <c r="Z19" s="439">
        <v>0</v>
      </c>
    </row>
    <row r="20" spans="1:27" ht="18.75" x14ac:dyDescent="0.3">
      <c r="C20" s="388" t="s">
        <v>1471</v>
      </c>
      <c r="D20" s="389"/>
      <c r="E20" s="381"/>
      <c r="F20" s="15"/>
      <c r="G20" s="15"/>
      <c r="H20" s="676">
        <f>Z630</f>
        <v>945493.46159999992</v>
      </c>
      <c r="I20" s="303">
        <f>SUM(B459:B474)</f>
        <v>10</v>
      </c>
      <c r="J20">
        <v>14</v>
      </c>
      <c r="Z20" s="439">
        <v>0</v>
      </c>
    </row>
    <row r="21" spans="1:27" ht="18.75" x14ac:dyDescent="0.3">
      <c r="C21" s="388" t="s">
        <v>811</v>
      </c>
      <c r="D21" s="389"/>
      <c r="E21" s="381"/>
      <c r="F21" s="15"/>
      <c r="G21" s="15"/>
      <c r="H21" s="136">
        <f>Z632</f>
        <v>255195.23200000002</v>
      </c>
      <c r="I21" s="303">
        <f>SUM(B478:B480)</f>
        <v>3</v>
      </c>
      <c r="J21">
        <v>5</v>
      </c>
      <c r="Z21" s="439">
        <v>0</v>
      </c>
    </row>
    <row r="22" spans="1:27" ht="18.75" x14ac:dyDescent="0.3">
      <c r="C22" s="457" t="s">
        <v>1453</v>
      </c>
      <c r="D22" s="389"/>
      <c r="E22" s="728"/>
      <c r="F22" s="15"/>
      <c r="G22" s="15"/>
      <c r="H22" s="136">
        <f>Z634</f>
        <v>1078157.3826000001</v>
      </c>
      <c r="I22" s="303">
        <f>SUM(B498:B536)</f>
        <v>10</v>
      </c>
      <c r="J22">
        <v>14</v>
      </c>
      <c r="Z22" s="439">
        <v>1</v>
      </c>
    </row>
    <row r="23" spans="1:27" ht="19.5" thickBot="1" x14ac:dyDescent="0.35">
      <c r="C23" s="458" t="s">
        <v>1470</v>
      </c>
      <c r="D23" s="391"/>
      <c r="E23" s="543"/>
      <c r="F23" s="59"/>
      <c r="G23" s="59"/>
      <c r="H23" s="137">
        <f>Z635</f>
        <v>875537.46880000026</v>
      </c>
      <c r="I23" s="304">
        <f>SUM(B539:B563)</f>
        <v>9</v>
      </c>
      <c r="J23">
        <v>12</v>
      </c>
      <c r="Z23" s="439">
        <v>1</v>
      </c>
    </row>
    <row r="24" spans="1:27" ht="19.5" thickBot="1" x14ac:dyDescent="0.35">
      <c r="A24" s="45"/>
      <c r="B24" s="45"/>
      <c r="E24" s="46"/>
    </row>
    <row r="25" spans="1:27" x14ac:dyDescent="0.2">
      <c r="A25" s="35"/>
      <c r="B25" s="36"/>
      <c r="C25" s="36"/>
      <c r="D25" s="36"/>
      <c r="E25" s="36"/>
      <c r="F25" s="36"/>
      <c r="G25" s="36"/>
      <c r="H25" s="36"/>
      <c r="I25" s="36"/>
      <c r="J25" s="36"/>
      <c r="K25" s="36"/>
      <c r="L25" s="36"/>
      <c r="M25" s="36"/>
      <c r="N25" s="36"/>
      <c r="O25" s="36"/>
      <c r="P25" s="461"/>
      <c r="Q25" s="131">
        <v>0.33150000000000002</v>
      </c>
      <c r="R25" s="131">
        <v>1.4500000000000001E-2</v>
      </c>
      <c r="S25" s="131">
        <v>6.2E-2</v>
      </c>
      <c r="T25" s="305">
        <f>T616/N616</f>
        <v>0.11534048816898339</v>
      </c>
      <c r="U25" s="305">
        <f>U616/N616</f>
        <v>5.7884351758526317E-3</v>
      </c>
      <c r="V25" s="305">
        <f>V616/N616</f>
        <v>0</v>
      </c>
      <c r="W25" s="36"/>
      <c r="X25" s="461"/>
      <c r="Y25" s="462"/>
      <c r="Z25" s="47"/>
    </row>
    <row r="26" spans="1:27" ht="60.75" customHeight="1" thickBot="1" x14ac:dyDescent="0.3">
      <c r="A26" s="42" t="s">
        <v>193</v>
      </c>
      <c r="B26" s="43" t="s">
        <v>198</v>
      </c>
      <c r="C26" s="44" t="s">
        <v>194</v>
      </c>
      <c r="D26" s="43" t="s">
        <v>195</v>
      </c>
      <c r="E26" s="43" t="s">
        <v>239</v>
      </c>
      <c r="F26" s="43" t="s">
        <v>199</v>
      </c>
      <c r="G26" s="43" t="s">
        <v>240</v>
      </c>
      <c r="H26" s="43" t="s">
        <v>226</v>
      </c>
      <c r="I26" s="44" t="s">
        <v>189</v>
      </c>
      <c r="J26" s="44" t="s">
        <v>196</v>
      </c>
      <c r="K26" s="37" t="s">
        <v>197</v>
      </c>
      <c r="L26" s="37" t="s">
        <v>371</v>
      </c>
      <c r="M26" s="37" t="s">
        <v>1217</v>
      </c>
      <c r="N26" s="460" t="s">
        <v>205</v>
      </c>
      <c r="O26" s="37" t="s">
        <v>1218</v>
      </c>
      <c r="P26" s="460" t="s">
        <v>372</v>
      </c>
      <c r="Q26" s="37" t="s">
        <v>485</v>
      </c>
      <c r="R26" s="37" t="s">
        <v>373</v>
      </c>
      <c r="S26" s="37" t="s">
        <v>374</v>
      </c>
      <c r="T26" s="37" t="s">
        <v>377</v>
      </c>
      <c r="U26" s="37" t="s">
        <v>375</v>
      </c>
      <c r="V26" s="37" t="s">
        <v>376</v>
      </c>
      <c r="W26" s="37" t="s">
        <v>217</v>
      </c>
      <c r="X26" s="460" t="s">
        <v>378</v>
      </c>
      <c r="Y26" s="463" t="s">
        <v>379</v>
      </c>
      <c r="Z26" s="49" t="s">
        <v>263</v>
      </c>
      <c r="AA26" s="651" t="s">
        <v>1576</v>
      </c>
    </row>
    <row r="27" spans="1:27" x14ac:dyDescent="0.2">
      <c r="A27" s="16"/>
      <c r="B27" s="16">
        <v>1</v>
      </c>
      <c r="C27" s="19" t="s">
        <v>549</v>
      </c>
      <c r="D27" s="232" t="s">
        <v>1216</v>
      </c>
      <c r="E27" s="19" t="s">
        <v>1210</v>
      </c>
      <c r="F27" s="16" t="s">
        <v>208</v>
      </c>
      <c r="G27" s="19" t="s">
        <v>396</v>
      </c>
      <c r="H27" s="16" t="s">
        <v>216</v>
      </c>
      <c r="I27" s="16" t="s">
        <v>18</v>
      </c>
      <c r="J27" s="16" t="s">
        <v>46</v>
      </c>
      <c r="K27" s="339">
        <v>50</v>
      </c>
      <c r="L27" s="339">
        <v>12</v>
      </c>
      <c r="M27" s="339">
        <v>0</v>
      </c>
      <c r="N27" s="339">
        <f>L27*K27</f>
        <v>600</v>
      </c>
      <c r="O27" s="339"/>
      <c r="P27" s="339"/>
      <c r="Q27" s="339"/>
      <c r="R27" s="339">
        <f>N27*0.0145</f>
        <v>8.7000000000000011</v>
      </c>
      <c r="S27" s="339">
        <f>N27*0.062</f>
        <v>37.200000000000003</v>
      </c>
      <c r="T27" s="339">
        <v>0</v>
      </c>
      <c r="U27" s="339">
        <v>0</v>
      </c>
      <c r="V27" s="339">
        <v>0</v>
      </c>
      <c r="W27" s="264">
        <f>SUM(N27:V27)</f>
        <v>645.90000000000009</v>
      </c>
      <c r="X27" s="339">
        <f>IF(Q27&lt;&gt;"",W27*$X$25,0)</f>
        <v>0</v>
      </c>
      <c r="Y27" s="339"/>
      <c r="Z27" s="340">
        <f>Y27+X27+W27</f>
        <v>645.90000000000009</v>
      </c>
      <c r="AA27" s="2">
        <f>645.9-Z27</f>
        <v>0</v>
      </c>
    </row>
    <row r="28" spans="1:27" ht="12.75" customHeight="1" x14ac:dyDescent="0.2">
      <c r="A28" s="16"/>
      <c r="B28" s="16">
        <v>1</v>
      </c>
      <c r="C28" s="16" t="s">
        <v>551</v>
      </c>
      <c r="D28" s="232" t="s">
        <v>1216</v>
      </c>
      <c r="E28" s="19" t="s">
        <v>1210</v>
      </c>
      <c r="F28" s="16" t="s">
        <v>208</v>
      </c>
      <c r="G28" s="19" t="s">
        <v>396</v>
      </c>
      <c r="H28" s="16" t="s">
        <v>216</v>
      </c>
      <c r="I28" s="16" t="s">
        <v>18</v>
      </c>
      <c r="J28" s="16" t="s">
        <v>46</v>
      </c>
      <c r="K28" s="339">
        <v>50</v>
      </c>
      <c r="L28" s="339">
        <v>12</v>
      </c>
      <c r="M28" s="339">
        <v>0</v>
      </c>
      <c r="N28" s="339">
        <f t="shared" ref="N28:N37" si="0">L28*K28</f>
        <v>600</v>
      </c>
      <c r="O28" s="339"/>
      <c r="P28" s="339"/>
      <c r="Q28" s="339"/>
      <c r="R28" s="339">
        <f t="shared" ref="R28:R37" si="1">N28*0.0145</f>
        <v>8.7000000000000011</v>
      </c>
      <c r="S28" s="339">
        <f t="shared" ref="S28:S37" si="2">N28*0.062</f>
        <v>37.200000000000003</v>
      </c>
      <c r="T28" s="339">
        <v>0</v>
      </c>
      <c r="U28" s="339">
        <v>0</v>
      </c>
      <c r="V28" s="339">
        <v>0</v>
      </c>
      <c r="W28" s="264">
        <f>SUM(N28:V28)</f>
        <v>645.90000000000009</v>
      </c>
      <c r="X28" s="339">
        <f>IF(Q28&lt;&gt;"",W28*$X$25,0)</f>
        <v>0</v>
      </c>
      <c r="Y28" s="339"/>
      <c r="Z28" s="340">
        <f>Y28+X28+W28</f>
        <v>645.90000000000009</v>
      </c>
      <c r="AA28" s="2">
        <f t="shared" ref="AA28:AA37" si="3">645.9-Z28</f>
        <v>0</v>
      </c>
    </row>
    <row r="29" spans="1:27" ht="12.75" customHeight="1" x14ac:dyDescent="0.2">
      <c r="A29" s="16"/>
      <c r="B29" s="16">
        <v>1</v>
      </c>
      <c r="C29" s="16" t="s">
        <v>552</v>
      </c>
      <c r="D29" s="232" t="s">
        <v>1216</v>
      </c>
      <c r="E29" s="19" t="s">
        <v>1210</v>
      </c>
      <c r="F29" s="16" t="s">
        <v>208</v>
      </c>
      <c r="G29" s="19" t="s">
        <v>396</v>
      </c>
      <c r="H29" s="16" t="s">
        <v>216</v>
      </c>
      <c r="I29" s="16" t="s">
        <v>18</v>
      </c>
      <c r="J29" s="16" t="s">
        <v>46</v>
      </c>
      <c r="K29" s="339">
        <v>50</v>
      </c>
      <c r="L29" s="339">
        <v>12</v>
      </c>
      <c r="M29" s="339">
        <v>0</v>
      </c>
      <c r="N29" s="339">
        <f t="shared" si="0"/>
        <v>600</v>
      </c>
      <c r="O29" s="339"/>
      <c r="P29" s="339"/>
      <c r="Q29" s="339"/>
      <c r="R29" s="339">
        <f t="shared" si="1"/>
        <v>8.7000000000000011</v>
      </c>
      <c r="S29" s="339">
        <f t="shared" si="2"/>
        <v>37.200000000000003</v>
      </c>
      <c r="T29" s="339">
        <v>0</v>
      </c>
      <c r="U29" s="339">
        <v>0</v>
      </c>
      <c r="V29" s="339">
        <v>0</v>
      </c>
      <c r="W29" s="264">
        <f>SUM(N29:V29)</f>
        <v>645.90000000000009</v>
      </c>
      <c r="X29" s="339">
        <f>IF(Q29&lt;&gt;"",W29*$X$25,0)</f>
        <v>0</v>
      </c>
      <c r="Y29" s="339"/>
      <c r="Z29" s="340">
        <f>Y29+X29+W29</f>
        <v>645.90000000000009</v>
      </c>
      <c r="AA29" s="2">
        <f t="shared" si="3"/>
        <v>0</v>
      </c>
    </row>
    <row r="30" spans="1:27" s="236" customFormat="1" ht="12.75" customHeight="1" x14ac:dyDescent="0.2">
      <c r="A30" s="16"/>
      <c r="B30" s="103">
        <v>1</v>
      </c>
      <c r="C30" s="16" t="s">
        <v>553</v>
      </c>
      <c r="D30" s="232" t="s">
        <v>1216</v>
      </c>
      <c r="E30" s="19" t="s">
        <v>1210</v>
      </c>
      <c r="F30" s="16" t="s">
        <v>208</v>
      </c>
      <c r="G30" s="19" t="s">
        <v>396</v>
      </c>
      <c r="H30" s="16" t="s">
        <v>216</v>
      </c>
      <c r="I30" s="16" t="s">
        <v>18</v>
      </c>
      <c r="J30" s="16" t="s">
        <v>46</v>
      </c>
      <c r="K30" s="339">
        <v>50</v>
      </c>
      <c r="L30" s="339">
        <v>12</v>
      </c>
      <c r="M30" s="339">
        <v>0</v>
      </c>
      <c r="N30" s="339">
        <f t="shared" si="0"/>
        <v>600</v>
      </c>
      <c r="O30" s="339"/>
      <c r="P30" s="339"/>
      <c r="Q30" s="339"/>
      <c r="R30" s="339">
        <f t="shared" si="1"/>
        <v>8.7000000000000011</v>
      </c>
      <c r="S30" s="339">
        <f t="shared" si="2"/>
        <v>37.200000000000003</v>
      </c>
      <c r="T30" s="339">
        <v>0</v>
      </c>
      <c r="U30" s="339">
        <v>0</v>
      </c>
      <c r="V30" s="339">
        <v>0</v>
      </c>
      <c r="W30" s="264">
        <f t="shared" ref="W30:W37" si="4">SUM(N30:V30)</f>
        <v>645.90000000000009</v>
      </c>
      <c r="X30" s="339">
        <f t="shared" ref="X30:X37" si="5">IF(Q30&lt;&gt;"",W30*$X$25,0)</f>
        <v>0</v>
      </c>
      <c r="Y30" s="339"/>
      <c r="Z30" s="340">
        <f t="shared" ref="Z30:Z37" si="6">Y30+X30+W30</f>
        <v>645.90000000000009</v>
      </c>
      <c r="AA30" s="2">
        <f t="shared" si="3"/>
        <v>0</v>
      </c>
    </row>
    <row r="31" spans="1:27" s="236" customFormat="1" ht="12.75" customHeight="1" x14ac:dyDescent="0.2">
      <c r="A31" s="16"/>
      <c r="B31" s="103">
        <v>1</v>
      </c>
      <c r="C31" s="16" t="s">
        <v>554</v>
      </c>
      <c r="D31" s="232" t="s">
        <v>1216</v>
      </c>
      <c r="E31" s="19" t="s">
        <v>1210</v>
      </c>
      <c r="F31" s="16" t="s">
        <v>208</v>
      </c>
      <c r="G31" s="19" t="s">
        <v>396</v>
      </c>
      <c r="H31" s="16" t="s">
        <v>216</v>
      </c>
      <c r="I31" s="16" t="s">
        <v>18</v>
      </c>
      <c r="J31" s="16" t="s">
        <v>46</v>
      </c>
      <c r="K31" s="339">
        <v>50</v>
      </c>
      <c r="L31" s="339">
        <v>12</v>
      </c>
      <c r="M31" s="339">
        <v>0</v>
      </c>
      <c r="N31" s="339">
        <f t="shared" si="0"/>
        <v>600</v>
      </c>
      <c r="O31" s="339"/>
      <c r="P31" s="339"/>
      <c r="Q31" s="339"/>
      <c r="R31" s="339">
        <f t="shared" si="1"/>
        <v>8.7000000000000011</v>
      </c>
      <c r="S31" s="339">
        <f t="shared" si="2"/>
        <v>37.200000000000003</v>
      </c>
      <c r="T31" s="339">
        <v>0</v>
      </c>
      <c r="U31" s="339">
        <v>0</v>
      </c>
      <c r="V31" s="339">
        <v>0</v>
      </c>
      <c r="W31" s="264">
        <f t="shared" si="4"/>
        <v>645.90000000000009</v>
      </c>
      <c r="X31" s="339">
        <f t="shared" si="5"/>
        <v>0</v>
      </c>
      <c r="Y31" s="339"/>
      <c r="Z31" s="340">
        <f t="shared" si="6"/>
        <v>645.90000000000009</v>
      </c>
      <c r="AA31" s="2">
        <f t="shared" si="3"/>
        <v>0</v>
      </c>
    </row>
    <row r="32" spans="1:27" s="236" customFormat="1" ht="12.75" customHeight="1" x14ac:dyDescent="0.2">
      <c r="A32" s="16"/>
      <c r="B32" s="103">
        <v>1</v>
      </c>
      <c r="C32" s="16" t="s">
        <v>1633</v>
      </c>
      <c r="D32" s="232" t="s">
        <v>1216</v>
      </c>
      <c r="E32" s="19" t="s">
        <v>1210</v>
      </c>
      <c r="F32" s="16" t="s">
        <v>208</v>
      </c>
      <c r="G32" s="19" t="s">
        <v>396</v>
      </c>
      <c r="H32" s="16" t="s">
        <v>216</v>
      </c>
      <c r="I32" s="16" t="s">
        <v>18</v>
      </c>
      <c r="J32" s="16" t="s">
        <v>46</v>
      </c>
      <c r="K32" s="339">
        <v>50</v>
      </c>
      <c r="L32" s="339">
        <v>12</v>
      </c>
      <c r="M32" s="339">
        <v>0</v>
      </c>
      <c r="N32" s="339">
        <f t="shared" si="0"/>
        <v>600</v>
      </c>
      <c r="O32" s="339"/>
      <c r="P32" s="339"/>
      <c r="Q32" s="339"/>
      <c r="R32" s="339">
        <f t="shared" si="1"/>
        <v>8.7000000000000011</v>
      </c>
      <c r="S32" s="339">
        <f t="shared" si="2"/>
        <v>37.200000000000003</v>
      </c>
      <c r="T32" s="339">
        <v>0</v>
      </c>
      <c r="U32" s="339">
        <v>0</v>
      </c>
      <c r="V32" s="339">
        <v>0</v>
      </c>
      <c r="W32" s="264">
        <f t="shared" si="4"/>
        <v>645.90000000000009</v>
      </c>
      <c r="X32" s="339">
        <f t="shared" si="5"/>
        <v>0</v>
      </c>
      <c r="Y32" s="339"/>
      <c r="Z32" s="340">
        <f t="shared" si="6"/>
        <v>645.90000000000009</v>
      </c>
      <c r="AA32" s="2">
        <f t="shared" si="3"/>
        <v>0</v>
      </c>
    </row>
    <row r="33" spans="1:27" s="236" customFormat="1" ht="12.75" customHeight="1" x14ac:dyDescent="0.2">
      <c r="A33" s="16"/>
      <c r="B33" s="103">
        <v>1</v>
      </c>
      <c r="C33" s="16" t="s">
        <v>1598</v>
      </c>
      <c r="D33" s="232" t="s">
        <v>1216</v>
      </c>
      <c r="E33" s="19" t="s">
        <v>1210</v>
      </c>
      <c r="F33" s="16" t="s">
        <v>208</v>
      </c>
      <c r="G33" s="19" t="s">
        <v>396</v>
      </c>
      <c r="H33" s="16" t="s">
        <v>216</v>
      </c>
      <c r="I33" s="16" t="s">
        <v>18</v>
      </c>
      <c r="J33" s="16" t="s">
        <v>46</v>
      </c>
      <c r="K33" s="339">
        <v>50</v>
      </c>
      <c r="L33" s="339">
        <v>12</v>
      </c>
      <c r="M33" s="339">
        <v>0</v>
      </c>
      <c r="N33" s="339">
        <f t="shared" si="0"/>
        <v>600</v>
      </c>
      <c r="O33" s="339"/>
      <c r="P33" s="339"/>
      <c r="Q33" s="339"/>
      <c r="R33" s="339">
        <f t="shared" si="1"/>
        <v>8.7000000000000011</v>
      </c>
      <c r="S33" s="339">
        <f t="shared" si="2"/>
        <v>37.200000000000003</v>
      </c>
      <c r="T33" s="339">
        <v>0</v>
      </c>
      <c r="U33" s="339">
        <v>0</v>
      </c>
      <c r="V33" s="339">
        <v>0</v>
      </c>
      <c r="W33" s="264">
        <f t="shared" si="4"/>
        <v>645.90000000000009</v>
      </c>
      <c r="X33" s="339">
        <f t="shared" si="5"/>
        <v>0</v>
      </c>
      <c r="Y33" s="339"/>
      <c r="Z33" s="340">
        <f t="shared" si="6"/>
        <v>645.90000000000009</v>
      </c>
      <c r="AA33" s="2">
        <f t="shared" si="3"/>
        <v>0</v>
      </c>
    </row>
    <row r="34" spans="1:27" s="236" customFormat="1" ht="12.75" customHeight="1" x14ac:dyDescent="0.2">
      <c r="A34" s="16"/>
      <c r="B34" s="103">
        <v>1</v>
      </c>
      <c r="C34" s="16" t="s">
        <v>555</v>
      </c>
      <c r="D34" s="232" t="s">
        <v>1216</v>
      </c>
      <c r="E34" s="19" t="s">
        <v>1210</v>
      </c>
      <c r="F34" s="16" t="s">
        <v>208</v>
      </c>
      <c r="G34" s="19" t="s">
        <v>396</v>
      </c>
      <c r="H34" s="16" t="s">
        <v>216</v>
      </c>
      <c r="I34" s="16" t="s">
        <v>18</v>
      </c>
      <c r="J34" s="16" t="s">
        <v>46</v>
      </c>
      <c r="K34" s="339">
        <v>50</v>
      </c>
      <c r="L34" s="339">
        <v>12</v>
      </c>
      <c r="M34" s="339">
        <v>0</v>
      </c>
      <c r="N34" s="339">
        <f t="shared" si="0"/>
        <v>600</v>
      </c>
      <c r="O34" s="339"/>
      <c r="P34" s="339"/>
      <c r="Q34" s="339"/>
      <c r="R34" s="339">
        <f t="shared" si="1"/>
        <v>8.7000000000000011</v>
      </c>
      <c r="S34" s="339">
        <f t="shared" si="2"/>
        <v>37.200000000000003</v>
      </c>
      <c r="T34" s="339">
        <v>0</v>
      </c>
      <c r="U34" s="339">
        <v>0</v>
      </c>
      <c r="V34" s="339">
        <v>0</v>
      </c>
      <c r="W34" s="264">
        <f t="shared" si="4"/>
        <v>645.90000000000009</v>
      </c>
      <c r="X34" s="339">
        <f t="shared" si="5"/>
        <v>0</v>
      </c>
      <c r="Y34" s="339"/>
      <c r="Z34" s="340">
        <f t="shared" si="6"/>
        <v>645.90000000000009</v>
      </c>
      <c r="AA34" s="2">
        <f t="shared" si="3"/>
        <v>0</v>
      </c>
    </row>
    <row r="35" spans="1:27" s="236" customFormat="1" ht="12.75" customHeight="1" x14ac:dyDescent="0.2">
      <c r="A35" s="16"/>
      <c r="B35" s="103">
        <v>1</v>
      </c>
      <c r="C35" s="16" t="s">
        <v>556</v>
      </c>
      <c r="D35" s="232" t="s">
        <v>1216</v>
      </c>
      <c r="E35" s="19" t="s">
        <v>1210</v>
      </c>
      <c r="F35" s="16" t="s">
        <v>208</v>
      </c>
      <c r="G35" s="19" t="s">
        <v>396</v>
      </c>
      <c r="H35" s="16" t="s">
        <v>216</v>
      </c>
      <c r="I35" s="16" t="s">
        <v>18</v>
      </c>
      <c r="J35" s="16" t="s">
        <v>46</v>
      </c>
      <c r="K35" s="339">
        <v>50</v>
      </c>
      <c r="L35" s="339">
        <v>12</v>
      </c>
      <c r="M35" s="339">
        <v>0</v>
      </c>
      <c r="N35" s="339">
        <f t="shared" si="0"/>
        <v>600</v>
      </c>
      <c r="O35" s="339"/>
      <c r="P35" s="339"/>
      <c r="Q35" s="339"/>
      <c r="R35" s="339">
        <f t="shared" si="1"/>
        <v>8.7000000000000011</v>
      </c>
      <c r="S35" s="339">
        <f t="shared" si="2"/>
        <v>37.200000000000003</v>
      </c>
      <c r="T35" s="339">
        <v>0</v>
      </c>
      <c r="U35" s="339">
        <v>0</v>
      </c>
      <c r="V35" s="339">
        <v>0</v>
      </c>
      <c r="W35" s="264">
        <f t="shared" si="4"/>
        <v>645.90000000000009</v>
      </c>
      <c r="X35" s="339">
        <f t="shared" si="5"/>
        <v>0</v>
      </c>
      <c r="Y35" s="339"/>
      <c r="Z35" s="340">
        <f t="shared" si="6"/>
        <v>645.90000000000009</v>
      </c>
      <c r="AA35" s="2">
        <f t="shared" si="3"/>
        <v>0</v>
      </c>
    </row>
    <row r="36" spans="1:27" s="236" customFormat="1" ht="12.75" customHeight="1" x14ac:dyDescent="0.2">
      <c r="A36" s="16"/>
      <c r="B36" s="103">
        <v>1</v>
      </c>
      <c r="C36" s="16" t="s">
        <v>557</v>
      </c>
      <c r="D36" s="232" t="s">
        <v>1216</v>
      </c>
      <c r="E36" s="19" t="s">
        <v>1210</v>
      </c>
      <c r="F36" s="16" t="s">
        <v>208</v>
      </c>
      <c r="G36" s="19" t="s">
        <v>396</v>
      </c>
      <c r="H36" s="16" t="s">
        <v>216</v>
      </c>
      <c r="I36" s="16" t="s">
        <v>18</v>
      </c>
      <c r="J36" s="16" t="s">
        <v>46</v>
      </c>
      <c r="K36" s="339">
        <v>50</v>
      </c>
      <c r="L36" s="339">
        <v>12</v>
      </c>
      <c r="M36" s="339">
        <v>0</v>
      </c>
      <c r="N36" s="339">
        <f t="shared" si="0"/>
        <v>600</v>
      </c>
      <c r="O36" s="339"/>
      <c r="P36" s="339"/>
      <c r="Q36" s="339"/>
      <c r="R36" s="339">
        <f t="shared" si="1"/>
        <v>8.7000000000000011</v>
      </c>
      <c r="S36" s="339">
        <f t="shared" si="2"/>
        <v>37.200000000000003</v>
      </c>
      <c r="T36" s="339">
        <v>0</v>
      </c>
      <c r="U36" s="339">
        <v>0</v>
      </c>
      <c r="V36" s="339">
        <v>0</v>
      </c>
      <c r="W36" s="264">
        <f t="shared" si="4"/>
        <v>645.90000000000009</v>
      </c>
      <c r="X36" s="339">
        <f t="shared" si="5"/>
        <v>0</v>
      </c>
      <c r="Y36" s="339"/>
      <c r="Z36" s="340">
        <f t="shared" si="6"/>
        <v>645.90000000000009</v>
      </c>
      <c r="AA36" s="2">
        <f t="shared" si="3"/>
        <v>0</v>
      </c>
    </row>
    <row r="37" spans="1:27" s="236" customFormat="1" ht="12.75" customHeight="1" x14ac:dyDescent="0.2">
      <c r="A37" s="16"/>
      <c r="B37" s="103">
        <v>1</v>
      </c>
      <c r="C37" s="16" t="s">
        <v>558</v>
      </c>
      <c r="D37" s="232" t="s">
        <v>1216</v>
      </c>
      <c r="E37" s="19" t="s">
        <v>1210</v>
      </c>
      <c r="F37" s="16" t="s">
        <v>208</v>
      </c>
      <c r="G37" s="19" t="s">
        <v>396</v>
      </c>
      <c r="H37" s="16" t="s">
        <v>216</v>
      </c>
      <c r="I37" s="16" t="s">
        <v>18</v>
      </c>
      <c r="J37" s="16" t="s">
        <v>46</v>
      </c>
      <c r="K37" s="339">
        <v>50</v>
      </c>
      <c r="L37" s="339">
        <v>12</v>
      </c>
      <c r="M37" s="339">
        <v>0</v>
      </c>
      <c r="N37" s="339">
        <f t="shared" si="0"/>
        <v>600</v>
      </c>
      <c r="O37" s="339"/>
      <c r="P37" s="339"/>
      <c r="Q37" s="339"/>
      <c r="R37" s="339">
        <f t="shared" si="1"/>
        <v>8.7000000000000011</v>
      </c>
      <c r="S37" s="339">
        <f t="shared" si="2"/>
        <v>37.200000000000003</v>
      </c>
      <c r="T37" s="339">
        <v>0</v>
      </c>
      <c r="U37" s="339">
        <v>0</v>
      </c>
      <c r="V37" s="339">
        <v>0</v>
      </c>
      <c r="W37" s="264">
        <f t="shared" si="4"/>
        <v>645.90000000000009</v>
      </c>
      <c r="X37" s="339">
        <f t="shared" si="5"/>
        <v>0</v>
      </c>
      <c r="Y37" s="339"/>
      <c r="Z37" s="340">
        <f t="shared" si="6"/>
        <v>645.90000000000009</v>
      </c>
      <c r="AA37" s="2">
        <f t="shared" si="3"/>
        <v>0</v>
      </c>
    </row>
    <row r="38" spans="1:27" ht="12.75" customHeight="1" x14ac:dyDescent="0.2">
      <c r="A38" s="16"/>
      <c r="B38" s="467">
        <v>1</v>
      </c>
      <c r="C38" s="16" t="s">
        <v>1561</v>
      </c>
      <c r="D38" s="232" t="s">
        <v>721</v>
      </c>
      <c r="E38" s="19" t="s">
        <v>739</v>
      </c>
      <c r="F38" s="16"/>
      <c r="G38" s="16" t="s">
        <v>211</v>
      </c>
      <c r="H38" s="341" t="s">
        <v>216</v>
      </c>
      <c r="I38" s="396" t="s">
        <v>19</v>
      </c>
      <c r="J38" s="19" t="s">
        <v>930</v>
      </c>
      <c r="K38" s="339">
        <f>21.634625*1%</f>
        <v>0.21634624999999999</v>
      </c>
      <c r="L38" s="339">
        <f>2080</f>
        <v>2080</v>
      </c>
      <c r="M38" s="339"/>
      <c r="N38" s="339">
        <f t="shared" ref="N38:N99" si="7">L38*K38</f>
        <v>450.00020000000001</v>
      </c>
      <c r="O38" s="466">
        <f>1*(2080)</f>
        <v>2080</v>
      </c>
      <c r="P38" s="339"/>
      <c r="Q38" s="339">
        <f t="shared" ref="Q38:Q69" si="8">N38*0.3315</f>
        <v>149.1750663</v>
      </c>
      <c r="R38" s="339">
        <f>SUM(N38:O38)*0.0145</f>
        <v>36.685002900000001</v>
      </c>
      <c r="S38" s="339"/>
      <c r="T38" s="339">
        <v>0</v>
      </c>
      <c r="U38" s="339">
        <v>800.64</v>
      </c>
      <c r="V38" s="339"/>
      <c r="W38" s="264">
        <f t="shared" ref="W38:W99" si="9">SUM(N38:V38)</f>
        <v>3516.5002691999998</v>
      </c>
      <c r="X38" s="339">
        <f t="shared" ref="X38:X99" si="10">IF(Q38&lt;&gt;"",W38*$X$25,0)</f>
        <v>0</v>
      </c>
      <c r="Y38" s="339"/>
      <c r="Z38" s="340">
        <f t="shared" ref="Z38:Z99" si="11">Y38+X38+W38</f>
        <v>3516.5002691999998</v>
      </c>
      <c r="AA38" s="2">
        <f>[4]HR!$Z199-Z38</f>
        <v>24365.219698799992</v>
      </c>
    </row>
    <row r="39" spans="1:27" ht="12.75" customHeight="1" x14ac:dyDescent="0.2">
      <c r="A39" s="16"/>
      <c r="B39" s="467">
        <v>0</v>
      </c>
      <c r="C39" s="16" t="s">
        <v>1561</v>
      </c>
      <c r="D39" s="232" t="s">
        <v>721</v>
      </c>
      <c r="E39" s="19" t="s">
        <v>739</v>
      </c>
      <c r="F39" s="16"/>
      <c r="G39" s="16" t="s">
        <v>211</v>
      </c>
      <c r="H39" s="341" t="s">
        <v>216</v>
      </c>
      <c r="I39" s="396" t="s">
        <v>19</v>
      </c>
      <c r="J39" s="19" t="s">
        <v>932</v>
      </c>
      <c r="K39" s="339">
        <f t="shared" ref="K39:K44" si="12">21.634625*5%</f>
        <v>1.08173125</v>
      </c>
      <c r="L39" s="339">
        <f>2080</f>
        <v>2080</v>
      </c>
      <c r="M39" s="339"/>
      <c r="N39" s="339">
        <f t="shared" si="7"/>
        <v>2250.0010000000002</v>
      </c>
      <c r="O39" s="339"/>
      <c r="P39" s="339"/>
      <c r="Q39" s="339">
        <f t="shared" si="8"/>
        <v>745.87533150000013</v>
      </c>
      <c r="R39" s="339">
        <f t="shared" ref="R39:R70" si="13">N39*0.0145</f>
        <v>32.625014500000006</v>
      </c>
      <c r="S39" s="339"/>
      <c r="T39" s="339"/>
      <c r="U39" s="339"/>
      <c r="V39" s="339"/>
      <c r="W39" s="264">
        <f t="shared" si="9"/>
        <v>3028.5013460000005</v>
      </c>
      <c r="X39" s="339">
        <f t="shared" si="10"/>
        <v>0</v>
      </c>
      <c r="Y39" s="339"/>
      <c r="Z39" s="340">
        <f t="shared" si="11"/>
        <v>3028.5013460000005</v>
      </c>
      <c r="AA39" s="2">
        <f>[4]HR!$Z200-Z39</f>
        <v>-954.92688200000066</v>
      </c>
    </row>
    <row r="40" spans="1:27" s="236" customFormat="1" ht="12.75" customHeight="1" x14ac:dyDescent="0.2">
      <c r="A40" s="16"/>
      <c r="B40" s="467">
        <v>0</v>
      </c>
      <c r="C40" s="16" t="s">
        <v>1561</v>
      </c>
      <c r="D40" s="232" t="s">
        <v>721</v>
      </c>
      <c r="E40" s="19" t="s">
        <v>739</v>
      </c>
      <c r="F40" s="16"/>
      <c r="G40" s="16" t="s">
        <v>211</v>
      </c>
      <c r="H40" s="341" t="s">
        <v>216</v>
      </c>
      <c r="I40" s="396" t="s">
        <v>19</v>
      </c>
      <c r="J40" s="19" t="s">
        <v>934</v>
      </c>
      <c r="K40" s="339">
        <f t="shared" si="12"/>
        <v>1.08173125</v>
      </c>
      <c r="L40" s="339">
        <f>2080</f>
        <v>2080</v>
      </c>
      <c r="M40" s="339"/>
      <c r="N40" s="339">
        <f t="shared" si="7"/>
        <v>2250.0010000000002</v>
      </c>
      <c r="O40" s="339"/>
      <c r="P40" s="339"/>
      <c r="Q40" s="339">
        <f t="shared" si="8"/>
        <v>745.87533150000013</v>
      </c>
      <c r="R40" s="339">
        <f t="shared" si="13"/>
        <v>32.625014500000006</v>
      </c>
      <c r="S40" s="339"/>
      <c r="T40" s="339"/>
      <c r="U40" s="339"/>
      <c r="V40" s="339"/>
      <c r="W40" s="264">
        <f t="shared" si="9"/>
        <v>3028.5013460000005</v>
      </c>
      <c r="X40" s="339">
        <f t="shared" si="10"/>
        <v>0</v>
      </c>
      <c r="Y40" s="339"/>
      <c r="Z40" s="340">
        <f t="shared" si="11"/>
        <v>3028.5013460000005</v>
      </c>
      <c r="AA40" s="2">
        <f>[4]HR!$Z201-Z40</f>
        <v>427.45609399999921</v>
      </c>
    </row>
    <row r="41" spans="1:27" ht="12.75" customHeight="1" x14ac:dyDescent="0.2">
      <c r="A41" s="16"/>
      <c r="B41" s="467">
        <v>0</v>
      </c>
      <c r="C41" s="16" t="s">
        <v>1561</v>
      </c>
      <c r="D41" s="232" t="s">
        <v>721</v>
      </c>
      <c r="E41" s="19" t="s">
        <v>739</v>
      </c>
      <c r="F41" s="16"/>
      <c r="G41" s="16" t="s">
        <v>211</v>
      </c>
      <c r="H41" s="341" t="s">
        <v>216</v>
      </c>
      <c r="I41" s="396" t="s">
        <v>19</v>
      </c>
      <c r="J41" s="19" t="s">
        <v>1603</v>
      </c>
      <c r="K41" s="339">
        <f t="shared" si="12"/>
        <v>1.08173125</v>
      </c>
      <c r="L41" s="339">
        <f>2080</f>
        <v>2080</v>
      </c>
      <c r="M41" s="339"/>
      <c r="N41" s="339">
        <f t="shared" si="7"/>
        <v>2250.0010000000002</v>
      </c>
      <c r="O41" s="339"/>
      <c r="P41" s="339"/>
      <c r="Q41" s="339">
        <f t="shared" si="8"/>
        <v>745.87533150000013</v>
      </c>
      <c r="R41" s="339">
        <f t="shared" si="13"/>
        <v>32.625014500000006</v>
      </c>
      <c r="S41" s="339"/>
      <c r="T41" s="339"/>
      <c r="U41" s="339"/>
      <c r="V41" s="339"/>
      <c r="W41" s="264">
        <f t="shared" si="9"/>
        <v>3028.5013460000005</v>
      </c>
      <c r="X41" s="339">
        <f t="shared" si="10"/>
        <v>0</v>
      </c>
      <c r="Y41" s="339"/>
      <c r="Z41" s="340">
        <f t="shared" si="11"/>
        <v>3028.5013460000005</v>
      </c>
      <c r="AA41" s="2">
        <f>[4]HR!$Z202-Z41</f>
        <v>-1991.7141140000006</v>
      </c>
    </row>
    <row r="42" spans="1:27" s="236" customFormat="1" ht="12.75" customHeight="1" x14ac:dyDescent="0.2">
      <c r="A42" s="16"/>
      <c r="B42" s="467">
        <v>0</v>
      </c>
      <c r="C42" s="16" t="s">
        <v>1561</v>
      </c>
      <c r="D42" s="232" t="s">
        <v>721</v>
      </c>
      <c r="E42" s="19" t="s">
        <v>739</v>
      </c>
      <c r="F42" s="16"/>
      <c r="G42" s="16" t="s">
        <v>211</v>
      </c>
      <c r="H42" s="341" t="s">
        <v>216</v>
      </c>
      <c r="I42" s="396" t="s">
        <v>19</v>
      </c>
      <c r="J42" s="19" t="s">
        <v>938</v>
      </c>
      <c r="K42" s="339">
        <f t="shared" si="12"/>
        <v>1.08173125</v>
      </c>
      <c r="L42" s="339">
        <f>2080</f>
        <v>2080</v>
      </c>
      <c r="M42" s="339"/>
      <c r="N42" s="339">
        <f t="shared" si="7"/>
        <v>2250.0010000000002</v>
      </c>
      <c r="O42" s="339"/>
      <c r="P42" s="339"/>
      <c r="Q42" s="339">
        <f t="shared" si="8"/>
        <v>745.87533150000013</v>
      </c>
      <c r="R42" s="339">
        <f t="shared" si="13"/>
        <v>32.625014500000006</v>
      </c>
      <c r="S42" s="339"/>
      <c r="T42" s="339"/>
      <c r="U42" s="339"/>
      <c r="V42" s="339"/>
      <c r="W42" s="264">
        <f t="shared" si="9"/>
        <v>3028.5013460000005</v>
      </c>
      <c r="X42" s="339">
        <f t="shared" si="10"/>
        <v>0</v>
      </c>
      <c r="Y42" s="339"/>
      <c r="Z42" s="340">
        <f t="shared" si="11"/>
        <v>3028.5013460000005</v>
      </c>
      <c r="AA42" s="2">
        <f>[4]HR!$Z203-Z42</f>
        <v>-2337.3098580000005</v>
      </c>
    </row>
    <row r="43" spans="1:27" s="236" customFormat="1" ht="12.75" customHeight="1" x14ac:dyDescent="0.2">
      <c r="A43" s="16"/>
      <c r="B43" s="467">
        <v>0</v>
      </c>
      <c r="C43" s="16" t="s">
        <v>1561</v>
      </c>
      <c r="D43" s="232" t="s">
        <v>721</v>
      </c>
      <c r="E43" s="19" t="s">
        <v>739</v>
      </c>
      <c r="F43" s="16"/>
      <c r="G43" s="16" t="s">
        <v>211</v>
      </c>
      <c r="H43" s="341" t="s">
        <v>216</v>
      </c>
      <c r="I43" s="396" t="s">
        <v>19</v>
      </c>
      <c r="J43" s="19" t="s">
        <v>942</v>
      </c>
      <c r="K43" s="339">
        <f t="shared" si="12"/>
        <v>1.08173125</v>
      </c>
      <c r="L43" s="339">
        <f>2080</f>
        <v>2080</v>
      </c>
      <c r="M43" s="339"/>
      <c r="N43" s="339">
        <f t="shared" si="7"/>
        <v>2250.0010000000002</v>
      </c>
      <c r="O43" s="339"/>
      <c r="P43" s="339"/>
      <c r="Q43" s="339">
        <f t="shared" si="8"/>
        <v>745.87533150000013</v>
      </c>
      <c r="R43" s="339">
        <f t="shared" si="13"/>
        <v>32.625014500000006</v>
      </c>
      <c r="S43" s="339"/>
      <c r="T43" s="339"/>
      <c r="U43" s="339"/>
      <c r="V43" s="339"/>
      <c r="W43" s="264">
        <f t="shared" si="9"/>
        <v>3028.5013460000005</v>
      </c>
      <c r="X43" s="339">
        <f t="shared" si="10"/>
        <v>0</v>
      </c>
      <c r="Y43" s="339"/>
      <c r="Z43" s="340">
        <f t="shared" si="11"/>
        <v>3028.5013460000005</v>
      </c>
      <c r="AA43" s="2">
        <f>[4]HR!$Z204-Z43</f>
        <v>-1818.9162420000005</v>
      </c>
    </row>
    <row r="44" spans="1:27" s="236" customFormat="1" ht="12.75" customHeight="1" x14ac:dyDescent="0.2">
      <c r="A44" s="16"/>
      <c r="B44" s="467">
        <v>0</v>
      </c>
      <c r="C44" s="16" t="s">
        <v>1561</v>
      </c>
      <c r="D44" s="232" t="s">
        <v>721</v>
      </c>
      <c r="E44" s="19" t="s">
        <v>739</v>
      </c>
      <c r="F44" s="16"/>
      <c r="G44" s="16" t="s">
        <v>211</v>
      </c>
      <c r="H44" s="341" t="s">
        <v>216</v>
      </c>
      <c r="I44" s="396" t="s">
        <v>19</v>
      </c>
      <c r="J44" s="19" t="s">
        <v>98</v>
      </c>
      <c r="K44" s="339">
        <f t="shared" si="12"/>
        <v>1.08173125</v>
      </c>
      <c r="L44" s="339">
        <f>2080</f>
        <v>2080</v>
      </c>
      <c r="M44" s="339"/>
      <c r="N44" s="339">
        <f t="shared" si="7"/>
        <v>2250.0010000000002</v>
      </c>
      <c r="O44" s="339"/>
      <c r="P44" s="339"/>
      <c r="Q44" s="339">
        <f t="shared" si="8"/>
        <v>745.87533150000013</v>
      </c>
      <c r="R44" s="339">
        <f t="shared" si="13"/>
        <v>32.625014500000006</v>
      </c>
      <c r="S44" s="339"/>
      <c r="T44" s="339"/>
      <c r="U44" s="339"/>
      <c r="V44" s="339"/>
      <c r="W44" s="264">
        <f t="shared" si="9"/>
        <v>3028.5013460000005</v>
      </c>
      <c r="X44" s="339">
        <f t="shared" si="10"/>
        <v>0</v>
      </c>
      <c r="Y44" s="339"/>
      <c r="Z44" s="340">
        <f t="shared" si="11"/>
        <v>3028.5013460000005</v>
      </c>
      <c r="AA44" s="2">
        <f>[4]HR!$Z205-Z44</f>
        <v>-1127.7247540000008</v>
      </c>
    </row>
    <row r="45" spans="1:27" ht="12.75" customHeight="1" x14ac:dyDescent="0.2">
      <c r="A45" s="16"/>
      <c r="B45" s="467">
        <v>0</v>
      </c>
      <c r="C45" s="16" t="s">
        <v>1561</v>
      </c>
      <c r="D45" s="232" t="s">
        <v>721</v>
      </c>
      <c r="E45" s="19" t="s">
        <v>739</v>
      </c>
      <c r="F45" s="16"/>
      <c r="G45" s="16" t="s">
        <v>211</v>
      </c>
      <c r="H45" s="341" t="s">
        <v>216</v>
      </c>
      <c r="I45" s="396" t="s">
        <v>19</v>
      </c>
      <c r="J45" s="19" t="s">
        <v>950</v>
      </c>
      <c r="K45" s="339">
        <f>21.634625*3%</f>
        <v>0.64903875</v>
      </c>
      <c r="L45" s="339">
        <f>2080</f>
        <v>2080</v>
      </c>
      <c r="M45" s="339"/>
      <c r="N45" s="339">
        <f t="shared" si="7"/>
        <v>1350.0006000000001</v>
      </c>
      <c r="O45" s="339"/>
      <c r="P45" s="339"/>
      <c r="Q45" s="339">
        <f t="shared" si="8"/>
        <v>447.52519890000002</v>
      </c>
      <c r="R45" s="339">
        <f t="shared" si="13"/>
        <v>19.575008700000001</v>
      </c>
      <c r="S45" s="339"/>
      <c r="T45" s="339"/>
      <c r="U45" s="339"/>
      <c r="V45" s="339"/>
      <c r="W45" s="264">
        <f t="shared" si="9"/>
        <v>1817.1008076000001</v>
      </c>
      <c r="X45" s="339">
        <f t="shared" si="10"/>
        <v>0</v>
      </c>
      <c r="Y45" s="339"/>
      <c r="Z45" s="340">
        <f t="shared" si="11"/>
        <v>1817.1008076000001</v>
      </c>
      <c r="AA45" s="2">
        <f>[4]HR!$Z206-Z45</f>
        <v>-953.11144760000013</v>
      </c>
    </row>
    <row r="46" spans="1:27" s="236" customFormat="1" ht="12.75" customHeight="1" x14ac:dyDescent="0.2">
      <c r="A46" s="16"/>
      <c r="B46" s="467">
        <v>0</v>
      </c>
      <c r="C46" s="16" t="s">
        <v>1561</v>
      </c>
      <c r="D46" s="232" t="s">
        <v>721</v>
      </c>
      <c r="E46" s="19" t="s">
        <v>739</v>
      </c>
      <c r="F46" s="16"/>
      <c r="G46" s="16" t="s">
        <v>211</v>
      </c>
      <c r="H46" s="341" t="s">
        <v>216</v>
      </c>
      <c r="I46" s="396" t="s">
        <v>19</v>
      </c>
      <c r="J46" s="19" t="s">
        <v>951</v>
      </c>
      <c r="K46" s="339">
        <f>21.634625*3%</f>
        <v>0.64903875</v>
      </c>
      <c r="L46" s="339">
        <f>2080</f>
        <v>2080</v>
      </c>
      <c r="M46" s="339"/>
      <c r="N46" s="339">
        <f t="shared" si="7"/>
        <v>1350.0006000000001</v>
      </c>
      <c r="O46" s="339"/>
      <c r="P46" s="339"/>
      <c r="Q46" s="339">
        <f t="shared" si="8"/>
        <v>447.52519890000002</v>
      </c>
      <c r="R46" s="339">
        <f t="shared" si="13"/>
        <v>19.575008700000001</v>
      </c>
      <c r="S46" s="339"/>
      <c r="T46" s="339"/>
      <c r="U46" s="339"/>
      <c r="V46" s="339"/>
      <c r="W46" s="264">
        <f t="shared" si="9"/>
        <v>1817.1008076000001</v>
      </c>
      <c r="X46" s="339">
        <f t="shared" si="10"/>
        <v>0</v>
      </c>
      <c r="Y46" s="339"/>
      <c r="Z46" s="340">
        <f t="shared" si="11"/>
        <v>1817.1008076000001</v>
      </c>
      <c r="AA46" s="2">
        <f>[4]HR!$Z207-Z46</f>
        <v>-434.71783159999995</v>
      </c>
    </row>
    <row r="47" spans="1:27" s="236" customFormat="1" ht="12.75" customHeight="1" x14ac:dyDescent="0.2">
      <c r="A47" s="16"/>
      <c r="B47" s="467">
        <v>0</v>
      </c>
      <c r="C47" s="16" t="s">
        <v>1561</v>
      </c>
      <c r="D47" s="232" t="s">
        <v>721</v>
      </c>
      <c r="E47" s="19" t="s">
        <v>739</v>
      </c>
      <c r="F47" s="16"/>
      <c r="G47" s="16" t="s">
        <v>211</v>
      </c>
      <c r="H47" s="341" t="s">
        <v>216</v>
      </c>
      <c r="I47" s="396" t="s">
        <v>19</v>
      </c>
      <c r="J47" s="19" t="s">
        <v>952</v>
      </c>
      <c r="K47" s="339">
        <f>21.634625*2%</f>
        <v>0.43269249999999998</v>
      </c>
      <c r="L47" s="339">
        <f>2080</f>
        <v>2080</v>
      </c>
      <c r="M47" s="339"/>
      <c r="N47" s="339">
        <f t="shared" si="7"/>
        <v>900.00040000000001</v>
      </c>
      <c r="O47" s="339"/>
      <c r="P47" s="339"/>
      <c r="Q47" s="339">
        <f t="shared" si="8"/>
        <v>298.35013259999999</v>
      </c>
      <c r="R47" s="339">
        <f t="shared" si="13"/>
        <v>13.050005800000001</v>
      </c>
      <c r="S47" s="339"/>
      <c r="T47" s="339"/>
      <c r="U47" s="339"/>
      <c r="V47" s="339"/>
      <c r="W47" s="264">
        <f t="shared" si="9"/>
        <v>1211.4005384</v>
      </c>
      <c r="X47" s="339">
        <f t="shared" si="10"/>
        <v>0</v>
      </c>
      <c r="Y47" s="339"/>
      <c r="Z47" s="340">
        <f t="shared" si="11"/>
        <v>1211.4005384</v>
      </c>
      <c r="AA47" s="2">
        <f>[4]HR!$Z208-Z47</f>
        <v>2244.5569015999999</v>
      </c>
    </row>
    <row r="48" spans="1:27" s="236" customFormat="1" ht="12.75" customHeight="1" x14ac:dyDescent="0.2">
      <c r="A48" s="16"/>
      <c r="B48" s="467">
        <v>0</v>
      </c>
      <c r="C48" s="16" t="s">
        <v>1561</v>
      </c>
      <c r="D48" s="232" t="s">
        <v>721</v>
      </c>
      <c r="E48" s="19" t="s">
        <v>739</v>
      </c>
      <c r="F48" s="16"/>
      <c r="G48" s="16" t="s">
        <v>211</v>
      </c>
      <c r="H48" s="341" t="s">
        <v>216</v>
      </c>
      <c r="I48" s="396" t="s">
        <v>19</v>
      </c>
      <c r="J48" s="19" t="s">
        <v>953</v>
      </c>
      <c r="K48" s="339">
        <f>21.634625*2%</f>
        <v>0.43269249999999998</v>
      </c>
      <c r="L48" s="339">
        <f>2080</f>
        <v>2080</v>
      </c>
      <c r="M48" s="339"/>
      <c r="N48" s="339">
        <f t="shared" si="7"/>
        <v>900.00040000000001</v>
      </c>
      <c r="O48" s="339"/>
      <c r="P48" s="339"/>
      <c r="Q48" s="339">
        <f t="shared" si="8"/>
        <v>298.35013259999999</v>
      </c>
      <c r="R48" s="339">
        <f t="shared" si="13"/>
        <v>13.050005800000001</v>
      </c>
      <c r="S48" s="339"/>
      <c r="T48" s="339"/>
      <c r="U48" s="339"/>
      <c r="V48" s="339"/>
      <c r="W48" s="264">
        <f t="shared" si="9"/>
        <v>1211.4005384</v>
      </c>
      <c r="X48" s="339">
        <f t="shared" si="10"/>
        <v>0</v>
      </c>
      <c r="Y48" s="339"/>
      <c r="Z48" s="340">
        <f t="shared" si="11"/>
        <v>1211.4005384</v>
      </c>
      <c r="AA48" s="2">
        <f>[4]HR!$Z209-Z48</f>
        <v>1553.3654136000002</v>
      </c>
    </row>
    <row r="49" spans="1:27" ht="12.75" customHeight="1" x14ac:dyDescent="0.2">
      <c r="A49" s="16"/>
      <c r="B49" s="467">
        <v>0</v>
      </c>
      <c r="C49" s="16" t="s">
        <v>1561</v>
      </c>
      <c r="D49" s="232" t="s">
        <v>721</v>
      </c>
      <c r="E49" s="19" t="s">
        <v>739</v>
      </c>
      <c r="F49" s="16"/>
      <c r="G49" s="16" t="s">
        <v>211</v>
      </c>
      <c r="H49" s="341" t="s">
        <v>216</v>
      </c>
      <c r="I49" s="396" t="s">
        <v>19</v>
      </c>
      <c r="J49" s="19" t="s">
        <v>119</v>
      </c>
      <c r="K49" s="339">
        <f>21.634625*1%</f>
        <v>0.21634624999999999</v>
      </c>
      <c r="L49" s="339">
        <f>2080</f>
        <v>2080</v>
      </c>
      <c r="M49" s="339"/>
      <c r="N49" s="339">
        <f t="shared" si="7"/>
        <v>450.00020000000001</v>
      </c>
      <c r="O49" s="339"/>
      <c r="P49" s="339"/>
      <c r="Q49" s="339">
        <f t="shared" si="8"/>
        <v>149.1750663</v>
      </c>
      <c r="R49" s="339">
        <f t="shared" si="13"/>
        <v>6.5250029000000005</v>
      </c>
      <c r="S49" s="339"/>
      <c r="T49" s="339"/>
      <c r="U49" s="339"/>
      <c r="V49" s="339"/>
      <c r="W49" s="264">
        <f t="shared" si="9"/>
        <v>605.70026919999998</v>
      </c>
      <c r="X49" s="339">
        <f t="shared" si="10"/>
        <v>0</v>
      </c>
      <c r="Y49" s="339"/>
      <c r="Z49" s="340">
        <f t="shared" si="11"/>
        <v>605.70026919999998</v>
      </c>
      <c r="AA49" s="2">
        <f>[4]HR!$Z210-Z49</f>
        <v>776.68270680000012</v>
      </c>
    </row>
    <row r="50" spans="1:27" s="236" customFormat="1" ht="12.75" customHeight="1" x14ac:dyDescent="0.2">
      <c r="A50" s="16"/>
      <c r="B50" s="467">
        <v>0</v>
      </c>
      <c r="C50" s="16" t="s">
        <v>1561</v>
      </c>
      <c r="D50" s="232" t="s">
        <v>721</v>
      </c>
      <c r="E50" s="19" t="s">
        <v>739</v>
      </c>
      <c r="F50" s="16"/>
      <c r="G50" s="16" t="s">
        <v>211</v>
      </c>
      <c r="H50" s="341" t="s">
        <v>216</v>
      </c>
      <c r="I50" s="396" t="s">
        <v>19</v>
      </c>
      <c r="J50" s="19" t="s">
        <v>972</v>
      </c>
      <c r="K50" s="339">
        <f>21.634625*2%</f>
        <v>0.43269249999999998</v>
      </c>
      <c r="L50" s="339">
        <f>2080</f>
        <v>2080</v>
      </c>
      <c r="M50" s="339"/>
      <c r="N50" s="339">
        <f t="shared" si="7"/>
        <v>900.00040000000001</v>
      </c>
      <c r="O50" s="339"/>
      <c r="P50" s="339"/>
      <c r="Q50" s="339">
        <f t="shared" si="8"/>
        <v>298.35013259999999</v>
      </c>
      <c r="R50" s="339">
        <f t="shared" si="13"/>
        <v>13.050005800000001</v>
      </c>
      <c r="S50" s="339"/>
      <c r="T50" s="339"/>
      <c r="U50" s="339"/>
      <c r="V50" s="339"/>
      <c r="W50" s="264">
        <f t="shared" si="9"/>
        <v>1211.4005384</v>
      </c>
      <c r="X50" s="339">
        <f t="shared" si="10"/>
        <v>0</v>
      </c>
      <c r="Y50" s="339"/>
      <c r="Z50" s="340">
        <f t="shared" si="11"/>
        <v>1211.4005384</v>
      </c>
      <c r="AA50" s="2">
        <f>[4]HR!$Z211-Z50</f>
        <v>689.37605359999975</v>
      </c>
    </row>
    <row r="51" spans="1:27" s="236" customFormat="1" ht="12.75" customHeight="1" x14ac:dyDescent="0.2">
      <c r="A51" s="16"/>
      <c r="B51" s="467">
        <v>0</v>
      </c>
      <c r="C51" s="16" t="s">
        <v>1561</v>
      </c>
      <c r="D51" s="232" t="s">
        <v>721</v>
      </c>
      <c r="E51" s="19" t="s">
        <v>739</v>
      </c>
      <c r="F51" s="16"/>
      <c r="G51" s="16" t="s">
        <v>211</v>
      </c>
      <c r="H51" s="341" t="s">
        <v>216</v>
      </c>
      <c r="I51" s="396" t="s">
        <v>19</v>
      </c>
      <c r="J51" s="19" t="s">
        <v>120</v>
      </c>
      <c r="K51" s="339">
        <f>21.634625*5%</f>
        <v>1.08173125</v>
      </c>
      <c r="L51" s="339">
        <f>2080</f>
        <v>2080</v>
      </c>
      <c r="M51" s="339"/>
      <c r="N51" s="339">
        <f t="shared" si="7"/>
        <v>2250.0010000000002</v>
      </c>
      <c r="O51" s="339"/>
      <c r="P51" s="339"/>
      <c r="Q51" s="339">
        <f t="shared" si="8"/>
        <v>745.87533150000013</v>
      </c>
      <c r="R51" s="339">
        <f t="shared" si="13"/>
        <v>32.625014500000006</v>
      </c>
      <c r="S51" s="339"/>
      <c r="T51" s="339"/>
      <c r="U51" s="339"/>
      <c r="V51" s="339"/>
      <c r="W51" s="264">
        <f t="shared" si="9"/>
        <v>3028.5013460000005</v>
      </c>
      <c r="X51" s="339">
        <f t="shared" si="10"/>
        <v>0</v>
      </c>
      <c r="Y51" s="339"/>
      <c r="Z51" s="340">
        <f t="shared" si="11"/>
        <v>3028.5013460000005</v>
      </c>
      <c r="AA51" s="2">
        <f>[4]HR!$Z212-Z51</f>
        <v>-2164.5119860000004</v>
      </c>
    </row>
    <row r="52" spans="1:27" s="236" customFormat="1" ht="12.75" customHeight="1" x14ac:dyDescent="0.2">
      <c r="A52" s="16"/>
      <c r="B52" s="467">
        <v>0</v>
      </c>
      <c r="C52" s="16" t="s">
        <v>1561</v>
      </c>
      <c r="D52" s="232" t="s">
        <v>721</v>
      </c>
      <c r="E52" s="19" t="s">
        <v>739</v>
      </c>
      <c r="F52" s="16"/>
      <c r="G52" s="16" t="s">
        <v>211</v>
      </c>
      <c r="H52" s="341" t="s">
        <v>216</v>
      </c>
      <c r="I52" s="396" t="s">
        <v>19</v>
      </c>
      <c r="J52" s="19" t="s">
        <v>977</v>
      </c>
      <c r="K52" s="339">
        <f>21.634625*2%</f>
        <v>0.43269249999999998</v>
      </c>
      <c r="L52" s="339">
        <f>2080</f>
        <v>2080</v>
      </c>
      <c r="M52" s="339"/>
      <c r="N52" s="339">
        <f t="shared" si="7"/>
        <v>900.00040000000001</v>
      </c>
      <c r="O52" s="339"/>
      <c r="P52" s="339"/>
      <c r="Q52" s="339">
        <f t="shared" si="8"/>
        <v>298.35013259999999</v>
      </c>
      <c r="R52" s="339">
        <f t="shared" si="13"/>
        <v>13.050005800000001</v>
      </c>
      <c r="S52" s="339"/>
      <c r="T52" s="339"/>
      <c r="U52" s="339"/>
      <c r="V52" s="339"/>
      <c r="W52" s="264">
        <f t="shared" si="9"/>
        <v>1211.4005384</v>
      </c>
      <c r="X52" s="339">
        <f t="shared" si="10"/>
        <v>0</v>
      </c>
      <c r="Y52" s="339"/>
      <c r="Z52" s="340">
        <f t="shared" si="11"/>
        <v>1211.4005384</v>
      </c>
      <c r="AA52" s="2">
        <f>[4]HR!$Z213-Z52</f>
        <v>2244.5569015999999</v>
      </c>
    </row>
    <row r="53" spans="1:27" ht="12.75" customHeight="1" x14ac:dyDescent="0.2">
      <c r="A53" s="16"/>
      <c r="B53" s="467">
        <v>0</v>
      </c>
      <c r="C53" s="16" t="s">
        <v>1561</v>
      </c>
      <c r="D53" s="232" t="s">
        <v>721</v>
      </c>
      <c r="E53" s="19" t="s">
        <v>739</v>
      </c>
      <c r="F53" s="16"/>
      <c r="G53" s="16" t="s">
        <v>211</v>
      </c>
      <c r="H53" s="341" t="s">
        <v>216</v>
      </c>
      <c r="I53" s="396" t="s">
        <v>19</v>
      </c>
      <c r="J53" s="19" t="s">
        <v>978</v>
      </c>
      <c r="K53" s="339">
        <f>21.634625*5%</f>
        <v>1.08173125</v>
      </c>
      <c r="L53" s="339">
        <f>2080</f>
        <v>2080</v>
      </c>
      <c r="M53" s="339"/>
      <c r="N53" s="339">
        <f t="shared" si="7"/>
        <v>2250.0010000000002</v>
      </c>
      <c r="O53" s="339"/>
      <c r="P53" s="339"/>
      <c r="Q53" s="339">
        <f t="shared" si="8"/>
        <v>745.87533150000013</v>
      </c>
      <c r="R53" s="339">
        <f t="shared" si="13"/>
        <v>32.625014500000006</v>
      </c>
      <c r="S53" s="339"/>
      <c r="T53" s="339"/>
      <c r="U53" s="339"/>
      <c r="V53" s="339"/>
      <c r="W53" s="264">
        <f t="shared" si="9"/>
        <v>3028.5013460000005</v>
      </c>
      <c r="X53" s="339">
        <f t="shared" si="10"/>
        <v>0</v>
      </c>
      <c r="Y53" s="339"/>
      <c r="Z53" s="340">
        <f t="shared" si="11"/>
        <v>3028.5013460000005</v>
      </c>
      <c r="AA53" s="2">
        <f>[4]HR!$Z214-Z53</f>
        <v>427.45609399999921</v>
      </c>
    </row>
    <row r="54" spans="1:27" s="236" customFormat="1" ht="12.75" customHeight="1" x14ac:dyDescent="0.2">
      <c r="A54" s="16"/>
      <c r="B54" s="467">
        <v>0</v>
      </c>
      <c r="C54" s="16" t="s">
        <v>1561</v>
      </c>
      <c r="D54" s="232" t="s">
        <v>721</v>
      </c>
      <c r="E54" s="19" t="s">
        <v>739</v>
      </c>
      <c r="F54" s="16"/>
      <c r="G54" s="16" t="s">
        <v>211</v>
      </c>
      <c r="H54" s="341" t="s">
        <v>216</v>
      </c>
      <c r="I54" s="396" t="s">
        <v>19</v>
      </c>
      <c r="J54" s="19" t="s">
        <v>984</v>
      </c>
      <c r="K54" s="339">
        <f>21.634625*3%</f>
        <v>0.64903875</v>
      </c>
      <c r="L54" s="339">
        <f>2080</f>
        <v>2080</v>
      </c>
      <c r="M54" s="339"/>
      <c r="N54" s="339">
        <f t="shared" si="7"/>
        <v>1350.0006000000001</v>
      </c>
      <c r="O54" s="339"/>
      <c r="P54" s="339"/>
      <c r="Q54" s="339">
        <f t="shared" si="8"/>
        <v>447.52519890000002</v>
      </c>
      <c r="R54" s="339">
        <f t="shared" si="13"/>
        <v>19.575008700000001</v>
      </c>
      <c r="S54" s="339"/>
      <c r="T54" s="339"/>
      <c r="U54" s="339"/>
      <c r="V54" s="339"/>
      <c r="W54" s="264">
        <f t="shared" si="9"/>
        <v>1817.1008076000001</v>
      </c>
      <c r="X54" s="339">
        <f t="shared" si="10"/>
        <v>0</v>
      </c>
      <c r="Y54" s="339"/>
      <c r="Z54" s="340">
        <f t="shared" si="11"/>
        <v>1817.1008076000001</v>
      </c>
      <c r="AA54" s="2">
        <f>[4]HR!$Z215-Z54</f>
        <v>429.27152839999985</v>
      </c>
    </row>
    <row r="55" spans="1:27" s="236" customFormat="1" ht="12.75" customHeight="1" x14ac:dyDescent="0.2">
      <c r="A55" s="16"/>
      <c r="B55" s="467">
        <v>0</v>
      </c>
      <c r="C55" s="16" t="s">
        <v>1561</v>
      </c>
      <c r="D55" s="232" t="s">
        <v>721</v>
      </c>
      <c r="E55" s="19" t="s">
        <v>739</v>
      </c>
      <c r="F55" s="16"/>
      <c r="G55" s="16" t="s">
        <v>211</v>
      </c>
      <c r="H55" s="341" t="s">
        <v>216</v>
      </c>
      <c r="I55" s="396" t="s">
        <v>19</v>
      </c>
      <c r="J55" s="19" t="s">
        <v>1013</v>
      </c>
      <c r="K55" s="339">
        <f>21.634625*3%</f>
        <v>0.64903875</v>
      </c>
      <c r="L55" s="339">
        <f>2080</f>
        <v>2080</v>
      </c>
      <c r="M55" s="339"/>
      <c r="N55" s="339">
        <f t="shared" si="7"/>
        <v>1350.0006000000001</v>
      </c>
      <c r="O55" s="339"/>
      <c r="P55" s="339"/>
      <c r="Q55" s="339">
        <f t="shared" si="8"/>
        <v>447.52519890000002</v>
      </c>
      <c r="R55" s="339">
        <f t="shared" si="13"/>
        <v>19.575008700000001</v>
      </c>
      <c r="S55" s="339"/>
      <c r="T55" s="339"/>
      <c r="U55" s="339"/>
      <c r="V55" s="339"/>
      <c r="W55" s="264">
        <f t="shared" si="9"/>
        <v>1817.1008076000001</v>
      </c>
      <c r="X55" s="339">
        <f t="shared" si="10"/>
        <v>0</v>
      </c>
      <c r="Y55" s="339"/>
      <c r="Z55" s="340">
        <f t="shared" si="11"/>
        <v>1817.1008076000001</v>
      </c>
      <c r="AA55" s="2">
        <f>[4]HR!$Z216-Z55</f>
        <v>-1471.5050636000001</v>
      </c>
    </row>
    <row r="56" spans="1:27" ht="12.75" customHeight="1" x14ac:dyDescent="0.2">
      <c r="A56" s="16"/>
      <c r="B56" s="467">
        <v>0</v>
      </c>
      <c r="C56" s="16" t="s">
        <v>1561</v>
      </c>
      <c r="D56" s="232" t="s">
        <v>721</v>
      </c>
      <c r="E56" s="19" t="s">
        <v>739</v>
      </c>
      <c r="F56" s="16"/>
      <c r="G56" s="16" t="s">
        <v>211</v>
      </c>
      <c r="H56" s="341" t="s">
        <v>216</v>
      </c>
      <c r="I56" s="396" t="s">
        <v>19</v>
      </c>
      <c r="J56" s="19" t="s">
        <v>1022</v>
      </c>
      <c r="K56" s="339">
        <f>21.634625*3%</f>
        <v>0.64903875</v>
      </c>
      <c r="L56" s="339">
        <f>2080</f>
        <v>2080</v>
      </c>
      <c r="M56" s="339"/>
      <c r="N56" s="339">
        <f t="shared" si="7"/>
        <v>1350.0006000000001</v>
      </c>
      <c r="O56" s="339"/>
      <c r="P56" s="339"/>
      <c r="Q56" s="339">
        <f t="shared" si="8"/>
        <v>447.52519890000002</v>
      </c>
      <c r="R56" s="339">
        <f t="shared" si="13"/>
        <v>19.575008700000001</v>
      </c>
      <c r="S56" s="339"/>
      <c r="T56" s="339"/>
      <c r="U56" s="339"/>
      <c r="V56" s="339"/>
      <c r="W56" s="264">
        <f t="shared" si="9"/>
        <v>1817.1008076000001</v>
      </c>
      <c r="X56" s="339">
        <f t="shared" si="10"/>
        <v>0</v>
      </c>
      <c r="Y56" s="339"/>
      <c r="Z56" s="340">
        <f t="shared" si="11"/>
        <v>1817.1008076000001</v>
      </c>
      <c r="AA56" s="2">
        <f>[4]HR!$Z217-Z56</f>
        <v>-1471.5050636000001</v>
      </c>
    </row>
    <row r="57" spans="1:27" s="236" customFormat="1" ht="12.75" customHeight="1" x14ac:dyDescent="0.2">
      <c r="A57" s="16"/>
      <c r="B57" s="467">
        <v>0</v>
      </c>
      <c r="C57" s="16" t="s">
        <v>1561</v>
      </c>
      <c r="D57" s="232" t="s">
        <v>721</v>
      </c>
      <c r="E57" s="19" t="s">
        <v>739</v>
      </c>
      <c r="F57" s="16"/>
      <c r="G57" s="16"/>
      <c r="H57" s="341" t="s">
        <v>216</v>
      </c>
      <c r="I57" s="396" t="s">
        <v>19</v>
      </c>
      <c r="J57" s="19" t="s">
        <v>932</v>
      </c>
      <c r="K57" s="339">
        <f>21.634625*1%</f>
        <v>0.21634624999999999</v>
      </c>
      <c r="L57" s="339">
        <v>2080</v>
      </c>
      <c r="M57" s="339"/>
      <c r="N57" s="339">
        <f t="shared" si="7"/>
        <v>450.00020000000001</v>
      </c>
      <c r="O57" s="339"/>
      <c r="P57" s="339"/>
      <c r="Q57" s="339">
        <f t="shared" si="8"/>
        <v>149.1750663</v>
      </c>
      <c r="R57" s="339">
        <f t="shared" si="13"/>
        <v>6.5250029000000005</v>
      </c>
      <c r="S57" s="339"/>
      <c r="T57" s="339"/>
      <c r="U57" s="339"/>
      <c r="V57" s="339"/>
      <c r="W57" s="264">
        <f t="shared" si="9"/>
        <v>605.70026919999998</v>
      </c>
      <c r="X57" s="339"/>
      <c r="Y57" s="339"/>
      <c r="Z57" s="340">
        <f t="shared" si="11"/>
        <v>605.70026919999998</v>
      </c>
      <c r="AA57" s="2"/>
    </row>
    <row r="58" spans="1:27" s="236" customFormat="1" ht="12.75" customHeight="1" x14ac:dyDescent="0.2">
      <c r="A58" s="16"/>
      <c r="B58" s="467">
        <v>0</v>
      </c>
      <c r="C58" s="16" t="s">
        <v>1561</v>
      </c>
      <c r="D58" s="232" t="s">
        <v>721</v>
      </c>
      <c r="E58" s="19" t="s">
        <v>739</v>
      </c>
      <c r="F58" s="16"/>
      <c r="G58" s="16"/>
      <c r="H58" s="341" t="s">
        <v>216</v>
      </c>
      <c r="I58" s="396" t="s">
        <v>19</v>
      </c>
      <c r="J58" s="19" t="s">
        <v>1034</v>
      </c>
      <c r="K58" s="339">
        <f t="shared" ref="K58:K60" si="14">21.634625*1%</f>
        <v>0.21634624999999999</v>
      </c>
      <c r="L58" s="339">
        <v>2080</v>
      </c>
      <c r="M58" s="339"/>
      <c r="N58" s="339">
        <f t="shared" si="7"/>
        <v>450.00020000000001</v>
      </c>
      <c r="O58" s="339"/>
      <c r="P58" s="339"/>
      <c r="Q58" s="339">
        <f t="shared" si="8"/>
        <v>149.1750663</v>
      </c>
      <c r="R58" s="339">
        <f t="shared" si="13"/>
        <v>6.5250029000000005</v>
      </c>
      <c r="S58" s="339"/>
      <c r="T58" s="339"/>
      <c r="U58" s="339"/>
      <c r="V58" s="339"/>
      <c r="W58" s="264">
        <f t="shared" si="9"/>
        <v>605.70026919999998</v>
      </c>
      <c r="X58" s="339"/>
      <c r="Y58" s="339"/>
      <c r="Z58" s="340">
        <f t="shared" si="11"/>
        <v>605.70026919999998</v>
      </c>
      <c r="AA58" s="2"/>
    </row>
    <row r="59" spans="1:27" s="236" customFormat="1" ht="12.75" customHeight="1" x14ac:dyDescent="0.2">
      <c r="A59" s="16"/>
      <c r="B59" s="467">
        <v>0</v>
      </c>
      <c r="C59" s="16" t="s">
        <v>1561</v>
      </c>
      <c r="D59" s="232" t="s">
        <v>721</v>
      </c>
      <c r="E59" s="19" t="s">
        <v>739</v>
      </c>
      <c r="F59" s="16"/>
      <c r="G59" s="16"/>
      <c r="H59" s="341" t="s">
        <v>216</v>
      </c>
      <c r="I59" s="396" t="s">
        <v>19</v>
      </c>
      <c r="J59" s="19" t="s">
        <v>1045</v>
      </c>
      <c r="K59" s="339">
        <f t="shared" si="14"/>
        <v>0.21634624999999999</v>
      </c>
      <c r="L59" s="339">
        <v>2080</v>
      </c>
      <c r="M59" s="339"/>
      <c r="N59" s="339">
        <f t="shared" si="7"/>
        <v>450.00020000000001</v>
      </c>
      <c r="O59" s="339"/>
      <c r="P59" s="339"/>
      <c r="Q59" s="339">
        <f t="shared" si="8"/>
        <v>149.1750663</v>
      </c>
      <c r="R59" s="339">
        <f t="shared" si="13"/>
        <v>6.5250029000000005</v>
      </c>
      <c r="S59" s="339"/>
      <c r="T59" s="339"/>
      <c r="U59" s="339"/>
      <c r="V59" s="339"/>
      <c r="W59" s="264">
        <f t="shared" si="9"/>
        <v>605.70026919999998</v>
      </c>
      <c r="X59" s="339"/>
      <c r="Y59" s="339"/>
      <c r="Z59" s="340">
        <f t="shared" si="11"/>
        <v>605.70026919999998</v>
      </c>
      <c r="AA59" s="2"/>
    </row>
    <row r="60" spans="1:27" s="236" customFormat="1" ht="12.75" customHeight="1" x14ac:dyDescent="0.2">
      <c r="A60" s="16"/>
      <c r="B60" s="467">
        <v>0</v>
      </c>
      <c r="C60" s="16" t="s">
        <v>1561</v>
      </c>
      <c r="D60" s="232" t="s">
        <v>721</v>
      </c>
      <c r="E60" s="19" t="s">
        <v>739</v>
      </c>
      <c r="F60" s="16"/>
      <c r="G60" s="16"/>
      <c r="H60" s="341" t="s">
        <v>216</v>
      </c>
      <c r="I60" s="396" t="s">
        <v>19</v>
      </c>
      <c r="J60" s="19" t="s">
        <v>1052</v>
      </c>
      <c r="K60" s="339">
        <f t="shared" si="14"/>
        <v>0.21634624999999999</v>
      </c>
      <c r="L60" s="339">
        <v>2080</v>
      </c>
      <c r="M60" s="339"/>
      <c r="N60" s="339">
        <f t="shared" si="7"/>
        <v>450.00020000000001</v>
      </c>
      <c r="O60" s="339"/>
      <c r="P60" s="339"/>
      <c r="Q60" s="339">
        <f t="shared" si="8"/>
        <v>149.1750663</v>
      </c>
      <c r="R60" s="339">
        <f t="shared" si="13"/>
        <v>6.5250029000000005</v>
      </c>
      <c r="S60" s="339"/>
      <c r="T60" s="339"/>
      <c r="U60" s="339"/>
      <c r="V60" s="339"/>
      <c r="W60" s="264">
        <f t="shared" si="9"/>
        <v>605.70026919999998</v>
      </c>
      <c r="X60" s="339"/>
      <c r="Y60" s="339"/>
      <c r="Z60" s="340">
        <f t="shared" si="11"/>
        <v>605.70026919999998</v>
      </c>
      <c r="AA60" s="2"/>
    </row>
    <row r="61" spans="1:27" s="236" customFormat="1" ht="12.75" customHeight="1" x14ac:dyDescent="0.2">
      <c r="A61" s="16"/>
      <c r="B61" s="467">
        <v>0</v>
      </c>
      <c r="C61" s="16" t="s">
        <v>1561</v>
      </c>
      <c r="D61" s="232" t="s">
        <v>721</v>
      </c>
      <c r="E61" s="19" t="s">
        <v>739</v>
      </c>
      <c r="F61" s="16"/>
      <c r="G61" s="16" t="s">
        <v>211</v>
      </c>
      <c r="H61" s="341" t="s">
        <v>216</v>
      </c>
      <c r="I61" s="396" t="s">
        <v>19</v>
      </c>
      <c r="J61" s="19" t="s">
        <v>1054</v>
      </c>
      <c r="K61" s="339">
        <f>21.634625*5%</f>
        <v>1.08173125</v>
      </c>
      <c r="L61" s="339">
        <f>2080</f>
        <v>2080</v>
      </c>
      <c r="M61" s="339"/>
      <c r="N61" s="339">
        <f t="shared" si="7"/>
        <v>2250.0010000000002</v>
      </c>
      <c r="O61" s="339"/>
      <c r="P61" s="339"/>
      <c r="Q61" s="339">
        <f t="shared" si="8"/>
        <v>745.87533150000013</v>
      </c>
      <c r="R61" s="339">
        <f t="shared" si="13"/>
        <v>32.625014500000006</v>
      </c>
      <c r="S61" s="339"/>
      <c r="T61" s="339"/>
      <c r="U61" s="339"/>
      <c r="V61" s="339"/>
      <c r="W61" s="264">
        <f t="shared" si="9"/>
        <v>3028.5013460000005</v>
      </c>
      <c r="X61" s="339">
        <f t="shared" si="10"/>
        <v>0</v>
      </c>
      <c r="Y61" s="339"/>
      <c r="Z61" s="340">
        <f t="shared" si="11"/>
        <v>3028.5013460000005</v>
      </c>
      <c r="AA61" s="2">
        <f>[4]HR!$Z218-Z61</f>
        <v>-1646.1183700000004</v>
      </c>
    </row>
    <row r="62" spans="1:27" s="236" customFormat="1" ht="12.75" customHeight="1" x14ac:dyDescent="0.2">
      <c r="A62" s="16"/>
      <c r="B62" s="467">
        <v>0</v>
      </c>
      <c r="C62" s="16" t="s">
        <v>1561</v>
      </c>
      <c r="D62" s="232" t="s">
        <v>721</v>
      </c>
      <c r="E62" s="19" t="s">
        <v>739</v>
      </c>
      <c r="F62" s="16"/>
      <c r="G62" s="16" t="s">
        <v>211</v>
      </c>
      <c r="H62" s="341" t="s">
        <v>216</v>
      </c>
      <c r="I62" s="396" t="s">
        <v>19</v>
      </c>
      <c r="J62" s="19" t="s">
        <v>1055</v>
      </c>
      <c r="K62" s="339">
        <f>21.634625*5%</f>
        <v>1.08173125</v>
      </c>
      <c r="L62" s="339">
        <f>2080</f>
        <v>2080</v>
      </c>
      <c r="M62" s="339"/>
      <c r="N62" s="339">
        <f t="shared" si="7"/>
        <v>2250.0010000000002</v>
      </c>
      <c r="O62" s="339"/>
      <c r="P62" s="339"/>
      <c r="Q62" s="339">
        <f t="shared" si="8"/>
        <v>745.87533150000013</v>
      </c>
      <c r="R62" s="339">
        <f t="shared" si="13"/>
        <v>32.625014500000006</v>
      </c>
      <c r="S62" s="339"/>
      <c r="T62" s="339"/>
      <c r="U62" s="339"/>
      <c r="V62" s="339"/>
      <c r="W62" s="264">
        <f t="shared" si="9"/>
        <v>3028.5013460000005</v>
      </c>
      <c r="X62" s="339">
        <f t="shared" si="10"/>
        <v>0</v>
      </c>
      <c r="Y62" s="339"/>
      <c r="Z62" s="340">
        <f t="shared" si="11"/>
        <v>3028.5013460000005</v>
      </c>
      <c r="AA62" s="2">
        <f>[4]HR!$Z219-Z62</f>
        <v>-436.53326600000082</v>
      </c>
    </row>
    <row r="63" spans="1:27" s="236" customFormat="1" ht="12.75" customHeight="1" x14ac:dyDescent="0.2">
      <c r="A63" s="16"/>
      <c r="B63" s="467">
        <v>0</v>
      </c>
      <c r="C63" s="16" t="s">
        <v>1561</v>
      </c>
      <c r="D63" s="232" t="s">
        <v>721</v>
      </c>
      <c r="E63" s="19" t="s">
        <v>739</v>
      </c>
      <c r="F63" s="16"/>
      <c r="G63" s="16" t="s">
        <v>211</v>
      </c>
      <c r="H63" s="341" t="s">
        <v>216</v>
      </c>
      <c r="I63" s="396" t="s">
        <v>19</v>
      </c>
      <c r="J63" s="19" t="s">
        <v>1056</v>
      </c>
      <c r="K63" s="339">
        <f>21.634625*2%</f>
        <v>0.43269249999999998</v>
      </c>
      <c r="L63" s="339">
        <f>2080</f>
        <v>2080</v>
      </c>
      <c r="M63" s="339"/>
      <c r="N63" s="339">
        <f t="shared" si="7"/>
        <v>900.00040000000001</v>
      </c>
      <c r="O63" s="339"/>
      <c r="P63" s="339"/>
      <c r="Q63" s="339">
        <f t="shared" si="8"/>
        <v>298.35013259999999</v>
      </c>
      <c r="R63" s="339">
        <f t="shared" si="13"/>
        <v>13.050005800000001</v>
      </c>
      <c r="S63" s="339"/>
      <c r="T63" s="339"/>
      <c r="U63" s="339"/>
      <c r="V63" s="339"/>
      <c r="W63" s="264">
        <f t="shared" si="9"/>
        <v>1211.4005384</v>
      </c>
      <c r="X63" s="339">
        <f t="shared" si="10"/>
        <v>0</v>
      </c>
      <c r="Y63" s="339"/>
      <c r="Z63" s="340">
        <f t="shared" si="11"/>
        <v>1211.4005384</v>
      </c>
      <c r="AA63" s="2">
        <f>[4]HR!$Z220-Z63</f>
        <v>516.57818159999988</v>
      </c>
    </row>
    <row r="64" spans="1:27" s="236" customFormat="1" ht="12.75" customHeight="1" x14ac:dyDescent="0.2">
      <c r="A64" s="16"/>
      <c r="B64" s="467">
        <v>0</v>
      </c>
      <c r="C64" s="16" t="s">
        <v>1561</v>
      </c>
      <c r="D64" s="232" t="s">
        <v>721</v>
      </c>
      <c r="E64" s="19" t="s">
        <v>739</v>
      </c>
      <c r="F64" s="16"/>
      <c r="G64" s="16" t="s">
        <v>211</v>
      </c>
      <c r="H64" s="341" t="s">
        <v>216</v>
      </c>
      <c r="I64" s="396" t="s">
        <v>19</v>
      </c>
      <c r="J64" s="19" t="s">
        <v>1057</v>
      </c>
      <c r="K64" s="339">
        <f>21.634625*2%</f>
        <v>0.43269249999999998</v>
      </c>
      <c r="L64" s="339">
        <f>2080</f>
        <v>2080</v>
      </c>
      <c r="M64" s="339"/>
      <c r="N64" s="339">
        <f t="shared" si="7"/>
        <v>900.00040000000001</v>
      </c>
      <c r="O64" s="339"/>
      <c r="P64" s="339"/>
      <c r="Q64" s="339">
        <f t="shared" si="8"/>
        <v>298.35013259999999</v>
      </c>
      <c r="R64" s="339">
        <f t="shared" si="13"/>
        <v>13.050005800000001</v>
      </c>
      <c r="S64" s="339"/>
      <c r="T64" s="339"/>
      <c r="U64" s="339"/>
      <c r="V64" s="339"/>
      <c r="W64" s="264">
        <f t="shared" si="9"/>
        <v>1211.4005384</v>
      </c>
      <c r="X64" s="339">
        <f t="shared" si="10"/>
        <v>0</v>
      </c>
      <c r="Y64" s="339"/>
      <c r="Z64" s="340">
        <f t="shared" si="11"/>
        <v>1211.4005384</v>
      </c>
      <c r="AA64" s="2">
        <f>[4]HR!$Z221-Z64</f>
        <v>862.17392559999985</v>
      </c>
    </row>
    <row r="65" spans="1:27" s="236" customFormat="1" ht="12.75" customHeight="1" x14ac:dyDescent="0.2">
      <c r="A65" s="16"/>
      <c r="B65" s="467">
        <v>0</v>
      </c>
      <c r="C65" s="16" t="s">
        <v>1561</v>
      </c>
      <c r="D65" s="232" t="s">
        <v>721</v>
      </c>
      <c r="E65" s="19" t="s">
        <v>739</v>
      </c>
      <c r="F65" s="16"/>
      <c r="G65" s="16" t="s">
        <v>211</v>
      </c>
      <c r="H65" s="341" t="s">
        <v>216</v>
      </c>
      <c r="I65" s="396" t="s">
        <v>19</v>
      </c>
      <c r="J65" s="19" t="s">
        <v>976</v>
      </c>
      <c r="K65" s="339">
        <f>21.634625*2%</f>
        <v>0.43269249999999998</v>
      </c>
      <c r="L65" s="339">
        <f>2080</f>
        <v>2080</v>
      </c>
      <c r="M65" s="339"/>
      <c r="N65" s="339">
        <f t="shared" si="7"/>
        <v>900.00040000000001</v>
      </c>
      <c r="O65" s="339"/>
      <c r="P65" s="339"/>
      <c r="Q65" s="339">
        <f t="shared" si="8"/>
        <v>298.35013259999999</v>
      </c>
      <c r="R65" s="339">
        <f t="shared" si="13"/>
        <v>13.050005800000001</v>
      </c>
      <c r="S65" s="339"/>
      <c r="T65" s="339"/>
      <c r="U65" s="339"/>
      <c r="V65" s="339"/>
      <c r="W65" s="264">
        <f t="shared" si="9"/>
        <v>1211.4005384</v>
      </c>
      <c r="X65" s="339">
        <f t="shared" si="10"/>
        <v>0</v>
      </c>
      <c r="Y65" s="339"/>
      <c r="Z65" s="340">
        <f t="shared" si="11"/>
        <v>1211.4005384</v>
      </c>
      <c r="AA65" s="2">
        <f>[4]HR!$Z222-Z65</f>
        <v>8465.2802936000007</v>
      </c>
    </row>
    <row r="66" spans="1:27" s="236" customFormat="1" ht="12.75" customHeight="1" x14ac:dyDescent="0.2">
      <c r="A66" s="16"/>
      <c r="B66" s="467">
        <v>0</v>
      </c>
      <c r="C66" s="16" t="s">
        <v>1561</v>
      </c>
      <c r="D66" s="232" t="s">
        <v>721</v>
      </c>
      <c r="E66" s="19" t="s">
        <v>739</v>
      </c>
      <c r="F66" s="16"/>
      <c r="G66" s="16" t="s">
        <v>211</v>
      </c>
      <c r="H66" s="341" t="s">
        <v>216</v>
      </c>
      <c r="I66" s="396" t="s">
        <v>19</v>
      </c>
      <c r="J66" s="19" t="s">
        <v>1011</v>
      </c>
      <c r="K66" s="339">
        <f>21.634625*3%</f>
        <v>0.64903875</v>
      </c>
      <c r="L66" s="339">
        <f>2080</f>
        <v>2080</v>
      </c>
      <c r="M66" s="339"/>
      <c r="N66" s="339">
        <f t="shared" si="7"/>
        <v>1350.0006000000001</v>
      </c>
      <c r="O66" s="339"/>
      <c r="P66" s="339"/>
      <c r="Q66" s="339">
        <f t="shared" si="8"/>
        <v>447.52519890000002</v>
      </c>
      <c r="R66" s="339">
        <f t="shared" si="13"/>
        <v>19.575008700000001</v>
      </c>
      <c r="S66" s="339"/>
      <c r="T66" s="339"/>
      <c r="U66" s="339"/>
      <c r="V66" s="339"/>
      <c r="W66" s="264">
        <f t="shared" si="9"/>
        <v>1817.1008076000001</v>
      </c>
      <c r="X66" s="339">
        <f t="shared" si="10"/>
        <v>0</v>
      </c>
      <c r="Y66" s="339"/>
      <c r="Z66" s="340">
        <f t="shared" si="11"/>
        <v>1817.1008076000001</v>
      </c>
      <c r="AA66" s="2">
        <f>[4]HR!$Z223-Z66</f>
        <v>-1125.9093195999999</v>
      </c>
    </row>
    <row r="67" spans="1:27" s="236" customFormat="1" ht="12.75" customHeight="1" x14ac:dyDescent="0.2">
      <c r="A67" s="16"/>
      <c r="B67" s="467">
        <v>0</v>
      </c>
      <c r="C67" s="16" t="s">
        <v>1561</v>
      </c>
      <c r="D67" s="232" t="s">
        <v>721</v>
      </c>
      <c r="E67" s="19" t="s">
        <v>739</v>
      </c>
      <c r="F67" s="16"/>
      <c r="G67" s="16" t="s">
        <v>211</v>
      </c>
      <c r="H67" s="341" t="s">
        <v>216</v>
      </c>
      <c r="I67" s="396" t="s">
        <v>19</v>
      </c>
      <c r="J67" s="19" t="s">
        <v>938</v>
      </c>
      <c r="K67" s="339">
        <f>21.634625*5%</f>
        <v>1.08173125</v>
      </c>
      <c r="L67" s="339">
        <f>2080</f>
        <v>2080</v>
      </c>
      <c r="M67" s="339"/>
      <c r="N67" s="339">
        <f t="shared" si="7"/>
        <v>2250.0010000000002</v>
      </c>
      <c r="O67" s="339"/>
      <c r="P67" s="339"/>
      <c r="Q67" s="339">
        <f t="shared" si="8"/>
        <v>745.87533150000013</v>
      </c>
      <c r="R67" s="339">
        <f t="shared" si="13"/>
        <v>32.625014500000006</v>
      </c>
      <c r="S67" s="339"/>
      <c r="T67" s="339"/>
      <c r="U67" s="339"/>
      <c r="V67" s="339"/>
      <c r="W67" s="264">
        <f t="shared" si="9"/>
        <v>3028.5013460000005</v>
      </c>
      <c r="X67" s="339">
        <f t="shared" si="10"/>
        <v>0</v>
      </c>
      <c r="Y67" s="339"/>
      <c r="Z67" s="340">
        <f t="shared" si="11"/>
        <v>3028.5013460000005</v>
      </c>
      <c r="AA67" s="2">
        <f>[4]HR!$Z224-Z67</f>
        <v>-1646.1183700000004</v>
      </c>
    </row>
    <row r="68" spans="1:27" s="236" customFormat="1" ht="12.75" customHeight="1" x14ac:dyDescent="0.2">
      <c r="A68" s="16"/>
      <c r="B68" s="467">
        <v>0</v>
      </c>
      <c r="C68" s="16" t="s">
        <v>1561</v>
      </c>
      <c r="D68" s="232" t="s">
        <v>721</v>
      </c>
      <c r="E68" s="19" t="s">
        <v>739</v>
      </c>
      <c r="F68" s="16"/>
      <c r="G68" s="16" t="s">
        <v>211</v>
      </c>
      <c r="H68" s="341" t="s">
        <v>216</v>
      </c>
      <c r="I68" s="396" t="s">
        <v>19</v>
      </c>
      <c r="J68" s="19" t="s">
        <v>932</v>
      </c>
      <c r="K68" s="339">
        <f>21.634625*2%</f>
        <v>0.43269249999999998</v>
      </c>
      <c r="L68" s="339">
        <f>2080</f>
        <v>2080</v>
      </c>
      <c r="M68" s="339"/>
      <c r="N68" s="339">
        <f t="shared" si="7"/>
        <v>900.00040000000001</v>
      </c>
      <c r="O68" s="339"/>
      <c r="P68" s="339"/>
      <c r="Q68" s="339">
        <f t="shared" si="8"/>
        <v>298.35013259999999</v>
      </c>
      <c r="R68" s="339">
        <f t="shared" si="13"/>
        <v>13.050005800000001</v>
      </c>
      <c r="S68" s="339"/>
      <c r="T68" s="339"/>
      <c r="U68" s="339"/>
      <c r="V68" s="339"/>
      <c r="W68" s="264">
        <f t="shared" si="9"/>
        <v>1211.4005384</v>
      </c>
      <c r="X68" s="339">
        <f t="shared" si="10"/>
        <v>0</v>
      </c>
      <c r="Y68" s="339"/>
      <c r="Z68" s="340">
        <f t="shared" si="11"/>
        <v>1211.4005384</v>
      </c>
      <c r="AA68" s="2">
        <f>[4]HR!$Z225-Z68</f>
        <v>-865.80479439999999</v>
      </c>
    </row>
    <row r="69" spans="1:27" s="236" customFormat="1" ht="12.75" customHeight="1" x14ac:dyDescent="0.2">
      <c r="A69" s="16"/>
      <c r="B69" s="467">
        <v>0</v>
      </c>
      <c r="C69" s="16" t="s">
        <v>1561</v>
      </c>
      <c r="D69" s="232" t="s">
        <v>721</v>
      </c>
      <c r="E69" s="19" t="s">
        <v>739</v>
      </c>
      <c r="F69" s="16"/>
      <c r="G69" s="16" t="s">
        <v>211</v>
      </c>
      <c r="H69" s="341" t="s">
        <v>216</v>
      </c>
      <c r="I69" s="396" t="s">
        <v>19</v>
      </c>
      <c r="J69" s="469" t="s">
        <v>940</v>
      </c>
      <c r="K69" s="339">
        <f>21.634625*5%</f>
        <v>1.08173125</v>
      </c>
      <c r="L69" s="339">
        <f>2080</f>
        <v>2080</v>
      </c>
      <c r="M69" s="339"/>
      <c r="N69" s="339">
        <f t="shared" si="7"/>
        <v>2250.0010000000002</v>
      </c>
      <c r="O69" s="339"/>
      <c r="P69" s="339"/>
      <c r="Q69" s="339">
        <f t="shared" si="8"/>
        <v>745.87533150000013</v>
      </c>
      <c r="R69" s="339">
        <f t="shared" si="13"/>
        <v>32.625014500000006</v>
      </c>
      <c r="S69" s="339"/>
      <c r="T69" s="339"/>
      <c r="U69" s="339"/>
      <c r="V69" s="339"/>
      <c r="W69" s="264">
        <f t="shared" si="9"/>
        <v>3028.5013460000005</v>
      </c>
      <c r="X69" s="339">
        <f t="shared" si="10"/>
        <v>0</v>
      </c>
      <c r="Y69" s="339"/>
      <c r="Z69" s="340">
        <f t="shared" si="11"/>
        <v>3028.5013460000005</v>
      </c>
      <c r="AA69" s="2">
        <f>[4]HR!$Z226-Z69</f>
        <v>-2855.7034740000004</v>
      </c>
    </row>
    <row r="70" spans="1:27" ht="12.75" customHeight="1" x14ac:dyDescent="0.2">
      <c r="A70" s="16"/>
      <c r="B70" s="467">
        <v>0</v>
      </c>
      <c r="C70" s="16" t="s">
        <v>1566</v>
      </c>
      <c r="D70" s="232" t="s">
        <v>721</v>
      </c>
      <c r="E70" s="19" t="s">
        <v>739</v>
      </c>
      <c r="F70" s="16"/>
      <c r="G70" s="16" t="s">
        <v>211</v>
      </c>
      <c r="H70" s="341" t="s">
        <v>216</v>
      </c>
      <c r="I70" s="396" t="s">
        <v>19</v>
      </c>
      <c r="J70" s="19" t="s">
        <v>1019</v>
      </c>
      <c r="K70" s="339">
        <f>23*100%</f>
        <v>23</v>
      </c>
      <c r="L70" s="339">
        <v>1250</v>
      </c>
      <c r="M70" s="339"/>
      <c r="N70" s="339">
        <f t="shared" si="7"/>
        <v>28750</v>
      </c>
      <c r="O70" s="339"/>
      <c r="P70" s="339"/>
      <c r="Q70" s="339">
        <v>0</v>
      </c>
      <c r="R70" s="339">
        <f t="shared" si="13"/>
        <v>416.875</v>
      </c>
      <c r="S70" s="339">
        <f>N70*0.062</f>
        <v>1782.5</v>
      </c>
      <c r="T70" s="339"/>
      <c r="U70" s="339"/>
      <c r="V70" s="339"/>
      <c r="W70" s="264">
        <f t="shared" si="9"/>
        <v>30949.375</v>
      </c>
      <c r="X70" s="339">
        <f t="shared" si="10"/>
        <v>0</v>
      </c>
      <c r="Y70" s="339"/>
      <c r="Z70" s="340">
        <f t="shared" si="11"/>
        <v>30949.375</v>
      </c>
      <c r="AA70" s="2">
        <f>[4]HR!$Z184-Z70</f>
        <v>-29912.587768000001</v>
      </c>
    </row>
    <row r="71" spans="1:27" s="236" customFormat="1" ht="12.75" customHeight="1" x14ac:dyDescent="0.2">
      <c r="A71" s="16"/>
      <c r="B71" s="103">
        <v>1</v>
      </c>
      <c r="C71" s="16" t="s">
        <v>561</v>
      </c>
      <c r="D71" s="232" t="s">
        <v>724</v>
      </c>
      <c r="E71" s="19" t="s">
        <v>1213</v>
      </c>
      <c r="F71" s="19"/>
      <c r="G71" s="16"/>
      <c r="H71" s="341" t="s">
        <v>216</v>
      </c>
      <c r="I71" s="396" t="s">
        <v>19</v>
      </c>
      <c r="J71" s="19" t="s">
        <v>930</v>
      </c>
      <c r="K71" s="464">
        <f>44*1%</f>
        <v>0.44</v>
      </c>
      <c r="L71" s="339">
        <v>2080</v>
      </c>
      <c r="M71" s="339"/>
      <c r="N71" s="339">
        <f t="shared" si="7"/>
        <v>915.2</v>
      </c>
      <c r="O71" s="339"/>
      <c r="P71" s="339"/>
      <c r="Q71" s="339">
        <f t="shared" ref="Q71:Q114" si="15">N71*0.3315</f>
        <v>303.3888</v>
      </c>
      <c r="R71" s="339">
        <f t="shared" ref="R71:R105" si="16">N71*0.0145</f>
        <v>13.270400000000002</v>
      </c>
      <c r="S71" s="339"/>
      <c r="T71" s="339">
        <v>9592.56</v>
      </c>
      <c r="U71" s="339">
        <v>983.52</v>
      </c>
      <c r="V71" s="339"/>
      <c r="W71" s="264">
        <f t="shared" si="9"/>
        <v>11807.939200000001</v>
      </c>
      <c r="X71" s="339">
        <f t="shared" si="10"/>
        <v>0</v>
      </c>
      <c r="Y71" s="339"/>
      <c r="Z71" s="340">
        <f t="shared" si="11"/>
        <v>11807.939200000001</v>
      </c>
      <c r="AA71" s="2">
        <f>44882.87-Z71</f>
        <v>33074.930800000002</v>
      </c>
    </row>
    <row r="72" spans="1:27" s="467" customFormat="1" ht="12.75" customHeight="1" x14ac:dyDescent="0.2">
      <c r="A72" s="16"/>
      <c r="B72" s="103">
        <v>0</v>
      </c>
      <c r="C72" s="16" t="s">
        <v>561</v>
      </c>
      <c r="D72" s="232" t="s">
        <v>724</v>
      </c>
      <c r="E72" s="19" t="s">
        <v>1213</v>
      </c>
      <c r="F72" s="19"/>
      <c r="G72" s="16"/>
      <c r="H72" s="341" t="s">
        <v>216</v>
      </c>
      <c r="I72" s="396" t="s">
        <v>19</v>
      </c>
      <c r="J72" s="19" t="s">
        <v>932</v>
      </c>
      <c r="K72" s="464">
        <f>44*2%</f>
        <v>0.88</v>
      </c>
      <c r="L72" s="339">
        <v>2080</v>
      </c>
      <c r="M72" s="339"/>
      <c r="N72" s="339">
        <f t="shared" si="7"/>
        <v>1830.4</v>
      </c>
      <c r="O72" s="339"/>
      <c r="P72" s="339"/>
      <c r="Q72" s="339">
        <f t="shared" si="15"/>
        <v>606.77760000000001</v>
      </c>
      <c r="R72" s="339">
        <f t="shared" si="16"/>
        <v>26.540800000000004</v>
      </c>
      <c r="S72" s="339"/>
      <c r="T72" s="339"/>
      <c r="U72" s="339"/>
      <c r="V72" s="339"/>
      <c r="W72" s="264">
        <f t="shared" si="9"/>
        <v>2463.7184000000002</v>
      </c>
      <c r="X72" s="339">
        <f t="shared" si="10"/>
        <v>0</v>
      </c>
      <c r="Y72" s="339"/>
      <c r="Z72" s="340">
        <f t="shared" si="11"/>
        <v>2463.7184000000002</v>
      </c>
      <c r="AA72" s="2">
        <f>3703.54-Z72</f>
        <v>1239.8215999999998</v>
      </c>
    </row>
    <row r="73" spans="1:27" s="236" customFormat="1" ht="12.75" customHeight="1" x14ac:dyDescent="0.2">
      <c r="A73" s="16"/>
      <c r="B73" s="103">
        <v>0</v>
      </c>
      <c r="C73" s="16" t="s">
        <v>561</v>
      </c>
      <c r="D73" s="232" t="s">
        <v>724</v>
      </c>
      <c r="E73" s="19" t="s">
        <v>1213</v>
      </c>
      <c r="F73" s="19"/>
      <c r="G73" s="16"/>
      <c r="H73" s="341" t="s">
        <v>216</v>
      </c>
      <c r="I73" s="396" t="s">
        <v>19</v>
      </c>
      <c r="J73" s="19" t="s">
        <v>934</v>
      </c>
      <c r="K73" s="464">
        <f>44*5%</f>
        <v>2.2000000000000002</v>
      </c>
      <c r="L73" s="339">
        <v>2080</v>
      </c>
      <c r="M73" s="339"/>
      <c r="N73" s="339">
        <f t="shared" si="7"/>
        <v>4576</v>
      </c>
      <c r="O73" s="339"/>
      <c r="P73" s="339"/>
      <c r="Q73" s="339">
        <f t="shared" si="15"/>
        <v>1516.9440000000002</v>
      </c>
      <c r="R73" s="339">
        <f t="shared" si="16"/>
        <v>66.352000000000004</v>
      </c>
      <c r="S73" s="339"/>
      <c r="T73" s="339"/>
      <c r="U73" s="339"/>
      <c r="V73" s="339"/>
      <c r="W73" s="264">
        <f t="shared" si="9"/>
        <v>6159.2960000000003</v>
      </c>
      <c r="X73" s="339">
        <f t="shared" si="10"/>
        <v>0</v>
      </c>
      <c r="Y73" s="339"/>
      <c r="Z73" s="340">
        <f t="shared" si="11"/>
        <v>6159.2960000000003</v>
      </c>
      <c r="AA73" s="2">
        <f>6172.57-Z73</f>
        <v>13.273999999999432</v>
      </c>
    </row>
    <row r="74" spans="1:27" s="236" customFormat="1" ht="12.75" customHeight="1" x14ac:dyDescent="0.2">
      <c r="A74" s="16"/>
      <c r="B74" s="103">
        <v>0</v>
      </c>
      <c r="C74" s="16" t="s">
        <v>561</v>
      </c>
      <c r="D74" s="232" t="s">
        <v>724</v>
      </c>
      <c r="E74" s="19" t="s">
        <v>1213</v>
      </c>
      <c r="F74" s="19"/>
      <c r="G74" s="16"/>
      <c r="H74" s="341" t="s">
        <v>216</v>
      </c>
      <c r="I74" s="396" t="s">
        <v>19</v>
      </c>
      <c r="J74" s="19" t="s">
        <v>936</v>
      </c>
      <c r="K74" s="464">
        <f>44*5%</f>
        <v>2.2000000000000002</v>
      </c>
      <c r="L74" s="339">
        <v>2080</v>
      </c>
      <c r="M74" s="339"/>
      <c r="N74" s="339">
        <f t="shared" si="7"/>
        <v>4576</v>
      </c>
      <c r="O74" s="339"/>
      <c r="P74" s="339"/>
      <c r="Q74" s="339">
        <f t="shared" si="15"/>
        <v>1516.9440000000002</v>
      </c>
      <c r="R74" s="339">
        <f t="shared" si="16"/>
        <v>66.352000000000004</v>
      </c>
      <c r="S74" s="339"/>
      <c r="T74" s="339"/>
      <c r="U74" s="339"/>
      <c r="V74" s="339"/>
      <c r="W74" s="264">
        <f t="shared" si="9"/>
        <v>6159.2960000000003</v>
      </c>
      <c r="X74" s="339">
        <f t="shared" si="10"/>
        <v>0</v>
      </c>
      <c r="Y74" s="339"/>
      <c r="Z74" s="340">
        <f t="shared" si="11"/>
        <v>6159.2960000000003</v>
      </c>
      <c r="AA74" s="2">
        <f>1851.77-Z74</f>
        <v>-4307.5259999999998</v>
      </c>
    </row>
    <row r="75" spans="1:27" s="236" customFormat="1" ht="12.75" customHeight="1" x14ac:dyDescent="0.2">
      <c r="A75" s="16"/>
      <c r="B75" s="103">
        <v>0</v>
      </c>
      <c r="C75" s="16" t="s">
        <v>561</v>
      </c>
      <c r="D75" s="232" t="s">
        <v>724</v>
      </c>
      <c r="E75" s="19" t="s">
        <v>1213</v>
      </c>
      <c r="F75" s="19"/>
      <c r="G75" s="16"/>
      <c r="H75" s="341" t="s">
        <v>216</v>
      </c>
      <c r="I75" s="396" t="s">
        <v>19</v>
      </c>
      <c r="J75" s="396" t="s">
        <v>940</v>
      </c>
      <c r="K75" s="464">
        <f>44*5%</f>
        <v>2.2000000000000002</v>
      </c>
      <c r="L75" s="339">
        <v>2080</v>
      </c>
      <c r="M75" s="339"/>
      <c r="N75" s="339">
        <f t="shared" si="7"/>
        <v>4576</v>
      </c>
      <c r="O75" s="339"/>
      <c r="P75" s="339"/>
      <c r="Q75" s="339">
        <f t="shared" si="15"/>
        <v>1516.9440000000002</v>
      </c>
      <c r="R75" s="339">
        <f t="shared" si="16"/>
        <v>66.352000000000004</v>
      </c>
      <c r="S75" s="339"/>
      <c r="T75" s="339"/>
      <c r="U75" s="339"/>
      <c r="V75" s="339"/>
      <c r="W75" s="264">
        <f t="shared" si="9"/>
        <v>6159.2960000000003</v>
      </c>
      <c r="X75" s="339">
        <f t="shared" si="10"/>
        <v>0</v>
      </c>
      <c r="Y75" s="339"/>
      <c r="Z75" s="340">
        <f t="shared" si="11"/>
        <v>6159.2960000000003</v>
      </c>
      <c r="AA75" s="2">
        <f>1234.54-Z75</f>
        <v>-4924.7560000000003</v>
      </c>
    </row>
    <row r="76" spans="1:27" s="236" customFormat="1" ht="12.75" customHeight="1" x14ac:dyDescent="0.2">
      <c r="A76" s="16"/>
      <c r="B76" s="103">
        <v>0</v>
      </c>
      <c r="C76" s="16" t="s">
        <v>561</v>
      </c>
      <c r="D76" s="232" t="s">
        <v>724</v>
      </c>
      <c r="E76" s="19" t="s">
        <v>1213</v>
      </c>
      <c r="F76" s="19"/>
      <c r="G76" s="16"/>
      <c r="H76" s="341" t="s">
        <v>216</v>
      </c>
      <c r="I76" s="396" t="s">
        <v>19</v>
      </c>
      <c r="J76" s="396" t="s">
        <v>938</v>
      </c>
      <c r="K76" s="464">
        <f>44*5%</f>
        <v>2.2000000000000002</v>
      </c>
      <c r="L76" s="339">
        <v>2080</v>
      </c>
      <c r="M76" s="339"/>
      <c r="N76" s="339">
        <f t="shared" si="7"/>
        <v>4576</v>
      </c>
      <c r="O76" s="339"/>
      <c r="P76" s="339"/>
      <c r="Q76" s="339">
        <f t="shared" si="15"/>
        <v>1516.9440000000002</v>
      </c>
      <c r="R76" s="339">
        <f t="shared" si="16"/>
        <v>66.352000000000004</v>
      </c>
      <c r="S76" s="339"/>
      <c r="T76" s="339"/>
      <c r="U76" s="339"/>
      <c r="V76" s="339"/>
      <c r="W76" s="264">
        <f t="shared" si="9"/>
        <v>6159.2960000000003</v>
      </c>
      <c r="X76" s="339">
        <f t="shared" si="10"/>
        <v>0</v>
      </c>
      <c r="Y76" s="339"/>
      <c r="Z76" s="340">
        <f t="shared" si="11"/>
        <v>6159.2960000000003</v>
      </c>
      <c r="AA76" s="2"/>
    </row>
    <row r="77" spans="1:27" s="236" customFormat="1" ht="12.75" customHeight="1" x14ac:dyDescent="0.2">
      <c r="A77" s="16"/>
      <c r="B77" s="103">
        <v>0</v>
      </c>
      <c r="C77" s="16" t="s">
        <v>561</v>
      </c>
      <c r="D77" s="232" t="s">
        <v>724</v>
      </c>
      <c r="E77" s="19" t="s">
        <v>1213</v>
      </c>
      <c r="F77" s="19"/>
      <c r="G77" s="16"/>
      <c r="H77" s="341" t="s">
        <v>216</v>
      </c>
      <c r="I77" s="396" t="s">
        <v>19</v>
      </c>
      <c r="J77" s="396" t="s">
        <v>938</v>
      </c>
      <c r="K77" s="464">
        <f>44*3%</f>
        <v>1.3199999999999998</v>
      </c>
      <c r="L77" s="339">
        <v>2080</v>
      </c>
      <c r="M77" s="339"/>
      <c r="N77" s="339">
        <f t="shared" si="7"/>
        <v>2745.5999999999995</v>
      </c>
      <c r="O77" s="339"/>
      <c r="P77" s="339"/>
      <c r="Q77" s="339">
        <f t="shared" si="15"/>
        <v>910.16639999999984</v>
      </c>
      <c r="R77" s="339">
        <f t="shared" si="16"/>
        <v>39.811199999999992</v>
      </c>
      <c r="S77" s="339"/>
      <c r="T77" s="339"/>
      <c r="U77" s="339"/>
      <c r="V77" s="339"/>
      <c r="W77" s="264">
        <f t="shared" si="9"/>
        <v>3695.5775999999996</v>
      </c>
      <c r="X77" s="339">
        <f t="shared" si="10"/>
        <v>0</v>
      </c>
      <c r="Y77" s="339"/>
      <c r="Z77" s="340">
        <f t="shared" si="11"/>
        <v>3695.5775999999996</v>
      </c>
      <c r="AA77" s="2"/>
    </row>
    <row r="78" spans="1:27" ht="12.75" customHeight="1" x14ac:dyDescent="0.2">
      <c r="A78" s="16"/>
      <c r="B78" s="103">
        <v>0</v>
      </c>
      <c r="C78" s="16" t="s">
        <v>561</v>
      </c>
      <c r="D78" s="232" t="s">
        <v>724</v>
      </c>
      <c r="E78" s="19" t="s">
        <v>1213</v>
      </c>
      <c r="F78" s="19"/>
      <c r="G78" s="16"/>
      <c r="H78" s="341" t="s">
        <v>216</v>
      </c>
      <c r="I78" s="396" t="s">
        <v>19</v>
      </c>
      <c r="J78" s="19" t="s">
        <v>942</v>
      </c>
      <c r="K78" s="464">
        <f>44*5%</f>
        <v>2.2000000000000002</v>
      </c>
      <c r="L78" s="339">
        <v>2080</v>
      </c>
      <c r="M78" s="339"/>
      <c r="N78" s="339">
        <f t="shared" si="7"/>
        <v>4576</v>
      </c>
      <c r="O78" s="339"/>
      <c r="P78" s="339"/>
      <c r="Q78" s="339">
        <f t="shared" si="15"/>
        <v>1516.9440000000002</v>
      </c>
      <c r="R78" s="339">
        <f t="shared" si="16"/>
        <v>66.352000000000004</v>
      </c>
      <c r="S78" s="339"/>
      <c r="T78" s="339"/>
      <c r="U78" s="339"/>
      <c r="V78" s="339"/>
      <c r="W78" s="264">
        <f t="shared" si="9"/>
        <v>6159.2960000000003</v>
      </c>
      <c r="X78" s="339">
        <f t="shared" si="10"/>
        <v>0</v>
      </c>
      <c r="Y78" s="339"/>
      <c r="Z78" s="340">
        <f t="shared" si="11"/>
        <v>6159.2960000000003</v>
      </c>
      <c r="AA78" s="2">
        <f>2160.4-Z78</f>
        <v>-3998.8960000000002</v>
      </c>
    </row>
    <row r="79" spans="1:27" ht="12.75" customHeight="1" x14ac:dyDescent="0.2">
      <c r="A79" s="16"/>
      <c r="B79" s="103">
        <v>0</v>
      </c>
      <c r="C79" s="16" t="s">
        <v>561</v>
      </c>
      <c r="D79" s="232" t="s">
        <v>724</v>
      </c>
      <c r="E79" s="19" t="s">
        <v>1213</v>
      </c>
      <c r="F79" s="19"/>
      <c r="G79" s="16"/>
      <c r="H79" s="341" t="s">
        <v>216</v>
      </c>
      <c r="I79" s="396" t="s">
        <v>19</v>
      </c>
      <c r="J79" s="19" t="s">
        <v>98</v>
      </c>
      <c r="K79" s="464">
        <f>44*5%</f>
        <v>2.2000000000000002</v>
      </c>
      <c r="L79" s="339">
        <v>2080</v>
      </c>
      <c r="M79" s="339"/>
      <c r="N79" s="339">
        <f t="shared" si="7"/>
        <v>4576</v>
      </c>
      <c r="O79" s="339"/>
      <c r="P79" s="339"/>
      <c r="Q79" s="339">
        <f t="shared" si="15"/>
        <v>1516.9440000000002</v>
      </c>
      <c r="R79" s="339">
        <f t="shared" si="16"/>
        <v>66.352000000000004</v>
      </c>
      <c r="S79" s="339"/>
      <c r="T79" s="339"/>
      <c r="U79" s="339"/>
      <c r="V79" s="339"/>
      <c r="W79" s="264">
        <f t="shared" si="9"/>
        <v>6159.2960000000003</v>
      </c>
      <c r="X79" s="339">
        <f t="shared" si="10"/>
        <v>0</v>
      </c>
      <c r="Y79" s="339"/>
      <c r="Z79" s="340">
        <f t="shared" si="11"/>
        <v>6159.2960000000003</v>
      </c>
      <c r="AA79" s="2">
        <f>3394.91-Z79</f>
        <v>-2764.3860000000004</v>
      </c>
    </row>
    <row r="80" spans="1:27" s="236" customFormat="1" ht="12.75" customHeight="1" x14ac:dyDescent="0.2">
      <c r="A80" s="16"/>
      <c r="B80" s="103">
        <v>0</v>
      </c>
      <c r="C80" s="16" t="s">
        <v>561</v>
      </c>
      <c r="D80" s="232" t="s">
        <v>724</v>
      </c>
      <c r="E80" s="19" t="s">
        <v>1213</v>
      </c>
      <c r="F80" s="19"/>
      <c r="G80" s="16"/>
      <c r="H80" s="341" t="s">
        <v>216</v>
      </c>
      <c r="I80" s="396" t="s">
        <v>19</v>
      </c>
      <c r="J80" s="19" t="s">
        <v>950</v>
      </c>
      <c r="K80" s="464">
        <f>44*3%</f>
        <v>1.3199999999999998</v>
      </c>
      <c r="L80" s="339">
        <v>2080</v>
      </c>
      <c r="M80" s="339"/>
      <c r="N80" s="339">
        <f t="shared" si="7"/>
        <v>2745.5999999999995</v>
      </c>
      <c r="O80" s="339"/>
      <c r="P80" s="339"/>
      <c r="Q80" s="339">
        <f t="shared" si="15"/>
        <v>910.16639999999984</v>
      </c>
      <c r="R80" s="339">
        <f t="shared" si="16"/>
        <v>39.811199999999992</v>
      </c>
      <c r="S80" s="339"/>
      <c r="T80" s="339"/>
      <c r="U80" s="339"/>
      <c r="V80" s="339"/>
      <c r="W80" s="264">
        <f t="shared" si="9"/>
        <v>3695.5775999999996</v>
      </c>
      <c r="X80" s="339">
        <f t="shared" si="10"/>
        <v>0</v>
      </c>
      <c r="Y80" s="339"/>
      <c r="Z80" s="340">
        <f t="shared" si="11"/>
        <v>3695.5775999999996</v>
      </c>
      <c r="AA80" s="2">
        <f>1543.14-Z80</f>
        <v>-2152.4375999999993</v>
      </c>
    </row>
    <row r="81" spans="1:27" s="236" customFormat="1" ht="12.75" customHeight="1" x14ac:dyDescent="0.2">
      <c r="A81" s="16"/>
      <c r="B81" s="103">
        <v>0</v>
      </c>
      <c r="C81" s="16" t="s">
        <v>561</v>
      </c>
      <c r="D81" s="232" t="s">
        <v>724</v>
      </c>
      <c r="E81" s="19" t="s">
        <v>1213</v>
      </c>
      <c r="F81" s="19"/>
      <c r="G81" s="16"/>
      <c r="H81" s="341" t="s">
        <v>216</v>
      </c>
      <c r="I81" s="396" t="s">
        <v>19</v>
      </c>
      <c r="J81" s="396" t="s">
        <v>951</v>
      </c>
      <c r="K81" s="464">
        <f>44*3%</f>
        <v>1.3199999999999998</v>
      </c>
      <c r="L81" s="339">
        <v>2080</v>
      </c>
      <c r="M81" s="339"/>
      <c r="N81" s="339">
        <f t="shared" si="7"/>
        <v>2745.5999999999995</v>
      </c>
      <c r="O81" s="339"/>
      <c r="P81" s="339"/>
      <c r="Q81" s="339">
        <f t="shared" si="15"/>
        <v>910.16639999999984</v>
      </c>
      <c r="R81" s="339">
        <f t="shared" si="16"/>
        <v>39.811199999999992</v>
      </c>
      <c r="S81" s="339"/>
      <c r="T81" s="339"/>
      <c r="U81" s="339"/>
      <c r="V81" s="339"/>
      <c r="W81" s="264">
        <f t="shared" si="9"/>
        <v>3695.5775999999996</v>
      </c>
      <c r="X81" s="339">
        <f t="shared" si="10"/>
        <v>0</v>
      </c>
      <c r="Y81" s="339"/>
      <c r="Z81" s="340">
        <f t="shared" si="11"/>
        <v>3695.5775999999996</v>
      </c>
      <c r="AA81" s="2">
        <f>4938.05-Z81</f>
        <v>1242.4724000000006</v>
      </c>
    </row>
    <row r="82" spans="1:27" s="236" customFormat="1" ht="12.75" customHeight="1" x14ac:dyDescent="0.2">
      <c r="A82" s="16"/>
      <c r="B82" s="103">
        <v>0</v>
      </c>
      <c r="C82" s="16" t="s">
        <v>561</v>
      </c>
      <c r="D82" s="232" t="s">
        <v>724</v>
      </c>
      <c r="E82" s="19" t="s">
        <v>1213</v>
      </c>
      <c r="F82" s="19"/>
      <c r="G82" s="16"/>
      <c r="H82" s="341" t="s">
        <v>216</v>
      </c>
      <c r="I82" s="396" t="s">
        <v>19</v>
      </c>
      <c r="J82" s="19" t="s">
        <v>952</v>
      </c>
      <c r="K82" s="464">
        <f>44*2%</f>
        <v>0.88</v>
      </c>
      <c r="L82" s="339">
        <v>2080</v>
      </c>
      <c r="M82" s="339"/>
      <c r="N82" s="339">
        <f t="shared" si="7"/>
        <v>1830.4</v>
      </c>
      <c r="O82" s="339"/>
      <c r="P82" s="339"/>
      <c r="Q82" s="339">
        <f t="shared" si="15"/>
        <v>606.77760000000001</v>
      </c>
      <c r="R82" s="339">
        <f t="shared" si="16"/>
        <v>26.540800000000004</v>
      </c>
      <c r="S82" s="339"/>
      <c r="T82" s="339"/>
      <c r="U82" s="339"/>
      <c r="V82" s="339"/>
      <c r="W82" s="264">
        <f t="shared" si="9"/>
        <v>2463.7184000000002</v>
      </c>
      <c r="X82" s="339">
        <f t="shared" si="10"/>
        <v>0</v>
      </c>
      <c r="Y82" s="339"/>
      <c r="Z82" s="340">
        <f t="shared" si="11"/>
        <v>2463.7184000000002</v>
      </c>
      <c r="AA82" s="2">
        <f>6172.57-Z82</f>
        <v>3708.8515999999995</v>
      </c>
    </row>
    <row r="83" spans="1:27" ht="12.75" customHeight="1" x14ac:dyDescent="0.2">
      <c r="A83" s="16"/>
      <c r="B83" s="103">
        <v>0</v>
      </c>
      <c r="C83" s="16" t="s">
        <v>561</v>
      </c>
      <c r="D83" s="232" t="s">
        <v>724</v>
      </c>
      <c r="E83" s="19" t="s">
        <v>1213</v>
      </c>
      <c r="F83" s="19"/>
      <c r="G83" s="16"/>
      <c r="H83" s="341" t="s">
        <v>216</v>
      </c>
      <c r="I83" s="396" t="s">
        <v>19</v>
      </c>
      <c r="J83" s="396" t="s">
        <v>924</v>
      </c>
      <c r="K83" s="464">
        <f>44*2%</f>
        <v>0.88</v>
      </c>
      <c r="L83" s="339">
        <v>2080</v>
      </c>
      <c r="M83" s="339"/>
      <c r="N83" s="339">
        <f t="shared" si="7"/>
        <v>1830.4</v>
      </c>
      <c r="O83" s="339"/>
      <c r="P83" s="339"/>
      <c r="Q83" s="339">
        <f t="shared" si="15"/>
        <v>606.77760000000001</v>
      </c>
      <c r="R83" s="339">
        <f t="shared" si="16"/>
        <v>26.540800000000004</v>
      </c>
      <c r="S83" s="339"/>
      <c r="T83" s="339"/>
      <c r="U83" s="339"/>
      <c r="V83" s="339"/>
      <c r="W83" s="264">
        <f t="shared" si="9"/>
        <v>2463.7184000000002</v>
      </c>
      <c r="X83" s="339">
        <f t="shared" si="10"/>
        <v>0</v>
      </c>
      <c r="Y83" s="339"/>
      <c r="Z83" s="340">
        <f t="shared" si="11"/>
        <v>2463.7184000000002</v>
      </c>
      <c r="AA83" s="2">
        <f>4938.05-Z83</f>
        <v>2474.3316</v>
      </c>
    </row>
    <row r="84" spans="1:27" ht="12.75" customHeight="1" x14ac:dyDescent="0.2">
      <c r="A84" s="16"/>
      <c r="B84" s="103">
        <v>0</v>
      </c>
      <c r="C84" s="16" t="s">
        <v>561</v>
      </c>
      <c r="D84" s="232" t="s">
        <v>724</v>
      </c>
      <c r="E84" s="19" t="s">
        <v>1213</v>
      </c>
      <c r="F84" s="19"/>
      <c r="G84" s="16"/>
      <c r="H84" s="341" t="s">
        <v>216</v>
      </c>
      <c r="I84" s="396" t="s">
        <v>19</v>
      </c>
      <c r="J84" s="396" t="s">
        <v>119</v>
      </c>
      <c r="K84" s="464">
        <f>44*1%</f>
        <v>0.44</v>
      </c>
      <c r="L84" s="339">
        <v>2080</v>
      </c>
      <c r="M84" s="339"/>
      <c r="N84" s="339">
        <f t="shared" si="7"/>
        <v>915.2</v>
      </c>
      <c r="O84" s="339"/>
      <c r="P84" s="339"/>
      <c r="Q84" s="339">
        <f t="shared" si="15"/>
        <v>303.3888</v>
      </c>
      <c r="R84" s="339">
        <f t="shared" si="16"/>
        <v>13.270400000000002</v>
      </c>
      <c r="S84" s="339"/>
      <c r="T84" s="339"/>
      <c r="U84" s="339"/>
      <c r="V84" s="339"/>
      <c r="W84" s="264">
        <f t="shared" si="9"/>
        <v>1231.8592000000001</v>
      </c>
      <c r="X84" s="339">
        <f t="shared" si="10"/>
        <v>0</v>
      </c>
      <c r="Y84" s="339"/>
      <c r="Z84" s="340">
        <f t="shared" si="11"/>
        <v>1231.8592000000001</v>
      </c>
      <c r="AA84" s="2">
        <f>2469.03-Z84</f>
        <v>1237.1708000000001</v>
      </c>
    </row>
    <row r="85" spans="1:27" ht="12.75" customHeight="1" x14ac:dyDescent="0.2">
      <c r="A85" s="16"/>
      <c r="B85" s="103">
        <v>0</v>
      </c>
      <c r="C85" s="16" t="s">
        <v>561</v>
      </c>
      <c r="D85" s="232" t="s">
        <v>724</v>
      </c>
      <c r="E85" s="19" t="s">
        <v>1213</v>
      </c>
      <c r="F85" s="19"/>
      <c r="G85" s="16"/>
      <c r="H85" s="341" t="s">
        <v>216</v>
      </c>
      <c r="I85" s="396" t="s">
        <v>19</v>
      </c>
      <c r="J85" s="19" t="s">
        <v>972</v>
      </c>
      <c r="K85" s="464">
        <f>44*2%</f>
        <v>0.88</v>
      </c>
      <c r="L85" s="339">
        <v>2080</v>
      </c>
      <c r="M85" s="339"/>
      <c r="N85" s="339">
        <f t="shared" si="7"/>
        <v>1830.4</v>
      </c>
      <c r="O85" s="339"/>
      <c r="P85" s="339"/>
      <c r="Q85" s="339">
        <f t="shared" si="15"/>
        <v>606.77760000000001</v>
      </c>
      <c r="R85" s="339">
        <f t="shared" si="16"/>
        <v>26.540800000000004</v>
      </c>
      <c r="S85" s="339"/>
      <c r="T85" s="339"/>
      <c r="U85" s="339"/>
      <c r="V85" s="339"/>
      <c r="W85" s="264">
        <f t="shared" si="9"/>
        <v>2463.7184000000002</v>
      </c>
      <c r="X85" s="339">
        <f t="shared" si="10"/>
        <v>0</v>
      </c>
      <c r="Y85" s="339"/>
      <c r="Z85" s="340">
        <f t="shared" si="11"/>
        <v>2463.7184000000002</v>
      </c>
      <c r="AA85" s="2">
        <f>3394.91-Z85</f>
        <v>931.19159999999965</v>
      </c>
    </row>
    <row r="86" spans="1:27" ht="12.75" customHeight="1" x14ac:dyDescent="0.2">
      <c r="A86" s="16"/>
      <c r="B86" s="103">
        <v>0</v>
      </c>
      <c r="C86" s="16" t="s">
        <v>561</v>
      </c>
      <c r="D86" s="232" t="s">
        <v>724</v>
      </c>
      <c r="E86" s="19" t="s">
        <v>1213</v>
      </c>
      <c r="F86" s="19"/>
      <c r="G86" s="16"/>
      <c r="H86" s="341" t="s">
        <v>216</v>
      </c>
      <c r="I86" s="396" t="s">
        <v>19</v>
      </c>
      <c r="J86" s="19" t="s">
        <v>120</v>
      </c>
      <c r="K86" s="464">
        <f>44*5%</f>
        <v>2.2000000000000002</v>
      </c>
      <c r="L86" s="339">
        <v>2080</v>
      </c>
      <c r="M86" s="339"/>
      <c r="N86" s="339">
        <f t="shared" si="7"/>
        <v>4576</v>
      </c>
      <c r="O86" s="339"/>
      <c r="P86" s="339"/>
      <c r="Q86" s="339">
        <f t="shared" si="15"/>
        <v>1516.9440000000002</v>
      </c>
      <c r="R86" s="339">
        <f t="shared" si="16"/>
        <v>66.352000000000004</v>
      </c>
      <c r="S86" s="339"/>
      <c r="T86" s="339"/>
      <c r="U86" s="339"/>
      <c r="V86" s="339"/>
      <c r="W86" s="264">
        <f t="shared" si="9"/>
        <v>6159.2960000000003</v>
      </c>
      <c r="X86" s="339">
        <f t="shared" si="10"/>
        <v>0</v>
      </c>
      <c r="Y86" s="339"/>
      <c r="Z86" s="340">
        <f t="shared" si="11"/>
        <v>6159.2960000000003</v>
      </c>
      <c r="AA86" s="2">
        <f>1543.14-Z86</f>
        <v>-4616.1559999999999</v>
      </c>
    </row>
    <row r="87" spans="1:27" ht="12.75" customHeight="1" x14ac:dyDescent="0.2">
      <c r="A87" s="16"/>
      <c r="B87" s="103">
        <v>0</v>
      </c>
      <c r="C87" s="16" t="s">
        <v>561</v>
      </c>
      <c r="D87" s="232" t="s">
        <v>724</v>
      </c>
      <c r="E87" s="19" t="s">
        <v>1213</v>
      </c>
      <c r="F87" s="19"/>
      <c r="G87" s="16"/>
      <c r="H87" s="341" t="s">
        <v>216</v>
      </c>
      <c r="I87" s="396" t="s">
        <v>19</v>
      </c>
      <c r="J87" s="19" t="s">
        <v>976</v>
      </c>
      <c r="K87" s="464">
        <f>44*2%</f>
        <v>0.88</v>
      </c>
      <c r="L87" s="339">
        <v>2080</v>
      </c>
      <c r="M87" s="339"/>
      <c r="N87" s="339">
        <f t="shared" si="7"/>
        <v>1830.4</v>
      </c>
      <c r="O87" s="339"/>
      <c r="P87" s="339"/>
      <c r="Q87" s="339">
        <f t="shared" si="15"/>
        <v>606.77760000000001</v>
      </c>
      <c r="R87" s="339">
        <f t="shared" si="16"/>
        <v>26.540800000000004</v>
      </c>
      <c r="S87" s="339"/>
      <c r="T87" s="339"/>
      <c r="U87" s="339"/>
      <c r="V87" s="339"/>
      <c r="W87" s="264">
        <f t="shared" si="9"/>
        <v>2463.7184000000002</v>
      </c>
      <c r="X87" s="339">
        <f t="shared" si="10"/>
        <v>0</v>
      </c>
      <c r="Y87" s="339"/>
      <c r="Z87" s="340">
        <f t="shared" si="11"/>
        <v>2463.7184000000002</v>
      </c>
      <c r="AA87" s="2">
        <f>4938.05-Z87</f>
        <v>2474.3316</v>
      </c>
    </row>
    <row r="88" spans="1:27" s="236" customFormat="1" ht="12.75" customHeight="1" x14ac:dyDescent="0.2">
      <c r="A88" s="16"/>
      <c r="B88" s="103">
        <v>0</v>
      </c>
      <c r="C88" s="16" t="s">
        <v>561</v>
      </c>
      <c r="D88" s="232" t="s">
        <v>724</v>
      </c>
      <c r="E88" s="19" t="s">
        <v>1213</v>
      </c>
      <c r="F88" s="19"/>
      <c r="G88" s="16"/>
      <c r="H88" s="341" t="s">
        <v>216</v>
      </c>
      <c r="I88" s="396" t="s">
        <v>19</v>
      </c>
      <c r="J88" s="19" t="s">
        <v>977</v>
      </c>
      <c r="K88" s="464">
        <f>44*2%</f>
        <v>0.88</v>
      </c>
      <c r="L88" s="339">
        <v>2080</v>
      </c>
      <c r="M88" s="339"/>
      <c r="N88" s="339">
        <f t="shared" si="7"/>
        <v>1830.4</v>
      </c>
      <c r="O88" s="339"/>
      <c r="P88" s="339"/>
      <c r="Q88" s="339">
        <f t="shared" si="15"/>
        <v>606.77760000000001</v>
      </c>
      <c r="R88" s="339">
        <f t="shared" si="16"/>
        <v>26.540800000000004</v>
      </c>
      <c r="S88" s="339"/>
      <c r="T88" s="339"/>
      <c r="U88" s="339"/>
      <c r="V88" s="339"/>
      <c r="W88" s="264">
        <f t="shared" si="9"/>
        <v>2463.7184000000002</v>
      </c>
      <c r="X88" s="339">
        <f t="shared" si="10"/>
        <v>0</v>
      </c>
      <c r="Y88" s="339"/>
      <c r="Z88" s="340">
        <f t="shared" si="11"/>
        <v>2463.7184000000002</v>
      </c>
      <c r="AA88" s="2">
        <f>6172.57-Z88</f>
        <v>3708.8515999999995</v>
      </c>
    </row>
    <row r="89" spans="1:27" s="236" customFormat="1" ht="12.75" customHeight="1" x14ac:dyDescent="0.2">
      <c r="A89" s="16"/>
      <c r="B89" s="103">
        <v>0</v>
      </c>
      <c r="C89" s="16" t="s">
        <v>561</v>
      </c>
      <c r="D89" s="232" t="s">
        <v>724</v>
      </c>
      <c r="E89" s="19" t="s">
        <v>1213</v>
      </c>
      <c r="F89" s="19"/>
      <c r="G89" s="16"/>
      <c r="H89" s="341" t="s">
        <v>216</v>
      </c>
      <c r="I89" s="396" t="s">
        <v>19</v>
      </c>
      <c r="J89" s="19" t="s">
        <v>978</v>
      </c>
      <c r="K89" s="464">
        <f>44*5%</f>
        <v>2.2000000000000002</v>
      </c>
      <c r="L89" s="339">
        <v>2080</v>
      </c>
      <c r="M89" s="339"/>
      <c r="N89" s="339">
        <f t="shared" si="7"/>
        <v>4576</v>
      </c>
      <c r="O89" s="339"/>
      <c r="P89" s="339"/>
      <c r="Q89" s="339">
        <f t="shared" si="15"/>
        <v>1516.9440000000002</v>
      </c>
      <c r="R89" s="339">
        <f t="shared" si="16"/>
        <v>66.352000000000004</v>
      </c>
      <c r="S89" s="339"/>
      <c r="T89" s="339"/>
      <c r="U89" s="339"/>
      <c r="V89" s="339"/>
      <c r="W89" s="264">
        <f t="shared" si="9"/>
        <v>6159.2960000000003</v>
      </c>
      <c r="X89" s="339">
        <f t="shared" si="10"/>
        <v>0</v>
      </c>
      <c r="Y89" s="339"/>
      <c r="Z89" s="340">
        <f t="shared" si="11"/>
        <v>6159.2960000000003</v>
      </c>
      <c r="AA89" s="2">
        <f>4012.17-Z89</f>
        <v>-2147.1260000000002</v>
      </c>
    </row>
    <row r="90" spans="1:27" ht="12.75" customHeight="1" x14ac:dyDescent="0.2">
      <c r="A90" s="16"/>
      <c r="B90" s="103">
        <v>0</v>
      </c>
      <c r="C90" s="16" t="s">
        <v>561</v>
      </c>
      <c r="D90" s="232" t="s">
        <v>724</v>
      </c>
      <c r="E90" s="19" t="s">
        <v>1213</v>
      </c>
      <c r="F90" s="19"/>
      <c r="G90" s="16"/>
      <c r="H90" s="341" t="s">
        <v>216</v>
      </c>
      <c r="I90" s="396" t="s">
        <v>19</v>
      </c>
      <c r="J90" s="19" t="s">
        <v>1052</v>
      </c>
      <c r="K90" s="464">
        <f>44*2%</f>
        <v>0.88</v>
      </c>
      <c r="L90" s="339">
        <v>2080</v>
      </c>
      <c r="M90" s="339"/>
      <c r="N90" s="339">
        <f t="shared" si="7"/>
        <v>1830.4</v>
      </c>
      <c r="O90" s="339"/>
      <c r="P90" s="339"/>
      <c r="Q90" s="339">
        <f t="shared" si="15"/>
        <v>606.77760000000001</v>
      </c>
      <c r="R90" s="339">
        <f t="shared" si="16"/>
        <v>26.540800000000004</v>
      </c>
      <c r="S90" s="339"/>
      <c r="T90" s="339"/>
      <c r="U90" s="339"/>
      <c r="V90" s="339"/>
      <c r="W90" s="264">
        <f t="shared" si="9"/>
        <v>2463.7184000000002</v>
      </c>
      <c r="X90" s="339">
        <f t="shared" si="10"/>
        <v>0</v>
      </c>
      <c r="Y90" s="339"/>
      <c r="Z90" s="340">
        <f t="shared" si="11"/>
        <v>2463.7184000000002</v>
      </c>
      <c r="AA90" s="2">
        <f>617.26-Z90</f>
        <v>-1846.4584000000002</v>
      </c>
    </row>
    <row r="91" spans="1:27" s="236" customFormat="1" ht="12.75" customHeight="1" x14ac:dyDescent="0.2">
      <c r="A91" s="16"/>
      <c r="B91" s="103">
        <v>0</v>
      </c>
      <c r="C91" s="16" t="s">
        <v>561</v>
      </c>
      <c r="D91" s="232" t="s">
        <v>724</v>
      </c>
      <c r="E91" s="19" t="s">
        <v>1213</v>
      </c>
      <c r="F91" s="19"/>
      <c r="G91" s="16"/>
      <c r="H91" s="341" t="s">
        <v>216</v>
      </c>
      <c r="I91" s="396" t="s">
        <v>19</v>
      </c>
      <c r="J91" s="19" t="s">
        <v>1011</v>
      </c>
      <c r="K91" s="464">
        <f>44*3%</f>
        <v>1.3199999999999998</v>
      </c>
      <c r="L91" s="339">
        <v>2080</v>
      </c>
      <c r="M91" s="339"/>
      <c r="N91" s="339">
        <f t="shared" si="7"/>
        <v>2745.5999999999995</v>
      </c>
      <c r="O91" s="339"/>
      <c r="P91" s="339"/>
      <c r="Q91" s="339">
        <f t="shared" si="15"/>
        <v>910.16639999999984</v>
      </c>
      <c r="R91" s="339">
        <f t="shared" si="16"/>
        <v>39.811199999999992</v>
      </c>
      <c r="S91" s="339"/>
      <c r="T91" s="339"/>
      <c r="U91" s="339"/>
      <c r="V91" s="339"/>
      <c r="W91" s="264">
        <f t="shared" si="9"/>
        <v>3695.5775999999996</v>
      </c>
      <c r="X91" s="339">
        <f t="shared" si="10"/>
        <v>0</v>
      </c>
      <c r="Y91" s="339"/>
      <c r="Z91" s="340">
        <f t="shared" si="11"/>
        <v>3695.5775999999996</v>
      </c>
      <c r="AA91" s="2">
        <f>617.26-Z91</f>
        <v>-3078.3175999999994</v>
      </c>
    </row>
    <row r="92" spans="1:27" s="236" customFormat="1" ht="12.75" customHeight="1" x14ac:dyDescent="0.2">
      <c r="A92" s="16"/>
      <c r="B92" s="103">
        <v>0</v>
      </c>
      <c r="C92" s="16" t="s">
        <v>561</v>
      </c>
      <c r="D92" s="232" t="s">
        <v>724</v>
      </c>
      <c r="E92" s="19" t="s">
        <v>1213</v>
      </c>
      <c r="F92" s="19"/>
      <c r="G92" s="16"/>
      <c r="H92" s="341" t="s">
        <v>216</v>
      </c>
      <c r="I92" s="396" t="s">
        <v>19</v>
      </c>
      <c r="J92" s="19" t="s">
        <v>1013</v>
      </c>
      <c r="K92" s="464">
        <f>44*2%</f>
        <v>0.88</v>
      </c>
      <c r="L92" s="339">
        <v>2080</v>
      </c>
      <c r="M92" s="339"/>
      <c r="N92" s="339">
        <f t="shared" si="7"/>
        <v>1830.4</v>
      </c>
      <c r="O92" s="339"/>
      <c r="P92" s="339"/>
      <c r="Q92" s="339">
        <f t="shared" si="15"/>
        <v>606.77760000000001</v>
      </c>
      <c r="R92" s="339">
        <f t="shared" si="16"/>
        <v>26.540800000000004</v>
      </c>
      <c r="S92" s="339"/>
      <c r="T92" s="339"/>
      <c r="U92" s="339"/>
      <c r="V92" s="339"/>
      <c r="W92" s="264">
        <f t="shared" si="9"/>
        <v>2463.7184000000002</v>
      </c>
      <c r="X92" s="339">
        <f t="shared" si="10"/>
        <v>0</v>
      </c>
      <c r="Y92" s="339"/>
      <c r="Z92" s="340">
        <f t="shared" si="11"/>
        <v>2463.7184000000002</v>
      </c>
      <c r="AA92" s="2">
        <f>2469.03-Z92</f>
        <v>5.3115999999999985</v>
      </c>
    </row>
    <row r="93" spans="1:27" s="236" customFormat="1" ht="12.75" customHeight="1" x14ac:dyDescent="0.2">
      <c r="A93" s="16"/>
      <c r="B93" s="103">
        <v>0</v>
      </c>
      <c r="C93" s="16" t="s">
        <v>561</v>
      </c>
      <c r="D93" s="232" t="s">
        <v>724</v>
      </c>
      <c r="E93" s="19" t="s">
        <v>1213</v>
      </c>
      <c r="F93" s="19"/>
      <c r="G93" s="16"/>
      <c r="H93" s="341" t="s">
        <v>216</v>
      </c>
      <c r="I93" s="396" t="s">
        <v>19</v>
      </c>
      <c r="J93" s="19" t="s">
        <v>1022</v>
      </c>
      <c r="K93" s="464">
        <f>44*3%</f>
        <v>1.3199999999999998</v>
      </c>
      <c r="L93" s="339">
        <v>2080</v>
      </c>
      <c r="M93" s="339"/>
      <c r="N93" s="339">
        <f t="shared" si="7"/>
        <v>2745.5999999999995</v>
      </c>
      <c r="O93" s="339"/>
      <c r="P93" s="339"/>
      <c r="Q93" s="339">
        <f t="shared" si="15"/>
        <v>910.16639999999984</v>
      </c>
      <c r="R93" s="339">
        <f t="shared" si="16"/>
        <v>39.811199999999992</v>
      </c>
      <c r="S93" s="339"/>
      <c r="T93" s="339"/>
      <c r="U93" s="339"/>
      <c r="V93" s="339"/>
      <c r="W93" s="264">
        <f t="shared" si="9"/>
        <v>3695.5775999999996</v>
      </c>
      <c r="X93" s="339">
        <f t="shared" si="10"/>
        <v>0</v>
      </c>
      <c r="Y93" s="339"/>
      <c r="Z93" s="340">
        <f t="shared" si="11"/>
        <v>3695.5775999999996</v>
      </c>
      <c r="AA93" s="2">
        <f>4629.42-Z93</f>
        <v>933.84240000000045</v>
      </c>
    </row>
    <row r="94" spans="1:27" s="236" customFormat="1" ht="12.75" customHeight="1" x14ac:dyDescent="0.2">
      <c r="A94" s="16"/>
      <c r="B94" s="103">
        <v>0</v>
      </c>
      <c r="C94" s="16" t="s">
        <v>561</v>
      </c>
      <c r="D94" s="232" t="s">
        <v>724</v>
      </c>
      <c r="E94" s="19" t="s">
        <v>1213</v>
      </c>
      <c r="F94" s="19"/>
      <c r="G94" s="16"/>
      <c r="H94" s="341" t="s">
        <v>216</v>
      </c>
      <c r="I94" s="396" t="s">
        <v>19</v>
      </c>
      <c r="J94" s="19" t="s">
        <v>932</v>
      </c>
      <c r="K94" s="464">
        <f>44*1%</f>
        <v>0.44</v>
      </c>
      <c r="L94" s="339">
        <v>2080</v>
      </c>
      <c r="M94" s="339"/>
      <c r="N94" s="339">
        <f t="shared" si="7"/>
        <v>915.2</v>
      </c>
      <c r="O94" s="339"/>
      <c r="P94" s="339"/>
      <c r="Q94" s="339">
        <f t="shared" si="15"/>
        <v>303.3888</v>
      </c>
      <c r="R94" s="339">
        <f t="shared" si="16"/>
        <v>13.270400000000002</v>
      </c>
      <c r="S94" s="339"/>
      <c r="T94" s="339"/>
      <c r="U94" s="339"/>
      <c r="V94" s="339"/>
      <c r="W94" s="264">
        <f t="shared" si="9"/>
        <v>1231.8592000000001</v>
      </c>
      <c r="X94" s="339">
        <f t="shared" si="10"/>
        <v>0</v>
      </c>
      <c r="Y94" s="339"/>
      <c r="Z94" s="340">
        <f t="shared" si="11"/>
        <v>1231.8592000000001</v>
      </c>
      <c r="AA94" s="2">
        <f>3086.28-Z94</f>
        <v>1854.4208000000001</v>
      </c>
    </row>
    <row r="95" spans="1:27" s="236" customFormat="1" ht="12.75" customHeight="1" x14ac:dyDescent="0.2">
      <c r="A95" s="16"/>
      <c r="B95" s="103">
        <v>0</v>
      </c>
      <c r="C95" s="16" t="s">
        <v>561</v>
      </c>
      <c r="D95" s="232" t="s">
        <v>724</v>
      </c>
      <c r="E95" s="19" t="s">
        <v>1213</v>
      </c>
      <c r="F95" s="19"/>
      <c r="G95" s="16"/>
      <c r="H95" s="341" t="s">
        <v>216</v>
      </c>
      <c r="I95" s="396" t="s">
        <v>19</v>
      </c>
      <c r="J95" s="19" t="s">
        <v>1034</v>
      </c>
      <c r="K95" s="464">
        <f>44*1%</f>
        <v>0.44</v>
      </c>
      <c r="L95" s="339">
        <v>2080</v>
      </c>
      <c r="M95" s="339"/>
      <c r="N95" s="339">
        <f t="shared" si="7"/>
        <v>915.2</v>
      </c>
      <c r="O95" s="339"/>
      <c r="P95" s="339"/>
      <c r="Q95" s="339">
        <f t="shared" si="15"/>
        <v>303.3888</v>
      </c>
      <c r="R95" s="339">
        <f t="shared" si="16"/>
        <v>13.270400000000002</v>
      </c>
      <c r="S95" s="339"/>
      <c r="T95" s="339"/>
      <c r="U95" s="339"/>
      <c r="V95" s="339"/>
      <c r="W95" s="264">
        <f t="shared" si="9"/>
        <v>1231.8592000000001</v>
      </c>
      <c r="X95" s="339">
        <f t="shared" si="10"/>
        <v>0</v>
      </c>
      <c r="Y95" s="339"/>
      <c r="Z95" s="340">
        <f t="shared" si="11"/>
        <v>1231.8592000000001</v>
      </c>
      <c r="AA95" s="2">
        <f>3703.54-Z95</f>
        <v>2471.6808000000001</v>
      </c>
    </row>
    <row r="96" spans="1:27" ht="12.75" customHeight="1" x14ac:dyDescent="0.2">
      <c r="A96" s="16"/>
      <c r="B96" s="103">
        <v>0</v>
      </c>
      <c r="C96" s="16" t="s">
        <v>561</v>
      </c>
      <c r="D96" s="232" t="s">
        <v>724</v>
      </c>
      <c r="E96" s="19" t="s">
        <v>1213</v>
      </c>
      <c r="F96" s="19"/>
      <c r="G96" s="16"/>
      <c r="H96" s="341" t="s">
        <v>216</v>
      </c>
      <c r="I96" s="396" t="s">
        <v>19</v>
      </c>
      <c r="J96" s="19" t="s">
        <v>1045</v>
      </c>
      <c r="K96" s="464">
        <f>44*1%</f>
        <v>0.44</v>
      </c>
      <c r="L96" s="339">
        <v>2080</v>
      </c>
      <c r="M96" s="339"/>
      <c r="N96" s="339">
        <f t="shared" si="7"/>
        <v>915.2</v>
      </c>
      <c r="O96" s="339"/>
      <c r="P96" s="339"/>
      <c r="Q96" s="339">
        <f t="shared" si="15"/>
        <v>303.3888</v>
      </c>
      <c r="R96" s="339">
        <f t="shared" si="16"/>
        <v>13.270400000000002</v>
      </c>
      <c r="S96" s="339"/>
      <c r="T96" s="339"/>
      <c r="U96" s="339"/>
      <c r="V96" s="339"/>
      <c r="W96" s="264">
        <f t="shared" si="9"/>
        <v>1231.8592000000001</v>
      </c>
      <c r="X96" s="339">
        <f t="shared" si="10"/>
        <v>0</v>
      </c>
      <c r="Y96" s="339"/>
      <c r="Z96" s="340">
        <f t="shared" si="11"/>
        <v>1231.8592000000001</v>
      </c>
      <c r="AA96" s="2">
        <f>18517.7-Z96</f>
        <v>17285.840800000002</v>
      </c>
    </row>
    <row r="97" spans="1:27" s="236" customFormat="1" ht="12.75" customHeight="1" x14ac:dyDescent="0.2">
      <c r="A97" s="16"/>
      <c r="B97" s="103">
        <v>0</v>
      </c>
      <c r="C97" s="16" t="s">
        <v>561</v>
      </c>
      <c r="D97" s="232" t="s">
        <v>724</v>
      </c>
      <c r="E97" s="19" t="s">
        <v>1213</v>
      </c>
      <c r="F97" s="19"/>
      <c r="G97" s="16"/>
      <c r="H97" s="341" t="s">
        <v>216</v>
      </c>
      <c r="I97" s="396" t="s">
        <v>19</v>
      </c>
      <c r="J97" s="19" t="s">
        <v>1054</v>
      </c>
      <c r="K97" s="464">
        <f>44*5%</f>
        <v>2.2000000000000002</v>
      </c>
      <c r="L97" s="339">
        <v>2080</v>
      </c>
      <c r="M97" s="339"/>
      <c r="N97" s="339">
        <f t="shared" si="7"/>
        <v>4576</v>
      </c>
      <c r="O97" s="339"/>
      <c r="P97" s="339"/>
      <c r="Q97" s="339">
        <f t="shared" si="15"/>
        <v>1516.9440000000002</v>
      </c>
      <c r="R97" s="339">
        <f t="shared" si="16"/>
        <v>66.352000000000004</v>
      </c>
      <c r="S97" s="339"/>
      <c r="T97" s="339"/>
      <c r="U97" s="339"/>
      <c r="V97" s="339"/>
      <c r="W97" s="264">
        <f t="shared" si="9"/>
        <v>6159.2960000000003</v>
      </c>
      <c r="X97" s="339">
        <f t="shared" si="10"/>
        <v>0</v>
      </c>
      <c r="Y97" s="339"/>
      <c r="Z97" s="340">
        <f t="shared" si="11"/>
        <v>6159.2960000000003</v>
      </c>
      <c r="AA97" s="2"/>
    </row>
    <row r="98" spans="1:27" ht="12.75" customHeight="1" x14ac:dyDescent="0.2">
      <c r="A98" s="16"/>
      <c r="B98" s="103">
        <v>0</v>
      </c>
      <c r="C98" s="16" t="s">
        <v>561</v>
      </c>
      <c r="D98" s="232" t="s">
        <v>724</v>
      </c>
      <c r="E98" s="19" t="s">
        <v>1213</v>
      </c>
      <c r="F98" s="19"/>
      <c r="G98" s="16"/>
      <c r="H98" s="341" t="s">
        <v>216</v>
      </c>
      <c r="I98" s="396" t="s">
        <v>19</v>
      </c>
      <c r="J98" s="19" t="s">
        <v>1055</v>
      </c>
      <c r="K98" s="464">
        <f>44*5%</f>
        <v>2.2000000000000002</v>
      </c>
      <c r="L98" s="339">
        <v>2080</v>
      </c>
      <c r="M98" s="339"/>
      <c r="N98" s="339">
        <f t="shared" si="7"/>
        <v>4576</v>
      </c>
      <c r="O98" s="339"/>
      <c r="P98" s="339"/>
      <c r="Q98" s="339">
        <f t="shared" si="15"/>
        <v>1516.9440000000002</v>
      </c>
      <c r="R98" s="339">
        <f t="shared" si="16"/>
        <v>66.352000000000004</v>
      </c>
      <c r="S98" s="339"/>
      <c r="T98" s="339"/>
      <c r="U98" s="339"/>
      <c r="V98" s="339"/>
      <c r="W98" s="264">
        <f t="shared" si="9"/>
        <v>6159.2960000000003</v>
      </c>
      <c r="X98" s="339">
        <f t="shared" si="10"/>
        <v>0</v>
      </c>
      <c r="Y98" s="339"/>
      <c r="Z98" s="340">
        <f t="shared" si="11"/>
        <v>6159.2960000000003</v>
      </c>
      <c r="AA98" s="2">
        <f>1234.51-Z98</f>
        <v>-4924.7860000000001</v>
      </c>
    </row>
    <row r="99" spans="1:27" s="236" customFormat="1" ht="12.75" customHeight="1" x14ac:dyDescent="0.2">
      <c r="A99" s="16"/>
      <c r="B99" s="103">
        <v>0</v>
      </c>
      <c r="C99" s="16" t="s">
        <v>561</v>
      </c>
      <c r="D99" s="232" t="s">
        <v>724</v>
      </c>
      <c r="E99" s="19" t="s">
        <v>1213</v>
      </c>
      <c r="F99" s="19"/>
      <c r="G99" s="16"/>
      <c r="H99" s="341" t="s">
        <v>216</v>
      </c>
      <c r="I99" s="396" t="s">
        <v>19</v>
      </c>
      <c r="J99" s="19" t="s">
        <v>1056</v>
      </c>
      <c r="K99" s="464">
        <f>44*2%</f>
        <v>0.88</v>
      </c>
      <c r="L99" s="339">
        <v>2080</v>
      </c>
      <c r="M99" s="339"/>
      <c r="N99" s="339">
        <f t="shared" si="7"/>
        <v>1830.4</v>
      </c>
      <c r="O99" s="339"/>
      <c r="P99" s="339"/>
      <c r="Q99" s="339">
        <f t="shared" si="15"/>
        <v>606.77760000000001</v>
      </c>
      <c r="R99" s="339">
        <f t="shared" si="16"/>
        <v>26.540800000000004</v>
      </c>
      <c r="S99" s="339"/>
      <c r="T99" s="339"/>
      <c r="U99" s="339"/>
      <c r="V99" s="339"/>
      <c r="W99" s="264">
        <f t="shared" si="9"/>
        <v>2463.7184000000002</v>
      </c>
      <c r="X99" s="339">
        <f t="shared" si="10"/>
        <v>0</v>
      </c>
      <c r="Y99" s="339"/>
      <c r="Z99" s="340">
        <f t="shared" si="11"/>
        <v>2463.7184000000002</v>
      </c>
      <c r="AA99" s="2">
        <f>2469.03-Z99</f>
        <v>5.3115999999999985</v>
      </c>
    </row>
    <row r="100" spans="1:27" ht="12.75" customHeight="1" x14ac:dyDescent="0.2">
      <c r="A100" s="16"/>
      <c r="B100" s="103">
        <v>0</v>
      </c>
      <c r="C100" s="16" t="s">
        <v>561</v>
      </c>
      <c r="D100" s="232" t="s">
        <v>724</v>
      </c>
      <c r="E100" s="19" t="s">
        <v>1213</v>
      </c>
      <c r="F100" s="19"/>
      <c r="G100" s="16"/>
      <c r="H100" s="341" t="s">
        <v>216</v>
      </c>
      <c r="I100" s="396" t="s">
        <v>19</v>
      </c>
      <c r="J100" s="19" t="s">
        <v>1057</v>
      </c>
      <c r="K100" s="464">
        <f>44*2%</f>
        <v>0.88</v>
      </c>
      <c r="L100" s="339">
        <v>2080</v>
      </c>
      <c r="M100" s="339"/>
      <c r="N100" s="339">
        <f t="shared" ref="N100:N141" si="17">L100*K100</f>
        <v>1830.4</v>
      </c>
      <c r="O100" s="339"/>
      <c r="P100" s="339"/>
      <c r="Q100" s="339">
        <f t="shared" si="15"/>
        <v>606.77760000000001</v>
      </c>
      <c r="R100" s="339">
        <f t="shared" si="16"/>
        <v>26.540800000000004</v>
      </c>
      <c r="S100" s="339"/>
      <c r="T100" s="339"/>
      <c r="U100" s="339"/>
      <c r="V100" s="339"/>
      <c r="W100" s="264">
        <f t="shared" ref="W100:W141" si="18">SUM(N100:V100)</f>
        <v>2463.7184000000002</v>
      </c>
      <c r="X100" s="339">
        <f t="shared" ref="X100:X141" si="19">IF(Q100&lt;&gt;"",W100*$X$25,0)</f>
        <v>0</v>
      </c>
      <c r="Y100" s="339"/>
      <c r="Z100" s="340">
        <f t="shared" ref="Z100:Z141" si="20">Y100+X100+W100</f>
        <v>2463.7184000000002</v>
      </c>
      <c r="AA100" s="2">
        <f>617.26-Z100</f>
        <v>-1846.4584000000002</v>
      </c>
    </row>
    <row r="101" spans="1:27" s="236" customFormat="1" ht="12.75" customHeight="1" x14ac:dyDescent="0.2">
      <c r="A101" s="16"/>
      <c r="B101" s="103">
        <v>0</v>
      </c>
      <c r="C101" s="16" t="s">
        <v>561</v>
      </c>
      <c r="D101" s="232" t="s">
        <v>724</v>
      </c>
      <c r="E101" s="19" t="s">
        <v>1213</v>
      </c>
      <c r="F101" s="19"/>
      <c r="G101" s="16"/>
      <c r="H101" s="341" t="s">
        <v>216</v>
      </c>
      <c r="I101" s="396" t="s">
        <v>19</v>
      </c>
      <c r="J101" s="19" t="s">
        <v>932</v>
      </c>
      <c r="K101" s="464">
        <f>44*5%</f>
        <v>2.2000000000000002</v>
      </c>
      <c r="L101" s="339">
        <v>2080</v>
      </c>
      <c r="M101" s="339"/>
      <c r="N101" s="339">
        <f t="shared" si="17"/>
        <v>4576</v>
      </c>
      <c r="O101" s="339"/>
      <c r="P101" s="339"/>
      <c r="Q101" s="339">
        <f t="shared" si="15"/>
        <v>1516.9440000000002</v>
      </c>
      <c r="R101" s="339">
        <f t="shared" si="16"/>
        <v>66.352000000000004</v>
      </c>
      <c r="S101" s="339"/>
      <c r="T101" s="339"/>
      <c r="U101" s="339"/>
      <c r="V101" s="339"/>
      <c r="W101" s="264">
        <f t="shared" si="18"/>
        <v>6159.2960000000003</v>
      </c>
      <c r="X101" s="339">
        <f t="shared" si="19"/>
        <v>0</v>
      </c>
      <c r="Y101" s="339"/>
      <c r="Z101" s="340">
        <f t="shared" si="20"/>
        <v>6159.2960000000003</v>
      </c>
      <c r="AA101" s="2"/>
    </row>
    <row r="102" spans="1:27" s="236" customFormat="1" ht="12.75" customHeight="1" x14ac:dyDescent="0.2">
      <c r="A102" s="467"/>
      <c r="B102" s="467">
        <v>0</v>
      </c>
      <c r="C102" s="467" t="s">
        <v>561</v>
      </c>
      <c r="D102" s="468" t="s">
        <v>724</v>
      </c>
      <c r="E102" s="469" t="s">
        <v>1213</v>
      </c>
      <c r="F102" s="469"/>
      <c r="G102" s="467"/>
      <c r="H102" s="341" t="s">
        <v>216</v>
      </c>
      <c r="I102" s="470" t="s">
        <v>19</v>
      </c>
      <c r="J102" s="469" t="s">
        <v>938</v>
      </c>
      <c r="K102" s="464">
        <f>44*5%</f>
        <v>2.2000000000000002</v>
      </c>
      <c r="L102" s="472">
        <v>2080</v>
      </c>
      <c r="M102" s="472"/>
      <c r="N102" s="339">
        <f t="shared" si="17"/>
        <v>4576</v>
      </c>
      <c r="O102" s="472"/>
      <c r="P102" s="472"/>
      <c r="Q102" s="339">
        <f t="shared" si="15"/>
        <v>1516.9440000000002</v>
      </c>
      <c r="R102" s="472">
        <f t="shared" si="16"/>
        <v>66.352000000000004</v>
      </c>
      <c r="S102" s="472"/>
      <c r="T102" s="472"/>
      <c r="U102" s="472"/>
      <c r="V102" s="472"/>
      <c r="W102" s="473">
        <f t="shared" si="18"/>
        <v>6159.2960000000003</v>
      </c>
      <c r="X102" s="472">
        <f t="shared" si="19"/>
        <v>0</v>
      </c>
      <c r="Y102" s="472"/>
      <c r="Z102" s="474">
        <f t="shared" si="20"/>
        <v>6159.2960000000003</v>
      </c>
      <c r="AA102" s="2">
        <f>308.63-Z102</f>
        <v>-5850.6660000000002</v>
      </c>
    </row>
    <row r="103" spans="1:27" s="236" customFormat="1" ht="12.75" customHeight="1" x14ac:dyDescent="0.2">
      <c r="A103" s="16"/>
      <c r="B103" s="103">
        <v>1</v>
      </c>
      <c r="C103" s="16" t="s">
        <v>562</v>
      </c>
      <c r="D103" s="232" t="s">
        <v>722</v>
      </c>
      <c r="E103" s="19" t="s">
        <v>1214</v>
      </c>
      <c r="F103" s="19"/>
      <c r="G103" s="19" t="s">
        <v>209</v>
      </c>
      <c r="H103" s="341" t="s">
        <v>216</v>
      </c>
      <c r="I103" s="396" t="s">
        <v>19</v>
      </c>
      <c r="J103" s="19" t="s">
        <v>932</v>
      </c>
      <c r="K103" s="465"/>
      <c r="L103" s="339">
        <v>2080</v>
      </c>
      <c r="M103" s="339"/>
      <c r="N103" s="339">
        <f t="shared" si="17"/>
        <v>0</v>
      </c>
      <c r="O103" s="339"/>
      <c r="P103" s="339"/>
      <c r="Q103" s="339">
        <f t="shared" si="15"/>
        <v>0</v>
      </c>
      <c r="R103" s="339">
        <f t="shared" si="16"/>
        <v>0</v>
      </c>
      <c r="S103" s="339"/>
      <c r="T103" s="339"/>
      <c r="U103" s="339"/>
      <c r="V103" s="339"/>
      <c r="W103" s="264">
        <f t="shared" si="18"/>
        <v>0</v>
      </c>
      <c r="X103" s="339">
        <f t="shared" si="19"/>
        <v>0</v>
      </c>
      <c r="Y103" s="339"/>
      <c r="Z103" s="340">
        <f t="shared" si="20"/>
        <v>0</v>
      </c>
      <c r="AA103" s="2"/>
    </row>
    <row r="104" spans="1:27" s="236" customFormat="1" ht="12.75" customHeight="1" x14ac:dyDescent="0.2">
      <c r="A104" s="16"/>
      <c r="B104" s="103">
        <v>0</v>
      </c>
      <c r="C104" s="16" t="s">
        <v>562</v>
      </c>
      <c r="D104" s="232" t="s">
        <v>722</v>
      </c>
      <c r="E104" s="19" t="s">
        <v>1214</v>
      </c>
      <c r="F104" s="19"/>
      <c r="G104" s="19" t="s">
        <v>209</v>
      </c>
      <c r="H104" s="341" t="s">
        <v>216</v>
      </c>
      <c r="I104" s="396" t="s">
        <v>19</v>
      </c>
      <c r="J104" s="19" t="s">
        <v>98</v>
      </c>
      <c r="K104" s="465">
        <f>53.58*7%</f>
        <v>3.7506000000000004</v>
      </c>
      <c r="L104" s="339">
        <v>2080</v>
      </c>
      <c r="M104" s="339"/>
      <c r="N104" s="339">
        <f t="shared" si="17"/>
        <v>7801.2480000000005</v>
      </c>
      <c r="O104" s="339"/>
      <c r="P104" s="339"/>
      <c r="Q104" s="339">
        <f t="shared" si="15"/>
        <v>2586.1137120000003</v>
      </c>
      <c r="R104" s="339">
        <f t="shared" si="16"/>
        <v>113.11809600000001</v>
      </c>
      <c r="S104" s="339"/>
      <c r="T104" s="339"/>
      <c r="U104" s="339"/>
      <c r="V104" s="339"/>
      <c r="W104" s="264">
        <f t="shared" si="18"/>
        <v>10500.479808000002</v>
      </c>
      <c r="X104" s="339">
        <f t="shared" si="19"/>
        <v>0</v>
      </c>
      <c r="Y104" s="339"/>
      <c r="Z104" s="340">
        <f t="shared" si="20"/>
        <v>10500.479808000002</v>
      </c>
      <c r="AA104" s="2"/>
    </row>
    <row r="105" spans="1:27" s="467" customFormat="1" ht="12.75" customHeight="1" x14ac:dyDescent="0.2">
      <c r="A105" s="16"/>
      <c r="B105" s="103">
        <v>0</v>
      </c>
      <c r="C105" s="16" t="s">
        <v>562</v>
      </c>
      <c r="D105" s="232" t="s">
        <v>722</v>
      </c>
      <c r="E105" s="19" t="s">
        <v>1214</v>
      </c>
      <c r="F105" s="19"/>
      <c r="G105" s="19" t="s">
        <v>209</v>
      </c>
      <c r="H105" s="341" t="s">
        <v>216</v>
      </c>
      <c r="I105" s="396" t="s">
        <v>19</v>
      </c>
      <c r="J105" s="19" t="s">
        <v>99</v>
      </c>
      <c r="K105" s="465">
        <f>53.58*1%</f>
        <v>0.53579999999999994</v>
      </c>
      <c r="L105" s="339">
        <v>2080</v>
      </c>
      <c r="M105" s="339"/>
      <c r="N105" s="339">
        <f t="shared" si="17"/>
        <v>1114.4639999999999</v>
      </c>
      <c r="O105" s="339"/>
      <c r="P105" s="339"/>
      <c r="Q105" s="339">
        <f t="shared" si="15"/>
        <v>369.444816</v>
      </c>
      <c r="R105" s="339">
        <f t="shared" si="16"/>
        <v>16.159728000000001</v>
      </c>
      <c r="S105" s="339"/>
      <c r="T105" s="339"/>
      <c r="U105" s="339"/>
      <c r="V105" s="339"/>
      <c r="W105" s="264">
        <f t="shared" si="18"/>
        <v>1500.068544</v>
      </c>
      <c r="X105" s="339">
        <f t="shared" si="19"/>
        <v>0</v>
      </c>
      <c r="Y105" s="339"/>
      <c r="Z105" s="340">
        <f t="shared" si="20"/>
        <v>1500.068544</v>
      </c>
      <c r="AA105" s="2"/>
    </row>
    <row r="106" spans="1:27" s="236" customFormat="1" ht="12.75" customHeight="1" x14ac:dyDescent="0.2">
      <c r="A106" s="16"/>
      <c r="B106" s="103">
        <v>0</v>
      </c>
      <c r="C106" s="16" t="s">
        <v>562</v>
      </c>
      <c r="D106" s="232" t="s">
        <v>722</v>
      </c>
      <c r="E106" s="19" t="s">
        <v>1214</v>
      </c>
      <c r="F106" s="19"/>
      <c r="G106" s="19" t="s">
        <v>209</v>
      </c>
      <c r="H106" s="341" t="s">
        <v>216</v>
      </c>
      <c r="I106" s="396" t="s">
        <v>19</v>
      </c>
      <c r="J106" s="19" t="s">
        <v>1041</v>
      </c>
      <c r="K106" s="465">
        <f>53.58*0.5%</f>
        <v>0.26789999999999997</v>
      </c>
      <c r="L106" s="339">
        <v>2080</v>
      </c>
      <c r="M106" s="339"/>
      <c r="N106" s="339">
        <f t="shared" si="17"/>
        <v>557.23199999999997</v>
      </c>
      <c r="O106" s="339"/>
      <c r="P106" s="339"/>
      <c r="Q106" s="339">
        <f t="shared" si="15"/>
        <v>184.722408</v>
      </c>
      <c r="R106" s="339">
        <f t="shared" ref="R106:R123" si="21">N106*0.0145</f>
        <v>8.0798640000000006</v>
      </c>
      <c r="S106" s="339"/>
      <c r="T106" s="339"/>
      <c r="U106" s="339"/>
      <c r="V106" s="339"/>
      <c r="W106" s="264">
        <f t="shared" si="18"/>
        <v>750.03427199999999</v>
      </c>
      <c r="X106" s="339">
        <f t="shared" si="19"/>
        <v>0</v>
      </c>
      <c r="Y106" s="339"/>
      <c r="Z106" s="340">
        <f t="shared" si="20"/>
        <v>750.03427199999999</v>
      </c>
      <c r="AA106" s="2"/>
    </row>
    <row r="107" spans="1:27" ht="12.75" customHeight="1" x14ac:dyDescent="0.2">
      <c r="A107" s="16"/>
      <c r="B107" s="103">
        <v>0</v>
      </c>
      <c r="C107" s="16" t="s">
        <v>562</v>
      </c>
      <c r="D107" s="232" t="s">
        <v>722</v>
      </c>
      <c r="E107" s="19" t="s">
        <v>1214</v>
      </c>
      <c r="F107" s="19"/>
      <c r="G107" s="19" t="s">
        <v>209</v>
      </c>
      <c r="H107" s="341" t="s">
        <v>216</v>
      </c>
      <c r="I107" s="396" t="s">
        <v>19</v>
      </c>
      <c r="J107" s="396" t="s">
        <v>979</v>
      </c>
      <c r="K107" s="465">
        <f>53.58*2%</f>
        <v>1.0715999999999999</v>
      </c>
      <c r="L107" s="339">
        <v>2080</v>
      </c>
      <c r="M107" s="339"/>
      <c r="N107" s="339">
        <f t="shared" si="17"/>
        <v>2228.9279999999999</v>
      </c>
      <c r="O107" s="339"/>
      <c r="P107" s="339"/>
      <c r="Q107" s="339">
        <f t="shared" si="15"/>
        <v>738.88963200000001</v>
      </c>
      <c r="R107" s="339">
        <f t="shared" si="21"/>
        <v>32.319456000000002</v>
      </c>
      <c r="S107" s="339"/>
      <c r="T107" s="339"/>
      <c r="U107" s="339"/>
      <c r="V107" s="339"/>
      <c r="W107" s="264">
        <f t="shared" si="18"/>
        <v>3000.1370879999999</v>
      </c>
      <c r="X107" s="339">
        <f t="shared" si="19"/>
        <v>0</v>
      </c>
      <c r="Y107" s="339"/>
      <c r="Z107" s="340">
        <f t="shared" si="20"/>
        <v>3000.1370879999999</v>
      </c>
      <c r="AA107" s="2"/>
    </row>
    <row r="108" spans="1:27" ht="12.75" customHeight="1" x14ac:dyDescent="0.2">
      <c r="A108" s="16"/>
      <c r="B108" s="103">
        <v>0</v>
      </c>
      <c r="C108" s="16" t="s">
        <v>562</v>
      </c>
      <c r="D108" s="232" t="s">
        <v>722</v>
      </c>
      <c r="E108" s="19" t="s">
        <v>1214</v>
      </c>
      <c r="F108" s="19"/>
      <c r="G108" s="19" t="s">
        <v>209</v>
      </c>
      <c r="H108" s="341" t="s">
        <v>216</v>
      </c>
      <c r="I108" s="396" t="s">
        <v>19</v>
      </c>
      <c r="J108" s="19" t="s">
        <v>108</v>
      </c>
      <c r="K108" s="465">
        <f>53.58*3%</f>
        <v>1.6073999999999999</v>
      </c>
      <c r="L108" s="339">
        <v>2080</v>
      </c>
      <c r="M108" s="339"/>
      <c r="N108" s="339">
        <f t="shared" si="17"/>
        <v>3343.3919999999998</v>
      </c>
      <c r="O108" s="339"/>
      <c r="P108" s="339"/>
      <c r="Q108" s="339">
        <f t="shared" si="15"/>
        <v>1108.3344480000001</v>
      </c>
      <c r="R108" s="339">
        <f t="shared" si="21"/>
        <v>48.479183999999997</v>
      </c>
      <c r="S108" s="339"/>
      <c r="T108" s="339"/>
      <c r="U108" s="339"/>
      <c r="V108" s="339"/>
      <c r="W108" s="264">
        <f t="shared" si="18"/>
        <v>4500.2056319999992</v>
      </c>
      <c r="X108" s="339">
        <f t="shared" si="19"/>
        <v>0</v>
      </c>
      <c r="Y108" s="339"/>
      <c r="Z108" s="340">
        <f t="shared" si="20"/>
        <v>4500.2056319999992</v>
      </c>
      <c r="AA108" s="2"/>
    </row>
    <row r="109" spans="1:27" s="236" customFormat="1" ht="12.75" customHeight="1" x14ac:dyDescent="0.2">
      <c r="A109" s="16"/>
      <c r="B109" s="103">
        <v>0</v>
      </c>
      <c r="C109" s="16" t="s">
        <v>562</v>
      </c>
      <c r="D109" s="232" t="s">
        <v>722</v>
      </c>
      <c r="E109" s="19" t="s">
        <v>1214</v>
      </c>
      <c r="F109" s="19"/>
      <c r="G109" s="19" t="s">
        <v>209</v>
      </c>
      <c r="H109" s="341" t="s">
        <v>216</v>
      </c>
      <c r="I109" s="396" t="s">
        <v>19</v>
      </c>
      <c r="J109" s="19" t="s">
        <v>1047</v>
      </c>
      <c r="K109" s="465">
        <f>53.58*0.5%</f>
        <v>0.26789999999999997</v>
      </c>
      <c r="L109" s="339">
        <v>2080</v>
      </c>
      <c r="M109" s="339"/>
      <c r="N109" s="339">
        <f t="shared" si="17"/>
        <v>557.23199999999997</v>
      </c>
      <c r="O109" s="339"/>
      <c r="P109" s="339"/>
      <c r="Q109" s="339">
        <f t="shared" si="15"/>
        <v>184.722408</v>
      </c>
      <c r="R109" s="339">
        <f t="shared" si="21"/>
        <v>8.0798640000000006</v>
      </c>
      <c r="S109" s="339"/>
      <c r="T109" s="339"/>
      <c r="U109" s="339"/>
      <c r="V109" s="339"/>
      <c r="W109" s="264">
        <f t="shared" si="18"/>
        <v>750.03427199999999</v>
      </c>
      <c r="X109" s="339">
        <f t="shared" si="19"/>
        <v>0</v>
      </c>
      <c r="Y109" s="339"/>
      <c r="Z109" s="340">
        <f t="shared" si="20"/>
        <v>750.03427199999999</v>
      </c>
      <c r="AA109" s="2"/>
    </row>
    <row r="110" spans="1:27" s="236" customFormat="1" ht="12.75" customHeight="1" x14ac:dyDescent="0.2">
      <c r="A110" s="16"/>
      <c r="B110" s="103">
        <v>0</v>
      </c>
      <c r="C110" s="16" t="s">
        <v>562</v>
      </c>
      <c r="D110" s="232" t="s">
        <v>722</v>
      </c>
      <c r="E110" s="19" t="s">
        <v>1214</v>
      </c>
      <c r="F110" s="19"/>
      <c r="G110" s="19" t="s">
        <v>209</v>
      </c>
      <c r="H110" s="341" t="s">
        <v>216</v>
      </c>
      <c r="I110" s="396" t="s">
        <v>19</v>
      </c>
      <c r="J110" s="19" t="s">
        <v>47</v>
      </c>
      <c r="K110" s="465">
        <f>53.58*1%</f>
        <v>0.53579999999999994</v>
      </c>
      <c r="L110" s="339">
        <v>2080</v>
      </c>
      <c r="M110" s="339"/>
      <c r="N110" s="339">
        <f t="shared" si="17"/>
        <v>1114.4639999999999</v>
      </c>
      <c r="O110" s="339"/>
      <c r="P110" s="339"/>
      <c r="Q110" s="339">
        <f t="shared" si="15"/>
        <v>369.444816</v>
      </c>
      <c r="R110" s="339">
        <f t="shared" si="21"/>
        <v>16.159728000000001</v>
      </c>
      <c r="S110" s="339"/>
      <c r="T110" s="339"/>
      <c r="U110" s="339"/>
      <c r="V110" s="339"/>
      <c r="W110" s="264">
        <f t="shared" si="18"/>
        <v>1500.068544</v>
      </c>
      <c r="X110" s="339">
        <f t="shared" si="19"/>
        <v>0</v>
      </c>
      <c r="Y110" s="339"/>
      <c r="Z110" s="340">
        <f t="shared" si="20"/>
        <v>1500.068544</v>
      </c>
      <c r="AA110" s="2"/>
    </row>
    <row r="111" spans="1:27" s="236" customFormat="1" ht="12.75" customHeight="1" x14ac:dyDescent="0.2">
      <c r="A111" s="16"/>
      <c r="B111" s="103">
        <v>0</v>
      </c>
      <c r="C111" s="16" t="s">
        <v>562</v>
      </c>
      <c r="D111" s="232" t="s">
        <v>722</v>
      </c>
      <c r="E111" s="19" t="s">
        <v>1214</v>
      </c>
      <c r="F111" s="19"/>
      <c r="G111" s="19" t="s">
        <v>209</v>
      </c>
      <c r="H111" s="341" t="s">
        <v>216</v>
      </c>
      <c r="I111" s="396" t="s">
        <v>19</v>
      </c>
      <c r="J111" s="19" t="s">
        <v>48</v>
      </c>
      <c r="K111" s="465">
        <f>53.58*1%</f>
        <v>0.53579999999999994</v>
      </c>
      <c r="L111" s="339">
        <v>2080</v>
      </c>
      <c r="M111" s="339"/>
      <c r="N111" s="339">
        <f t="shared" si="17"/>
        <v>1114.4639999999999</v>
      </c>
      <c r="O111" s="339"/>
      <c r="P111" s="339"/>
      <c r="Q111" s="339">
        <f t="shared" si="15"/>
        <v>369.444816</v>
      </c>
      <c r="R111" s="339">
        <f t="shared" si="21"/>
        <v>16.159728000000001</v>
      </c>
      <c r="S111" s="339"/>
      <c r="T111" s="339"/>
      <c r="U111" s="339"/>
      <c r="V111" s="339"/>
      <c r="W111" s="264">
        <f t="shared" si="18"/>
        <v>1500.068544</v>
      </c>
      <c r="X111" s="339">
        <f t="shared" si="19"/>
        <v>0</v>
      </c>
      <c r="Y111" s="339"/>
      <c r="Z111" s="340">
        <f t="shared" si="20"/>
        <v>1500.068544</v>
      </c>
      <c r="AA111" s="2"/>
    </row>
    <row r="112" spans="1:27" s="236" customFormat="1" ht="12.75" customHeight="1" x14ac:dyDescent="0.2">
      <c r="A112" s="16"/>
      <c r="B112" s="103">
        <v>0</v>
      </c>
      <c r="C112" s="16" t="s">
        <v>562</v>
      </c>
      <c r="D112" s="232" t="s">
        <v>722</v>
      </c>
      <c r="E112" s="19" t="s">
        <v>1214</v>
      </c>
      <c r="F112" s="19"/>
      <c r="G112" s="19" t="s">
        <v>209</v>
      </c>
      <c r="H112" s="341" t="s">
        <v>216</v>
      </c>
      <c r="I112" s="396" t="s">
        <v>19</v>
      </c>
      <c r="J112" s="19" t="s">
        <v>109</v>
      </c>
      <c r="K112" s="465">
        <f>53.58*3%</f>
        <v>1.6073999999999999</v>
      </c>
      <c r="L112" s="339">
        <v>2080</v>
      </c>
      <c r="M112" s="339"/>
      <c r="N112" s="339">
        <f t="shared" si="17"/>
        <v>3343.3919999999998</v>
      </c>
      <c r="O112" s="339"/>
      <c r="P112" s="339"/>
      <c r="Q112" s="339">
        <f t="shared" si="15"/>
        <v>1108.3344480000001</v>
      </c>
      <c r="R112" s="339">
        <f t="shared" si="21"/>
        <v>48.479183999999997</v>
      </c>
      <c r="S112" s="339"/>
      <c r="T112" s="339"/>
      <c r="U112" s="339"/>
      <c r="V112" s="339"/>
      <c r="W112" s="264">
        <f t="shared" si="18"/>
        <v>4500.2056319999992</v>
      </c>
      <c r="X112" s="339">
        <f t="shared" si="19"/>
        <v>0</v>
      </c>
      <c r="Y112" s="339"/>
      <c r="Z112" s="340">
        <f t="shared" si="20"/>
        <v>4500.2056319999992</v>
      </c>
      <c r="AA112" s="2"/>
    </row>
    <row r="113" spans="1:27" s="236" customFormat="1" ht="12.75" customHeight="1" x14ac:dyDescent="0.2">
      <c r="A113" s="16"/>
      <c r="B113" s="103">
        <v>0</v>
      </c>
      <c r="C113" s="16" t="s">
        <v>562</v>
      </c>
      <c r="D113" s="232" t="s">
        <v>722</v>
      </c>
      <c r="E113" s="19" t="s">
        <v>1214</v>
      </c>
      <c r="F113" s="19"/>
      <c r="G113" s="19" t="s">
        <v>209</v>
      </c>
      <c r="H113" s="341" t="s">
        <v>216</v>
      </c>
      <c r="I113" s="396" t="s">
        <v>19</v>
      </c>
      <c r="J113" s="19" t="s">
        <v>1056</v>
      </c>
      <c r="K113" s="465">
        <f>53.58*2%</f>
        <v>1.0715999999999999</v>
      </c>
      <c r="L113" s="339">
        <v>2080</v>
      </c>
      <c r="M113" s="339"/>
      <c r="N113" s="339">
        <f t="shared" si="17"/>
        <v>2228.9279999999999</v>
      </c>
      <c r="O113" s="339"/>
      <c r="P113" s="339"/>
      <c r="Q113" s="339">
        <f t="shared" si="15"/>
        <v>738.88963200000001</v>
      </c>
      <c r="R113" s="339">
        <f t="shared" si="21"/>
        <v>32.319456000000002</v>
      </c>
      <c r="S113" s="339"/>
      <c r="T113" s="339"/>
      <c r="U113" s="339"/>
      <c r="V113" s="339"/>
      <c r="W113" s="264">
        <f t="shared" si="18"/>
        <v>3000.1370879999999</v>
      </c>
      <c r="X113" s="339">
        <f t="shared" si="19"/>
        <v>0</v>
      </c>
      <c r="Y113" s="339"/>
      <c r="Z113" s="340">
        <f t="shared" si="20"/>
        <v>3000.1370879999999</v>
      </c>
      <c r="AA113" s="2"/>
    </row>
    <row r="114" spans="1:27" ht="12.75" customHeight="1" x14ac:dyDescent="0.2">
      <c r="A114" s="16"/>
      <c r="B114" s="103">
        <v>0</v>
      </c>
      <c r="C114" s="16" t="s">
        <v>562</v>
      </c>
      <c r="D114" s="232" t="s">
        <v>722</v>
      </c>
      <c r="E114" s="19" t="s">
        <v>1214</v>
      </c>
      <c r="F114" s="19"/>
      <c r="G114" s="19" t="s">
        <v>209</v>
      </c>
      <c r="H114" s="341" t="s">
        <v>216</v>
      </c>
      <c r="I114" s="396" t="s">
        <v>19</v>
      </c>
      <c r="J114" s="19" t="s">
        <v>124</v>
      </c>
      <c r="K114" s="465">
        <f>53.58*1%</f>
        <v>0.53579999999999994</v>
      </c>
      <c r="L114" s="339">
        <v>2080</v>
      </c>
      <c r="M114" s="339"/>
      <c r="N114" s="339">
        <f t="shared" si="17"/>
        <v>1114.4639999999999</v>
      </c>
      <c r="O114" s="339"/>
      <c r="P114" s="339"/>
      <c r="Q114" s="339">
        <f t="shared" si="15"/>
        <v>369.444816</v>
      </c>
      <c r="R114" s="339">
        <f t="shared" si="21"/>
        <v>16.159728000000001</v>
      </c>
      <c r="S114" s="339"/>
      <c r="T114" s="339"/>
      <c r="U114" s="339"/>
      <c r="V114" s="339"/>
      <c r="W114" s="264">
        <f t="shared" si="18"/>
        <v>1500.068544</v>
      </c>
      <c r="X114" s="339">
        <f t="shared" si="19"/>
        <v>0</v>
      </c>
      <c r="Y114" s="339"/>
      <c r="Z114" s="340">
        <f t="shared" si="20"/>
        <v>1500.068544</v>
      </c>
      <c r="AA114" s="2"/>
    </row>
    <row r="115" spans="1:27" ht="12.75" customHeight="1" x14ac:dyDescent="0.2">
      <c r="A115" s="16"/>
      <c r="B115" s="103">
        <v>0</v>
      </c>
      <c r="C115" s="16" t="s">
        <v>562</v>
      </c>
      <c r="D115" s="232" t="s">
        <v>722</v>
      </c>
      <c r="E115" s="19" t="s">
        <v>1214</v>
      </c>
      <c r="F115" s="19"/>
      <c r="G115" s="19" t="s">
        <v>209</v>
      </c>
      <c r="H115" s="341" t="s">
        <v>216</v>
      </c>
      <c r="I115" s="396" t="s">
        <v>19</v>
      </c>
      <c r="J115" s="19" t="s">
        <v>1019</v>
      </c>
      <c r="K115" s="465">
        <f>53.58*73%</f>
        <v>39.113399999999999</v>
      </c>
      <c r="L115" s="339">
        <v>2080</v>
      </c>
      <c r="M115" s="465"/>
      <c r="N115" s="339">
        <f t="shared" si="17"/>
        <v>81355.872000000003</v>
      </c>
      <c r="O115" s="339"/>
      <c r="P115" s="339"/>
      <c r="Q115" s="339">
        <f t="shared" ref="Q115:Q178" si="22">N115*0.3315</f>
        <v>26969.471568000001</v>
      </c>
      <c r="R115" s="339">
        <f t="shared" si="21"/>
        <v>1179.6601440000002</v>
      </c>
      <c r="S115" s="339"/>
      <c r="T115" s="339">
        <v>8439.84</v>
      </c>
      <c r="U115" s="339">
        <v>400.32</v>
      </c>
      <c r="V115" s="339"/>
      <c r="W115" s="264">
        <f t="shared" si="18"/>
        <v>118345.16371200001</v>
      </c>
      <c r="X115" s="339">
        <f t="shared" si="19"/>
        <v>0</v>
      </c>
      <c r="Y115" s="339"/>
      <c r="Z115" s="340">
        <f t="shared" si="20"/>
        <v>118345.16371200001</v>
      </c>
      <c r="AA115" s="2"/>
    </row>
    <row r="116" spans="1:27" ht="12.75" customHeight="1" x14ac:dyDescent="0.2">
      <c r="A116" s="467"/>
      <c r="B116" s="467">
        <v>0</v>
      </c>
      <c r="C116" s="467" t="s">
        <v>562</v>
      </c>
      <c r="D116" s="468" t="s">
        <v>722</v>
      </c>
      <c r="E116" s="469" t="s">
        <v>1214</v>
      </c>
      <c r="F116" s="469"/>
      <c r="G116" s="469" t="s">
        <v>209</v>
      </c>
      <c r="H116" s="341" t="s">
        <v>216</v>
      </c>
      <c r="I116" s="470" t="s">
        <v>19</v>
      </c>
      <c r="J116" s="469" t="s">
        <v>120</v>
      </c>
      <c r="K116" s="471">
        <f>53.58*5%</f>
        <v>2.6790000000000003</v>
      </c>
      <c r="L116" s="472">
        <v>2080</v>
      </c>
      <c r="M116" s="472"/>
      <c r="N116" s="339">
        <f t="shared" si="17"/>
        <v>5572.3200000000006</v>
      </c>
      <c r="O116" s="472"/>
      <c r="P116" s="472"/>
      <c r="Q116" s="339">
        <f t="shared" si="22"/>
        <v>1847.2240800000002</v>
      </c>
      <c r="R116" s="472">
        <f t="shared" si="21"/>
        <v>80.798640000000006</v>
      </c>
      <c r="S116" s="472"/>
      <c r="T116" s="472"/>
      <c r="U116" s="472"/>
      <c r="V116" s="472"/>
      <c r="W116" s="473">
        <f t="shared" si="18"/>
        <v>7500.3427200000006</v>
      </c>
      <c r="X116" s="472">
        <f t="shared" si="19"/>
        <v>0</v>
      </c>
      <c r="Y116" s="472"/>
      <c r="Z116" s="474">
        <f t="shared" si="20"/>
        <v>7500.3427200000006</v>
      </c>
      <c r="AA116" s="2"/>
    </row>
    <row r="117" spans="1:27" ht="12.75" customHeight="1" x14ac:dyDescent="0.2">
      <c r="A117" s="16"/>
      <c r="B117" s="103">
        <v>1</v>
      </c>
      <c r="C117" s="16" t="s">
        <v>563</v>
      </c>
      <c r="D117" s="232" t="s">
        <v>722</v>
      </c>
      <c r="E117" s="19" t="s">
        <v>1214</v>
      </c>
      <c r="F117" s="19"/>
      <c r="G117" s="19" t="s">
        <v>209</v>
      </c>
      <c r="H117" s="341" t="s">
        <v>216</v>
      </c>
      <c r="I117" s="396" t="s">
        <v>19</v>
      </c>
      <c r="J117" s="19" t="s">
        <v>97</v>
      </c>
      <c r="K117" s="465">
        <f>52.16*1%</f>
        <v>0.52159999999999995</v>
      </c>
      <c r="L117" s="339">
        <v>2080</v>
      </c>
      <c r="M117" s="339"/>
      <c r="N117" s="339">
        <f t="shared" si="17"/>
        <v>1084.9279999999999</v>
      </c>
      <c r="O117" s="339"/>
      <c r="P117" s="339"/>
      <c r="Q117" s="339">
        <f t="shared" si="22"/>
        <v>359.65363199999996</v>
      </c>
      <c r="R117" s="339">
        <f t="shared" si="21"/>
        <v>15.731456</v>
      </c>
      <c r="S117" s="339"/>
      <c r="T117" s="339"/>
      <c r="U117" s="339"/>
      <c r="V117" s="339"/>
      <c r="W117" s="264">
        <f t="shared" si="18"/>
        <v>1460.3130879999999</v>
      </c>
      <c r="X117" s="339">
        <f t="shared" si="19"/>
        <v>0</v>
      </c>
      <c r="Y117" s="339"/>
      <c r="Z117" s="340">
        <f t="shared" si="20"/>
        <v>1460.3130879999999</v>
      </c>
      <c r="AA117" s="2"/>
    </row>
    <row r="118" spans="1:27" s="236" customFormat="1" ht="12.75" customHeight="1" x14ac:dyDescent="0.2">
      <c r="A118" s="16"/>
      <c r="B118" s="103">
        <v>0</v>
      </c>
      <c r="C118" s="16" t="s">
        <v>563</v>
      </c>
      <c r="D118" s="232" t="s">
        <v>722</v>
      </c>
      <c r="E118" s="19" t="s">
        <v>1214</v>
      </c>
      <c r="F118" s="19"/>
      <c r="G118" s="19" t="s">
        <v>209</v>
      </c>
      <c r="H118" s="341" t="s">
        <v>216</v>
      </c>
      <c r="I118" s="396" t="s">
        <v>19</v>
      </c>
      <c r="J118" s="19" t="s">
        <v>101</v>
      </c>
      <c r="K118" s="465">
        <f>52.16*1%</f>
        <v>0.52159999999999995</v>
      </c>
      <c r="L118" s="339">
        <v>2080</v>
      </c>
      <c r="M118" s="339"/>
      <c r="N118" s="339">
        <f t="shared" si="17"/>
        <v>1084.9279999999999</v>
      </c>
      <c r="O118" s="339"/>
      <c r="P118" s="339"/>
      <c r="Q118" s="339">
        <f t="shared" si="22"/>
        <v>359.65363199999996</v>
      </c>
      <c r="R118" s="339">
        <f t="shared" si="21"/>
        <v>15.731456</v>
      </c>
      <c r="S118" s="339"/>
      <c r="T118" s="339"/>
      <c r="U118" s="339"/>
      <c r="V118" s="339"/>
      <c r="W118" s="264">
        <f t="shared" si="18"/>
        <v>1460.3130879999999</v>
      </c>
      <c r="X118" s="339">
        <f t="shared" si="19"/>
        <v>0</v>
      </c>
      <c r="Y118" s="339"/>
      <c r="Z118" s="340">
        <f t="shared" si="20"/>
        <v>1460.3130879999999</v>
      </c>
      <c r="AA118" s="2"/>
    </row>
    <row r="119" spans="1:27" s="236" customFormat="1" ht="12.75" customHeight="1" x14ac:dyDescent="0.2">
      <c r="A119" s="16"/>
      <c r="B119" s="103">
        <v>0</v>
      </c>
      <c r="C119" s="16" t="s">
        <v>563</v>
      </c>
      <c r="D119" s="232" t="s">
        <v>722</v>
      </c>
      <c r="E119" s="19" t="s">
        <v>1214</v>
      </c>
      <c r="F119" s="19"/>
      <c r="G119" s="19" t="s">
        <v>209</v>
      </c>
      <c r="H119" s="341" t="s">
        <v>216</v>
      </c>
      <c r="I119" s="396" t="s">
        <v>19</v>
      </c>
      <c r="J119" s="396" t="s">
        <v>100</v>
      </c>
      <c r="K119" s="465">
        <f>52.16*1%</f>
        <v>0.52159999999999995</v>
      </c>
      <c r="L119" s="339">
        <v>2080</v>
      </c>
      <c r="M119" s="339"/>
      <c r="N119" s="339">
        <f t="shared" si="17"/>
        <v>1084.9279999999999</v>
      </c>
      <c r="O119" s="339"/>
      <c r="P119" s="339"/>
      <c r="Q119" s="339">
        <f t="shared" si="22"/>
        <v>359.65363199999996</v>
      </c>
      <c r="R119" s="339">
        <f t="shared" si="21"/>
        <v>15.731456</v>
      </c>
      <c r="S119" s="339"/>
      <c r="T119" s="339"/>
      <c r="U119" s="339"/>
      <c r="V119" s="339"/>
      <c r="W119" s="264">
        <f t="shared" si="18"/>
        <v>1460.3130879999999</v>
      </c>
      <c r="X119" s="339">
        <f t="shared" si="19"/>
        <v>0</v>
      </c>
      <c r="Y119" s="339"/>
      <c r="Z119" s="340">
        <f t="shared" si="20"/>
        <v>1460.3130879999999</v>
      </c>
      <c r="AA119" s="2"/>
    </row>
    <row r="120" spans="1:27" s="236" customFormat="1" ht="12.75" customHeight="1" x14ac:dyDescent="0.2">
      <c r="A120" s="16"/>
      <c r="B120" s="103">
        <v>0</v>
      </c>
      <c r="C120" s="16" t="s">
        <v>563</v>
      </c>
      <c r="D120" s="232" t="s">
        <v>722</v>
      </c>
      <c r="E120" s="19" t="s">
        <v>1214</v>
      </c>
      <c r="F120" s="16"/>
      <c r="G120" s="19" t="s">
        <v>209</v>
      </c>
      <c r="H120" s="341" t="s">
        <v>216</v>
      </c>
      <c r="I120" s="396" t="s">
        <v>19</v>
      </c>
      <c r="J120" s="19" t="s">
        <v>105</v>
      </c>
      <c r="K120" s="465">
        <f>52.16*1%</f>
        <v>0.52159999999999995</v>
      </c>
      <c r="L120" s="339">
        <v>2080</v>
      </c>
      <c r="M120" s="339"/>
      <c r="N120" s="339">
        <f t="shared" si="17"/>
        <v>1084.9279999999999</v>
      </c>
      <c r="O120" s="339"/>
      <c r="P120" s="339"/>
      <c r="Q120" s="339">
        <f t="shared" si="22"/>
        <v>359.65363199999996</v>
      </c>
      <c r="R120" s="339">
        <f t="shared" si="21"/>
        <v>15.731456</v>
      </c>
      <c r="S120" s="339"/>
      <c r="T120" s="339"/>
      <c r="U120" s="339"/>
      <c r="V120" s="339"/>
      <c r="W120" s="264">
        <f t="shared" si="18"/>
        <v>1460.3130879999999</v>
      </c>
      <c r="X120" s="339">
        <f t="shared" si="19"/>
        <v>0</v>
      </c>
      <c r="Y120" s="339"/>
      <c r="Z120" s="340">
        <f t="shared" si="20"/>
        <v>1460.3130879999999</v>
      </c>
      <c r="AA120" s="2"/>
    </row>
    <row r="121" spans="1:27" s="236" customFormat="1" ht="12.75" customHeight="1" x14ac:dyDescent="0.2">
      <c r="A121" s="16"/>
      <c r="B121" s="103">
        <v>0</v>
      </c>
      <c r="C121" s="16" t="s">
        <v>563</v>
      </c>
      <c r="D121" s="232" t="s">
        <v>722</v>
      </c>
      <c r="E121" s="19" t="s">
        <v>1214</v>
      </c>
      <c r="F121" s="16"/>
      <c r="G121" s="19" t="s">
        <v>209</v>
      </c>
      <c r="H121" s="341" t="s">
        <v>216</v>
      </c>
      <c r="I121" s="396" t="s">
        <v>19</v>
      </c>
      <c r="J121" s="396" t="s">
        <v>1631</v>
      </c>
      <c r="K121" s="465">
        <f>52.16*2%</f>
        <v>1.0431999999999999</v>
      </c>
      <c r="L121" s="339">
        <v>2080</v>
      </c>
      <c r="M121" s="339"/>
      <c r="N121" s="339">
        <f t="shared" si="17"/>
        <v>2169.8559999999998</v>
      </c>
      <c r="O121" s="339"/>
      <c r="P121" s="339"/>
      <c r="Q121" s="339">
        <f t="shared" si="22"/>
        <v>719.30726399999992</v>
      </c>
      <c r="R121" s="339">
        <f t="shared" si="21"/>
        <v>31.462911999999999</v>
      </c>
      <c r="S121" s="339"/>
      <c r="T121" s="339"/>
      <c r="U121" s="339"/>
      <c r="V121" s="339"/>
      <c r="W121" s="264">
        <f t="shared" si="18"/>
        <v>2920.6261759999998</v>
      </c>
      <c r="X121" s="339">
        <f t="shared" si="19"/>
        <v>0</v>
      </c>
      <c r="Y121" s="339"/>
      <c r="Z121" s="340">
        <f t="shared" si="20"/>
        <v>2920.6261759999998</v>
      </c>
      <c r="AA121" s="2"/>
    </row>
    <row r="122" spans="1:27" s="236" customFormat="1" ht="12.75" customHeight="1" x14ac:dyDescent="0.2">
      <c r="A122" s="16"/>
      <c r="B122" s="103">
        <v>0</v>
      </c>
      <c r="C122" s="16" t="s">
        <v>563</v>
      </c>
      <c r="D122" s="232" t="s">
        <v>722</v>
      </c>
      <c r="E122" s="19" t="s">
        <v>1214</v>
      </c>
      <c r="F122" s="16"/>
      <c r="G122" s="19" t="s">
        <v>209</v>
      </c>
      <c r="H122" s="341" t="s">
        <v>216</v>
      </c>
      <c r="I122" s="396" t="s">
        <v>19</v>
      </c>
      <c r="J122" s="396" t="s">
        <v>103</v>
      </c>
      <c r="K122" s="465">
        <f>52.16*15%</f>
        <v>7.823999999999999</v>
      </c>
      <c r="L122" s="339">
        <v>2080</v>
      </c>
      <c r="M122" s="339"/>
      <c r="N122" s="339">
        <f t="shared" si="17"/>
        <v>16273.919999999998</v>
      </c>
      <c r="O122" s="339"/>
      <c r="P122" s="339"/>
      <c r="Q122" s="339">
        <f t="shared" si="22"/>
        <v>5394.8044799999998</v>
      </c>
      <c r="R122" s="339">
        <f t="shared" si="21"/>
        <v>235.97183999999999</v>
      </c>
      <c r="S122" s="339"/>
      <c r="T122" s="339"/>
      <c r="U122" s="339"/>
      <c r="V122" s="339"/>
      <c r="W122" s="264">
        <f t="shared" si="18"/>
        <v>21904.696319999995</v>
      </c>
      <c r="X122" s="339">
        <f t="shared" si="19"/>
        <v>0</v>
      </c>
      <c r="Y122" s="339"/>
      <c r="Z122" s="340">
        <f t="shared" si="20"/>
        <v>21904.696319999995</v>
      </c>
      <c r="AA122" s="2"/>
    </row>
    <row r="123" spans="1:27" s="236" customFormat="1" ht="12.75" customHeight="1" x14ac:dyDescent="0.2">
      <c r="A123" s="16"/>
      <c r="B123" s="103">
        <v>0</v>
      </c>
      <c r="C123" s="16" t="s">
        <v>563</v>
      </c>
      <c r="D123" s="232" t="s">
        <v>722</v>
      </c>
      <c r="E123" s="19" t="s">
        <v>1214</v>
      </c>
      <c r="F123" s="16"/>
      <c r="G123" s="19" t="s">
        <v>209</v>
      </c>
      <c r="H123" s="341" t="s">
        <v>216</v>
      </c>
      <c r="I123" s="396" t="s">
        <v>19</v>
      </c>
      <c r="J123" s="396" t="s">
        <v>113</v>
      </c>
      <c r="K123" s="465">
        <f>52.16*5%</f>
        <v>2.6080000000000001</v>
      </c>
      <c r="L123" s="339">
        <v>2080</v>
      </c>
      <c r="M123" s="339"/>
      <c r="N123" s="339">
        <f t="shared" si="17"/>
        <v>5424.64</v>
      </c>
      <c r="O123" s="339"/>
      <c r="P123" s="339"/>
      <c r="Q123" s="339">
        <f t="shared" si="22"/>
        <v>1798.2681600000003</v>
      </c>
      <c r="R123" s="339">
        <f t="shared" si="21"/>
        <v>78.657280000000014</v>
      </c>
      <c r="S123" s="339"/>
      <c r="T123" s="339"/>
      <c r="U123" s="339"/>
      <c r="V123" s="339"/>
      <c r="W123" s="264">
        <f t="shared" si="18"/>
        <v>7301.5654400000012</v>
      </c>
      <c r="X123" s="339">
        <f t="shared" si="19"/>
        <v>0</v>
      </c>
      <c r="Y123" s="339"/>
      <c r="Z123" s="340">
        <f t="shared" si="20"/>
        <v>7301.5654400000012</v>
      </c>
      <c r="AA123" s="2"/>
    </row>
    <row r="124" spans="1:27" s="236" customFormat="1" ht="12.75" customHeight="1" x14ac:dyDescent="0.2">
      <c r="A124" s="16"/>
      <c r="B124" s="103">
        <v>0</v>
      </c>
      <c r="C124" s="16" t="s">
        <v>563</v>
      </c>
      <c r="D124" s="232" t="s">
        <v>722</v>
      </c>
      <c r="E124" s="19" t="s">
        <v>1214</v>
      </c>
      <c r="F124" s="16"/>
      <c r="G124" s="19" t="s">
        <v>209</v>
      </c>
      <c r="H124" s="341" t="s">
        <v>216</v>
      </c>
      <c r="I124" s="396" t="s">
        <v>19</v>
      </c>
      <c r="J124" s="19" t="s">
        <v>1044</v>
      </c>
      <c r="K124" s="465">
        <f>52.16*1%</f>
        <v>0.52159999999999995</v>
      </c>
      <c r="L124" s="339">
        <v>2080</v>
      </c>
      <c r="M124" s="339"/>
      <c r="N124" s="339">
        <f t="shared" si="17"/>
        <v>1084.9279999999999</v>
      </c>
      <c r="O124" s="339"/>
      <c r="P124" s="339"/>
      <c r="Q124" s="339">
        <f t="shared" si="22"/>
        <v>359.65363199999996</v>
      </c>
      <c r="R124" s="339">
        <f t="shared" ref="R124:R148" si="23">N124*0.0145</f>
        <v>15.731456</v>
      </c>
      <c r="S124" s="339"/>
      <c r="T124" s="339"/>
      <c r="U124" s="339"/>
      <c r="V124" s="339"/>
      <c r="W124" s="264">
        <f t="shared" si="18"/>
        <v>1460.3130879999999</v>
      </c>
      <c r="X124" s="339">
        <f t="shared" si="19"/>
        <v>0</v>
      </c>
      <c r="Y124" s="339"/>
      <c r="Z124" s="340">
        <f t="shared" si="20"/>
        <v>1460.3130879999999</v>
      </c>
      <c r="AA124" s="2"/>
    </row>
    <row r="125" spans="1:27" s="236" customFormat="1" ht="12.75" customHeight="1" x14ac:dyDescent="0.2">
      <c r="A125" s="16"/>
      <c r="B125" s="103">
        <v>0</v>
      </c>
      <c r="C125" s="16" t="s">
        <v>563</v>
      </c>
      <c r="D125" s="232" t="s">
        <v>722</v>
      </c>
      <c r="E125" s="19" t="s">
        <v>1214</v>
      </c>
      <c r="F125" s="16"/>
      <c r="G125" s="19" t="s">
        <v>209</v>
      </c>
      <c r="H125" s="341" t="s">
        <v>216</v>
      </c>
      <c r="I125" s="396" t="s">
        <v>19</v>
      </c>
      <c r="J125" s="19" t="s">
        <v>957</v>
      </c>
      <c r="K125" s="465">
        <f>52.16*1%</f>
        <v>0.52159999999999995</v>
      </c>
      <c r="L125" s="339">
        <v>2080</v>
      </c>
      <c r="M125" s="339"/>
      <c r="N125" s="339">
        <f t="shared" si="17"/>
        <v>1084.9279999999999</v>
      </c>
      <c r="O125" s="339"/>
      <c r="P125" s="339"/>
      <c r="Q125" s="339">
        <f t="shared" si="22"/>
        <v>359.65363199999996</v>
      </c>
      <c r="R125" s="339">
        <f t="shared" si="23"/>
        <v>15.731456</v>
      </c>
      <c r="S125" s="339"/>
      <c r="T125" s="339"/>
      <c r="U125" s="339"/>
      <c r="V125" s="339"/>
      <c r="W125" s="264">
        <f t="shared" si="18"/>
        <v>1460.3130879999999</v>
      </c>
      <c r="X125" s="339">
        <f t="shared" si="19"/>
        <v>0</v>
      </c>
      <c r="Y125" s="339"/>
      <c r="Z125" s="340">
        <f t="shared" si="20"/>
        <v>1460.3130879999999</v>
      </c>
      <c r="AA125" s="2"/>
    </row>
    <row r="126" spans="1:27" s="236" customFormat="1" ht="12.75" customHeight="1" x14ac:dyDescent="0.2">
      <c r="A126" s="16"/>
      <c r="B126" s="103">
        <v>0</v>
      </c>
      <c r="C126" s="16" t="s">
        <v>563</v>
      </c>
      <c r="D126" s="232" t="s">
        <v>722</v>
      </c>
      <c r="E126" s="19" t="s">
        <v>1214</v>
      </c>
      <c r="F126" s="16"/>
      <c r="G126" s="19" t="s">
        <v>209</v>
      </c>
      <c r="H126" s="341" t="s">
        <v>216</v>
      </c>
      <c r="I126" s="396" t="s">
        <v>19</v>
      </c>
      <c r="J126" s="19" t="s">
        <v>96</v>
      </c>
      <c r="K126" s="465">
        <f>52.16*3%</f>
        <v>1.5647999999999997</v>
      </c>
      <c r="L126" s="339">
        <v>2080</v>
      </c>
      <c r="M126" s="339"/>
      <c r="N126" s="339">
        <f t="shared" si="17"/>
        <v>3254.7839999999997</v>
      </c>
      <c r="O126" s="339"/>
      <c r="P126" s="339"/>
      <c r="Q126" s="339">
        <f t="shared" si="22"/>
        <v>1078.960896</v>
      </c>
      <c r="R126" s="339">
        <f t="shared" si="23"/>
        <v>47.194367999999997</v>
      </c>
      <c r="S126" s="339"/>
      <c r="T126" s="339"/>
      <c r="U126" s="339"/>
      <c r="V126" s="339"/>
      <c r="W126" s="264">
        <f t="shared" si="18"/>
        <v>4380.9392640000005</v>
      </c>
      <c r="X126" s="339">
        <f t="shared" si="19"/>
        <v>0</v>
      </c>
      <c r="Y126" s="339"/>
      <c r="Z126" s="340">
        <f t="shared" si="20"/>
        <v>4380.9392640000005</v>
      </c>
      <c r="AA126" s="2"/>
    </row>
    <row r="127" spans="1:27" s="236" customFormat="1" ht="12.75" customHeight="1" x14ac:dyDescent="0.2">
      <c r="A127" s="16"/>
      <c r="B127" s="103">
        <v>0</v>
      </c>
      <c r="C127" s="16" t="s">
        <v>563</v>
      </c>
      <c r="D127" s="232" t="s">
        <v>722</v>
      </c>
      <c r="E127" s="19" t="s">
        <v>1214</v>
      </c>
      <c r="F127" s="16"/>
      <c r="G127" s="19" t="s">
        <v>209</v>
      </c>
      <c r="H127" s="341" t="s">
        <v>216</v>
      </c>
      <c r="I127" s="396" t="s">
        <v>19</v>
      </c>
      <c r="J127" s="19" t="s">
        <v>1049</v>
      </c>
      <c r="K127" s="465">
        <f>52.16*1%</f>
        <v>0.52159999999999995</v>
      </c>
      <c r="L127" s="339">
        <v>2080</v>
      </c>
      <c r="M127" s="339"/>
      <c r="N127" s="339">
        <f t="shared" si="17"/>
        <v>1084.9279999999999</v>
      </c>
      <c r="O127" s="339"/>
      <c r="P127" s="339"/>
      <c r="Q127" s="339">
        <f t="shared" si="22"/>
        <v>359.65363199999996</v>
      </c>
      <c r="R127" s="339">
        <f t="shared" si="23"/>
        <v>15.731456</v>
      </c>
      <c r="S127" s="339"/>
      <c r="T127" s="339"/>
      <c r="U127" s="339"/>
      <c r="V127" s="339"/>
      <c r="W127" s="264">
        <f t="shared" si="18"/>
        <v>1460.3130879999999</v>
      </c>
      <c r="X127" s="339">
        <f t="shared" si="19"/>
        <v>0</v>
      </c>
      <c r="Y127" s="339"/>
      <c r="Z127" s="340">
        <f t="shared" si="20"/>
        <v>1460.3130879999999</v>
      </c>
      <c r="AA127" s="2"/>
    </row>
    <row r="128" spans="1:27" s="236" customFormat="1" ht="12.75" customHeight="1" x14ac:dyDescent="0.2">
      <c r="A128" s="16"/>
      <c r="B128" s="103">
        <v>0</v>
      </c>
      <c r="C128" s="16" t="s">
        <v>563</v>
      </c>
      <c r="D128" s="232" t="s">
        <v>722</v>
      </c>
      <c r="E128" s="19" t="s">
        <v>1214</v>
      </c>
      <c r="F128" s="16"/>
      <c r="G128" s="19" t="s">
        <v>209</v>
      </c>
      <c r="H128" s="341" t="s">
        <v>216</v>
      </c>
      <c r="I128" s="396" t="s">
        <v>19</v>
      </c>
      <c r="J128" s="19" t="s">
        <v>1003</v>
      </c>
      <c r="K128" s="465">
        <f>52.16*1%</f>
        <v>0.52159999999999995</v>
      </c>
      <c r="L128" s="339">
        <v>2080</v>
      </c>
      <c r="M128" s="339"/>
      <c r="N128" s="339">
        <f t="shared" si="17"/>
        <v>1084.9279999999999</v>
      </c>
      <c r="O128" s="339"/>
      <c r="P128" s="339"/>
      <c r="Q128" s="339">
        <f t="shared" si="22"/>
        <v>359.65363199999996</v>
      </c>
      <c r="R128" s="339">
        <f t="shared" si="23"/>
        <v>15.731456</v>
      </c>
      <c r="S128" s="339"/>
      <c r="T128" s="339"/>
      <c r="U128" s="339"/>
      <c r="V128" s="339"/>
      <c r="W128" s="264">
        <f t="shared" si="18"/>
        <v>1460.3130879999999</v>
      </c>
      <c r="X128" s="339">
        <f t="shared" si="19"/>
        <v>0</v>
      </c>
      <c r="Y128" s="339"/>
      <c r="Z128" s="340">
        <f t="shared" si="20"/>
        <v>1460.3130879999999</v>
      </c>
      <c r="AA128" s="2"/>
    </row>
    <row r="129" spans="1:27" ht="12.75" customHeight="1" x14ac:dyDescent="0.2">
      <c r="A129" s="16"/>
      <c r="B129" s="103">
        <v>0</v>
      </c>
      <c r="C129" s="16" t="s">
        <v>563</v>
      </c>
      <c r="D129" s="232" t="s">
        <v>722</v>
      </c>
      <c r="E129" s="19" t="s">
        <v>1214</v>
      </c>
      <c r="F129" s="16"/>
      <c r="G129" s="19" t="s">
        <v>209</v>
      </c>
      <c r="H129" s="341" t="s">
        <v>216</v>
      </c>
      <c r="I129" s="396" t="s">
        <v>19</v>
      </c>
      <c r="J129" s="16" t="s">
        <v>491</v>
      </c>
      <c r="K129" s="465">
        <f>52.16*1%</f>
        <v>0.52159999999999995</v>
      </c>
      <c r="L129" s="339">
        <v>2080</v>
      </c>
      <c r="M129" s="339"/>
      <c r="N129" s="339">
        <f t="shared" si="17"/>
        <v>1084.9279999999999</v>
      </c>
      <c r="O129" s="339"/>
      <c r="P129" s="339"/>
      <c r="Q129" s="339">
        <f t="shared" si="22"/>
        <v>359.65363199999996</v>
      </c>
      <c r="R129" s="339">
        <f t="shared" si="23"/>
        <v>15.731456</v>
      </c>
      <c r="S129" s="339"/>
      <c r="T129" s="339"/>
      <c r="U129" s="339"/>
      <c r="V129" s="339"/>
      <c r="W129" s="264">
        <f t="shared" si="18"/>
        <v>1460.3130879999999</v>
      </c>
      <c r="X129" s="339">
        <f t="shared" si="19"/>
        <v>0</v>
      </c>
      <c r="Y129" s="339"/>
      <c r="Z129" s="340">
        <f t="shared" si="20"/>
        <v>1460.3130879999999</v>
      </c>
      <c r="AA129" s="2"/>
    </row>
    <row r="130" spans="1:27" ht="12.75" customHeight="1" x14ac:dyDescent="0.2">
      <c r="A130" s="16"/>
      <c r="B130" s="103">
        <v>0</v>
      </c>
      <c r="C130" s="16" t="s">
        <v>563</v>
      </c>
      <c r="D130" s="232" t="s">
        <v>722</v>
      </c>
      <c r="E130" s="19" t="s">
        <v>1214</v>
      </c>
      <c r="F130" s="16"/>
      <c r="G130" s="19" t="s">
        <v>209</v>
      </c>
      <c r="H130" s="341" t="s">
        <v>216</v>
      </c>
      <c r="I130" s="396" t="s">
        <v>19</v>
      </c>
      <c r="J130" s="19" t="s">
        <v>1039</v>
      </c>
      <c r="K130" s="465">
        <f>52.16*1%</f>
        <v>0.52159999999999995</v>
      </c>
      <c r="L130" s="339">
        <v>2080</v>
      </c>
      <c r="M130" s="339"/>
      <c r="N130" s="339">
        <f t="shared" si="17"/>
        <v>1084.9279999999999</v>
      </c>
      <c r="O130" s="339"/>
      <c r="P130" s="339"/>
      <c r="Q130" s="339">
        <f t="shared" si="22"/>
        <v>359.65363199999996</v>
      </c>
      <c r="R130" s="339">
        <f t="shared" si="23"/>
        <v>15.731456</v>
      </c>
      <c r="S130" s="339"/>
      <c r="T130" s="339"/>
      <c r="U130" s="339"/>
      <c r="V130" s="339"/>
      <c r="W130" s="264">
        <f t="shared" si="18"/>
        <v>1460.3130879999999</v>
      </c>
      <c r="X130" s="339">
        <f t="shared" si="19"/>
        <v>0</v>
      </c>
      <c r="Y130" s="339"/>
      <c r="Z130" s="340">
        <f t="shared" si="20"/>
        <v>1460.3130879999999</v>
      </c>
      <c r="AA130" s="2"/>
    </row>
    <row r="131" spans="1:27" s="236" customFormat="1" ht="12.75" customHeight="1" x14ac:dyDescent="0.2">
      <c r="A131" s="16"/>
      <c r="B131" s="103">
        <v>0</v>
      </c>
      <c r="C131" s="16" t="s">
        <v>563</v>
      </c>
      <c r="D131" s="232" t="s">
        <v>722</v>
      </c>
      <c r="E131" s="19" t="s">
        <v>1214</v>
      </c>
      <c r="F131" s="16"/>
      <c r="G131" s="19" t="s">
        <v>209</v>
      </c>
      <c r="H131" s="341" t="s">
        <v>216</v>
      </c>
      <c r="I131" s="396" t="s">
        <v>19</v>
      </c>
      <c r="J131" s="19" t="s">
        <v>958</v>
      </c>
      <c r="K131" s="465">
        <f>52.16*1%</f>
        <v>0.52159999999999995</v>
      </c>
      <c r="L131" s="339">
        <v>2080</v>
      </c>
      <c r="M131" s="339"/>
      <c r="N131" s="339">
        <f t="shared" si="17"/>
        <v>1084.9279999999999</v>
      </c>
      <c r="O131" s="339"/>
      <c r="P131" s="339"/>
      <c r="Q131" s="339">
        <f t="shared" si="22"/>
        <v>359.65363199999996</v>
      </c>
      <c r="R131" s="339">
        <f t="shared" si="23"/>
        <v>15.731456</v>
      </c>
      <c r="S131" s="339"/>
      <c r="T131" s="339"/>
      <c r="U131" s="339"/>
      <c r="V131" s="339"/>
      <c r="W131" s="264">
        <f t="shared" si="18"/>
        <v>1460.3130879999999</v>
      </c>
      <c r="X131" s="339">
        <f t="shared" si="19"/>
        <v>0</v>
      </c>
      <c r="Y131" s="339"/>
      <c r="Z131" s="340">
        <f t="shared" si="20"/>
        <v>1460.3130879999999</v>
      </c>
      <c r="AA131" s="2"/>
    </row>
    <row r="132" spans="1:27" s="236" customFormat="1" ht="12.75" customHeight="1" x14ac:dyDescent="0.2">
      <c r="A132" s="16"/>
      <c r="B132" s="103">
        <v>0</v>
      </c>
      <c r="C132" s="16" t="s">
        <v>563</v>
      </c>
      <c r="D132" s="232" t="s">
        <v>722</v>
      </c>
      <c r="E132" s="19" t="s">
        <v>1214</v>
      </c>
      <c r="F132" s="16"/>
      <c r="G132" s="19"/>
      <c r="H132" s="341" t="s">
        <v>216</v>
      </c>
      <c r="I132" s="19" t="s">
        <v>19</v>
      </c>
      <c r="J132" s="19" t="s">
        <v>954</v>
      </c>
      <c r="K132" s="465">
        <f>52.16*4.75%</f>
        <v>2.4775999999999998</v>
      </c>
      <c r="L132" s="339">
        <v>2080</v>
      </c>
      <c r="M132" s="339"/>
      <c r="N132" s="339">
        <f t="shared" ref="N132:N133" si="24">L132*K132</f>
        <v>5153.4079999999994</v>
      </c>
      <c r="O132" s="339"/>
      <c r="P132" s="339"/>
      <c r="Q132" s="339">
        <f t="shared" ref="Q132" si="25">N132*0.3315</f>
        <v>1708.354752</v>
      </c>
      <c r="R132" s="339">
        <f t="shared" ref="R132" si="26">N132*0.0145</f>
        <v>74.724415999999991</v>
      </c>
      <c r="S132" s="339"/>
      <c r="T132" s="339"/>
      <c r="U132" s="339"/>
      <c r="V132" s="339"/>
      <c r="W132" s="264">
        <f t="shared" si="18"/>
        <v>6936.4871679999997</v>
      </c>
      <c r="X132" s="339"/>
      <c r="Y132" s="339"/>
      <c r="Z132" s="340">
        <f t="shared" si="20"/>
        <v>6936.4871679999997</v>
      </c>
      <c r="AA132" s="2"/>
    </row>
    <row r="133" spans="1:27" ht="12.75" customHeight="1" x14ac:dyDescent="0.2">
      <c r="A133" s="16"/>
      <c r="B133" s="103">
        <v>0</v>
      </c>
      <c r="C133" s="16" t="s">
        <v>563</v>
      </c>
      <c r="D133" s="232" t="s">
        <v>722</v>
      </c>
      <c r="E133" s="19" t="s">
        <v>1214</v>
      </c>
      <c r="F133" s="16"/>
      <c r="G133" s="19" t="s">
        <v>209</v>
      </c>
      <c r="H133" s="341" t="s">
        <v>216</v>
      </c>
      <c r="I133" s="396" t="s">
        <v>19</v>
      </c>
      <c r="J133" s="19" t="s">
        <v>1036</v>
      </c>
      <c r="K133" s="465">
        <f>52.16*1%</f>
        <v>0.52159999999999995</v>
      </c>
      <c r="L133" s="339">
        <v>2080</v>
      </c>
      <c r="M133" s="339"/>
      <c r="N133" s="339">
        <f t="shared" si="24"/>
        <v>1084.9279999999999</v>
      </c>
      <c r="O133" s="339"/>
      <c r="P133" s="339"/>
      <c r="Q133" s="339">
        <f t="shared" si="22"/>
        <v>359.65363199999996</v>
      </c>
      <c r="R133" s="339">
        <f t="shared" si="23"/>
        <v>15.731456</v>
      </c>
      <c r="S133" s="339"/>
      <c r="T133" s="339"/>
      <c r="U133" s="339"/>
      <c r="V133" s="339"/>
      <c r="W133" s="264">
        <f t="shared" si="18"/>
        <v>1460.3130879999999</v>
      </c>
      <c r="X133" s="339">
        <f t="shared" si="19"/>
        <v>0</v>
      </c>
      <c r="Y133" s="339"/>
      <c r="Z133" s="340">
        <f t="shared" si="20"/>
        <v>1460.3130879999999</v>
      </c>
      <c r="AA133" s="2"/>
    </row>
    <row r="134" spans="1:27" s="236" customFormat="1" ht="12.75" customHeight="1" x14ac:dyDescent="0.2">
      <c r="A134" s="16"/>
      <c r="B134" s="103">
        <v>0</v>
      </c>
      <c r="C134" s="16" t="s">
        <v>563</v>
      </c>
      <c r="D134" s="232" t="s">
        <v>722</v>
      </c>
      <c r="E134" s="19" t="s">
        <v>1214</v>
      </c>
      <c r="F134" s="16"/>
      <c r="G134" s="19" t="s">
        <v>209</v>
      </c>
      <c r="H134" s="341" t="s">
        <v>216</v>
      </c>
      <c r="I134" s="396" t="s">
        <v>19</v>
      </c>
      <c r="J134" s="19" t="s">
        <v>993</v>
      </c>
      <c r="K134" s="465">
        <f>52.16*1%</f>
        <v>0.52159999999999995</v>
      </c>
      <c r="L134" s="339">
        <v>2080</v>
      </c>
      <c r="M134" s="339"/>
      <c r="N134" s="339">
        <f t="shared" si="17"/>
        <v>1084.9279999999999</v>
      </c>
      <c r="O134" s="339"/>
      <c r="P134" s="339"/>
      <c r="Q134" s="339">
        <f t="shared" si="22"/>
        <v>359.65363199999996</v>
      </c>
      <c r="R134" s="339">
        <f t="shared" si="23"/>
        <v>15.731456</v>
      </c>
      <c r="S134" s="339"/>
      <c r="T134" s="339"/>
      <c r="U134" s="339"/>
      <c r="V134" s="339"/>
      <c r="W134" s="264">
        <f t="shared" si="18"/>
        <v>1460.3130879999999</v>
      </c>
      <c r="X134" s="339">
        <f t="shared" si="19"/>
        <v>0</v>
      </c>
      <c r="Y134" s="339"/>
      <c r="Z134" s="340">
        <f t="shared" si="20"/>
        <v>1460.3130879999999</v>
      </c>
      <c r="AA134" s="2"/>
    </row>
    <row r="135" spans="1:27" s="236" customFormat="1" ht="12.75" customHeight="1" x14ac:dyDescent="0.2">
      <c r="A135" s="16"/>
      <c r="B135" s="103">
        <v>0</v>
      </c>
      <c r="C135" s="16" t="s">
        <v>563</v>
      </c>
      <c r="D135" s="232" t="s">
        <v>722</v>
      </c>
      <c r="E135" s="19" t="s">
        <v>1214</v>
      </c>
      <c r="F135" s="16"/>
      <c r="G135" s="19"/>
      <c r="H135" s="341" t="s">
        <v>216</v>
      </c>
      <c r="I135" s="19" t="s">
        <v>19</v>
      </c>
      <c r="J135" s="19" t="s">
        <v>108</v>
      </c>
      <c r="K135" s="465">
        <f>52.16*0.25%</f>
        <v>0.13039999999999999</v>
      </c>
      <c r="L135" s="339">
        <v>2080</v>
      </c>
      <c r="M135" s="339"/>
      <c r="N135" s="339">
        <f t="shared" ref="N135" si="27">L135*K135</f>
        <v>271.23199999999997</v>
      </c>
      <c r="O135" s="339"/>
      <c r="P135" s="339"/>
      <c r="Q135" s="339">
        <f t="shared" ref="Q135" si="28">N135*0.3315</f>
        <v>89.91340799999999</v>
      </c>
      <c r="R135" s="339">
        <f t="shared" ref="R135" si="29">N135*0.0145</f>
        <v>3.9328639999999999</v>
      </c>
      <c r="S135" s="339"/>
      <c r="T135" s="339"/>
      <c r="U135" s="339"/>
      <c r="V135" s="339"/>
      <c r="W135" s="264">
        <f t="shared" si="18"/>
        <v>365.07827199999997</v>
      </c>
      <c r="X135" s="339"/>
      <c r="Y135" s="339"/>
      <c r="Z135" s="340">
        <f t="shared" si="20"/>
        <v>365.07827199999997</v>
      </c>
      <c r="AA135" s="2"/>
    </row>
    <row r="136" spans="1:27" s="236" customFormat="1" ht="12.75" customHeight="1" x14ac:dyDescent="0.2">
      <c r="A136" s="16"/>
      <c r="B136" s="103">
        <v>0</v>
      </c>
      <c r="C136" s="16" t="s">
        <v>563</v>
      </c>
      <c r="D136" s="232" t="s">
        <v>722</v>
      </c>
      <c r="E136" s="19" t="s">
        <v>1214</v>
      </c>
      <c r="F136" s="16"/>
      <c r="G136" s="19" t="s">
        <v>209</v>
      </c>
      <c r="H136" s="341" t="s">
        <v>216</v>
      </c>
      <c r="I136" s="396" t="s">
        <v>19</v>
      </c>
      <c r="J136" s="19" t="s">
        <v>995</v>
      </c>
      <c r="K136" s="465">
        <f>52.16*3%</f>
        <v>1.5647999999999997</v>
      </c>
      <c r="L136" s="339">
        <v>2080</v>
      </c>
      <c r="M136" s="339"/>
      <c r="N136" s="339">
        <f t="shared" si="17"/>
        <v>3254.7839999999997</v>
      </c>
      <c r="O136" s="339"/>
      <c r="P136" s="339"/>
      <c r="Q136" s="339">
        <f t="shared" si="22"/>
        <v>1078.960896</v>
      </c>
      <c r="R136" s="339">
        <f t="shared" si="23"/>
        <v>47.194367999999997</v>
      </c>
      <c r="S136" s="339"/>
      <c r="T136" s="339"/>
      <c r="U136" s="339"/>
      <c r="V136" s="339"/>
      <c r="W136" s="264">
        <f t="shared" si="18"/>
        <v>4380.9392640000005</v>
      </c>
      <c r="X136" s="339">
        <f t="shared" si="19"/>
        <v>0</v>
      </c>
      <c r="Y136" s="339"/>
      <c r="Z136" s="340">
        <f t="shared" si="20"/>
        <v>4380.9392640000005</v>
      </c>
      <c r="AA136" s="2"/>
    </row>
    <row r="137" spans="1:27" ht="12.75" customHeight="1" x14ac:dyDescent="0.2">
      <c r="A137" s="467"/>
      <c r="B137" s="467">
        <v>0</v>
      </c>
      <c r="C137" s="467" t="s">
        <v>563</v>
      </c>
      <c r="D137" s="468" t="s">
        <v>722</v>
      </c>
      <c r="E137" s="469" t="s">
        <v>1214</v>
      </c>
      <c r="F137" s="467"/>
      <c r="G137" s="469" t="s">
        <v>209</v>
      </c>
      <c r="H137" s="724" t="s">
        <v>216</v>
      </c>
      <c r="I137" s="470" t="s">
        <v>19</v>
      </c>
      <c r="J137" s="469" t="s">
        <v>1019</v>
      </c>
      <c r="K137" s="471">
        <f>52.16*54%</f>
        <v>28.166399999999999</v>
      </c>
      <c r="L137" s="472">
        <v>2080</v>
      </c>
      <c r="M137" s="472"/>
      <c r="N137" s="339">
        <f t="shared" si="17"/>
        <v>58586.112000000001</v>
      </c>
      <c r="O137" s="472"/>
      <c r="P137" s="472"/>
      <c r="Q137" s="339">
        <f t="shared" si="22"/>
        <v>19421.296128000002</v>
      </c>
      <c r="R137" s="472">
        <f t="shared" si="23"/>
        <v>849.49862400000006</v>
      </c>
      <c r="S137" s="472"/>
      <c r="T137" s="472">
        <v>8367.84</v>
      </c>
      <c r="U137" s="472"/>
      <c r="V137" s="472"/>
      <c r="W137" s="473">
        <f t="shared" si="18"/>
        <v>87224.746752000006</v>
      </c>
      <c r="X137" s="472">
        <f t="shared" si="19"/>
        <v>0</v>
      </c>
      <c r="Y137" s="472"/>
      <c r="Z137" s="474">
        <f t="shared" si="20"/>
        <v>87224.746752000006</v>
      </c>
      <c r="AA137" s="2"/>
    </row>
    <row r="138" spans="1:27" ht="12.75" customHeight="1" x14ac:dyDescent="0.2">
      <c r="A138" s="16"/>
      <c r="B138" s="467">
        <v>1</v>
      </c>
      <c r="C138" s="16" t="s">
        <v>711</v>
      </c>
      <c r="D138" s="232"/>
      <c r="E138" s="16" t="s">
        <v>804</v>
      </c>
      <c r="F138" s="16"/>
      <c r="G138" s="16"/>
      <c r="H138" s="16" t="s">
        <v>216</v>
      </c>
      <c r="I138" s="19" t="s">
        <v>19</v>
      </c>
      <c r="J138" s="19" t="s">
        <v>1019</v>
      </c>
      <c r="K138" s="339">
        <f>44.45*26%</f>
        <v>11.557</v>
      </c>
      <c r="L138" s="339">
        <v>2080</v>
      </c>
      <c r="M138" s="339"/>
      <c r="N138" s="339">
        <f t="shared" si="17"/>
        <v>24038.560000000001</v>
      </c>
      <c r="O138" s="339"/>
      <c r="P138" s="339"/>
      <c r="Q138" s="339">
        <f t="shared" si="22"/>
        <v>7968.7826400000013</v>
      </c>
      <c r="R138" s="339">
        <f t="shared" si="23"/>
        <v>348.55912000000006</v>
      </c>
      <c r="S138" s="339"/>
      <c r="T138" s="339">
        <v>9628.56</v>
      </c>
      <c r="U138" s="339">
        <v>935.28</v>
      </c>
      <c r="V138" s="339"/>
      <c r="W138" s="264">
        <f t="shared" si="18"/>
        <v>42919.741760000004</v>
      </c>
      <c r="X138" s="339">
        <f t="shared" si="19"/>
        <v>0</v>
      </c>
      <c r="Y138" s="339"/>
      <c r="Z138" s="340">
        <f t="shared" si="20"/>
        <v>42919.741760000004</v>
      </c>
      <c r="AA138" s="2">
        <f>[4]HR!$Z331-Z138</f>
        <v>-24579.952925360009</v>
      </c>
    </row>
    <row r="139" spans="1:27" s="467" customFormat="1" ht="12.75" customHeight="1" x14ac:dyDescent="0.2">
      <c r="A139" s="16"/>
      <c r="B139" s="467">
        <v>0</v>
      </c>
      <c r="C139" s="16" t="s">
        <v>711</v>
      </c>
      <c r="D139" s="232"/>
      <c r="E139" s="16" t="s">
        <v>804</v>
      </c>
      <c r="F139" s="16"/>
      <c r="G139" s="16"/>
      <c r="H139" s="16" t="s">
        <v>216</v>
      </c>
      <c r="I139" s="19" t="s">
        <v>19</v>
      </c>
      <c r="J139" s="19" t="s">
        <v>954</v>
      </c>
      <c r="K139" s="339">
        <f>44.45*10%</f>
        <v>4.4450000000000003</v>
      </c>
      <c r="L139" s="339">
        <v>2080</v>
      </c>
      <c r="M139" s="339"/>
      <c r="N139" s="339">
        <f t="shared" si="17"/>
        <v>9245.6</v>
      </c>
      <c r="O139" s="339"/>
      <c r="P139" s="339"/>
      <c r="Q139" s="339">
        <f t="shared" si="22"/>
        <v>3064.9164000000001</v>
      </c>
      <c r="R139" s="339">
        <f t="shared" si="23"/>
        <v>134.06120000000001</v>
      </c>
      <c r="S139" s="339"/>
      <c r="T139" s="339"/>
      <c r="U139" s="339"/>
      <c r="V139" s="339"/>
      <c r="W139" s="264">
        <f t="shared" si="18"/>
        <v>12444.577600000001</v>
      </c>
      <c r="X139" s="339">
        <f t="shared" si="19"/>
        <v>0</v>
      </c>
      <c r="Y139" s="339"/>
      <c r="Z139" s="340">
        <f t="shared" si="20"/>
        <v>12444.577600000001</v>
      </c>
      <c r="AA139" s="2">
        <f>[4]HR!$Z332-Z139</f>
        <v>26502.127791999996</v>
      </c>
    </row>
    <row r="140" spans="1:27" ht="12.75" customHeight="1" x14ac:dyDescent="0.2">
      <c r="A140" s="16"/>
      <c r="B140" s="467">
        <v>0</v>
      </c>
      <c r="C140" s="16" t="s">
        <v>711</v>
      </c>
      <c r="D140" s="232"/>
      <c r="E140" s="16" t="s">
        <v>804</v>
      </c>
      <c r="F140" s="16"/>
      <c r="G140" s="16"/>
      <c r="H140" s="16" t="s">
        <v>216</v>
      </c>
      <c r="I140" s="19" t="s">
        <v>19</v>
      </c>
      <c r="J140" s="19" t="s">
        <v>113</v>
      </c>
      <c r="K140" s="339">
        <f>44.45*10%</f>
        <v>4.4450000000000003</v>
      </c>
      <c r="L140" s="339">
        <v>2080</v>
      </c>
      <c r="M140" s="339"/>
      <c r="N140" s="339">
        <f t="shared" si="17"/>
        <v>9245.6</v>
      </c>
      <c r="O140" s="339"/>
      <c r="P140" s="339"/>
      <c r="Q140" s="339">
        <f t="shared" si="22"/>
        <v>3064.9164000000001</v>
      </c>
      <c r="R140" s="339">
        <f t="shared" si="23"/>
        <v>134.06120000000001</v>
      </c>
      <c r="S140" s="339"/>
      <c r="T140" s="339"/>
      <c r="U140" s="339"/>
      <c r="V140" s="339"/>
      <c r="W140" s="264">
        <f t="shared" si="18"/>
        <v>12444.577600000001</v>
      </c>
      <c r="X140" s="339">
        <f t="shared" si="19"/>
        <v>0</v>
      </c>
      <c r="Y140" s="339"/>
      <c r="Z140" s="340">
        <f t="shared" si="20"/>
        <v>12444.577600000001</v>
      </c>
      <c r="AA140" s="2">
        <f>[4]HR!$Z333-Z140</f>
        <v>17854.537791999999</v>
      </c>
    </row>
    <row r="141" spans="1:27" s="236" customFormat="1" ht="12.75" customHeight="1" x14ac:dyDescent="0.2">
      <c r="A141" s="16"/>
      <c r="B141" s="467">
        <v>0</v>
      </c>
      <c r="C141" s="16" t="s">
        <v>711</v>
      </c>
      <c r="D141" s="232"/>
      <c r="E141" s="16" t="s">
        <v>804</v>
      </c>
      <c r="F141" s="16"/>
      <c r="G141" s="16"/>
      <c r="H141" s="16" t="s">
        <v>216</v>
      </c>
      <c r="I141" s="19" t="s">
        <v>19</v>
      </c>
      <c r="J141" s="19" t="s">
        <v>957</v>
      </c>
      <c r="K141" s="339">
        <f>44.45*5%</f>
        <v>2.2225000000000001</v>
      </c>
      <c r="L141" s="339">
        <v>2080</v>
      </c>
      <c r="M141" s="339"/>
      <c r="N141" s="339">
        <f t="shared" si="17"/>
        <v>4622.8</v>
      </c>
      <c r="O141" s="339"/>
      <c r="P141" s="339"/>
      <c r="Q141" s="339">
        <f t="shared" si="22"/>
        <v>1532.4582</v>
      </c>
      <c r="R141" s="339">
        <f t="shared" si="23"/>
        <v>67.030600000000007</v>
      </c>
      <c r="S141" s="339"/>
      <c r="T141" s="339"/>
      <c r="U141" s="339"/>
      <c r="V141" s="339"/>
      <c r="W141" s="264">
        <f t="shared" si="18"/>
        <v>6222.2888000000003</v>
      </c>
      <c r="X141" s="339">
        <f t="shared" si="19"/>
        <v>0</v>
      </c>
      <c r="Y141" s="339"/>
      <c r="Z141" s="340">
        <f t="shared" si="20"/>
        <v>6222.2888000000003</v>
      </c>
      <c r="AA141" s="2"/>
    </row>
    <row r="142" spans="1:27" s="236" customFormat="1" ht="12.75" customHeight="1" x14ac:dyDescent="0.2">
      <c r="A142" s="16"/>
      <c r="B142" s="467">
        <v>0</v>
      </c>
      <c r="C142" s="16" t="s">
        <v>711</v>
      </c>
      <c r="D142" s="232"/>
      <c r="E142" s="16" t="s">
        <v>804</v>
      </c>
      <c r="F142" s="16"/>
      <c r="G142" s="16"/>
      <c r="H142" s="16" t="s">
        <v>216</v>
      </c>
      <c r="I142" s="19" t="s">
        <v>19</v>
      </c>
      <c r="J142" s="19" t="s">
        <v>1039</v>
      </c>
      <c r="K142" s="339">
        <f>44.45*1%</f>
        <v>0.44450000000000006</v>
      </c>
      <c r="L142" s="339">
        <v>2080</v>
      </c>
      <c r="M142" s="339"/>
      <c r="N142" s="339">
        <f t="shared" ref="N142:N148" si="30">L142*K142</f>
        <v>924.56000000000017</v>
      </c>
      <c r="O142" s="339"/>
      <c r="P142" s="339"/>
      <c r="Q142" s="339">
        <f t="shared" si="22"/>
        <v>306.49164000000007</v>
      </c>
      <c r="R142" s="339">
        <f t="shared" si="23"/>
        <v>13.406120000000003</v>
      </c>
      <c r="S142" s="339"/>
      <c r="T142" s="339"/>
      <c r="U142" s="339"/>
      <c r="V142" s="339"/>
      <c r="W142" s="264">
        <f t="shared" ref="W142:W148" si="31">SUM(N142:V142)</f>
        <v>1244.4577600000002</v>
      </c>
      <c r="X142" s="339">
        <f t="shared" ref="X142:X148" si="32">IF(Q142&lt;&gt;"",W142*$X$25,0)</f>
        <v>0</v>
      </c>
      <c r="Y142" s="339"/>
      <c r="Z142" s="340">
        <f t="shared" ref="Z142:Z148" si="33">Y142+X142+W142</f>
        <v>1244.4577600000002</v>
      </c>
      <c r="AA142" s="2"/>
    </row>
    <row r="143" spans="1:27" s="236" customFormat="1" ht="12.75" customHeight="1" x14ac:dyDescent="0.2">
      <c r="A143" s="16"/>
      <c r="B143" s="467">
        <v>0</v>
      </c>
      <c r="C143" s="16" t="s">
        <v>711</v>
      </c>
      <c r="D143" s="232"/>
      <c r="E143" s="16" t="s">
        <v>804</v>
      </c>
      <c r="F143" s="16"/>
      <c r="G143" s="16"/>
      <c r="H143" s="16" t="s">
        <v>216</v>
      </c>
      <c r="I143" s="19" t="s">
        <v>19</v>
      </c>
      <c r="J143" s="19" t="s">
        <v>1044</v>
      </c>
      <c r="K143" s="339">
        <f>44.45*10%</f>
        <v>4.4450000000000003</v>
      </c>
      <c r="L143" s="339">
        <v>2080</v>
      </c>
      <c r="M143" s="339"/>
      <c r="N143" s="339">
        <f t="shared" si="30"/>
        <v>9245.6</v>
      </c>
      <c r="O143" s="339"/>
      <c r="P143" s="339"/>
      <c r="Q143" s="339">
        <f t="shared" si="22"/>
        <v>3064.9164000000001</v>
      </c>
      <c r="R143" s="339">
        <f t="shared" si="23"/>
        <v>134.06120000000001</v>
      </c>
      <c r="S143" s="339"/>
      <c r="T143" s="339"/>
      <c r="U143" s="339"/>
      <c r="V143" s="339"/>
      <c r="W143" s="264">
        <f t="shared" si="31"/>
        <v>12444.577600000001</v>
      </c>
      <c r="X143" s="339">
        <f t="shared" si="32"/>
        <v>0</v>
      </c>
      <c r="Y143" s="339"/>
      <c r="Z143" s="340">
        <f t="shared" si="33"/>
        <v>12444.577600000001</v>
      </c>
      <c r="AA143" s="2"/>
    </row>
    <row r="144" spans="1:27" s="236" customFormat="1" ht="12.75" customHeight="1" x14ac:dyDescent="0.2">
      <c r="A144" s="16"/>
      <c r="B144" s="467">
        <v>0</v>
      </c>
      <c r="C144" s="16" t="s">
        <v>711</v>
      </c>
      <c r="D144" s="232"/>
      <c r="E144" s="16" t="s">
        <v>804</v>
      </c>
      <c r="F144" s="16"/>
      <c r="G144" s="16"/>
      <c r="H144" s="16" t="s">
        <v>216</v>
      </c>
      <c r="I144" s="19" t="s">
        <v>19</v>
      </c>
      <c r="J144" s="19" t="s">
        <v>1631</v>
      </c>
      <c r="K144" s="339">
        <f>44.45*10%</f>
        <v>4.4450000000000003</v>
      </c>
      <c r="L144" s="339">
        <v>2080</v>
      </c>
      <c r="M144" s="339"/>
      <c r="N144" s="339">
        <f t="shared" si="30"/>
        <v>9245.6</v>
      </c>
      <c r="O144" s="339"/>
      <c r="P144" s="339"/>
      <c r="Q144" s="339">
        <f t="shared" si="22"/>
        <v>3064.9164000000001</v>
      </c>
      <c r="R144" s="339">
        <f t="shared" si="23"/>
        <v>134.06120000000001</v>
      </c>
      <c r="S144" s="339"/>
      <c r="T144" s="339"/>
      <c r="U144" s="339"/>
      <c r="V144" s="339"/>
      <c r="W144" s="264">
        <f t="shared" si="31"/>
        <v>12444.577600000001</v>
      </c>
      <c r="X144" s="339">
        <f t="shared" si="32"/>
        <v>0</v>
      </c>
      <c r="Y144" s="339"/>
      <c r="Z144" s="340">
        <f t="shared" si="33"/>
        <v>12444.577600000001</v>
      </c>
      <c r="AA144" s="2"/>
    </row>
    <row r="145" spans="1:27" s="236" customFormat="1" ht="12.75" customHeight="1" x14ac:dyDescent="0.2">
      <c r="A145" s="16"/>
      <c r="B145" s="467">
        <v>0</v>
      </c>
      <c r="C145" s="16" t="s">
        <v>711</v>
      </c>
      <c r="D145" s="232"/>
      <c r="E145" s="16" t="s">
        <v>804</v>
      </c>
      <c r="F145" s="16"/>
      <c r="G145" s="16"/>
      <c r="H145" s="16" t="s">
        <v>216</v>
      </c>
      <c r="I145" s="19" t="s">
        <v>19</v>
      </c>
      <c r="J145" s="19" t="s">
        <v>958</v>
      </c>
      <c r="K145" s="339">
        <f>44.45*10%</f>
        <v>4.4450000000000003</v>
      </c>
      <c r="L145" s="339">
        <v>2080</v>
      </c>
      <c r="M145" s="339"/>
      <c r="N145" s="339">
        <f t="shared" si="30"/>
        <v>9245.6</v>
      </c>
      <c r="O145" s="339"/>
      <c r="P145" s="339"/>
      <c r="Q145" s="339">
        <f t="shared" si="22"/>
        <v>3064.9164000000001</v>
      </c>
      <c r="R145" s="339">
        <f t="shared" si="23"/>
        <v>134.06120000000001</v>
      </c>
      <c r="S145" s="339"/>
      <c r="T145" s="339"/>
      <c r="U145" s="339"/>
      <c r="V145" s="339"/>
      <c r="W145" s="264">
        <f t="shared" si="31"/>
        <v>12444.577600000001</v>
      </c>
      <c r="X145" s="339">
        <f t="shared" si="32"/>
        <v>0</v>
      </c>
      <c r="Y145" s="339"/>
      <c r="Z145" s="340">
        <f t="shared" si="33"/>
        <v>12444.577600000001</v>
      </c>
      <c r="AA145" s="2"/>
    </row>
    <row r="146" spans="1:27" s="236" customFormat="1" ht="12.75" customHeight="1" x14ac:dyDescent="0.2">
      <c r="A146" s="16"/>
      <c r="B146" s="467">
        <v>0</v>
      </c>
      <c r="C146" s="16" t="s">
        <v>711</v>
      </c>
      <c r="D146" s="232"/>
      <c r="E146" s="16" t="s">
        <v>804</v>
      </c>
      <c r="F146" s="16"/>
      <c r="G146" s="16"/>
      <c r="H146" s="16" t="s">
        <v>216</v>
      </c>
      <c r="I146" s="19" t="s">
        <v>19</v>
      </c>
      <c r="J146" s="19" t="s">
        <v>995</v>
      </c>
      <c r="K146" s="339">
        <f>44.45*2%</f>
        <v>0.88900000000000012</v>
      </c>
      <c r="L146" s="339">
        <v>2080</v>
      </c>
      <c r="M146" s="339"/>
      <c r="N146" s="339">
        <f t="shared" si="30"/>
        <v>1849.1200000000003</v>
      </c>
      <c r="O146" s="339"/>
      <c r="P146" s="339"/>
      <c r="Q146" s="339">
        <f t="shared" si="22"/>
        <v>612.98328000000015</v>
      </c>
      <c r="R146" s="339">
        <f t="shared" si="23"/>
        <v>26.812240000000006</v>
      </c>
      <c r="S146" s="339"/>
      <c r="T146" s="339"/>
      <c r="U146" s="339"/>
      <c r="V146" s="339"/>
      <c r="W146" s="264">
        <f t="shared" si="31"/>
        <v>2488.9155200000005</v>
      </c>
      <c r="X146" s="339">
        <f t="shared" si="32"/>
        <v>0</v>
      </c>
      <c r="Y146" s="339"/>
      <c r="Z146" s="340">
        <f t="shared" si="33"/>
        <v>2488.9155200000005</v>
      </c>
      <c r="AA146" s="2"/>
    </row>
    <row r="147" spans="1:27" s="236" customFormat="1" ht="12.75" customHeight="1" x14ac:dyDescent="0.2">
      <c r="A147" s="16"/>
      <c r="B147" s="467">
        <v>0</v>
      </c>
      <c r="C147" s="16" t="s">
        <v>711</v>
      </c>
      <c r="D147" s="232"/>
      <c r="E147" s="16" t="s">
        <v>804</v>
      </c>
      <c r="F147" s="16"/>
      <c r="G147" s="16"/>
      <c r="H147" s="16" t="s">
        <v>216</v>
      </c>
      <c r="I147" s="19" t="s">
        <v>19</v>
      </c>
      <c r="J147" s="19" t="s">
        <v>103</v>
      </c>
      <c r="K147" s="339">
        <f>44.45*15%</f>
        <v>6.6675000000000004</v>
      </c>
      <c r="L147" s="339">
        <v>2080</v>
      </c>
      <c r="M147" s="339"/>
      <c r="N147" s="339">
        <f t="shared" si="30"/>
        <v>13868.400000000001</v>
      </c>
      <c r="O147" s="339"/>
      <c r="P147" s="339"/>
      <c r="Q147" s="339">
        <f t="shared" si="22"/>
        <v>4597.374600000001</v>
      </c>
      <c r="R147" s="339">
        <f t="shared" si="23"/>
        <v>201.09180000000003</v>
      </c>
      <c r="S147" s="339"/>
      <c r="T147" s="339"/>
      <c r="U147" s="339"/>
      <c r="V147" s="339"/>
      <c r="W147" s="264">
        <f t="shared" si="31"/>
        <v>18666.866400000003</v>
      </c>
      <c r="X147" s="339">
        <f t="shared" si="32"/>
        <v>0</v>
      </c>
      <c r="Y147" s="339"/>
      <c r="Z147" s="340">
        <f t="shared" si="33"/>
        <v>18666.866400000003</v>
      </c>
      <c r="AA147" s="2"/>
    </row>
    <row r="148" spans="1:27" s="236" customFormat="1" ht="12.75" customHeight="1" x14ac:dyDescent="0.2">
      <c r="A148" s="16"/>
      <c r="B148" s="467">
        <v>0</v>
      </c>
      <c r="C148" s="16" t="s">
        <v>711</v>
      </c>
      <c r="D148" s="232"/>
      <c r="E148" s="16" t="s">
        <v>804</v>
      </c>
      <c r="F148" s="16"/>
      <c r="G148" s="16"/>
      <c r="H148" s="16" t="s">
        <v>216</v>
      </c>
      <c r="I148" s="19" t="s">
        <v>19</v>
      </c>
      <c r="J148" s="19" t="s">
        <v>97</v>
      </c>
      <c r="K148" s="339">
        <f>44.45*1%</f>
        <v>0.44450000000000006</v>
      </c>
      <c r="L148" s="339">
        <v>2080</v>
      </c>
      <c r="M148" s="339"/>
      <c r="N148" s="339">
        <f t="shared" si="30"/>
        <v>924.56000000000017</v>
      </c>
      <c r="O148" s="339"/>
      <c r="P148" s="339"/>
      <c r="Q148" s="339">
        <f t="shared" si="22"/>
        <v>306.49164000000007</v>
      </c>
      <c r="R148" s="339">
        <f t="shared" si="23"/>
        <v>13.406120000000003</v>
      </c>
      <c r="S148" s="339"/>
      <c r="T148" s="339"/>
      <c r="U148" s="339"/>
      <c r="V148" s="339"/>
      <c r="W148" s="264">
        <f t="shared" si="31"/>
        <v>1244.4577600000002</v>
      </c>
      <c r="X148" s="339">
        <f t="shared" si="32"/>
        <v>0</v>
      </c>
      <c r="Y148" s="339"/>
      <c r="Z148" s="340">
        <f t="shared" si="33"/>
        <v>1244.4577600000002</v>
      </c>
      <c r="AA148" s="2"/>
    </row>
    <row r="149" spans="1:27" ht="12.75" customHeight="1" x14ac:dyDescent="0.2">
      <c r="A149" s="467"/>
      <c r="B149" s="467">
        <v>1</v>
      </c>
      <c r="C149" s="467" t="s">
        <v>564</v>
      </c>
      <c r="D149" s="468" t="s">
        <v>719</v>
      </c>
      <c r="E149" s="469" t="s">
        <v>743</v>
      </c>
      <c r="F149" s="467"/>
      <c r="G149" s="469" t="s">
        <v>209</v>
      </c>
      <c r="H149" s="724" t="s">
        <v>216</v>
      </c>
      <c r="I149" s="470" t="s">
        <v>19</v>
      </c>
      <c r="J149" s="469" t="s">
        <v>1019</v>
      </c>
      <c r="K149" s="471">
        <v>29.94</v>
      </c>
      <c r="L149" s="472">
        <v>2080</v>
      </c>
      <c r="M149" s="472"/>
      <c r="N149" s="339">
        <f t="shared" ref="N149:N223" si="34">L149*K149</f>
        <v>62275.200000000004</v>
      </c>
      <c r="O149" s="475">
        <f>1*(3120)</f>
        <v>3120</v>
      </c>
      <c r="P149" s="472"/>
      <c r="Q149" s="339">
        <f t="shared" si="22"/>
        <v>20644.228800000001</v>
      </c>
      <c r="R149" s="472">
        <f>SUM(N149:O149)*0.0145</f>
        <v>948.23040000000015</v>
      </c>
      <c r="S149" s="472"/>
      <c r="T149" s="472">
        <v>9664.56</v>
      </c>
      <c r="U149" s="472">
        <v>702.48</v>
      </c>
      <c r="V149" s="472"/>
      <c r="W149" s="473">
        <f t="shared" ref="W149:W223" si="35">SUM(N149:V149)</f>
        <v>97354.699200000003</v>
      </c>
      <c r="X149" s="472">
        <f t="shared" ref="X149:X223" si="36">IF(Q149&lt;&gt;"",W149*$X$25,0)</f>
        <v>0</v>
      </c>
      <c r="Y149" s="472"/>
      <c r="Z149" s="474">
        <f t="shared" ref="Z149:Z223" si="37">Y149+X149+W149</f>
        <v>97354.699200000003</v>
      </c>
      <c r="AA149" s="2"/>
    </row>
    <row r="150" spans="1:27" s="236" customFormat="1" ht="12.75" customHeight="1" x14ac:dyDescent="0.2">
      <c r="A150" s="16"/>
      <c r="B150" s="467">
        <v>1</v>
      </c>
      <c r="C150" s="16" t="s">
        <v>593</v>
      </c>
      <c r="D150" s="232"/>
      <c r="E150" s="16" t="s">
        <v>744</v>
      </c>
      <c r="F150" s="16"/>
      <c r="G150" s="19"/>
      <c r="H150" s="16" t="s">
        <v>216</v>
      </c>
      <c r="I150" s="19" t="s">
        <v>19</v>
      </c>
      <c r="J150" s="19" t="s">
        <v>1019</v>
      </c>
      <c r="K150" s="339">
        <f>40.63*88.5%</f>
        <v>35.957550000000005</v>
      </c>
      <c r="L150" s="339">
        <f>2080</f>
        <v>2080</v>
      </c>
      <c r="M150" s="339"/>
      <c r="N150" s="339">
        <f t="shared" si="34"/>
        <v>74791.704000000012</v>
      </c>
      <c r="O150" s="339">
        <v>3120</v>
      </c>
      <c r="P150" s="339"/>
      <c r="Q150" s="339">
        <f t="shared" si="22"/>
        <v>24793.449876000006</v>
      </c>
      <c r="R150" s="339">
        <f>SUM(N150:O150)*0.0145</f>
        <v>1129.7197080000003</v>
      </c>
      <c r="S150" s="339"/>
      <c r="T150" s="339">
        <v>15333.6</v>
      </c>
      <c r="U150" s="339">
        <v>983.52</v>
      </c>
      <c r="V150" s="339"/>
      <c r="W150" s="264">
        <f t="shared" si="35"/>
        <v>120151.99358400004</v>
      </c>
      <c r="X150" s="339">
        <f t="shared" si="36"/>
        <v>0</v>
      </c>
      <c r="Y150" s="339"/>
      <c r="Z150" s="340">
        <f t="shared" si="37"/>
        <v>120151.99358400004</v>
      </c>
      <c r="AA150" s="2">
        <f>[4]HR!$Z639-Z150</f>
        <v>-108405.27922800004</v>
      </c>
    </row>
    <row r="151" spans="1:27" s="236" customFormat="1" ht="12.75" customHeight="1" x14ac:dyDescent="0.2">
      <c r="A151" s="16"/>
      <c r="B151" s="467">
        <v>0</v>
      </c>
      <c r="C151" s="103" t="s">
        <v>593</v>
      </c>
      <c r="D151" s="232"/>
      <c r="E151" s="16" t="s">
        <v>744</v>
      </c>
      <c r="F151" s="16"/>
      <c r="G151" s="19"/>
      <c r="H151" s="16" t="s">
        <v>216</v>
      </c>
      <c r="I151" s="19" t="s">
        <v>19</v>
      </c>
      <c r="J151" s="19" t="s">
        <v>47</v>
      </c>
      <c r="K151" s="339">
        <f>40.63*2%</f>
        <v>0.8126000000000001</v>
      </c>
      <c r="L151" s="339">
        <v>2080</v>
      </c>
      <c r="M151" s="339"/>
      <c r="N151" s="339">
        <f t="shared" si="34"/>
        <v>1690.2080000000003</v>
      </c>
      <c r="O151" s="339"/>
      <c r="P151" s="339"/>
      <c r="Q151" s="339">
        <f t="shared" si="22"/>
        <v>560.30395200000009</v>
      </c>
      <c r="R151" s="339">
        <f t="shared" ref="R151:R156" si="38">SUM(N151:O151)*0.0145</f>
        <v>24.508016000000005</v>
      </c>
      <c r="S151" s="339"/>
      <c r="T151" s="339"/>
      <c r="U151" s="339"/>
      <c r="V151" s="339"/>
      <c r="W151" s="264">
        <f t="shared" si="35"/>
        <v>2275.0199680000005</v>
      </c>
      <c r="X151" s="339"/>
      <c r="Y151" s="339"/>
      <c r="Z151" s="340">
        <f t="shared" si="37"/>
        <v>2275.0199680000005</v>
      </c>
      <c r="AA151" s="2"/>
    </row>
    <row r="152" spans="1:27" s="236" customFormat="1" ht="12.75" customHeight="1" x14ac:dyDescent="0.2">
      <c r="A152" s="16"/>
      <c r="B152" s="467">
        <v>0</v>
      </c>
      <c r="C152" s="103" t="s">
        <v>593</v>
      </c>
      <c r="D152" s="232"/>
      <c r="E152" s="16" t="s">
        <v>744</v>
      </c>
      <c r="F152" s="16"/>
      <c r="G152" s="19"/>
      <c r="H152" s="16" t="s">
        <v>216</v>
      </c>
      <c r="I152" s="237" t="s">
        <v>19</v>
      </c>
      <c r="J152" s="237" t="s">
        <v>48</v>
      </c>
      <c r="K152" s="339">
        <f t="shared" ref="K152:K154" si="39">40.63*2%</f>
        <v>0.8126000000000001</v>
      </c>
      <c r="L152" s="339">
        <v>2080</v>
      </c>
      <c r="M152" s="339"/>
      <c r="N152" s="339">
        <f t="shared" si="34"/>
        <v>1690.2080000000003</v>
      </c>
      <c r="O152" s="339"/>
      <c r="P152" s="339"/>
      <c r="Q152" s="339">
        <f t="shared" si="22"/>
        <v>560.30395200000009</v>
      </c>
      <c r="R152" s="339">
        <f t="shared" si="38"/>
        <v>24.508016000000005</v>
      </c>
      <c r="S152" s="339"/>
      <c r="T152" s="339"/>
      <c r="U152" s="339"/>
      <c r="V152" s="339"/>
      <c r="W152" s="264">
        <f t="shared" si="35"/>
        <v>2275.0199680000005</v>
      </c>
      <c r="X152" s="339"/>
      <c r="Y152" s="339"/>
      <c r="Z152" s="340">
        <f t="shared" si="37"/>
        <v>2275.0199680000005</v>
      </c>
      <c r="AA152" s="2"/>
    </row>
    <row r="153" spans="1:27" s="236" customFormat="1" ht="12.75" customHeight="1" x14ac:dyDescent="0.2">
      <c r="A153" s="16"/>
      <c r="B153" s="467">
        <v>0</v>
      </c>
      <c r="C153" s="103" t="s">
        <v>593</v>
      </c>
      <c r="D153" s="232"/>
      <c r="E153" s="16" t="s">
        <v>744</v>
      </c>
      <c r="F153" s="16"/>
      <c r="G153" s="19"/>
      <c r="H153" s="16" t="s">
        <v>216</v>
      </c>
      <c r="I153" s="237" t="s">
        <v>19</v>
      </c>
      <c r="J153" s="237" t="s">
        <v>979</v>
      </c>
      <c r="K153" s="339">
        <f>40.63*1%</f>
        <v>0.40630000000000005</v>
      </c>
      <c r="L153" s="339">
        <v>2080</v>
      </c>
      <c r="M153" s="339"/>
      <c r="N153" s="339">
        <f t="shared" si="34"/>
        <v>845.10400000000016</v>
      </c>
      <c r="O153" s="339"/>
      <c r="P153" s="339"/>
      <c r="Q153" s="339">
        <f t="shared" si="22"/>
        <v>280.15197600000005</v>
      </c>
      <c r="R153" s="339">
        <f t="shared" si="38"/>
        <v>12.254008000000002</v>
      </c>
      <c r="S153" s="339"/>
      <c r="T153" s="339"/>
      <c r="U153" s="339"/>
      <c r="V153" s="339"/>
      <c r="W153" s="264">
        <f t="shared" si="35"/>
        <v>1137.5099840000003</v>
      </c>
      <c r="X153" s="339"/>
      <c r="Y153" s="339"/>
      <c r="Z153" s="340">
        <f t="shared" si="37"/>
        <v>1137.5099840000003</v>
      </c>
      <c r="AA153" s="2"/>
    </row>
    <row r="154" spans="1:27" s="236" customFormat="1" ht="12.75" customHeight="1" x14ac:dyDescent="0.2">
      <c r="A154" s="16"/>
      <c r="B154" s="467">
        <v>0</v>
      </c>
      <c r="C154" s="103" t="s">
        <v>593</v>
      </c>
      <c r="D154" s="232"/>
      <c r="E154" s="16" t="s">
        <v>744</v>
      </c>
      <c r="F154" s="16"/>
      <c r="G154" s="19"/>
      <c r="H154" s="16" t="s">
        <v>216</v>
      </c>
      <c r="I154" s="237" t="s">
        <v>19</v>
      </c>
      <c r="J154" s="237" t="s">
        <v>124</v>
      </c>
      <c r="K154" s="339">
        <f t="shared" si="39"/>
        <v>0.8126000000000001</v>
      </c>
      <c r="L154" s="339">
        <v>2080</v>
      </c>
      <c r="M154" s="339"/>
      <c r="N154" s="339">
        <f t="shared" si="34"/>
        <v>1690.2080000000003</v>
      </c>
      <c r="O154" s="339"/>
      <c r="P154" s="339"/>
      <c r="Q154" s="339">
        <f t="shared" si="22"/>
        <v>560.30395200000009</v>
      </c>
      <c r="R154" s="339">
        <f t="shared" si="38"/>
        <v>24.508016000000005</v>
      </c>
      <c r="S154" s="339"/>
      <c r="T154" s="339"/>
      <c r="U154" s="339"/>
      <c r="V154" s="339"/>
      <c r="W154" s="264">
        <f t="shared" si="35"/>
        <v>2275.0199680000005</v>
      </c>
      <c r="X154" s="339"/>
      <c r="Y154" s="339"/>
      <c r="Z154" s="340">
        <f t="shared" si="37"/>
        <v>2275.0199680000005</v>
      </c>
      <c r="AA154" s="2"/>
    </row>
    <row r="155" spans="1:27" ht="12.75" customHeight="1" x14ac:dyDescent="0.2">
      <c r="A155" s="16"/>
      <c r="B155" s="467">
        <v>0</v>
      </c>
      <c r="C155" s="16" t="s">
        <v>593</v>
      </c>
      <c r="D155" s="232"/>
      <c r="E155" s="16" t="s">
        <v>744</v>
      </c>
      <c r="F155" s="16"/>
      <c r="G155" s="19"/>
      <c r="H155" s="16" t="s">
        <v>216</v>
      </c>
      <c r="I155" s="19" t="s">
        <v>19</v>
      </c>
      <c r="J155" s="19" t="s">
        <v>108</v>
      </c>
      <c r="K155" s="339">
        <f>40.63*3%</f>
        <v>1.2189000000000001</v>
      </c>
      <c r="L155" s="339">
        <f>2080</f>
        <v>2080</v>
      </c>
      <c r="M155" s="339"/>
      <c r="N155" s="339">
        <f t="shared" si="34"/>
        <v>2535.3120000000004</v>
      </c>
      <c r="O155" s="339"/>
      <c r="P155" s="339"/>
      <c r="Q155" s="339">
        <f t="shared" si="22"/>
        <v>840.4559280000002</v>
      </c>
      <c r="R155" s="339">
        <f t="shared" si="38"/>
        <v>36.762024000000004</v>
      </c>
      <c r="S155" s="339"/>
      <c r="T155" s="339"/>
      <c r="U155" s="339"/>
      <c r="V155" s="339"/>
      <c r="W155" s="264">
        <f t="shared" si="35"/>
        <v>3412.5299520000008</v>
      </c>
      <c r="X155" s="339">
        <f t="shared" si="36"/>
        <v>0</v>
      </c>
      <c r="Y155" s="339"/>
      <c r="Z155" s="340">
        <f t="shared" si="37"/>
        <v>3412.5299520000008</v>
      </c>
      <c r="AA155" s="2">
        <f>[4]HR!$Z640-Z155</f>
        <v>8334.1844039999978</v>
      </c>
    </row>
    <row r="156" spans="1:27" s="236" customFormat="1" ht="12.75" customHeight="1" x14ac:dyDescent="0.2">
      <c r="A156" s="16"/>
      <c r="B156" s="467">
        <v>0</v>
      </c>
      <c r="C156" s="16" t="s">
        <v>593</v>
      </c>
      <c r="D156" s="232"/>
      <c r="E156" s="16" t="s">
        <v>744</v>
      </c>
      <c r="F156" s="16"/>
      <c r="G156" s="19"/>
      <c r="H156" s="16" t="s">
        <v>216</v>
      </c>
      <c r="I156" s="19" t="s">
        <v>19</v>
      </c>
      <c r="J156" s="19" t="s">
        <v>109</v>
      </c>
      <c r="K156" s="339">
        <f>40.63*1.5%</f>
        <v>0.60945000000000005</v>
      </c>
      <c r="L156" s="339">
        <f>2080</f>
        <v>2080</v>
      </c>
      <c r="M156" s="339"/>
      <c r="N156" s="339">
        <f t="shared" si="34"/>
        <v>1267.6560000000002</v>
      </c>
      <c r="O156" s="339"/>
      <c r="P156" s="339"/>
      <c r="Q156" s="339">
        <f t="shared" si="22"/>
        <v>420.2279640000001</v>
      </c>
      <c r="R156" s="339">
        <f t="shared" si="38"/>
        <v>18.381012000000002</v>
      </c>
      <c r="S156" s="339"/>
      <c r="T156" s="339"/>
      <c r="U156" s="339"/>
      <c r="V156" s="339"/>
      <c r="W156" s="264">
        <f t="shared" si="35"/>
        <v>1706.2649760000004</v>
      </c>
      <c r="X156" s="339">
        <f t="shared" si="36"/>
        <v>0</v>
      </c>
      <c r="Y156" s="339"/>
      <c r="Z156" s="340">
        <f t="shared" si="37"/>
        <v>1706.2649760000004</v>
      </c>
      <c r="AA156" s="2">
        <f>[4]HR!$Z641-Z156</f>
        <v>10040.449379999998</v>
      </c>
    </row>
    <row r="157" spans="1:27" s="236" customFormat="1" ht="12.75" customHeight="1" x14ac:dyDescent="0.2">
      <c r="A157" s="16"/>
      <c r="B157" s="103">
        <v>1</v>
      </c>
      <c r="C157" s="16" t="s">
        <v>565</v>
      </c>
      <c r="D157" s="232" t="s">
        <v>718</v>
      </c>
      <c r="E157" s="19" t="s">
        <v>744</v>
      </c>
      <c r="F157" s="16"/>
      <c r="G157" s="19" t="s">
        <v>209</v>
      </c>
      <c r="H157" s="341" t="s">
        <v>216</v>
      </c>
      <c r="I157" s="396" t="s">
        <v>19</v>
      </c>
      <c r="J157" s="19" t="s">
        <v>1003</v>
      </c>
      <c r="K157" s="339">
        <f>41.5*23%</f>
        <v>9.5449999999999999</v>
      </c>
      <c r="L157" s="339">
        <v>2080</v>
      </c>
      <c r="M157" s="339"/>
      <c r="N157" s="339">
        <f t="shared" si="34"/>
        <v>19853.599999999999</v>
      </c>
      <c r="O157" s="339"/>
      <c r="P157" s="339"/>
      <c r="Q157" s="339">
        <f t="shared" si="22"/>
        <v>6581.4683999999997</v>
      </c>
      <c r="R157" s="472">
        <f>SUM(N157:O157)*0.0145</f>
        <v>287.87720000000002</v>
      </c>
      <c r="S157" s="339"/>
      <c r="T157" s="339"/>
      <c r="U157" s="339"/>
      <c r="V157" s="339"/>
      <c r="W157" s="264">
        <f t="shared" si="35"/>
        <v>26722.945599999995</v>
      </c>
      <c r="X157" s="339">
        <f t="shared" si="36"/>
        <v>0</v>
      </c>
      <c r="Y157" s="339"/>
      <c r="Z157" s="340">
        <f t="shared" si="37"/>
        <v>26722.945599999995</v>
      </c>
      <c r="AA157" s="2"/>
    </row>
    <row r="158" spans="1:27" s="236" customFormat="1" ht="12.75" customHeight="1" x14ac:dyDescent="0.2">
      <c r="A158" s="16"/>
      <c r="B158" s="103">
        <v>0</v>
      </c>
      <c r="C158" s="16" t="s">
        <v>565</v>
      </c>
      <c r="D158" s="232" t="s">
        <v>718</v>
      </c>
      <c r="E158" s="19" t="s">
        <v>744</v>
      </c>
      <c r="F158" s="16"/>
      <c r="G158" s="19" t="s">
        <v>209</v>
      </c>
      <c r="H158" s="341" t="s">
        <v>216</v>
      </c>
      <c r="I158" s="396" t="s">
        <v>19</v>
      </c>
      <c r="J158" s="19" t="s">
        <v>103</v>
      </c>
      <c r="K158" s="339">
        <f>41.5*75%</f>
        <v>31.125</v>
      </c>
      <c r="L158" s="339">
        <v>2080</v>
      </c>
      <c r="M158" s="339"/>
      <c r="N158" s="339">
        <f t="shared" si="34"/>
        <v>64740</v>
      </c>
      <c r="O158" s="339"/>
      <c r="P158" s="339"/>
      <c r="Q158" s="339">
        <f t="shared" si="22"/>
        <v>21461.31</v>
      </c>
      <c r="R158" s="472">
        <f>SUM(N158:O158)*0.0145</f>
        <v>938.73</v>
      </c>
      <c r="S158" s="339"/>
      <c r="T158" s="339"/>
      <c r="U158" s="339"/>
      <c r="V158" s="339"/>
      <c r="W158" s="264">
        <f t="shared" si="35"/>
        <v>87140.04</v>
      </c>
      <c r="X158" s="339">
        <f t="shared" si="36"/>
        <v>0</v>
      </c>
      <c r="Y158" s="339"/>
      <c r="Z158" s="340">
        <f t="shared" si="37"/>
        <v>87140.04</v>
      </c>
      <c r="AA158" s="2"/>
    </row>
    <row r="159" spans="1:27" s="467" customFormat="1" ht="12.75" customHeight="1" x14ac:dyDescent="0.2">
      <c r="B159" s="467">
        <v>0</v>
      </c>
      <c r="C159" s="467" t="s">
        <v>565</v>
      </c>
      <c r="D159" s="468" t="s">
        <v>718</v>
      </c>
      <c r="E159" s="469" t="s">
        <v>744</v>
      </c>
      <c r="G159" s="469" t="s">
        <v>209</v>
      </c>
      <c r="H159" s="341" t="s">
        <v>216</v>
      </c>
      <c r="I159" s="470" t="s">
        <v>19</v>
      </c>
      <c r="J159" s="469" t="s">
        <v>1019</v>
      </c>
      <c r="K159" s="472">
        <f>41.5*2%</f>
        <v>0.83000000000000007</v>
      </c>
      <c r="L159" s="472">
        <v>2080</v>
      </c>
      <c r="M159" s="472"/>
      <c r="N159" s="339">
        <f t="shared" si="34"/>
        <v>1726.4</v>
      </c>
      <c r="O159" s="471">
        <v>4160</v>
      </c>
      <c r="P159" s="472"/>
      <c r="Q159" s="339">
        <f t="shared" si="22"/>
        <v>572.30160000000001</v>
      </c>
      <c r="R159" s="472">
        <f>SUM(N159:O159)*0.0145</f>
        <v>85.352800000000002</v>
      </c>
      <c r="S159" s="472"/>
      <c r="T159" s="472">
        <v>9640.56</v>
      </c>
      <c r="U159" s="472">
        <v>702.48</v>
      </c>
      <c r="V159" s="472"/>
      <c r="W159" s="473">
        <f t="shared" si="35"/>
        <v>16887.094399999998</v>
      </c>
      <c r="X159" s="472">
        <f t="shared" si="36"/>
        <v>0</v>
      </c>
      <c r="Y159" s="472"/>
      <c r="Z159" s="474">
        <f t="shared" si="37"/>
        <v>16887.094399999998</v>
      </c>
      <c r="AA159" s="2"/>
    </row>
    <row r="160" spans="1:27" s="236" customFormat="1" ht="12.75" customHeight="1" x14ac:dyDescent="0.2">
      <c r="A160" s="16"/>
      <c r="B160" s="467">
        <v>1</v>
      </c>
      <c r="C160" s="16" t="s">
        <v>567</v>
      </c>
      <c r="D160" s="232" t="s">
        <v>714</v>
      </c>
      <c r="E160" s="19" t="s">
        <v>745</v>
      </c>
      <c r="F160" s="16"/>
      <c r="G160" s="16" t="s">
        <v>211</v>
      </c>
      <c r="H160" s="341" t="s">
        <v>216</v>
      </c>
      <c r="I160" s="396" t="s">
        <v>19</v>
      </c>
      <c r="J160" s="396" t="s">
        <v>979</v>
      </c>
      <c r="K160" s="339">
        <f>26.00962*2%</f>
        <v>0.5201924</v>
      </c>
      <c r="L160" s="339">
        <v>2080</v>
      </c>
      <c r="M160" s="339"/>
      <c r="N160" s="339">
        <f t="shared" si="34"/>
        <v>1082.000192</v>
      </c>
      <c r="O160" s="339"/>
      <c r="P160" s="339"/>
      <c r="Q160" s="339">
        <f t="shared" si="22"/>
        <v>358.68306364800003</v>
      </c>
      <c r="R160" s="339">
        <f>N160*0.0145</f>
        <v>15.689002783999999</v>
      </c>
      <c r="S160" s="339"/>
      <c r="T160" s="339"/>
      <c r="U160" s="339"/>
      <c r="V160" s="339"/>
      <c r="W160" s="264">
        <f t="shared" si="35"/>
        <v>1456.3722584319999</v>
      </c>
      <c r="X160" s="339">
        <f t="shared" si="36"/>
        <v>0</v>
      </c>
      <c r="Y160" s="339"/>
      <c r="Z160" s="340">
        <f t="shared" si="37"/>
        <v>1456.3722584319999</v>
      </c>
      <c r="AA160" s="2"/>
    </row>
    <row r="161" spans="1:27" s="236" customFormat="1" ht="12.75" customHeight="1" x14ac:dyDescent="0.2">
      <c r="A161" s="16"/>
      <c r="B161" s="467">
        <v>0</v>
      </c>
      <c r="C161" s="16" t="s">
        <v>567</v>
      </c>
      <c r="D161" s="232" t="s">
        <v>714</v>
      </c>
      <c r="E161" s="19" t="s">
        <v>745</v>
      </c>
      <c r="F161" s="16"/>
      <c r="G161" s="16" t="s">
        <v>211</v>
      </c>
      <c r="H161" s="341" t="s">
        <v>216</v>
      </c>
      <c r="I161" s="396" t="s">
        <v>19</v>
      </c>
      <c r="J161" s="19" t="s">
        <v>108</v>
      </c>
      <c r="K161" s="339">
        <f>26.00962*7%</f>
        <v>1.8206734000000002</v>
      </c>
      <c r="L161" s="339">
        <v>2080</v>
      </c>
      <c r="M161" s="339"/>
      <c r="N161" s="339">
        <f t="shared" si="34"/>
        <v>3787.0006720000006</v>
      </c>
      <c r="O161" s="339"/>
      <c r="P161" s="339"/>
      <c r="Q161" s="339">
        <f t="shared" si="22"/>
        <v>1255.3907227680002</v>
      </c>
      <c r="R161" s="339">
        <f>N161*0.0145</f>
        <v>54.911509744000014</v>
      </c>
      <c r="S161" s="339"/>
      <c r="T161" s="339"/>
      <c r="U161" s="339"/>
      <c r="V161" s="339"/>
      <c r="W161" s="264">
        <f t="shared" si="35"/>
        <v>5097.3029045120011</v>
      </c>
      <c r="X161" s="339">
        <f t="shared" si="36"/>
        <v>0</v>
      </c>
      <c r="Y161" s="339"/>
      <c r="Z161" s="340">
        <f t="shared" si="37"/>
        <v>5097.3029045120011</v>
      </c>
      <c r="AA161" s="2"/>
    </row>
    <row r="162" spans="1:27" s="236" customFormat="1" ht="12.75" customHeight="1" x14ac:dyDescent="0.2">
      <c r="A162" s="16"/>
      <c r="B162" s="467">
        <v>0</v>
      </c>
      <c r="C162" s="16" t="s">
        <v>567</v>
      </c>
      <c r="D162" s="232" t="s">
        <v>714</v>
      </c>
      <c r="E162" s="19" t="s">
        <v>745</v>
      </c>
      <c r="F162" s="16"/>
      <c r="G162" s="16" t="s">
        <v>211</v>
      </c>
      <c r="H162" s="341" t="s">
        <v>216</v>
      </c>
      <c r="I162" s="396" t="s">
        <v>19</v>
      </c>
      <c r="J162" s="19" t="s">
        <v>109</v>
      </c>
      <c r="K162" s="339">
        <f>26.00962*2%</f>
        <v>0.5201924</v>
      </c>
      <c r="L162" s="339">
        <v>2080</v>
      </c>
      <c r="M162" s="339"/>
      <c r="N162" s="339">
        <f t="shared" si="34"/>
        <v>1082.000192</v>
      </c>
      <c r="O162" s="339"/>
      <c r="P162" s="339"/>
      <c r="Q162" s="339">
        <f t="shared" si="22"/>
        <v>358.68306364800003</v>
      </c>
      <c r="R162" s="339">
        <f>N162*0.0145</f>
        <v>15.689002783999999</v>
      </c>
      <c r="S162" s="339"/>
      <c r="T162" s="339"/>
      <c r="U162" s="339"/>
      <c r="V162" s="339"/>
      <c r="W162" s="264">
        <f t="shared" si="35"/>
        <v>1456.3722584319999</v>
      </c>
      <c r="X162" s="339">
        <f t="shared" si="36"/>
        <v>0</v>
      </c>
      <c r="Y162" s="339"/>
      <c r="Z162" s="340">
        <f t="shared" si="37"/>
        <v>1456.3722584319999</v>
      </c>
      <c r="AA162" s="2"/>
    </row>
    <row r="163" spans="1:27" s="236" customFormat="1" ht="12.75" customHeight="1" x14ac:dyDescent="0.2">
      <c r="A163" s="467"/>
      <c r="B163" s="467">
        <v>0</v>
      </c>
      <c r="C163" s="467" t="s">
        <v>567</v>
      </c>
      <c r="D163" s="468" t="s">
        <v>714</v>
      </c>
      <c r="E163" s="469" t="s">
        <v>745</v>
      </c>
      <c r="F163" s="467"/>
      <c r="G163" s="467" t="s">
        <v>211</v>
      </c>
      <c r="H163" s="341" t="s">
        <v>216</v>
      </c>
      <c r="I163" s="470" t="s">
        <v>19</v>
      </c>
      <c r="J163" s="469" t="s">
        <v>1019</v>
      </c>
      <c r="K163" s="472">
        <f>26.00962*89%</f>
        <v>23.148561800000003</v>
      </c>
      <c r="L163" s="472">
        <v>2080</v>
      </c>
      <c r="M163" s="472"/>
      <c r="N163" s="339">
        <f t="shared" si="34"/>
        <v>48149.008544000004</v>
      </c>
      <c r="O163" s="475">
        <v>2080</v>
      </c>
      <c r="P163" s="472"/>
      <c r="Q163" s="339">
        <f t="shared" si="22"/>
        <v>15961.396332336002</v>
      </c>
      <c r="R163" s="472">
        <f>(N163+O163)*0.0145</f>
        <v>728.32062388800011</v>
      </c>
      <c r="S163" s="472"/>
      <c r="T163" s="472"/>
      <c r="U163" s="472"/>
      <c r="V163" s="472"/>
      <c r="W163" s="473">
        <f t="shared" si="35"/>
        <v>66918.725500223998</v>
      </c>
      <c r="X163" s="472">
        <f t="shared" si="36"/>
        <v>0</v>
      </c>
      <c r="Y163" s="472"/>
      <c r="Z163" s="474">
        <f t="shared" si="37"/>
        <v>66918.725500223998</v>
      </c>
      <c r="AA163" s="2"/>
    </row>
    <row r="164" spans="1:27" ht="12.75" customHeight="1" x14ac:dyDescent="0.2">
      <c r="A164" s="16"/>
      <c r="B164" s="467">
        <v>1</v>
      </c>
      <c r="C164" s="16" t="s">
        <v>568</v>
      </c>
      <c r="D164" s="232" t="s">
        <v>719</v>
      </c>
      <c r="E164" s="19" t="s">
        <v>743</v>
      </c>
      <c r="F164" s="16"/>
      <c r="G164" s="16" t="s">
        <v>209</v>
      </c>
      <c r="H164" s="341" t="s">
        <v>216</v>
      </c>
      <c r="I164" s="396" t="s">
        <v>19</v>
      </c>
      <c r="J164" s="16" t="s">
        <v>491</v>
      </c>
      <c r="K164" s="339">
        <f>32.33*7%</f>
        <v>2.2631000000000001</v>
      </c>
      <c r="L164" s="339">
        <v>2080</v>
      </c>
      <c r="M164" s="339"/>
      <c r="N164" s="339">
        <f t="shared" si="34"/>
        <v>4707.2480000000005</v>
      </c>
      <c r="O164" s="339"/>
      <c r="P164" s="339"/>
      <c r="Q164" s="339">
        <f t="shared" si="22"/>
        <v>1560.4527120000002</v>
      </c>
      <c r="R164" s="339">
        <f t="shared" ref="R164:R168" si="40">(N164+O164)*0.0145</f>
        <v>68.255096000000009</v>
      </c>
      <c r="S164" s="339"/>
      <c r="T164" s="339"/>
      <c r="U164" s="339"/>
      <c r="V164" s="339"/>
      <c r="W164" s="264">
        <f t="shared" si="35"/>
        <v>6335.9558080000006</v>
      </c>
      <c r="X164" s="339">
        <f t="shared" si="36"/>
        <v>0</v>
      </c>
      <c r="Y164" s="339"/>
      <c r="Z164" s="340">
        <f t="shared" si="37"/>
        <v>6335.9558080000006</v>
      </c>
      <c r="AA164" s="2"/>
    </row>
    <row r="165" spans="1:27" ht="12.75" customHeight="1" x14ac:dyDescent="0.2">
      <c r="A165" s="16"/>
      <c r="B165" s="467">
        <v>0</v>
      </c>
      <c r="C165" s="16" t="s">
        <v>568</v>
      </c>
      <c r="D165" s="232" t="s">
        <v>719</v>
      </c>
      <c r="E165" s="19" t="s">
        <v>743</v>
      </c>
      <c r="F165" s="16"/>
      <c r="G165" s="16" t="s">
        <v>209</v>
      </c>
      <c r="H165" s="341" t="s">
        <v>216</v>
      </c>
      <c r="I165" s="396" t="s">
        <v>19</v>
      </c>
      <c r="J165" s="19" t="s">
        <v>96</v>
      </c>
      <c r="K165" s="339">
        <f>32.33*50%</f>
        <v>16.164999999999999</v>
      </c>
      <c r="L165" s="339">
        <v>2080</v>
      </c>
      <c r="M165" s="339"/>
      <c r="N165" s="339">
        <f t="shared" si="34"/>
        <v>33623.199999999997</v>
      </c>
      <c r="O165" s="339"/>
      <c r="P165" s="339"/>
      <c r="Q165" s="339">
        <f t="shared" si="22"/>
        <v>11146.0908</v>
      </c>
      <c r="R165" s="339">
        <f t="shared" si="40"/>
        <v>487.53639999999996</v>
      </c>
      <c r="S165" s="339"/>
      <c r="T165" s="339"/>
      <c r="U165" s="339"/>
      <c r="V165" s="339"/>
      <c r="W165" s="264">
        <f t="shared" si="35"/>
        <v>45256.827199999992</v>
      </c>
      <c r="X165" s="339">
        <f t="shared" si="36"/>
        <v>0</v>
      </c>
      <c r="Y165" s="339"/>
      <c r="Z165" s="340">
        <f t="shared" si="37"/>
        <v>45256.827199999992</v>
      </c>
      <c r="AA165" s="2"/>
    </row>
    <row r="166" spans="1:27" s="236" customFormat="1" ht="12.75" customHeight="1" x14ac:dyDescent="0.2">
      <c r="A166" s="16"/>
      <c r="B166" s="467">
        <v>0</v>
      </c>
      <c r="C166" s="16" t="s">
        <v>568</v>
      </c>
      <c r="D166" s="232" t="s">
        <v>719</v>
      </c>
      <c r="E166" s="19" t="s">
        <v>743</v>
      </c>
      <c r="F166" s="16"/>
      <c r="G166" s="16" t="s">
        <v>209</v>
      </c>
      <c r="H166" s="341" t="s">
        <v>216</v>
      </c>
      <c r="I166" s="396" t="s">
        <v>19</v>
      </c>
      <c r="J166" s="19" t="s">
        <v>1049</v>
      </c>
      <c r="K166" s="339">
        <f>32.33*5%</f>
        <v>1.6165</v>
      </c>
      <c r="L166" s="339">
        <v>2080</v>
      </c>
      <c r="M166" s="339"/>
      <c r="N166" s="339">
        <f t="shared" si="34"/>
        <v>3362.32</v>
      </c>
      <c r="O166" s="339"/>
      <c r="P166" s="339"/>
      <c r="Q166" s="339">
        <f t="shared" si="22"/>
        <v>1114.6090800000002</v>
      </c>
      <c r="R166" s="339">
        <f t="shared" si="40"/>
        <v>48.753640000000004</v>
      </c>
      <c r="S166" s="339"/>
      <c r="T166" s="339"/>
      <c r="U166" s="339"/>
      <c r="V166" s="339"/>
      <c r="W166" s="264">
        <f t="shared" si="35"/>
        <v>4525.6827199999998</v>
      </c>
      <c r="X166" s="339">
        <f t="shared" si="36"/>
        <v>0</v>
      </c>
      <c r="Y166" s="339"/>
      <c r="Z166" s="340">
        <f t="shared" si="37"/>
        <v>4525.6827199999998</v>
      </c>
      <c r="AA166" s="2"/>
    </row>
    <row r="167" spans="1:27" s="236" customFormat="1" ht="12.75" customHeight="1" x14ac:dyDescent="0.2">
      <c r="A167" s="16"/>
      <c r="B167" s="467">
        <v>0</v>
      </c>
      <c r="C167" s="16" t="s">
        <v>568</v>
      </c>
      <c r="D167" s="232" t="s">
        <v>719</v>
      </c>
      <c r="E167" s="19" t="s">
        <v>743</v>
      </c>
      <c r="F167" s="16"/>
      <c r="G167" s="16" t="s">
        <v>209</v>
      </c>
      <c r="H167" s="341" t="s">
        <v>216</v>
      </c>
      <c r="I167" s="396" t="s">
        <v>19</v>
      </c>
      <c r="J167" s="19" t="s">
        <v>1019</v>
      </c>
      <c r="K167" s="339">
        <f>32.33*12%</f>
        <v>3.8795999999999995</v>
      </c>
      <c r="L167" s="339">
        <v>2080</v>
      </c>
      <c r="M167" s="339"/>
      <c r="N167" s="339">
        <f t="shared" si="34"/>
        <v>8069.5679999999993</v>
      </c>
      <c r="O167" s="478">
        <v>4160</v>
      </c>
      <c r="P167" s="339"/>
      <c r="Q167" s="339">
        <f t="shared" si="22"/>
        <v>2675.061792</v>
      </c>
      <c r="R167" s="339">
        <f t="shared" si="40"/>
        <v>177.32873599999999</v>
      </c>
      <c r="S167" s="339"/>
      <c r="T167" s="339">
        <v>8367.84</v>
      </c>
      <c r="U167" s="339">
        <v>983.52</v>
      </c>
      <c r="V167" s="339"/>
      <c r="W167" s="264">
        <f t="shared" si="35"/>
        <v>24433.318528</v>
      </c>
      <c r="X167" s="339">
        <f t="shared" si="36"/>
        <v>0</v>
      </c>
      <c r="Y167" s="339"/>
      <c r="Z167" s="340">
        <f t="shared" si="37"/>
        <v>24433.318528</v>
      </c>
      <c r="AA167" s="2"/>
    </row>
    <row r="168" spans="1:27" s="467" customFormat="1" ht="12.75" customHeight="1" x14ac:dyDescent="0.2">
      <c r="A168" s="16"/>
      <c r="B168" s="467">
        <v>0</v>
      </c>
      <c r="C168" s="19" t="s">
        <v>568</v>
      </c>
      <c r="D168" s="232" t="s">
        <v>719</v>
      </c>
      <c r="E168" s="19" t="s">
        <v>743</v>
      </c>
      <c r="F168" s="19"/>
      <c r="G168" s="19" t="s">
        <v>209</v>
      </c>
      <c r="H168" s="341" t="s">
        <v>216</v>
      </c>
      <c r="I168" s="396" t="s">
        <v>19</v>
      </c>
      <c r="J168" s="19" t="s">
        <v>103</v>
      </c>
      <c r="K168" s="339">
        <f>32.33*25%</f>
        <v>8.0824999999999996</v>
      </c>
      <c r="L168" s="339">
        <v>2080</v>
      </c>
      <c r="M168" s="339"/>
      <c r="N168" s="339">
        <f t="shared" si="34"/>
        <v>16811.599999999999</v>
      </c>
      <c r="O168" s="339"/>
      <c r="P168" s="339"/>
      <c r="Q168" s="339">
        <f t="shared" si="22"/>
        <v>5573.0454</v>
      </c>
      <c r="R168" s="339">
        <f t="shared" si="40"/>
        <v>243.76819999999998</v>
      </c>
      <c r="S168" s="339"/>
      <c r="T168" s="339"/>
      <c r="U168" s="339"/>
      <c r="V168" s="339"/>
      <c r="W168" s="264">
        <f t="shared" si="35"/>
        <v>22628.413599999996</v>
      </c>
      <c r="X168" s="339">
        <f t="shared" si="36"/>
        <v>0</v>
      </c>
      <c r="Y168" s="339"/>
      <c r="Z168" s="340">
        <f t="shared" si="37"/>
        <v>22628.413599999996</v>
      </c>
      <c r="AA168" s="2"/>
    </row>
    <row r="169" spans="1:27" s="236" customFormat="1" ht="12.75" customHeight="1" x14ac:dyDescent="0.2">
      <c r="A169" s="467"/>
      <c r="B169" s="467">
        <v>0</v>
      </c>
      <c r="C169" s="467" t="s">
        <v>568</v>
      </c>
      <c r="D169" s="468" t="s">
        <v>719</v>
      </c>
      <c r="E169" s="469" t="s">
        <v>743</v>
      </c>
      <c r="F169" s="467"/>
      <c r="G169" s="467" t="s">
        <v>209</v>
      </c>
      <c r="H169" s="341" t="s">
        <v>216</v>
      </c>
      <c r="I169" s="470" t="s">
        <v>19</v>
      </c>
      <c r="J169" s="19" t="s">
        <v>1797</v>
      </c>
      <c r="K169" s="472">
        <f>32.33*1%</f>
        <v>0.32329999999999998</v>
      </c>
      <c r="L169" s="472">
        <v>2080</v>
      </c>
      <c r="M169" s="472"/>
      <c r="N169" s="339">
        <f t="shared" si="34"/>
        <v>672.46399999999994</v>
      </c>
      <c r="O169" s="472"/>
      <c r="P169" s="472"/>
      <c r="Q169" s="339">
        <f t="shared" si="22"/>
        <v>222.92181599999998</v>
      </c>
      <c r="R169" s="472">
        <f>N169*0.0145</f>
        <v>9.7507280000000005</v>
      </c>
      <c r="S169" s="472"/>
      <c r="T169" s="472"/>
      <c r="U169" s="472"/>
      <c r="V169" s="472"/>
      <c r="W169" s="473">
        <f t="shared" si="35"/>
        <v>905.13654399999996</v>
      </c>
      <c r="X169" s="472">
        <f t="shared" si="36"/>
        <v>0</v>
      </c>
      <c r="Y169" s="472"/>
      <c r="Z169" s="474">
        <f t="shared" si="37"/>
        <v>905.13654399999996</v>
      </c>
      <c r="AA169" s="2"/>
    </row>
    <row r="170" spans="1:27" s="16" customFormat="1" ht="12.75" customHeight="1" x14ac:dyDescent="0.2">
      <c r="B170" s="467">
        <v>1</v>
      </c>
      <c r="C170" s="16" t="s">
        <v>594</v>
      </c>
      <c r="D170" s="232"/>
      <c r="E170" s="16" t="s">
        <v>766</v>
      </c>
      <c r="H170" s="16" t="s">
        <v>216</v>
      </c>
      <c r="I170" s="19" t="s">
        <v>22</v>
      </c>
      <c r="J170" s="19" t="s">
        <v>1019</v>
      </c>
      <c r="K170" s="339">
        <f>30.57*35%</f>
        <v>10.699499999999999</v>
      </c>
      <c r="L170" s="339">
        <v>2080</v>
      </c>
      <c r="M170" s="339"/>
      <c r="N170" s="339">
        <f t="shared" si="34"/>
        <v>22254.959999999995</v>
      </c>
      <c r="O170" s="339"/>
      <c r="P170" s="339"/>
      <c r="Q170" s="339">
        <f t="shared" si="22"/>
        <v>7377.5192399999987</v>
      </c>
      <c r="R170" s="339">
        <f>N170*0.0145</f>
        <v>322.69691999999998</v>
      </c>
      <c r="S170" s="339"/>
      <c r="T170" s="339">
        <v>8723.0400000000009</v>
      </c>
      <c r="U170" s="339">
        <v>323.04000000000002</v>
      </c>
      <c r="V170" s="339"/>
      <c r="W170" s="264">
        <f t="shared" si="35"/>
        <v>39001.256159999997</v>
      </c>
      <c r="X170" s="339">
        <f t="shared" si="36"/>
        <v>0</v>
      </c>
      <c r="Y170" s="339"/>
      <c r="Z170" s="340">
        <f t="shared" si="37"/>
        <v>39001.256159999997</v>
      </c>
      <c r="AA170" s="2"/>
    </row>
    <row r="171" spans="1:27" s="16" customFormat="1" ht="12.75" customHeight="1" x14ac:dyDescent="0.2">
      <c r="B171" s="467">
        <v>0</v>
      </c>
      <c r="C171" s="16" t="s">
        <v>594</v>
      </c>
      <c r="D171" s="232"/>
      <c r="E171" s="16" t="s">
        <v>766</v>
      </c>
      <c r="H171" s="16" t="s">
        <v>216</v>
      </c>
      <c r="I171" s="19" t="s">
        <v>22</v>
      </c>
      <c r="J171" s="19" t="s">
        <v>96</v>
      </c>
      <c r="K171" s="339">
        <f>30.57*30%</f>
        <v>9.1709999999999994</v>
      </c>
      <c r="L171" s="339">
        <v>2080</v>
      </c>
      <c r="M171" s="339"/>
      <c r="N171" s="339">
        <f t="shared" si="34"/>
        <v>19075.68</v>
      </c>
      <c r="O171" s="339"/>
      <c r="P171" s="339"/>
      <c r="Q171" s="339">
        <f t="shared" si="22"/>
        <v>6323.5879200000008</v>
      </c>
      <c r="R171" s="339">
        <f t="shared" ref="R171:R174" si="41">N171*0.0145</f>
        <v>276.59736000000004</v>
      </c>
      <c r="S171" s="339"/>
      <c r="T171" s="339"/>
      <c r="U171" s="339"/>
      <c r="V171" s="339"/>
      <c r="W171" s="264">
        <f t="shared" si="35"/>
        <v>25675.865280000002</v>
      </c>
      <c r="X171" s="339"/>
      <c r="Y171" s="339"/>
      <c r="Z171" s="340">
        <f t="shared" si="37"/>
        <v>25675.865280000002</v>
      </c>
      <c r="AA171" s="2"/>
    </row>
    <row r="172" spans="1:27" s="16" customFormat="1" ht="12.75" customHeight="1" x14ac:dyDescent="0.2">
      <c r="B172" s="467">
        <v>0</v>
      </c>
      <c r="C172" s="16" t="s">
        <v>594</v>
      </c>
      <c r="D172" s="232"/>
      <c r="E172" s="16" t="s">
        <v>766</v>
      </c>
      <c r="H172" s="16" t="s">
        <v>216</v>
      </c>
      <c r="I172" s="19" t="s">
        <v>22</v>
      </c>
      <c r="J172" s="19" t="s">
        <v>983</v>
      </c>
      <c r="K172" s="339">
        <f>30.57*25%</f>
        <v>7.6425000000000001</v>
      </c>
      <c r="L172" s="339">
        <v>2080</v>
      </c>
      <c r="M172" s="339"/>
      <c r="N172" s="339">
        <f t="shared" si="34"/>
        <v>15896.4</v>
      </c>
      <c r="O172" s="339"/>
      <c r="P172" s="339"/>
      <c r="Q172" s="339">
        <f t="shared" si="22"/>
        <v>5269.6566000000003</v>
      </c>
      <c r="R172" s="339">
        <f t="shared" si="41"/>
        <v>230.49780000000001</v>
      </c>
      <c r="S172" s="339"/>
      <c r="T172" s="339"/>
      <c r="U172" s="339"/>
      <c r="V172" s="339"/>
      <c r="W172" s="264">
        <f t="shared" si="35"/>
        <v>21396.554400000001</v>
      </c>
      <c r="X172" s="339"/>
      <c r="Y172" s="339"/>
      <c r="Z172" s="340">
        <f t="shared" si="37"/>
        <v>21396.554400000001</v>
      </c>
      <c r="AA172" s="2"/>
    </row>
    <row r="173" spans="1:27" s="16" customFormat="1" ht="12.75" customHeight="1" x14ac:dyDescent="0.2">
      <c r="B173" s="467">
        <v>0</v>
      </c>
      <c r="C173" s="16" t="s">
        <v>594</v>
      </c>
      <c r="D173" s="232"/>
      <c r="E173" s="16" t="s">
        <v>766</v>
      </c>
      <c r="H173" s="16" t="s">
        <v>216</v>
      </c>
      <c r="I173" s="19" t="s">
        <v>22</v>
      </c>
      <c r="J173" s="19" t="s">
        <v>99</v>
      </c>
      <c r="K173" s="339">
        <f>30.57*10%</f>
        <v>3.0570000000000004</v>
      </c>
      <c r="L173" s="339">
        <v>2080</v>
      </c>
      <c r="M173" s="339"/>
      <c r="N173" s="339">
        <f t="shared" si="34"/>
        <v>6358.56</v>
      </c>
      <c r="O173" s="339"/>
      <c r="P173" s="339"/>
      <c r="Q173" s="339">
        <f t="shared" si="22"/>
        <v>2107.8626400000003</v>
      </c>
      <c r="R173" s="339">
        <f t="shared" si="41"/>
        <v>92.199120000000008</v>
      </c>
      <c r="S173" s="339"/>
      <c r="T173" s="339"/>
      <c r="U173" s="339"/>
      <c r="V173" s="339"/>
      <c r="W173" s="264">
        <f t="shared" si="35"/>
        <v>8558.62176</v>
      </c>
      <c r="X173" s="339"/>
      <c r="Y173" s="339"/>
      <c r="Z173" s="340">
        <f t="shared" si="37"/>
        <v>8558.62176</v>
      </c>
      <c r="AA173" s="2"/>
    </row>
    <row r="174" spans="1:27" s="16" customFormat="1" ht="12.75" customHeight="1" x14ac:dyDescent="0.2">
      <c r="B174" s="16">
        <v>1</v>
      </c>
      <c r="C174" s="16" t="s">
        <v>1634</v>
      </c>
      <c r="D174" s="232"/>
      <c r="E174" s="16" t="s">
        <v>751</v>
      </c>
      <c r="G174" s="19"/>
      <c r="H174" s="16" t="s">
        <v>216</v>
      </c>
      <c r="I174" s="19" t="s">
        <v>24</v>
      </c>
      <c r="J174" s="19" t="s">
        <v>108</v>
      </c>
      <c r="K174" s="339">
        <f>57.69225*55%</f>
        <v>31.730737500000004</v>
      </c>
      <c r="L174" s="339">
        <v>2080</v>
      </c>
      <c r="M174" s="339"/>
      <c r="N174" s="339">
        <f t="shared" si="34"/>
        <v>65999.934000000008</v>
      </c>
      <c r="O174" s="339"/>
      <c r="P174" s="339"/>
      <c r="Q174" s="339">
        <f t="shared" si="22"/>
        <v>21878.978121000004</v>
      </c>
      <c r="R174" s="339">
        <f t="shared" si="41"/>
        <v>956.99904300000014</v>
      </c>
      <c r="S174" s="339"/>
      <c r="T174" s="339">
        <v>7092.48</v>
      </c>
      <c r="U174" s="339">
        <v>323.04000000000002</v>
      </c>
      <c r="V174" s="339"/>
      <c r="W174" s="264">
        <f t="shared" si="35"/>
        <v>96251.431164000009</v>
      </c>
      <c r="X174" s="339">
        <f t="shared" si="36"/>
        <v>0</v>
      </c>
      <c r="Y174" s="339"/>
      <c r="Z174" s="340">
        <f t="shared" si="37"/>
        <v>96251.431164000009</v>
      </c>
      <c r="AA174" s="2"/>
    </row>
    <row r="175" spans="1:27" s="16" customFormat="1" ht="12.75" customHeight="1" x14ac:dyDescent="0.2">
      <c r="B175" s="16">
        <v>0</v>
      </c>
      <c r="C175" s="16" t="s">
        <v>1634</v>
      </c>
      <c r="D175" s="232"/>
      <c r="E175" s="16" t="s">
        <v>751</v>
      </c>
      <c r="G175" s="19"/>
      <c r="H175" s="16" t="s">
        <v>216</v>
      </c>
      <c r="I175" s="19" t="s">
        <v>24</v>
      </c>
      <c r="J175" s="19" t="s">
        <v>124</v>
      </c>
      <c r="K175" s="339">
        <f>57.69225*15%</f>
        <v>8.6538374999999998</v>
      </c>
      <c r="L175" s="339">
        <v>2080</v>
      </c>
      <c r="M175" s="339"/>
      <c r="N175" s="339">
        <f t="shared" si="34"/>
        <v>17999.982</v>
      </c>
      <c r="O175" s="339"/>
      <c r="P175" s="339"/>
      <c r="Q175" s="339">
        <f t="shared" si="22"/>
        <v>5966.9940329999999</v>
      </c>
      <c r="R175" s="339">
        <f>(N175+O175+P175)*0.0145</f>
        <v>260.99973900000003</v>
      </c>
      <c r="S175" s="339"/>
      <c r="T175" s="339"/>
      <c r="U175" s="339"/>
      <c r="V175" s="339"/>
      <c r="W175" s="264">
        <f t="shared" si="35"/>
        <v>24227.975771999998</v>
      </c>
      <c r="X175" s="339">
        <f t="shared" si="36"/>
        <v>0</v>
      </c>
      <c r="Y175" s="339"/>
      <c r="Z175" s="340">
        <f t="shared" si="37"/>
        <v>24227.975771999998</v>
      </c>
      <c r="AA175" s="2"/>
    </row>
    <row r="176" spans="1:27" s="236" customFormat="1" ht="12.75" customHeight="1" x14ac:dyDescent="0.2">
      <c r="A176" s="16"/>
      <c r="B176" s="16">
        <v>0</v>
      </c>
      <c r="C176" s="16" t="s">
        <v>1634</v>
      </c>
      <c r="D176" s="232"/>
      <c r="E176" s="16" t="s">
        <v>751</v>
      </c>
      <c r="F176" s="16"/>
      <c r="G176" s="19"/>
      <c r="H176" s="16" t="s">
        <v>216</v>
      </c>
      <c r="I176" s="19" t="s">
        <v>24</v>
      </c>
      <c r="J176" s="19" t="s">
        <v>47</v>
      </c>
      <c r="K176" s="339">
        <f>57.69225*15%</f>
        <v>8.6538374999999998</v>
      </c>
      <c r="L176" s="339">
        <v>2080</v>
      </c>
      <c r="M176" s="339"/>
      <c r="N176" s="339">
        <f t="shared" si="34"/>
        <v>17999.982</v>
      </c>
      <c r="O176" s="339"/>
      <c r="P176" s="339"/>
      <c r="Q176" s="339">
        <f t="shared" si="22"/>
        <v>5966.9940329999999</v>
      </c>
      <c r="R176" s="339">
        <f>(N176+O176+P176)*0.0145</f>
        <v>260.99973900000003</v>
      </c>
      <c r="S176" s="339"/>
      <c r="T176" s="339"/>
      <c r="U176" s="339"/>
      <c r="V176" s="339"/>
      <c r="W176" s="264">
        <f t="shared" si="35"/>
        <v>24227.975771999998</v>
      </c>
      <c r="X176" s="339">
        <f t="shared" si="36"/>
        <v>0</v>
      </c>
      <c r="Y176" s="339"/>
      <c r="Z176" s="340">
        <f t="shared" si="37"/>
        <v>24227.975771999998</v>
      </c>
      <c r="AA176" s="2"/>
    </row>
    <row r="177" spans="1:27" s="236" customFormat="1" ht="12.75" customHeight="1" x14ac:dyDescent="0.2">
      <c r="A177" s="16"/>
      <c r="B177" s="103">
        <v>0</v>
      </c>
      <c r="C177" s="103" t="s">
        <v>1634</v>
      </c>
      <c r="D177" s="232"/>
      <c r="E177" s="103" t="s">
        <v>751</v>
      </c>
      <c r="F177" s="16"/>
      <c r="G177" s="19"/>
      <c r="H177" s="16" t="s">
        <v>216</v>
      </c>
      <c r="I177" s="237" t="s">
        <v>24</v>
      </c>
      <c r="J177" s="237" t="s">
        <v>48</v>
      </c>
      <c r="K177" s="339">
        <f>57.69225*15%</f>
        <v>8.6538374999999998</v>
      </c>
      <c r="L177" s="339">
        <v>2080</v>
      </c>
      <c r="M177" s="339"/>
      <c r="N177" s="339">
        <f t="shared" si="34"/>
        <v>17999.982</v>
      </c>
      <c r="O177" s="339"/>
      <c r="P177" s="339"/>
      <c r="Q177" s="339">
        <f t="shared" si="22"/>
        <v>5966.9940329999999</v>
      </c>
      <c r="R177" s="339">
        <f t="shared" ref="R177:R178" si="42">(N177+O177+P177)*0.0145</f>
        <v>260.99973900000003</v>
      </c>
      <c r="S177" s="339"/>
      <c r="T177" s="339"/>
      <c r="U177" s="339"/>
      <c r="V177" s="339"/>
      <c r="W177" s="264">
        <f t="shared" si="35"/>
        <v>24227.975771999998</v>
      </c>
      <c r="X177" s="339">
        <f t="shared" si="36"/>
        <v>0</v>
      </c>
      <c r="Y177" s="339"/>
      <c r="Z177" s="340">
        <f t="shared" si="37"/>
        <v>24227.975771999998</v>
      </c>
      <c r="AA177" s="2"/>
    </row>
    <row r="178" spans="1:27" s="236" customFormat="1" ht="12.75" customHeight="1" x14ac:dyDescent="0.2">
      <c r="A178" s="16"/>
      <c r="B178" s="467">
        <v>1</v>
      </c>
      <c r="C178" s="19" t="s">
        <v>1635</v>
      </c>
      <c r="D178" s="232"/>
      <c r="E178" s="16" t="s">
        <v>787</v>
      </c>
      <c r="F178" s="19"/>
      <c r="G178" s="19"/>
      <c r="H178" s="16" t="s">
        <v>216</v>
      </c>
      <c r="I178" s="19" t="s">
        <v>24</v>
      </c>
      <c r="J178" s="19" t="s">
        <v>1019</v>
      </c>
      <c r="K178" s="339">
        <f>21.634615*100%</f>
        <v>21.634615</v>
      </c>
      <c r="L178" s="339">
        <v>2080</v>
      </c>
      <c r="M178" s="339"/>
      <c r="N178" s="339">
        <f t="shared" si="34"/>
        <v>44999.999199999998</v>
      </c>
      <c r="O178" s="339"/>
      <c r="P178" s="339"/>
      <c r="Q178" s="339">
        <f t="shared" si="22"/>
        <v>14917.4997348</v>
      </c>
      <c r="R178" s="339">
        <f t="shared" si="42"/>
        <v>652.49998840000001</v>
      </c>
      <c r="S178" s="339"/>
      <c r="T178" s="339"/>
      <c r="U178" s="339"/>
      <c r="V178" s="339"/>
      <c r="W178" s="264">
        <f t="shared" si="35"/>
        <v>60569.998923199993</v>
      </c>
      <c r="X178" s="339">
        <f t="shared" si="36"/>
        <v>0</v>
      </c>
      <c r="Y178" s="339"/>
      <c r="Z178" s="340">
        <f t="shared" si="37"/>
        <v>60569.998923199993</v>
      </c>
      <c r="AA178" s="2"/>
    </row>
    <row r="179" spans="1:27" s="236" customFormat="1" ht="12.75" customHeight="1" x14ac:dyDescent="0.2">
      <c r="A179" s="16"/>
      <c r="B179" s="467">
        <v>1</v>
      </c>
      <c r="C179" s="16" t="s">
        <v>694</v>
      </c>
      <c r="D179" s="232"/>
      <c r="E179" s="16" t="s">
        <v>800</v>
      </c>
      <c r="F179" s="16"/>
      <c r="G179" s="16"/>
      <c r="H179" s="16" t="s">
        <v>216</v>
      </c>
      <c r="I179" s="19" t="s">
        <v>24</v>
      </c>
      <c r="J179" s="19" t="s">
        <v>976</v>
      </c>
      <c r="K179" s="339">
        <f>39.75*34%</f>
        <v>13.515000000000001</v>
      </c>
      <c r="L179" s="339">
        <v>2080</v>
      </c>
      <c r="M179" s="339"/>
      <c r="N179" s="339">
        <f t="shared" si="34"/>
        <v>28111.200000000001</v>
      </c>
      <c r="O179" s="339">
        <v>2080</v>
      </c>
      <c r="P179" s="339"/>
      <c r="Q179" s="339">
        <f t="shared" ref="Q179:Q258" si="43">N179*0.3315</f>
        <v>9318.8628000000008</v>
      </c>
      <c r="R179" s="339">
        <f>(N179+O179)*0.0145</f>
        <v>437.7724</v>
      </c>
      <c r="S179" s="339"/>
      <c r="T179" s="339">
        <v>8432.64</v>
      </c>
      <c r="U179" s="339">
        <v>323.04000000000002</v>
      </c>
      <c r="V179" s="339"/>
      <c r="W179" s="264">
        <f t="shared" si="35"/>
        <v>48703.515200000002</v>
      </c>
      <c r="X179" s="339">
        <f t="shared" si="36"/>
        <v>0</v>
      </c>
      <c r="Y179" s="339"/>
      <c r="Z179" s="340">
        <f t="shared" si="37"/>
        <v>48703.515200000002</v>
      </c>
      <c r="AA179" s="2">
        <f>[4]HR!$Z258-Z179</f>
        <v>5954.4346400000068</v>
      </c>
    </row>
    <row r="180" spans="1:27" s="236" customFormat="1" ht="12.75" customHeight="1" x14ac:dyDescent="0.2">
      <c r="A180" s="16"/>
      <c r="B180" s="467">
        <v>0</v>
      </c>
      <c r="C180" s="16" t="s">
        <v>694</v>
      </c>
      <c r="D180" s="232"/>
      <c r="E180" s="16" t="s">
        <v>800</v>
      </c>
      <c r="F180" s="16"/>
      <c r="G180" s="16"/>
      <c r="H180" s="16" t="s">
        <v>216</v>
      </c>
      <c r="I180" s="19" t="s">
        <v>24</v>
      </c>
      <c r="J180" s="19" t="s">
        <v>1057</v>
      </c>
      <c r="K180" s="339">
        <f>39.75*33%</f>
        <v>13.117500000000001</v>
      </c>
      <c r="L180" s="339">
        <v>2080</v>
      </c>
      <c r="M180" s="339"/>
      <c r="N180" s="339">
        <f t="shared" si="34"/>
        <v>27284.400000000001</v>
      </c>
      <c r="O180" s="339"/>
      <c r="P180" s="339"/>
      <c r="Q180" s="339">
        <f t="shared" si="43"/>
        <v>9044.7786000000015</v>
      </c>
      <c r="R180" s="339">
        <f>N180*0.0145</f>
        <v>395.62380000000002</v>
      </c>
      <c r="S180" s="339"/>
      <c r="T180" s="339"/>
      <c r="U180" s="339"/>
      <c r="V180" s="339"/>
      <c r="W180" s="264">
        <f t="shared" si="35"/>
        <v>36724.8024</v>
      </c>
      <c r="X180" s="339">
        <f t="shared" si="36"/>
        <v>0</v>
      </c>
      <c r="Y180" s="339"/>
      <c r="Z180" s="340">
        <f t="shared" si="37"/>
        <v>36724.8024</v>
      </c>
      <c r="AA180" s="2">
        <f>[4]HR!$Z259-Z180</f>
        <v>18972.767424000012</v>
      </c>
    </row>
    <row r="181" spans="1:27" s="236" customFormat="1" ht="12.75" customHeight="1" x14ac:dyDescent="0.2">
      <c r="A181" s="16"/>
      <c r="B181" s="467">
        <v>0</v>
      </c>
      <c r="C181" s="16" t="s">
        <v>694</v>
      </c>
      <c r="D181" s="232"/>
      <c r="E181" s="16" t="s">
        <v>800</v>
      </c>
      <c r="F181" s="16"/>
      <c r="G181" s="16"/>
      <c r="H181" s="16" t="s">
        <v>216</v>
      </c>
      <c r="I181" s="19" t="s">
        <v>24</v>
      </c>
      <c r="J181" s="19" t="s">
        <v>978</v>
      </c>
      <c r="K181" s="339">
        <f>39.75*33%</f>
        <v>13.117500000000001</v>
      </c>
      <c r="L181" s="339">
        <v>2080</v>
      </c>
      <c r="M181" s="339"/>
      <c r="N181" s="339">
        <f t="shared" si="34"/>
        <v>27284.400000000001</v>
      </c>
      <c r="O181" s="339"/>
      <c r="P181" s="339"/>
      <c r="Q181" s="339">
        <f t="shared" si="43"/>
        <v>9044.7786000000015</v>
      </c>
      <c r="R181" s="339">
        <f>N181*0.0145</f>
        <v>395.62380000000002</v>
      </c>
      <c r="S181" s="339"/>
      <c r="T181" s="339"/>
      <c r="U181" s="339"/>
      <c r="V181" s="339"/>
      <c r="W181" s="264">
        <f t="shared" si="35"/>
        <v>36724.8024</v>
      </c>
      <c r="X181" s="339">
        <f t="shared" si="36"/>
        <v>0</v>
      </c>
      <c r="Y181" s="339"/>
      <c r="Z181" s="340">
        <f t="shared" si="37"/>
        <v>36724.8024</v>
      </c>
      <c r="AA181" s="2">
        <f>[4]HR!$Z260-Z181</f>
        <v>-18158.945791999999</v>
      </c>
    </row>
    <row r="182" spans="1:27" s="236" customFormat="1" ht="12.75" customHeight="1" x14ac:dyDescent="0.2">
      <c r="A182" s="16"/>
      <c r="B182" s="467">
        <v>1</v>
      </c>
      <c r="C182" s="16" t="s">
        <v>695</v>
      </c>
      <c r="D182" s="232"/>
      <c r="E182" s="16" t="s">
        <v>767</v>
      </c>
      <c r="F182" s="19"/>
      <c r="G182" s="19"/>
      <c r="H182" s="16" t="s">
        <v>216</v>
      </c>
      <c r="I182" s="19" t="s">
        <v>24</v>
      </c>
      <c r="J182" s="19" t="s">
        <v>108</v>
      </c>
      <c r="K182" s="339">
        <f>33.75*60%</f>
        <v>20.25</v>
      </c>
      <c r="L182" s="339">
        <v>1040</v>
      </c>
      <c r="M182" s="339"/>
      <c r="N182" s="339">
        <f t="shared" si="34"/>
        <v>21060</v>
      </c>
      <c r="O182" s="339"/>
      <c r="P182" s="339"/>
      <c r="Q182" s="339">
        <f t="shared" si="43"/>
        <v>6981.39</v>
      </c>
      <c r="R182" s="339">
        <f>N182*0.0145</f>
        <v>305.37</v>
      </c>
      <c r="S182" s="339"/>
      <c r="T182" s="339"/>
      <c r="U182" s="339"/>
      <c r="V182" s="339"/>
      <c r="W182" s="264">
        <f t="shared" si="35"/>
        <v>28346.76</v>
      </c>
      <c r="X182" s="339">
        <f t="shared" si="36"/>
        <v>0</v>
      </c>
      <c r="Y182" s="339"/>
      <c r="Z182" s="340">
        <f t="shared" si="37"/>
        <v>28346.76</v>
      </c>
      <c r="AA182" s="2">
        <f>[4]HR!$Z261-Z182</f>
        <v>-14422.367543999995</v>
      </c>
    </row>
    <row r="183" spans="1:27" s="236" customFormat="1" ht="12.75" customHeight="1" x14ac:dyDescent="0.2">
      <c r="A183" s="16"/>
      <c r="B183" s="467">
        <v>0</v>
      </c>
      <c r="C183" s="16" t="s">
        <v>695</v>
      </c>
      <c r="D183" s="232"/>
      <c r="E183" s="16" t="s">
        <v>767</v>
      </c>
      <c r="F183" s="19"/>
      <c r="G183" s="19"/>
      <c r="H183" s="16" t="s">
        <v>216</v>
      </c>
      <c r="I183" s="19" t="s">
        <v>24</v>
      </c>
      <c r="J183" s="19" t="s">
        <v>99</v>
      </c>
      <c r="K183" s="339">
        <f>33.75*25%</f>
        <v>8.4375</v>
      </c>
      <c r="L183" s="339">
        <v>1040</v>
      </c>
      <c r="M183" s="339"/>
      <c r="N183" s="339">
        <f t="shared" si="34"/>
        <v>8775</v>
      </c>
      <c r="O183" s="339"/>
      <c r="P183" s="339"/>
      <c r="Q183" s="339">
        <f t="shared" si="43"/>
        <v>2908.9125000000004</v>
      </c>
      <c r="R183" s="339">
        <f>N183*0.0145</f>
        <v>127.23750000000001</v>
      </c>
      <c r="S183" s="339"/>
      <c r="T183" s="339"/>
      <c r="U183" s="339"/>
      <c r="V183" s="339"/>
      <c r="W183" s="264">
        <f t="shared" si="35"/>
        <v>11811.15</v>
      </c>
      <c r="X183" s="339">
        <f t="shared" si="36"/>
        <v>0</v>
      </c>
      <c r="Y183" s="339"/>
      <c r="Z183" s="340">
        <f t="shared" si="37"/>
        <v>11811.15</v>
      </c>
      <c r="AA183" s="2">
        <f>[4]HR!$Z262-Z183</f>
        <v>-3772.1630529999984</v>
      </c>
    </row>
    <row r="184" spans="1:27" s="236" customFormat="1" ht="12.75" customHeight="1" x14ac:dyDescent="0.2">
      <c r="A184" s="16"/>
      <c r="B184" s="467">
        <v>0</v>
      </c>
      <c r="C184" s="16" t="s">
        <v>695</v>
      </c>
      <c r="D184" s="232"/>
      <c r="E184" s="16" t="s">
        <v>767</v>
      </c>
      <c r="F184" s="19"/>
      <c r="G184" s="19"/>
      <c r="H184" s="16" t="s">
        <v>216</v>
      </c>
      <c r="I184" s="19" t="s">
        <v>24</v>
      </c>
      <c r="J184" s="19" t="s">
        <v>96</v>
      </c>
      <c r="K184" s="339">
        <f>33.75*15%</f>
        <v>5.0625</v>
      </c>
      <c r="L184" s="339">
        <v>1040</v>
      </c>
      <c r="M184" s="339"/>
      <c r="N184" s="339">
        <f t="shared" si="34"/>
        <v>5265</v>
      </c>
      <c r="O184" s="339"/>
      <c r="P184" s="339"/>
      <c r="Q184" s="339">
        <f t="shared" si="43"/>
        <v>1745.3475000000001</v>
      </c>
      <c r="R184" s="339">
        <f>(N184+O184)*0.0145</f>
        <v>76.342500000000001</v>
      </c>
      <c r="S184" s="339"/>
      <c r="T184" s="339"/>
      <c r="U184" s="339"/>
      <c r="V184" s="339"/>
      <c r="W184" s="264">
        <f t="shared" si="35"/>
        <v>7086.69</v>
      </c>
      <c r="X184" s="339">
        <f t="shared" si="36"/>
        <v>0</v>
      </c>
      <c r="Y184" s="339"/>
      <c r="Z184" s="340">
        <f t="shared" si="37"/>
        <v>7086.69</v>
      </c>
      <c r="AA184" s="2">
        <f>[4]HR!$Z263-Z184</f>
        <v>26851.095335999995</v>
      </c>
    </row>
    <row r="185" spans="1:27" s="236" customFormat="1" ht="12.75" customHeight="1" x14ac:dyDescent="0.2">
      <c r="A185" s="16"/>
      <c r="B185" s="467">
        <v>0</v>
      </c>
      <c r="C185" s="16" t="s">
        <v>695</v>
      </c>
      <c r="D185" s="232"/>
      <c r="E185" s="16" t="s">
        <v>767</v>
      </c>
      <c r="F185" s="19"/>
      <c r="G185" s="19"/>
      <c r="H185" s="16" t="s">
        <v>216</v>
      </c>
      <c r="I185" s="19" t="s">
        <v>24</v>
      </c>
      <c r="J185" s="19" t="s">
        <v>1019</v>
      </c>
      <c r="K185" s="339"/>
      <c r="L185" s="339"/>
      <c r="M185" s="339"/>
      <c r="N185" s="339">
        <f t="shared" ref="N185" si="44">L185*K185</f>
        <v>0</v>
      </c>
      <c r="O185" s="339">
        <v>2080</v>
      </c>
      <c r="P185" s="339">
        <v>10125</v>
      </c>
      <c r="Q185" s="339">
        <f t="shared" ref="Q185" si="45">N185*0.3315</f>
        <v>0</v>
      </c>
      <c r="R185" s="339">
        <f>(N185+O185)*0.0145</f>
        <v>30.16</v>
      </c>
      <c r="S185" s="339"/>
      <c r="T185" s="339">
        <v>216</v>
      </c>
      <c r="U185" s="339"/>
      <c r="V185" s="339"/>
      <c r="W185" s="264">
        <f t="shared" ref="W185" si="46">SUM(N185:V185)</f>
        <v>12451.16</v>
      </c>
      <c r="X185" s="339">
        <f t="shared" ref="X185" si="47">IF(Q185&lt;&gt;"",W185*$X$25,0)</f>
        <v>0</v>
      </c>
      <c r="Y185" s="339"/>
      <c r="Z185" s="340">
        <f t="shared" ref="Z185" si="48">Y185+X185+W185</f>
        <v>12451.16</v>
      </c>
      <c r="AA185" s="2">
        <f>[4]HR!$Z264-Z185</f>
        <v>6941.8601920000001</v>
      </c>
    </row>
    <row r="186" spans="1:27" s="236" customFormat="1" ht="12.75" customHeight="1" x14ac:dyDescent="0.2">
      <c r="A186" s="16"/>
      <c r="B186" s="467">
        <v>1</v>
      </c>
      <c r="C186" s="16" t="s">
        <v>696</v>
      </c>
      <c r="D186" s="232"/>
      <c r="E186" s="16" t="s">
        <v>779</v>
      </c>
      <c r="F186" s="16"/>
      <c r="G186" s="19"/>
      <c r="H186" s="16" t="s">
        <v>216</v>
      </c>
      <c r="I186" s="19" t="s">
        <v>24</v>
      </c>
      <c r="J186" s="19" t="s">
        <v>99</v>
      </c>
      <c r="K186" s="339">
        <f>35.6*25%</f>
        <v>8.9</v>
      </c>
      <c r="L186" s="339">
        <v>2080</v>
      </c>
      <c r="M186" s="339"/>
      <c r="N186" s="339">
        <f t="shared" si="34"/>
        <v>18512</v>
      </c>
      <c r="O186" s="339"/>
      <c r="P186" s="339"/>
      <c r="Q186" s="339">
        <f t="shared" si="43"/>
        <v>6136.7280000000001</v>
      </c>
      <c r="R186" s="339">
        <f t="shared" ref="R186:R192" si="49">N186*0.0145</f>
        <v>268.42400000000004</v>
      </c>
      <c r="S186" s="339"/>
      <c r="T186" s="339"/>
      <c r="U186" s="339"/>
      <c r="V186" s="339"/>
      <c r="W186" s="264">
        <f t="shared" si="35"/>
        <v>24917.151999999998</v>
      </c>
      <c r="X186" s="339">
        <f t="shared" si="36"/>
        <v>0</v>
      </c>
      <c r="Y186" s="339"/>
      <c r="Z186" s="340">
        <f t="shared" si="37"/>
        <v>24917.151999999998</v>
      </c>
      <c r="AA186" s="2">
        <f>[4]HR!$Z265-Z186</f>
        <v>-15220.641903999998</v>
      </c>
    </row>
    <row r="187" spans="1:27" s="236" customFormat="1" ht="12.75" customHeight="1" x14ac:dyDescent="0.2">
      <c r="A187" s="16"/>
      <c r="B187" s="467">
        <v>0</v>
      </c>
      <c r="C187" s="16" t="s">
        <v>696</v>
      </c>
      <c r="D187" s="232"/>
      <c r="E187" s="16" t="s">
        <v>779</v>
      </c>
      <c r="F187" s="16"/>
      <c r="G187" s="19"/>
      <c r="H187" s="16" t="s">
        <v>216</v>
      </c>
      <c r="I187" s="19" t="s">
        <v>24</v>
      </c>
      <c r="J187" s="19" t="s">
        <v>96</v>
      </c>
      <c r="K187" s="339">
        <f>35.6*20%</f>
        <v>7.120000000000001</v>
      </c>
      <c r="L187" s="339">
        <v>2080</v>
      </c>
      <c r="M187" s="339"/>
      <c r="N187" s="339">
        <f t="shared" si="34"/>
        <v>14809.600000000002</v>
      </c>
      <c r="O187" s="339"/>
      <c r="P187" s="339"/>
      <c r="Q187" s="339">
        <f t="shared" si="43"/>
        <v>4909.3824000000013</v>
      </c>
      <c r="R187" s="339">
        <f t="shared" si="49"/>
        <v>214.73920000000004</v>
      </c>
      <c r="S187" s="339"/>
      <c r="T187" s="339"/>
      <c r="U187" s="339"/>
      <c r="V187" s="339"/>
      <c r="W187" s="264">
        <f t="shared" si="35"/>
        <v>19933.721600000004</v>
      </c>
      <c r="X187" s="339">
        <f t="shared" si="36"/>
        <v>0</v>
      </c>
      <c r="Y187" s="339"/>
      <c r="Z187" s="340">
        <f t="shared" si="37"/>
        <v>19933.721600000004</v>
      </c>
      <c r="AA187" s="2">
        <f>[4]HR!$Z266-Z187</f>
        <v>-10237.211504000004</v>
      </c>
    </row>
    <row r="188" spans="1:27" s="236" customFormat="1" ht="12.75" customHeight="1" x14ac:dyDescent="0.2">
      <c r="A188" s="16"/>
      <c r="B188" s="467">
        <v>0</v>
      </c>
      <c r="C188" s="16" t="s">
        <v>696</v>
      </c>
      <c r="D188" s="232"/>
      <c r="E188" s="16" t="s">
        <v>779</v>
      </c>
      <c r="F188" s="16"/>
      <c r="G188" s="19"/>
      <c r="H188" s="16" t="s">
        <v>216</v>
      </c>
      <c r="I188" s="19" t="s">
        <v>24</v>
      </c>
      <c r="J188" s="16" t="s">
        <v>491</v>
      </c>
      <c r="K188" s="339">
        <f>35.6*10%</f>
        <v>3.5600000000000005</v>
      </c>
      <c r="L188" s="339">
        <v>2080</v>
      </c>
      <c r="M188" s="339"/>
      <c r="N188" s="339">
        <f t="shared" si="34"/>
        <v>7404.8000000000011</v>
      </c>
      <c r="O188" s="339"/>
      <c r="P188" s="339"/>
      <c r="Q188" s="339">
        <f t="shared" si="43"/>
        <v>2454.6912000000007</v>
      </c>
      <c r="R188" s="339">
        <f t="shared" si="49"/>
        <v>107.36960000000002</v>
      </c>
      <c r="S188" s="339"/>
      <c r="T188" s="339"/>
      <c r="U188" s="339"/>
      <c r="V188" s="339"/>
      <c r="W188" s="264">
        <f t="shared" si="35"/>
        <v>9966.8608000000022</v>
      </c>
      <c r="X188" s="339">
        <f t="shared" si="36"/>
        <v>0</v>
      </c>
      <c r="Y188" s="339"/>
      <c r="Z188" s="340">
        <f t="shared" si="37"/>
        <v>9966.8608000000022</v>
      </c>
      <c r="AA188" s="2">
        <f>[4]HR!$Z267-Z188</f>
        <v>-270.35070400000222</v>
      </c>
    </row>
    <row r="189" spans="1:27" s="236" customFormat="1" ht="12.75" customHeight="1" x14ac:dyDescent="0.2">
      <c r="A189" s="16"/>
      <c r="B189" s="467">
        <v>0</v>
      </c>
      <c r="C189" s="16" t="s">
        <v>696</v>
      </c>
      <c r="D189" s="232"/>
      <c r="E189" s="16" t="s">
        <v>779</v>
      </c>
      <c r="F189" s="16"/>
      <c r="G189" s="19"/>
      <c r="H189" s="16" t="s">
        <v>216</v>
      </c>
      <c r="I189" s="19" t="s">
        <v>24</v>
      </c>
      <c r="J189" s="19" t="s">
        <v>954</v>
      </c>
      <c r="K189" s="339">
        <f>35.6*20%</f>
        <v>7.120000000000001</v>
      </c>
      <c r="L189" s="339">
        <v>2080</v>
      </c>
      <c r="M189" s="339"/>
      <c r="N189" s="339">
        <f t="shared" si="34"/>
        <v>14809.600000000002</v>
      </c>
      <c r="O189" s="339"/>
      <c r="P189" s="339"/>
      <c r="Q189" s="339">
        <f t="shared" si="43"/>
        <v>4909.3824000000013</v>
      </c>
      <c r="R189" s="339">
        <f t="shared" si="49"/>
        <v>214.73920000000004</v>
      </c>
      <c r="S189" s="339"/>
      <c r="T189" s="339"/>
      <c r="U189" s="339"/>
      <c r="V189" s="339"/>
      <c r="W189" s="264">
        <f t="shared" si="35"/>
        <v>19933.721600000004</v>
      </c>
      <c r="X189" s="339">
        <f t="shared" si="36"/>
        <v>0</v>
      </c>
      <c r="Y189" s="339"/>
      <c r="Z189" s="340">
        <f t="shared" si="37"/>
        <v>19933.721600000004</v>
      </c>
      <c r="AA189" s="2">
        <f>[4]HR!$Z268-Z189</f>
        <v>-15085.466552000005</v>
      </c>
    </row>
    <row r="190" spans="1:27" s="236" customFormat="1" ht="12.75" customHeight="1" x14ac:dyDescent="0.2">
      <c r="A190" s="16"/>
      <c r="B190" s="467">
        <v>0</v>
      </c>
      <c r="C190" s="16" t="s">
        <v>696</v>
      </c>
      <c r="D190" s="232"/>
      <c r="E190" s="16" t="s">
        <v>779</v>
      </c>
      <c r="F190" s="16"/>
      <c r="G190" s="19"/>
      <c r="H190" s="16" t="s">
        <v>216</v>
      </c>
      <c r="I190" s="19" t="s">
        <v>24</v>
      </c>
      <c r="J190" s="19" t="s">
        <v>933</v>
      </c>
      <c r="K190" s="339">
        <f>35.6*5%</f>
        <v>1.7800000000000002</v>
      </c>
      <c r="L190" s="339">
        <v>2080</v>
      </c>
      <c r="M190" s="339"/>
      <c r="N190" s="339">
        <f t="shared" si="34"/>
        <v>3702.4000000000005</v>
      </c>
      <c r="O190" s="339"/>
      <c r="P190" s="339"/>
      <c r="Q190" s="339">
        <f t="shared" si="43"/>
        <v>1227.3456000000003</v>
      </c>
      <c r="R190" s="339">
        <f t="shared" si="49"/>
        <v>53.68480000000001</v>
      </c>
      <c r="S190" s="339"/>
      <c r="T190" s="339"/>
      <c r="U190" s="339"/>
      <c r="V190" s="339"/>
      <c r="W190" s="264">
        <f t="shared" si="35"/>
        <v>4983.4304000000011</v>
      </c>
      <c r="X190" s="339">
        <f t="shared" si="36"/>
        <v>0</v>
      </c>
      <c r="Y190" s="339"/>
      <c r="Z190" s="340">
        <f t="shared" si="37"/>
        <v>4983.4304000000011</v>
      </c>
      <c r="AA190" s="2">
        <f>[4]HR!$Z269-Z190</f>
        <v>-135.17535200000111</v>
      </c>
    </row>
    <row r="191" spans="1:27" s="236" customFormat="1" ht="12.75" customHeight="1" x14ac:dyDescent="0.2">
      <c r="A191" s="16"/>
      <c r="B191" s="467">
        <v>0</v>
      </c>
      <c r="C191" s="16" t="s">
        <v>696</v>
      </c>
      <c r="D191" s="232"/>
      <c r="E191" s="16" t="s">
        <v>779</v>
      </c>
      <c r="F191" s="16"/>
      <c r="G191" s="19"/>
      <c r="H191" s="16" t="s">
        <v>216</v>
      </c>
      <c r="I191" s="19" t="s">
        <v>24</v>
      </c>
      <c r="J191" s="19" t="s">
        <v>939</v>
      </c>
      <c r="K191" s="339">
        <f>35.6*5%</f>
        <v>1.7800000000000002</v>
      </c>
      <c r="L191" s="339">
        <v>2080</v>
      </c>
      <c r="M191" s="339"/>
      <c r="N191" s="339">
        <f t="shared" si="34"/>
        <v>3702.4000000000005</v>
      </c>
      <c r="O191" s="339"/>
      <c r="P191" s="339"/>
      <c r="Q191" s="339">
        <f t="shared" si="43"/>
        <v>1227.3456000000003</v>
      </c>
      <c r="R191" s="339">
        <f t="shared" si="49"/>
        <v>53.68480000000001</v>
      </c>
      <c r="S191" s="339"/>
      <c r="T191" s="339"/>
      <c r="U191" s="339"/>
      <c r="V191" s="339"/>
      <c r="W191" s="264">
        <f t="shared" si="35"/>
        <v>4983.4304000000011</v>
      </c>
      <c r="X191" s="339">
        <f t="shared" si="36"/>
        <v>0</v>
      </c>
      <c r="Y191" s="339"/>
      <c r="Z191" s="340">
        <f t="shared" si="37"/>
        <v>4983.4304000000011</v>
      </c>
      <c r="AA191" s="2">
        <f>[4]HR!$Z270-Z191</f>
        <v>19331.544547999998</v>
      </c>
    </row>
    <row r="192" spans="1:27" s="236" customFormat="1" ht="12.75" customHeight="1" x14ac:dyDescent="0.2">
      <c r="A192" s="16"/>
      <c r="B192" s="467">
        <v>0</v>
      </c>
      <c r="C192" s="16" t="s">
        <v>696</v>
      </c>
      <c r="D192" s="232"/>
      <c r="E192" s="16" t="s">
        <v>779</v>
      </c>
      <c r="F192" s="16"/>
      <c r="G192" s="19"/>
      <c r="H192" s="16" t="s">
        <v>216</v>
      </c>
      <c r="I192" s="19" t="s">
        <v>24</v>
      </c>
      <c r="J192" s="19" t="s">
        <v>1603</v>
      </c>
      <c r="K192" s="339">
        <f>35.6*5%</f>
        <v>1.7800000000000002</v>
      </c>
      <c r="L192" s="339">
        <v>2080</v>
      </c>
      <c r="M192" s="339"/>
      <c r="N192" s="339">
        <f t="shared" si="34"/>
        <v>3702.4000000000005</v>
      </c>
      <c r="O192" s="339"/>
      <c r="P192" s="339"/>
      <c r="Q192" s="339">
        <f t="shared" si="43"/>
        <v>1227.3456000000003</v>
      </c>
      <c r="R192" s="339">
        <f t="shared" si="49"/>
        <v>53.68480000000001</v>
      </c>
      <c r="S192" s="339"/>
      <c r="T192" s="339"/>
      <c r="U192" s="339"/>
      <c r="V192" s="339"/>
      <c r="W192" s="264">
        <f t="shared" si="35"/>
        <v>4983.4304000000011</v>
      </c>
      <c r="X192" s="339">
        <f t="shared" si="36"/>
        <v>0</v>
      </c>
      <c r="Y192" s="339"/>
      <c r="Z192" s="340">
        <f t="shared" si="37"/>
        <v>4983.4304000000011</v>
      </c>
      <c r="AA192" s="2">
        <f>[4]HR!$Z271-Z192</f>
        <v>7190.3213199999991</v>
      </c>
    </row>
    <row r="193" spans="1:27" s="236" customFormat="1" ht="12.75" customHeight="1" x14ac:dyDescent="0.2">
      <c r="A193" s="16"/>
      <c r="B193" s="467">
        <v>0</v>
      </c>
      <c r="C193" s="16" t="s">
        <v>696</v>
      </c>
      <c r="D193" s="232"/>
      <c r="E193" s="16" t="s">
        <v>779</v>
      </c>
      <c r="F193" s="16"/>
      <c r="G193" s="19"/>
      <c r="H193" s="16" t="s">
        <v>216</v>
      </c>
      <c r="I193" s="19" t="s">
        <v>24</v>
      </c>
      <c r="J193" s="19" t="s">
        <v>1019</v>
      </c>
      <c r="K193" s="339">
        <f>35.6*5%</f>
        <v>1.7800000000000002</v>
      </c>
      <c r="L193" s="339">
        <v>2080</v>
      </c>
      <c r="M193" s="339"/>
      <c r="N193" s="339">
        <f t="shared" si="34"/>
        <v>3702.4000000000005</v>
      </c>
      <c r="O193" s="339">
        <v>2080</v>
      </c>
      <c r="P193" s="339"/>
      <c r="Q193" s="339">
        <f t="shared" si="43"/>
        <v>1227.3456000000003</v>
      </c>
      <c r="R193" s="339">
        <f>(N193+O193)*0.0145</f>
        <v>83.844800000000006</v>
      </c>
      <c r="S193" s="339"/>
      <c r="T193" s="339">
        <v>9592.56</v>
      </c>
      <c r="U193" s="339">
        <v>702.48</v>
      </c>
      <c r="V193" s="339"/>
      <c r="W193" s="264">
        <f t="shared" si="35"/>
        <v>17388.630399999998</v>
      </c>
      <c r="X193" s="339">
        <f t="shared" si="36"/>
        <v>0</v>
      </c>
      <c r="Y193" s="339"/>
      <c r="Z193" s="340">
        <f t="shared" si="37"/>
        <v>17388.630399999998</v>
      </c>
      <c r="AA193" s="2">
        <f>[4]HR!$Z272-Z193</f>
        <v>2900.9558000000034</v>
      </c>
    </row>
    <row r="194" spans="1:27" s="236" customFormat="1" ht="12.75" customHeight="1" x14ac:dyDescent="0.2">
      <c r="A194" s="16"/>
      <c r="B194" s="467">
        <v>0</v>
      </c>
      <c r="C194" s="16" t="s">
        <v>696</v>
      </c>
      <c r="D194" s="232"/>
      <c r="E194" s="16" t="s">
        <v>779</v>
      </c>
      <c r="F194" s="16"/>
      <c r="G194" s="19"/>
      <c r="H194" s="16" t="s">
        <v>216</v>
      </c>
      <c r="I194" s="19" t="s">
        <v>24</v>
      </c>
      <c r="J194" s="19" t="s">
        <v>1661</v>
      </c>
      <c r="K194" s="339">
        <f>35.6*5%</f>
        <v>1.7800000000000002</v>
      </c>
      <c r="L194" s="339">
        <v>2080</v>
      </c>
      <c r="M194" s="339"/>
      <c r="N194" s="339">
        <f t="shared" si="34"/>
        <v>3702.4000000000005</v>
      </c>
      <c r="O194" s="339"/>
      <c r="P194" s="339"/>
      <c r="Q194" s="339">
        <f t="shared" si="43"/>
        <v>1227.3456000000003</v>
      </c>
      <c r="R194" s="339">
        <f>(N194+O194)*0.0145</f>
        <v>53.68480000000001</v>
      </c>
      <c r="S194" s="339"/>
      <c r="T194" s="339"/>
      <c r="U194" s="339"/>
      <c r="V194" s="339"/>
      <c r="W194" s="264">
        <f t="shared" si="35"/>
        <v>4983.4304000000011</v>
      </c>
      <c r="X194" s="339"/>
      <c r="Y194" s="339"/>
      <c r="Z194" s="340">
        <f t="shared" si="37"/>
        <v>4983.4304000000011</v>
      </c>
      <c r="AA194" s="2"/>
    </row>
    <row r="195" spans="1:27" s="236" customFormat="1" ht="12.75" customHeight="1" x14ac:dyDescent="0.2">
      <c r="A195" s="16"/>
      <c r="B195" s="467">
        <v>1</v>
      </c>
      <c r="C195" s="16" t="s">
        <v>574</v>
      </c>
      <c r="D195" s="232"/>
      <c r="E195" s="16" t="s">
        <v>751</v>
      </c>
      <c r="F195" s="16"/>
      <c r="G195" s="16"/>
      <c r="H195" s="16" t="s">
        <v>216</v>
      </c>
      <c r="I195" s="19" t="s">
        <v>24</v>
      </c>
      <c r="J195" s="19" t="s">
        <v>1019</v>
      </c>
      <c r="K195" s="339">
        <f>55.08*5%</f>
        <v>2.754</v>
      </c>
      <c r="L195" s="339">
        <v>2080</v>
      </c>
      <c r="M195" s="339"/>
      <c r="N195" s="339">
        <f t="shared" si="34"/>
        <v>5728.32</v>
      </c>
      <c r="O195" s="339"/>
      <c r="P195" s="339"/>
      <c r="Q195" s="339">
        <f t="shared" si="43"/>
        <v>1898.9380799999999</v>
      </c>
      <c r="R195" s="339">
        <f t="shared" ref="R195:R208" si="50">N195*0.0145</f>
        <v>83.060640000000006</v>
      </c>
      <c r="S195" s="339"/>
      <c r="T195" s="339">
        <v>15357.6</v>
      </c>
      <c r="U195" s="339">
        <v>1362.48</v>
      </c>
      <c r="V195" s="339"/>
      <c r="W195" s="264">
        <f t="shared" si="35"/>
        <v>24430.398720000001</v>
      </c>
      <c r="X195" s="339">
        <f t="shared" si="36"/>
        <v>0</v>
      </c>
      <c r="Y195" s="339"/>
      <c r="Z195" s="340">
        <f t="shared" si="37"/>
        <v>24430.398720000001</v>
      </c>
      <c r="AA195" s="2">
        <f>[4]HR!$Z524-Z195</f>
        <v>282995.31264000002</v>
      </c>
    </row>
    <row r="196" spans="1:27" s="236" customFormat="1" ht="12.75" customHeight="1" x14ac:dyDescent="0.2">
      <c r="A196" s="16"/>
      <c r="B196" s="467">
        <v>0</v>
      </c>
      <c r="C196" s="16" t="s">
        <v>574</v>
      </c>
      <c r="D196" s="232"/>
      <c r="E196" s="16" t="s">
        <v>751</v>
      </c>
      <c r="F196" s="16"/>
      <c r="G196" s="16"/>
      <c r="H196" s="16" t="s">
        <v>216</v>
      </c>
      <c r="I196" s="19" t="s">
        <v>24</v>
      </c>
      <c r="J196" s="19" t="s">
        <v>120</v>
      </c>
      <c r="K196" s="339">
        <f>55.08*5%</f>
        <v>2.754</v>
      </c>
      <c r="L196" s="339">
        <v>2080</v>
      </c>
      <c r="M196" s="339"/>
      <c r="N196" s="339">
        <f t="shared" si="34"/>
        <v>5728.32</v>
      </c>
      <c r="O196" s="339"/>
      <c r="P196" s="339"/>
      <c r="Q196" s="339">
        <f t="shared" si="43"/>
        <v>1898.9380799999999</v>
      </c>
      <c r="R196" s="339">
        <f t="shared" si="50"/>
        <v>83.060640000000006</v>
      </c>
      <c r="S196" s="339"/>
      <c r="T196" s="339"/>
      <c r="U196" s="339"/>
      <c r="V196" s="339"/>
      <c r="W196" s="264">
        <f t="shared" si="35"/>
        <v>7710.3187199999993</v>
      </c>
      <c r="X196" s="339">
        <f t="shared" si="36"/>
        <v>0</v>
      </c>
      <c r="Y196" s="339"/>
      <c r="Z196" s="340">
        <f t="shared" si="37"/>
        <v>7710.3187199999993</v>
      </c>
      <c r="AA196" s="2">
        <f>[4]HR!$Z525-Z196</f>
        <v>47504.760905600007</v>
      </c>
    </row>
    <row r="197" spans="1:27" s="236" customFormat="1" ht="12.75" customHeight="1" x14ac:dyDescent="0.2">
      <c r="A197" s="16"/>
      <c r="B197" s="467">
        <v>0</v>
      </c>
      <c r="C197" s="16" t="s">
        <v>574</v>
      </c>
      <c r="D197" s="232"/>
      <c r="E197" s="16" t="s">
        <v>751</v>
      </c>
      <c r="F197" s="16"/>
      <c r="G197" s="16"/>
      <c r="H197" s="16" t="s">
        <v>216</v>
      </c>
      <c r="I197" s="19" t="s">
        <v>24</v>
      </c>
      <c r="J197" s="19" t="s">
        <v>108</v>
      </c>
      <c r="K197" s="339">
        <f>55.08*5%</f>
        <v>2.754</v>
      </c>
      <c r="L197" s="339">
        <v>2080</v>
      </c>
      <c r="M197" s="339"/>
      <c r="N197" s="339">
        <f t="shared" si="34"/>
        <v>5728.32</v>
      </c>
      <c r="O197" s="339"/>
      <c r="P197" s="339"/>
      <c r="Q197" s="339">
        <f t="shared" ref="Q197:Q203" si="51">N197*0.3315</f>
        <v>1898.9380799999999</v>
      </c>
      <c r="R197" s="339">
        <f t="shared" ref="R197:R203" si="52">N197*0.0145</f>
        <v>83.060640000000006</v>
      </c>
      <c r="S197" s="339"/>
      <c r="T197" s="339"/>
      <c r="U197" s="339"/>
      <c r="V197" s="339"/>
      <c r="W197" s="264">
        <f t="shared" si="35"/>
        <v>7710.3187199999993</v>
      </c>
      <c r="X197" s="339">
        <f t="shared" si="36"/>
        <v>0</v>
      </c>
      <c r="Y197" s="339"/>
      <c r="Z197" s="340">
        <f t="shared" si="37"/>
        <v>7710.3187199999993</v>
      </c>
      <c r="AA197" s="2"/>
    </row>
    <row r="198" spans="1:27" s="236" customFormat="1" ht="12.75" customHeight="1" x14ac:dyDescent="0.2">
      <c r="A198" s="16"/>
      <c r="B198" s="467">
        <v>0</v>
      </c>
      <c r="C198" s="16" t="s">
        <v>574</v>
      </c>
      <c r="D198" s="232"/>
      <c r="E198" s="16" t="s">
        <v>751</v>
      </c>
      <c r="F198" s="16"/>
      <c r="G198" s="16"/>
      <c r="H198" s="16" t="s">
        <v>216</v>
      </c>
      <c r="I198" s="19" t="s">
        <v>24</v>
      </c>
      <c r="J198" s="19" t="s">
        <v>1603</v>
      </c>
      <c r="K198" s="339">
        <f>55.08*5%</f>
        <v>2.754</v>
      </c>
      <c r="L198" s="339">
        <v>2080</v>
      </c>
      <c r="M198" s="339"/>
      <c r="N198" s="339">
        <f t="shared" si="34"/>
        <v>5728.32</v>
      </c>
      <c r="O198" s="339"/>
      <c r="P198" s="339"/>
      <c r="Q198" s="339">
        <f t="shared" si="51"/>
        <v>1898.9380799999999</v>
      </c>
      <c r="R198" s="339">
        <f t="shared" si="52"/>
        <v>83.060640000000006</v>
      </c>
      <c r="S198" s="339"/>
      <c r="T198" s="339"/>
      <c r="U198" s="339"/>
      <c r="V198" s="339"/>
      <c r="W198" s="264">
        <f t="shared" si="35"/>
        <v>7710.3187199999993</v>
      </c>
      <c r="X198" s="339">
        <f t="shared" si="36"/>
        <v>0</v>
      </c>
      <c r="Y198" s="339"/>
      <c r="Z198" s="340">
        <f t="shared" si="37"/>
        <v>7710.3187199999993</v>
      </c>
      <c r="AA198" s="2"/>
    </row>
    <row r="199" spans="1:27" s="236" customFormat="1" ht="12.75" customHeight="1" x14ac:dyDescent="0.2">
      <c r="A199" s="16"/>
      <c r="B199" s="467">
        <v>0</v>
      </c>
      <c r="C199" s="16" t="s">
        <v>574</v>
      </c>
      <c r="D199" s="232"/>
      <c r="E199" s="16" t="s">
        <v>751</v>
      </c>
      <c r="F199" s="16"/>
      <c r="G199" s="16"/>
      <c r="H199" s="16" t="s">
        <v>216</v>
      </c>
      <c r="I199" s="19" t="s">
        <v>24</v>
      </c>
      <c r="J199" s="19" t="s">
        <v>491</v>
      </c>
      <c r="K199" s="339">
        <f t="shared" ref="K199" si="53">55.08*5%</f>
        <v>2.754</v>
      </c>
      <c r="L199" s="339">
        <v>2080</v>
      </c>
      <c r="M199" s="339"/>
      <c r="N199" s="339">
        <f t="shared" si="34"/>
        <v>5728.32</v>
      </c>
      <c r="O199" s="339"/>
      <c r="P199" s="339"/>
      <c r="Q199" s="339">
        <f t="shared" si="51"/>
        <v>1898.9380799999999</v>
      </c>
      <c r="R199" s="339">
        <f t="shared" si="52"/>
        <v>83.060640000000006</v>
      </c>
      <c r="S199" s="339"/>
      <c r="T199" s="339"/>
      <c r="U199" s="339"/>
      <c r="V199" s="339"/>
      <c r="W199" s="264">
        <f t="shared" si="35"/>
        <v>7710.3187199999993</v>
      </c>
      <c r="X199" s="339">
        <f t="shared" si="36"/>
        <v>0</v>
      </c>
      <c r="Y199" s="339"/>
      <c r="Z199" s="340">
        <f t="shared" si="37"/>
        <v>7710.3187199999993</v>
      </c>
      <c r="AA199" s="2"/>
    </row>
    <row r="200" spans="1:27" s="236" customFormat="1" ht="12.75" customHeight="1" x14ac:dyDescent="0.2">
      <c r="A200" s="16"/>
      <c r="B200" s="467">
        <v>0</v>
      </c>
      <c r="C200" s="16" t="s">
        <v>574</v>
      </c>
      <c r="D200" s="232"/>
      <c r="E200" s="16" t="s">
        <v>751</v>
      </c>
      <c r="F200" s="16"/>
      <c r="G200" s="16"/>
      <c r="H200" s="16" t="s">
        <v>216</v>
      </c>
      <c r="I200" s="19" t="s">
        <v>24</v>
      </c>
      <c r="J200" s="19" t="s">
        <v>96</v>
      </c>
      <c r="K200" s="339">
        <f>55.08*30%</f>
        <v>16.523999999999997</v>
      </c>
      <c r="L200" s="339">
        <v>2080</v>
      </c>
      <c r="M200" s="339"/>
      <c r="N200" s="339">
        <f t="shared" si="34"/>
        <v>34369.919999999991</v>
      </c>
      <c r="O200" s="339"/>
      <c r="P200" s="339"/>
      <c r="Q200" s="339">
        <f t="shared" si="51"/>
        <v>11393.628479999998</v>
      </c>
      <c r="R200" s="339">
        <f t="shared" si="52"/>
        <v>498.36383999999987</v>
      </c>
      <c r="S200" s="339"/>
      <c r="T200" s="339"/>
      <c r="U200" s="339"/>
      <c r="V200" s="339"/>
      <c r="W200" s="264">
        <f t="shared" si="35"/>
        <v>46261.912319999989</v>
      </c>
      <c r="X200" s="339">
        <f t="shared" si="36"/>
        <v>0</v>
      </c>
      <c r="Y200" s="339"/>
      <c r="Z200" s="340">
        <f t="shared" si="37"/>
        <v>46261.912319999989</v>
      </c>
      <c r="AA200" s="2"/>
    </row>
    <row r="201" spans="1:27" s="236" customFormat="1" ht="12.75" customHeight="1" x14ac:dyDescent="0.2">
      <c r="A201" s="16"/>
      <c r="B201" s="467">
        <v>0</v>
      </c>
      <c r="C201" s="16" t="s">
        <v>574</v>
      </c>
      <c r="D201" s="232"/>
      <c r="E201" s="16" t="s">
        <v>751</v>
      </c>
      <c r="F201" s="16"/>
      <c r="G201" s="16"/>
      <c r="H201" s="16" t="s">
        <v>216</v>
      </c>
      <c r="I201" s="19" t="s">
        <v>24</v>
      </c>
      <c r="J201" s="19" t="s">
        <v>99</v>
      </c>
      <c r="K201" s="339">
        <f>55.08*40%</f>
        <v>22.032</v>
      </c>
      <c r="L201" s="339">
        <v>2080</v>
      </c>
      <c r="M201" s="339"/>
      <c r="N201" s="339">
        <f t="shared" si="34"/>
        <v>45826.559999999998</v>
      </c>
      <c r="O201" s="339"/>
      <c r="P201" s="339"/>
      <c r="Q201" s="339">
        <f t="shared" si="51"/>
        <v>15191.504639999999</v>
      </c>
      <c r="R201" s="339">
        <f t="shared" si="52"/>
        <v>664.48512000000005</v>
      </c>
      <c r="S201" s="339"/>
      <c r="T201" s="339"/>
      <c r="U201" s="339"/>
      <c r="V201" s="339"/>
      <c r="W201" s="264">
        <f t="shared" si="35"/>
        <v>61682.549759999994</v>
      </c>
      <c r="X201" s="339">
        <f t="shared" si="36"/>
        <v>0</v>
      </c>
      <c r="Y201" s="339"/>
      <c r="Z201" s="340">
        <f t="shared" si="37"/>
        <v>61682.549759999994</v>
      </c>
      <c r="AA201" s="2"/>
    </row>
    <row r="202" spans="1:27" s="236" customFormat="1" ht="12.75" customHeight="1" x14ac:dyDescent="0.2">
      <c r="A202" s="16"/>
      <c r="B202" s="467">
        <v>0</v>
      </c>
      <c r="C202" s="16" t="s">
        <v>574</v>
      </c>
      <c r="D202" s="232"/>
      <c r="E202" s="16" t="s">
        <v>751</v>
      </c>
      <c r="F202" s="16"/>
      <c r="G202" s="16"/>
      <c r="H202" s="16" t="s">
        <v>216</v>
      </c>
      <c r="I202" s="19" t="s">
        <v>24</v>
      </c>
      <c r="J202" s="19" t="s">
        <v>939</v>
      </c>
      <c r="K202" s="339">
        <f>55.08*5%</f>
        <v>2.754</v>
      </c>
      <c r="L202" s="339">
        <v>2080</v>
      </c>
      <c r="M202" s="339"/>
      <c r="N202" s="339">
        <f t="shared" si="34"/>
        <v>5728.32</v>
      </c>
      <c r="O202" s="339"/>
      <c r="P202" s="339"/>
      <c r="Q202" s="339">
        <f t="shared" si="51"/>
        <v>1898.9380799999999</v>
      </c>
      <c r="R202" s="339">
        <f t="shared" si="52"/>
        <v>83.060640000000006</v>
      </c>
      <c r="S202" s="339"/>
      <c r="T202" s="339"/>
      <c r="U202" s="339"/>
      <c r="V202" s="339"/>
      <c r="W202" s="264">
        <f t="shared" si="35"/>
        <v>7710.3187199999993</v>
      </c>
      <c r="X202" s="339">
        <f t="shared" si="36"/>
        <v>0</v>
      </c>
      <c r="Y202" s="339"/>
      <c r="Z202" s="340">
        <f t="shared" si="37"/>
        <v>7710.3187199999993</v>
      </c>
      <c r="AA202" s="2"/>
    </row>
    <row r="203" spans="1:27" s="236" customFormat="1" ht="12.75" customHeight="1" x14ac:dyDescent="0.2">
      <c r="A203" s="16"/>
      <c r="B203" s="467">
        <v>1</v>
      </c>
      <c r="C203" s="16" t="s">
        <v>697</v>
      </c>
      <c r="D203" s="232"/>
      <c r="E203" s="16" t="s">
        <v>797</v>
      </c>
      <c r="F203" s="16"/>
      <c r="G203" s="19"/>
      <c r="H203" s="16" t="s">
        <v>216</v>
      </c>
      <c r="I203" s="19" t="s">
        <v>24</v>
      </c>
      <c r="J203" s="19" t="s">
        <v>1663</v>
      </c>
      <c r="K203" s="339">
        <f>29.8*5%</f>
        <v>1.4900000000000002</v>
      </c>
      <c r="L203" s="339">
        <v>2080</v>
      </c>
      <c r="M203" s="339"/>
      <c r="N203" s="339">
        <f t="shared" si="34"/>
        <v>3099.2000000000003</v>
      </c>
      <c r="O203" s="339"/>
      <c r="P203" s="339"/>
      <c r="Q203" s="339">
        <f t="shared" si="51"/>
        <v>1027.3848</v>
      </c>
      <c r="R203" s="339">
        <f t="shared" si="52"/>
        <v>44.938400000000009</v>
      </c>
      <c r="S203" s="339"/>
      <c r="T203" s="339"/>
      <c r="U203" s="339"/>
      <c r="V203" s="339"/>
      <c r="W203" s="264">
        <f t="shared" si="35"/>
        <v>4171.5232000000005</v>
      </c>
      <c r="X203" s="339">
        <f t="shared" si="36"/>
        <v>0</v>
      </c>
      <c r="Y203" s="339"/>
      <c r="Z203" s="340">
        <f t="shared" si="37"/>
        <v>4171.5232000000005</v>
      </c>
      <c r="AA203" s="2">
        <f>[4]HR!$Z273-Z203</f>
        <v>12060.145760000003</v>
      </c>
    </row>
    <row r="204" spans="1:27" s="236" customFormat="1" ht="12.75" customHeight="1" x14ac:dyDescent="0.2">
      <c r="A204" s="16"/>
      <c r="B204" s="467">
        <v>0</v>
      </c>
      <c r="C204" s="16" t="s">
        <v>697</v>
      </c>
      <c r="D204" s="232"/>
      <c r="E204" s="16" t="s">
        <v>797</v>
      </c>
      <c r="F204" s="16"/>
      <c r="G204" s="19"/>
      <c r="H204" s="16" t="s">
        <v>216</v>
      </c>
      <c r="I204" s="19" t="s">
        <v>24</v>
      </c>
      <c r="J204" s="19" t="s">
        <v>99</v>
      </c>
      <c r="K204" s="339">
        <f>29.8*35%</f>
        <v>10.43</v>
      </c>
      <c r="L204" s="339">
        <v>2080</v>
      </c>
      <c r="M204" s="339"/>
      <c r="N204" s="339">
        <f t="shared" si="34"/>
        <v>21694.399999999998</v>
      </c>
      <c r="O204" s="339"/>
      <c r="P204" s="339"/>
      <c r="Q204" s="339">
        <f t="shared" si="43"/>
        <v>7191.6935999999996</v>
      </c>
      <c r="R204" s="339">
        <f t="shared" si="50"/>
        <v>314.56880000000001</v>
      </c>
      <c r="S204" s="339"/>
      <c r="T204" s="339"/>
      <c r="U204" s="339"/>
      <c r="V204" s="339"/>
      <c r="W204" s="264">
        <f t="shared" si="35"/>
        <v>29200.662399999997</v>
      </c>
      <c r="X204" s="339">
        <f t="shared" si="36"/>
        <v>0</v>
      </c>
      <c r="Y204" s="339"/>
      <c r="Z204" s="340">
        <f t="shared" si="37"/>
        <v>29200.662399999997</v>
      </c>
      <c r="AA204" s="2">
        <f>[4]HR!$Z274-Z204</f>
        <v>-21084.827919999996</v>
      </c>
    </row>
    <row r="205" spans="1:27" s="236" customFormat="1" ht="12.75" customHeight="1" x14ac:dyDescent="0.2">
      <c r="A205" s="16"/>
      <c r="B205" s="467">
        <v>0</v>
      </c>
      <c r="C205" s="16" t="s">
        <v>697</v>
      </c>
      <c r="D205" s="232"/>
      <c r="E205" s="16" t="s">
        <v>797</v>
      </c>
      <c r="F205" s="16"/>
      <c r="G205" s="19"/>
      <c r="H205" s="16" t="s">
        <v>216</v>
      </c>
      <c r="I205" s="19" t="s">
        <v>24</v>
      </c>
      <c r="J205" s="19" t="s">
        <v>96</v>
      </c>
      <c r="K205" s="339">
        <f>29.8*25%</f>
        <v>7.45</v>
      </c>
      <c r="L205" s="339">
        <v>2080</v>
      </c>
      <c r="M205" s="339"/>
      <c r="N205" s="339">
        <f t="shared" si="34"/>
        <v>15496</v>
      </c>
      <c r="O205" s="339"/>
      <c r="P205" s="339"/>
      <c r="Q205" s="339">
        <f t="shared" si="43"/>
        <v>5136.924</v>
      </c>
      <c r="R205" s="339">
        <f t="shared" si="50"/>
        <v>224.69200000000001</v>
      </c>
      <c r="S205" s="339"/>
      <c r="T205" s="339"/>
      <c r="U205" s="339"/>
      <c r="V205" s="339"/>
      <c r="W205" s="264">
        <f t="shared" si="35"/>
        <v>20857.615999999998</v>
      </c>
      <c r="X205" s="339">
        <f t="shared" si="36"/>
        <v>0</v>
      </c>
      <c r="Y205" s="339"/>
      <c r="Z205" s="340">
        <f t="shared" si="37"/>
        <v>20857.615999999998</v>
      </c>
      <c r="AA205" s="2">
        <f>[4]HR!$Z275-Z205</f>
        <v>-12741.781519999997</v>
      </c>
    </row>
    <row r="206" spans="1:27" s="236" customFormat="1" ht="12.75" customHeight="1" x14ac:dyDescent="0.2">
      <c r="A206" s="16"/>
      <c r="B206" s="467">
        <v>0</v>
      </c>
      <c r="C206" s="16" t="s">
        <v>697</v>
      </c>
      <c r="D206" s="232"/>
      <c r="E206" s="16" t="s">
        <v>797</v>
      </c>
      <c r="F206" s="16"/>
      <c r="G206" s="19"/>
      <c r="H206" s="16" t="s">
        <v>216</v>
      </c>
      <c r="I206" s="19" t="s">
        <v>24</v>
      </c>
      <c r="J206" s="16" t="s">
        <v>491</v>
      </c>
      <c r="K206" s="339">
        <f>29.8*5%</f>
        <v>1.4900000000000002</v>
      </c>
      <c r="L206" s="339">
        <v>2080</v>
      </c>
      <c r="M206" s="339"/>
      <c r="N206" s="339">
        <f t="shared" si="34"/>
        <v>3099.2000000000003</v>
      </c>
      <c r="O206" s="339"/>
      <c r="P206" s="339"/>
      <c r="Q206" s="339">
        <f t="shared" si="43"/>
        <v>1027.3848</v>
      </c>
      <c r="R206" s="339">
        <f t="shared" si="50"/>
        <v>44.938400000000009</v>
      </c>
      <c r="S206" s="339"/>
      <c r="T206" s="339"/>
      <c r="U206" s="339"/>
      <c r="V206" s="339"/>
      <c r="W206" s="264">
        <f t="shared" si="35"/>
        <v>4171.5232000000005</v>
      </c>
      <c r="X206" s="339">
        <f t="shared" si="36"/>
        <v>0</v>
      </c>
      <c r="Y206" s="339"/>
      <c r="Z206" s="340">
        <f t="shared" si="37"/>
        <v>4171.5232000000005</v>
      </c>
      <c r="AA206" s="2">
        <f>[4]HR!$Z276-Z206</f>
        <v>3944.3112800000008</v>
      </c>
    </row>
    <row r="207" spans="1:27" s="236" customFormat="1" ht="12.75" customHeight="1" x14ac:dyDescent="0.2">
      <c r="A207" s="16"/>
      <c r="B207" s="467">
        <v>0</v>
      </c>
      <c r="C207" s="16" t="s">
        <v>697</v>
      </c>
      <c r="D207" s="232"/>
      <c r="E207" s="16" t="s">
        <v>797</v>
      </c>
      <c r="F207" s="16"/>
      <c r="G207" s="19"/>
      <c r="H207" s="16" t="s">
        <v>216</v>
      </c>
      <c r="I207" s="19" t="s">
        <v>24</v>
      </c>
      <c r="J207" s="19" t="s">
        <v>1022</v>
      </c>
      <c r="K207" s="339">
        <f>29.8*5%</f>
        <v>1.4900000000000002</v>
      </c>
      <c r="L207" s="339">
        <v>2080</v>
      </c>
      <c r="M207" s="339"/>
      <c r="N207" s="339">
        <f t="shared" si="34"/>
        <v>3099.2000000000003</v>
      </c>
      <c r="O207" s="339"/>
      <c r="P207" s="339"/>
      <c r="Q207" s="339">
        <f t="shared" si="43"/>
        <v>1027.3848</v>
      </c>
      <c r="R207" s="339">
        <f t="shared" si="50"/>
        <v>44.938400000000009</v>
      </c>
      <c r="S207" s="339"/>
      <c r="T207" s="339"/>
      <c r="U207" s="339"/>
      <c r="V207" s="339"/>
      <c r="W207" s="264">
        <f t="shared" si="35"/>
        <v>4171.5232000000005</v>
      </c>
      <c r="X207" s="339">
        <f t="shared" si="36"/>
        <v>0</v>
      </c>
      <c r="Y207" s="339"/>
      <c r="Z207" s="340">
        <f t="shared" si="37"/>
        <v>4171.5232000000005</v>
      </c>
      <c r="AA207" s="2">
        <f>[4]HR!$Z277-Z207</f>
        <v>15054.924074999999</v>
      </c>
    </row>
    <row r="208" spans="1:27" s="236" customFormat="1" ht="12.75" customHeight="1" x14ac:dyDescent="0.2">
      <c r="A208" s="16"/>
      <c r="B208" s="467">
        <v>0</v>
      </c>
      <c r="C208" s="16" t="s">
        <v>697</v>
      </c>
      <c r="D208" s="232"/>
      <c r="E208" s="16" t="s">
        <v>797</v>
      </c>
      <c r="F208" s="16"/>
      <c r="G208" s="19"/>
      <c r="H208" s="16" t="s">
        <v>216</v>
      </c>
      <c r="I208" s="19" t="s">
        <v>24</v>
      </c>
      <c r="J208" s="19" t="s">
        <v>108</v>
      </c>
      <c r="K208" s="339">
        <f>29.8*20%</f>
        <v>5.9600000000000009</v>
      </c>
      <c r="L208" s="339">
        <v>2080</v>
      </c>
      <c r="M208" s="339"/>
      <c r="N208" s="339">
        <f t="shared" si="34"/>
        <v>12396.800000000001</v>
      </c>
      <c r="O208" s="339"/>
      <c r="P208" s="339"/>
      <c r="Q208" s="339">
        <f t="shared" si="43"/>
        <v>4109.5392000000002</v>
      </c>
      <c r="R208" s="339">
        <f t="shared" si="50"/>
        <v>179.75360000000003</v>
      </c>
      <c r="S208" s="339"/>
      <c r="T208" s="339"/>
      <c r="U208" s="339"/>
      <c r="V208" s="339"/>
      <c r="W208" s="264">
        <f t="shared" si="35"/>
        <v>16686.092800000002</v>
      </c>
      <c r="X208" s="339">
        <f t="shared" si="36"/>
        <v>0</v>
      </c>
      <c r="Y208" s="339"/>
      <c r="Z208" s="340">
        <f t="shared" si="37"/>
        <v>16686.092800000002</v>
      </c>
      <c r="AA208" s="2">
        <f>[4]HR!$Z278-Z208</f>
        <v>365.33111999999892</v>
      </c>
    </row>
    <row r="209" spans="1:27" s="236" customFormat="1" ht="12.75" customHeight="1" x14ac:dyDescent="0.2">
      <c r="A209" s="16"/>
      <c r="B209" s="467">
        <v>0</v>
      </c>
      <c r="C209" s="16" t="s">
        <v>697</v>
      </c>
      <c r="D209" s="232"/>
      <c r="E209" s="16" t="s">
        <v>797</v>
      </c>
      <c r="F209" s="16"/>
      <c r="G209" s="19"/>
      <c r="H209" s="16" t="s">
        <v>216</v>
      </c>
      <c r="I209" s="19" t="s">
        <v>24</v>
      </c>
      <c r="J209" s="19" t="s">
        <v>1019</v>
      </c>
      <c r="K209" s="339">
        <f>29.8*5%</f>
        <v>1.4900000000000002</v>
      </c>
      <c r="L209" s="339">
        <v>2080</v>
      </c>
      <c r="M209" s="339"/>
      <c r="N209" s="339">
        <f t="shared" si="34"/>
        <v>3099.2000000000003</v>
      </c>
      <c r="O209" s="339">
        <v>2080</v>
      </c>
      <c r="P209" s="339"/>
      <c r="Q209" s="339">
        <f t="shared" si="43"/>
        <v>1027.3848</v>
      </c>
      <c r="R209" s="339">
        <f>(N209+O209)*0.0145</f>
        <v>75.098400000000012</v>
      </c>
      <c r="S209" s="339"/>
      <c r="T209" s="339">
        <v>8391.84</v>
      </c>
      <c r="U209" s="339">
        <v>323.04000000000002</v>
      </c>
      <c r="V209" s="339"/>
      <c r="W209" s="264">
        <f t="shared" si="35"/>
        <v>14996.563200000001</v>
      </c>
      <c r="X209" s="339">
        <f t="shared" si="36"/>
        <v>0</v>
      </c>
      <c r="Y209" s="339"/>
      <c r="Z209" s="340">
        <f t="shared" si="37"/>
        <v>14996.563200000001</v>
      </c>
      <c r="AA209" s="2">
        <f>[4]HR!$Z279-Z209</f>
        <v>6971.4285600000003</v>
      </c>
    </row>
    <row r="210" spans="1:27" s="236" customFormat="1" ht="12.75" customHeight="1" x14ac:dyDescent="0.2">
      <c r="A210" s="16"/>
      <c r="B210" s="467">
        <v>1</v>
      </c>
      <c r="C210" s="16" t="s">
        <v>698</v>
      </c>
      <c r="D210" s="232"/>
      <c r="E210" s="16" t="s">
        <v>792</v>
      </c>
      <c r="F210" s="16"/>
      <c r="G210" s="19"/>
      <c r="H210" s="16" t="s">
        <v>216</v>
      </c>
      <c r="I210" s="19" t="s">
        <v>24</v>
      </c>
      <c r="J210" s="19" t="s">
        <v>954</v>
      </c>
      <c r="K210" s="339">
        <f>26.88*20%</f>
        <v>5.3760000000000003</v>
      </c>
      <c r="L210" s="339">
        <v>2080</v>
      </c>
      <c r="M210" s="339"/>
      <c r="N210" s="339">
        <f t="shared" si="34"/>
        <v>11182.08</v>
      </c>
      <c r="O210" s="339"/>
      <c r="P210" s="339"/>
      <c r="Q210" s="339">
        <f t="shared" si="43"/>
        <v>3706.85952</v>
      </c>
      <c r="R210" s="339">
        <f>N210*0.0145</f>
        <v>162.14016000000001</v>
      </c>
      <c r="S210" s="339"/>
      <c r="T210" s="339"/>
      <c r="U210" s="339"/>
      <c r="V210" s="339"/>
      <c r="W210" s="264">
        <f t="shared" si="35"/>
        <v>15051.079680000001</v>
      </c>
      <c r="X210" s="339">
        <f t="shared" si="36"/>
        <v>0</v>
      </c>
      <c r="Y210" s="339"/>
      <c r="Z210" s="340">
        <f t="shared" si="37"/>
        <v>15051.079680000001</v>
      </c>
      <c r="AA210" s="2">
        <f>[4]HR!$Z298-Z210</f>
        <v>-8565.3240108800001</v>
      </c>
    </row>
    <row r="211" spans="1:27" s="236" customFormat="1" ht="12.75" customHeight="1" x14ac:dyDescent="0.2">
      <c r="A211" s="16"/>
      <c r="B211" s="467">
        <v>0</v>
      </c>
      <c r="C211" s="16" t="s">
        <v>698</v>
      </c>
      <c r="D211" s="232"/>
      <c r="E211" s="16" t="s">
        <v>792</v>
      </c>
      <c r="F211" s="16"/>
      <c r="G211" s="19"/>
      <c r="H211" s="16" t="s">
        <v>216</v>
      </c>
      <c r="I211" s="19" t="s">
        <v>24</v>
      </c>
      <c r="J211" s="19" t="s">
        <v>1661</v>
      </c>
      <c r="K211" s="339">
        <f>26.88*5%</f>
        <v>1.3440000000000001</v>
      </c>
      <c r="L211" s="339">
        <v>2080</v>
      </c>
      <c r="M211" s="339"/>
      <c r="N211" s="339">
        <f t="shared" si="34"/>
        <v>2795.52</v>
      </c>
      <c r="O211" s="339"/>
      <c r="P211" s="339"/>
      <c r="Q211" s="339">
        <f t="shared" si="43"/>
        <v>926.71487999999999</v>
      </c>
      <c r="R211" s="339">
        <f>N211*0.0145</f>
        <v>40.535040000000002</v>
      </c>
      <c r="S211" s="339"/>
      <c r="T211" s="339"/>
      <c r="U211" s="339"/>
      <c r="V211" s="339"/>
      <c r="W211" s="264">
        <f t="shared" si="35"/>
        <v>3762.7699200000002</v>
      </c>
      <c r="X211" s="339">
        <f t="shared" si="36"/>
        <v>0</v>
      </c>
      <c r="Y211" s="339"/>
      <c r="Z211" s="340">
        <f t="shared" si="37"/>
        <v>3762.7699200000002</v>
      </c>
      <c r="AA211" s="2">
        <f>[4]HR!$Z299-Z211</f>
        <v>2722.9857491200005</v>
      </c>
    </row>
    <row r="212" spans="1:27" s="236" customFormat="1" ht="12.75" customHeight="1" x14ac:dyDescent="0.2">
      <c r="A212" s="16"/>
      <c r="B212" s="467">
        <v>0</v>
      </c>
      <c r="C212" s="16" t="s">
        <v>698</v>
      </c>
      <c r="D212" s="232"/>
      <c r="E212" s="16" t="s">
        <v>792</v>
      </c>
      <c r="F212" s="16"/>
      <c r="G212" s="19"/>
      <c r="H212" s="16" t="s">
        <v>216</v>
      </c>
      <c r="I212" s="19" t="s">
        <v>24</v>
      </c>
      <c r="J212" s="19" t="s">
        <v>96</v>
      </c>
      <c r="K212" s="339">
        <f>26.88*25%</f>
        <v>6.72</v>
      </c>
      <c r="L212" s="339">
        <v>2080</v>
      </c>
      <c r="M212" s="339"/>
      <c r="N212" s="339">
        <f t="shared" si="34"/>
        <v>13977.6</v>
      </c>
      <c r="O212" s="339"/>
      <c r="P212" s="339"/>
      <c r="Q212" s="339">
        <f t="shared" si="43"/>
        <v>4633.5744000000004</v>
      </c>
      <c r="R212" s="339">
        <f>N212*0.0145</f>
        <v>202.67520000000002</v>
      </c>
      <c r="S212" s="339"/>
      <c r="T212" s="339"/>
      <c r="U212" s="339"/>
      <c r="V212" s="339"/>
      <c r="W212" s="264">
        <f t="shared" si="35"/>
        <v>18813.849600000001</v>
      </c>
      <c r="X212" s="339">
        <f t="shared" si="36"/>
        <v>0</v>
      </c>
      <c r="Y212" s="339"/>
      <c r="Z212" s="340">
        <f t="shared" si="37"/>
        <v>18813.849600000001</v>
      </c>
      <c r="AA212" s="2">
        <f>[4]HR!$Z300-Z212</f>
        <v>-37.00113588000022</v>
      </c>
    </row>
    <row r="213" spans="1:27" s="236" customFormat="1" ht="12.75" customHeight="1" x14ac:dyDescent="0.2">
      <c r="A213" s="16"/>
      <c r="B213" s="467">
        <v>0</v>
      </c>
      <c r="C213" s="16" t="s">
        <v>698</v>
      </c>
      <c r="D213" s="232"/>
      <c r="E213" s="16" t="s">
        <v>792</v>
      </c>
      <c r="F213" s="16"/>
      <c r="G213" s="19"/>
      <c r="H213" s="16" t="s">
        <v>216</v>
      </c>
      <c r="I213" s="19" t="s">
        <v>24</v>
      </c>
      <c r="J213" s="19" t="s">
        <v>933</v>
      </c>
      <c r="K213" s="339">
        <f>26.88*5%</f>
        <v>1.3440000000000001</v>
      </c>
      <c r="L213" s="339">
        <v>2080</v>
      </c>
      <c r="M213" s="339"/>
      <c r="N213" s="339">
        <f t="shared" si="34"/>
        <v>2795.52</v>
      </c>
      <c r="O213" s="339"/>
      <c r="P213" s="339"/>
      <c r="Q213" s="339">
        <f t="shared" si="43"/>
        <v>926.71487999999999</v>
      </c>
      <c r="R213" s="339">
        <f>N213*0.0145</f>
        <v>40.535040000000002</v>
      </c>
      <c r="S213" s="339"/>
      <c r="T213" s="339"/>
      <c r="U213" s="339"/>
      <c r="V213" s="339"/>
      <c r="W213" s="264">
        <f t="shared" si="35"/>
        <v>3762.7699200000002</v>
      </c>
      <c r="X213" s="339">
        <f t="shared" si="36"/>
        <v>0</v>
      </c>
      <c r="Y213" s="339"/>
      <c r="Z213" s="340">
        <f t="shared" si="37"/>
        <v>3762.7699200000002</v>
      </c>
      <c r="AA213" s="2">
        <f>[4]HR!$Z301-Z213</f>
        <v>32745.737856000007</v>
      </c>
    </row>
    <row r="214" spans="1:27" s="236" customFormat="1" ht="12.75" customHeight="1" x14ac:dyDescent="0.2">
      <c r="A214" s="16"/>
      <c r="B214" s="467">
        <v>0</v>
      </c>
      <c r="C214" s="16" t="s">
        <v>698</v>
      </c>
      <c r="D214" s="232"/>
      <c r="E214" s="16" t="s">
        <v>792</v>
      </c>
      <c r="F214" s="16"/>
      <c r="G214" s="19"/>
      <c r="H214" s="16" t="s">
        <v>216</v>
      </c>
      <c r="I214" s="19" t="s">
        <v>24</v>
      </c>
      <c r="J214" s="19" t="s">
        <v>1019</v>
      </c>
      <c r="K214" s="339">
        <f>26.88*5%</f>
        <v>1.3440000000000001</v>
      </c>
      <c r="L214" s="339">
        <v>2080</v>
      </c>
      <c r="M214" s="339"/>
      <c r="N214" s="339">
        <f t="shared" si="34"/>
        <v>2795.52</v>
      </c>
      <c r="O214" s="339">
        <v>2080</v>
      </c>
      <c r="P214" s="339"/>
      <c r="Q214" s="339">
        <f t="shared" si="43"/>
        <v>926.71487999999999</v>
      </c>
      <c r="R214" s="339">
        <f>(N214+O214)*0.0145</f>
        <v>70.695040000000006</v>
      </c>
      <c r="S214" s="339"/>
      <c r="T214" s="339">
        <v>9616.56</v>
      </c>
      <c r="U214" s="339">
        <v>323.04000000000002</v>
      </c>
      <c r="V214" s="339"/>
      <c r="W214" s="264">
        <f t="shared" si="35"/>
        <v>15812.529920000001</v>
      </c>
      <c r="X214" s="339">
        <f t="shared" si="36"/>
        <v>0</v>
      </c>
      <c r="Y214" s="339"/>
      <c r="Z214" s="340">
        <f t="shared" si="37"/>
        <v>15812.529920000001</v>
      </c>
      <c r="AA214" s="2">
        <f>[4]HR!$Z302-Z214</f>
        <v>-2121.8395040000032</v>
      </c>
    </row>
    <row r="215" spans="1:27" s="236" customFormat="1" ht="12.75" customHeight="1" x14ac:dyDescent="0.2">
      <c r="A215" s="16"/>
      <c r="B215" s="467">
        <v>0</v>
      </c>
      <c r="C215" s="16" t="s">
        <v>698</v>
      </c>
      <c r="D215" s="232"/>
      <c r="E215" s="16" t="s">
        <v>792</v>
      </c>
      <c r="F215" s="16"/>
      <c r="G215" s="19"/>
      <c r="H215" s="16" t="s">
        <v>216</v>
      </c>
      <c r="I215" s="19" t="s">
        <v>24</v>
      </c>
      <c r="J215" s="19" t="s">
        <v>1602</v>
      </c>
      <c r="K215" s="339">
        <f t="shared" ref="K215:K217" si="54">26.88*5%</f>
        <v>1.3440000000000001</v>
      </c>
      <c r="L215" s="339">
        <v>2080</v>
      </c>
      <c r="M215" s="339"/>
      <c r="N215" s="339">
        <f t="shared" si="34"/>
        <v>2795.52</v>
      </c>
      <c r="O215" s="339"/>
      <c r="P215" s="339"/>
      <c r="Q215" s="339">
        <f t="shared" ref="Q215" si="55">N215*0.3315</f>
        <v>926.71487999999999</v>
      </c>
      <c r="R215" s="339">
        <f t="shared" ref="R215" si="56">(N215+O215)*0.0145</f>
        <v>40.535040000000002</v>
      </c>
      <c r="S215" s="339"/>
      <c r="T215" s="339"/>
      <c r="U215" s="339"/>
      <c r="V215" s="339"/>
      <c r="W215" s="264">
        <f t="shared" si="35"/>
        <v>3762.7699200000002</v>
      </c>
      <c r="X215" s="339">
        <f t="shared" si="36"/>
        <v>0</v>
      </c>
      <c r="Y215" s="339"/>
      <c r="Z215" s="340">
        <f t="shared" si="37"/>
        <v>3762.7699200000002</v>
      </c>
      <c r="AA215" s="2"/>
    </row>
    <row r="216" spans="1:27" s="236" customFormat="1" ht="12.75" customHeight="1" x14ac:dyDescent="0.2">
      <c r="A216" s="16"/>
      <c r="B216" s="467">
        <v>0</v>
      </c>
      <c r="C216" s="16" t="s">
        <v>698</v>
      </c>
      <c r="D216" s="232"/>
      <c r="E216" s="16" t="s">
        <v>792</v>
      </c>
      <c r="F216" s="16"/>
      <c r="G216" s="19"/>
      <c r="H216" s="16" t="s">
        <v>216</v>
      </c>
      <c r="I216" s="19" t="s">
        <v>24</v>
      </c>
      <c r="J216" s="19" t="s">
        <v>99</v>
      </c>
      <c r="K216" s="339">
        <f>26.88*30%</f>
        <v>8.0640000000000001</v>
      </c>
      <c r="L216" s="339">
        <v>2080</v>
      </c>
      <c r="M216" s="339"/>
      <c r="N216" s="339">
        <f t="shared" si="34"/>
        <v>16773.12</v>
      </c>
      <c r="O216" s="339"/>
      <c r="P216" s="339"/>
      <c r="Q216" s="339">
        <f t="shared" ref="Q216:Q217" si="57">N216*0.3315</f>
        <v>5560.28928</v>
      </c>
      <c r="R216" s="339">
        <f t="shared" ref="R216:R217" si="58">(N216+O216)*0.0145</f>
        <v>243.21024</v>
      </c>
      <c r="S216" s="339"/>
      <c r="T216" s="339"/>
      <c r="U216" s="339"/>
      <c r="V216" s="339"/>
      <c r="W216" s="264">
        <f t="shared" si="35"/>
        <v>22576.61952</v>
      </c>
      <c r="X216" s="339"/>
      <c r="Y216" s="339"/>
      <c r="Z216" s="340">
        <f t="shared" si="37"/>
        <v>22576.61952</v>
      </c>
      <c r="AA216" s="2"/>
    </row>
    <row r="217" spans="1:27" s="236" customFormat="1" ht="12.75" customHeight="1" x14ac:dyDescent="0.2">
      <c r="A217" s="16"/>
      <c r="B217" s="467">
        <v>0</v>
      </c>
      <c r="C217" s="16" t="s">
        <v>698</v>
      </c>
      <c r="D217" s="232"/>
      <c r="E217" s="16" t="s">
        <v>792</v>
      </c>
      <c r="F217" s="16"/>
      <c r="G217" s="19"/>
      <c r="H217" s="16" t="s">
        <v>216</v>
      </c>
      <c r="I217" s="19" t="s">
        <v>24</v>
      </c>
      <c r="J217" s="19" t="s">
        <v>1603</v>
      </c>
      <c r="K217" s="339">
        <f t="shared" si="54"/>
        <v>1.3440000000000001</v>
      </c>
      <c r="L217" s="339">
        <v>2080</v>
      </c>
      <c r="M217" s="339"/>
      <c r="N217" s="339">
        <f t="shared" si="34"/>
        <v>2795.52</v>
      </c>
      <c r="O217" s="339"/>
      <c r="P217" s="339"/>
      <c r="Q217" s="339">
        <f t="shared" si="57"/>
        <v>926.71487999999999</v>
      </c>
      <c r="R217" s="339">
        <f t="shared" si="58"/>
        <v>40.535040000000002</v>
      </c>
      <c r="S217" s="339"/>
      <c r="T217" s="339"/>
      <c r="U217" s="339"/>
      <c r="V217" s="339"/>
      <c r="W217" s="264">
        <f t="shared" si="35"/>
        <v>3762.7699200000002</v>
      </c>
      <c r="X217" s="339">
        <f t="shared" si="36"/>
        <v>0</v>
      </c>
      <c r="Y217" s="339"/>
      <c r="Z217" s="340">
        <f t="shared" si="37"/>
        <v>3762.7699200000002</v>
      </c>
      <c r="AA217" s="2"/>
    </row>
    <row r="218" spans="1:27" s="236" customFormat="1" ht="12.75" customHeight="1" x14ac:dyDescent="0.2">
      <c r="A218" s="16"/>
      <c r="B218" s="467">
        <v>1</v>
      </c>
      <c r="C218" s="16" t="s">
        <v>700</v>
      </c>
      <c r="D218" s="232"/>
      <c r="E218" s="16" t="s">
        <v>767</v>
      </c>
      <c r="F218" s="16"/>
      <c r="G218" s="19"/>
      <c r="H218" s="16" t="s">
        <v>216</v>
      </c>
      <c r="I218" s="19" t="s">
        <v>24</v>
      </c>
      <c r="J218" s="19" t="s">
        <v>99</v>
      </c>
      <c r="K218" s="339">
        <f>32.07*45%</f>
        <v>14.4315</v>
      </c>
      <c r="L218" s="339">
        <v>2080</v>
      </c>
      <c r="M218" s="339"/>
      <c r="N218" s="339">
        <f t="shared" si="34"/>
        <v>30017.52</v>
      </c>
      <c r="O218" s="339"/>
      <c r="P218" s="339"/>
      <c r="Q218" s="339">
        <f t="shared" si="43"/>
        <v>9950.8078800000003</v>
      </c>
      <c r="R218" s="339">
        <f>N218*0.0145</f>
        <v>435.25404000000003</v>
      </c>
      <c r="S218" s="339"/>
      <c r="T218" s="339"/>
      <c r="U218" s="339"/>
      <c r="V218" s="339"/>
      <c r="W218" s="264">
        <f t="shared" si="35"/>
        <v>40403.581919999997</v>
      </c>
      <c r="X218" s="339">
        <f t="shared" si="36"/>
        <v>0</v>
      </c>
      <c r="Y218" s="339"/>
      <c r="Z218" s="340">
        <f t="shared" si="37"/>
        <v>40403.581919999997</v>
      </c>
      <c r="AA218" s="2">
        <f>[4]HR!$Z287-Z218</f>
        <v>-31582.392191999996</v>
      </c>
    </row>
    <row r="219" spans="1:27" s="236" customFormat="1" ht="12.75" customHeight="1" x14ac:dyDescent="0.2">
      <c r="A219" s="16"/>
      <c r="B219" s="467">
        <v>0</v>
      </c>
      <c r="C219" s="16" t="s">
        <v>700</v>
      </c>
      <c r="D219" s="232"/>
      <c r="E219" s="16" t="s">
        <v>767</v>
      </c>
      <c r="F219" s="16"/>
      <c r="G219" s="19"/>
      <c r="H219" s="16" t="s">
        <v>216</v>
      </c>
      <c r="I219" s="19" t="s">
        <v>24</v>
      </c>
      <c r="J219" s="19" t="s">
        <v>96</v>
      </c>
      <c r="K219" s="339">
        <f>32.07*35%</f>
        <v>11.224499999999999</v>
      </c>
      <c r="L219" s="339">
        <v>2080</v>
      </c>
      <c r="M219" s="339"/>
      <c r="N219" s="339">
        <f t="shared" si="34"/>
        <v>23346.959999999999</v>
      </c>
      <c r="O219" s="339"/>
      <c r="P219" s="339"/>
      <c r="Q219" s="339">
        <f t="shared" si="43"/>
        <v>7739.5172400000001</v>
      </c>
      <c r="R219" s="339">
        <f>N219*0.0145</f>
        <v>338.53091999999998</v>
      </c>
      <c r="S219" s="339"/>
      <c r="T219" s="339"/>
      <c r="U219" s="339"/>
      <c r="V219" s="339"/>
      <c r="W219" s="264">
        <f t="shared" si="35"/>
        <v>31425.008160000001</v>
      </c>
      <c r="X219" s="339">
        <f t="shared" si="36"/>
        <v>0</v>
      </c>
      <c r="Y219" s="339"/>
      <c r="Z219" s="340">
        <f t="shared" si="37"/>
        <v>31425.008160000001</v>
      </c>
      <c r="AA219" s="2">
        <f>[4]HR!$Z288-Z219</f>
        <v>-22603.818432</v>
      </c>
    </row>
    <row r="220" spans="1:27" s="236" customFormat="1" ht="12.75" customHeight="1" x14ac:dyDescent="0.2">
      <c r="A220" s="16"/>
      <c r="B220" s="467">
        <v>0</v>
      </c>
      <c r="C220" s="16" t="s">
        <v>700</v>
      </c>
      <c r="D220" s="232"/>
      <c r="E220" s="16" t="s">
        <v>767</v>
      </c>
      <c r="F220" s="16"/>
      <c r="G220" s="19"/>
      <c r="H220" s="16" t="s">
        <v>216</v>
      </c>
      <c r="I220" s="19" t="s">
        <v>24</v>
      </c>
      <c r="J220" s="16" t="s">
        <v>491</v>
      </c>
      <c r="K220" s="339">
        <f>32.07*5.5%</f>
        <v>1.7638499999999999</v>
      </c>
      <c r="L220" s="339">
        <v>2080</v>
      </c>
      <c r="M220" s="339"/>
      <c r="N220" s="339">
        <f t="shared" si="34"/>
        <v>3668.808</v>
      </c>
      <c r="O220" s="339"/>
      <c r="P220" s="339"/>
      <c r="Q220" s="339">
        <f t="shared" si="43"/>
        <v>1216.209852</v>
      </c>
      <c r="R220" s="339">
        <f>N220*0.0145</f>
        <v>53.197716</v>
      </c>
      <c r="S220" s="339"/>
      <c r="T220" s="339"/>
      <c r="U220" s="339"/>
      <c r="V220" s="339"/>
      <c r="W220" s="264">
        <f t="shared" si="35"/>
        <v>4938.2155679999996</v>
      </c>
      <c r="X220" s="339">
        <f t="shared" si="36"/>
        <v>0</v>
      </c>
      <c r="Y220" s="339"/>
      <c r="Z220" s="340">
        <f t="shared" si="37"/>
        <v>4938.2155679999996</v>
      </c>
      <c r="AA220" s="2">
        <f>[4]HR!$Z289-Z220</f>
        <v>-527.62070399999902</v>
      </c>
    </row>
    <row r="221" spans="1:27" s="236" customFormat="1" ht="12.75" customHeight="1" x14ac:dyDescent="0.2">
      <c r="A221" s="16"/>
      <c r="B221" s="467">
        <v>0</v>
      </c>
      <c r="C221" s="16" t="s">
        <v>700</v>
      </c>
      <c r="D221" s="232"/>
      <c r="E221" s="16" t="s">
        <v>767</v>
      </c>
      <c r="F221" s="16"/>
      <c r="G221" s="19"/>
      <c r="H221" s="16" t="s">
        <v>216</v>
      </c>
      <c r="I221" s="19" t="s">
        <v>24</v>
      </c>
      <c r="J221" s="19" t="s">
        <v>932</v>
      </c>
      <c r="K221" s="339">
        <f>32.07*2.25%</f>
        <v>0.72157499999999997</v>
      </c>
      <c r="L221" s="339">
        <v>2080</v>
      </c>
      <c r="M221" s="339"/>
      <c r="N221" s="339">
        <f t="shared" si="34"/>
        <v>1500.876</v>
      </c>
      <c r="O221" s="339"/>
      <c r="P221" s="339"/>
      <c r="Q221" s="339">
        <f t="shared" si="43"/>
        <v>497.54039399999999</v>
      </c>
      <c r="R221" s="339">
        <f>N221*0.0145</f>
        <v>21.762702000000001</v>
      </c>
      <c r="S221" s="339"/>
      <c r="T221" s="339"/>
      <c r="U221" s="339"/>
      <c r="V221" s="339"/>
      <c r="W221" s="264">
        <f t="shared" si="35"/>
        <v>2020.1790959999998</v>
      </c>
      <c r="X221" s="339">
        <f t="shared" si="36"/>
        <v>0</v>
      </c>
      <c r="Y221" s="339"/>
      <c r="Z221" s="340">
        <f t="shared" si="37"/>
        <v>2020.1790959999998</v>
      </c>
      <c r="AA221" s="2">
        <f>[4]HR!$Z290-Z221</f>
        <v>13426.228563000001</v>
      </c>
    </row>
    <row r="222" spans="1:27" s="236" customFormat="1" ht="12.75" customHeight="1" x14ac:dyDescent="0.2">
      <c r="A222" s="16"/>
      <c r="B222" s="467">
        <v>0</v>
      </c>
      <c r="C222" s="16" t="s">
        <v>700</v>
      </c>
      <c r="D222" s="232"/>
      <c r="E222" s="16" t="s">
        <v>767</v>
      </c>
      <c r="F222" s="16"/>
      <c r="G222" s="19"/>
      <c r="H222" s="16" t="s">
        <v>216</v>
      </c>
      <c r="I222" s="19" t="s">
        <v>24</v>
      </c>
      <c r="J222" s="19" t="s">
        <v>1022</v>
      </c>
      <c r="K222" s="339">
        <f>32.07*2.25%</f>
        <v>0.72157499999999997</v>
      </c>
      <c r="L222" s="339">
        <v>2080</v>
      </c>
      <c r="M222" s="339"/>
      <c r="N222" s="339">
        <f t="shared" si="34"/>
        <v>1500.876</v>
      </c>
      <c r="O222" s="339"/>
      <c r="P222" s="339"/>
      <c r="Q222" s="339">
        <f t="shared" si="43"/>
        <v>497.54039399999999</v>
      </c>
      <c r="R222" s="339">
        <f>N222*0.0145</f>
        <v>21.762702000000001</v>
      </c>
      <c r="S222" s="339"/>
      <c r="T222" s="339"/>
      <c r="U222" s="339"/>
      <c r="V222" s="339"/>
      <c r="W222" s="264">
        <f t="shared" si="35"/>
        <v>2020.1790959999998</v>
      </c>
      <c r="X222" s="339">
        <f t="shared" si="36"/>
        <v>0</v>
      </c>
      <c r="Y222" s="339"/>
      <c r="Z222" s="340">
        <f t="shared" si="37"/>
        <v>2020.1790959999998</v>
      </c>
      <c r="AA222" s="2">
        <f>[4]HR!$Z291-Z222</f>
        <v>60187.054824000006</v>
      </c>
    </row>
    <row r="223" spans="1:27" s="236" customFormat="1" ht="12.75" customHeight="1" x14ac:dyDescent="0.2">
      <c r="A223" s="16"/>
      <c r="B223" s="467">
        <v>0</v>
      </c>
      <c r="C223" s="16" t="s">
        <v>700</v>
      </c>
      <c r="D223" s="232"/>
      <c r="E223" s="16" t="s">
        <v>767</v>
      </c>
      <c r="F223" s="16"/>
      <c r="G223" s="19"/>
      <c r="H223" s="16" t="s">
        <v>216</v>
      </c>
      <c r="I223" s="19" t="s">
        <v>24</v>
      </c>
      <c r="J223" s="19" t="s">
        <v>1019</v>
      </c>
      <c r="K223" s="339">
        <f>32.07*10%</f>
        <v>3.2070000000000003</v>
      </c>
      <c r="L223" s="339">
        <v>2080</v>
      </c>
      <c r="M223" s="339"/>
      <c r="N223" s="339">
        <f t="shared" si="34"/>
        <v>6670.56</v>
      </c>
      <c r="O223" s="339">
        <v>2080</v>
      </c>
      <c r="P223" s="339"/>
      <c r="Q223" s="339">
        <f t="shared" si="43"/>
        <v>2211.2906400000002</v>
      </c>
      <c r="R223" s="339">
        <f>(N223+O223)*0.0145</f>
        <v>126.88312000000002</v>
      </c>
      <c r="S223" s="339"/>
      <c r="T223" s="339">
        <v>8367.84</v>
      </c>
      <c r="U223" s="339">
        <v>323.04000000000002</v>
      </c>
      <c r="V223" s="339"/>
      <c r="W223" s="264">
        <f t="shared" si="35"/>
        <v>19779.61376</v>
      </c>
      <c r="X223" s="339">
        <f t="shared" si="36"/>
        <v>0</v>
      </c>
      <c r="Y223" s="339"/>
      <c r="Z223" s="340">
        <f t="shared" si="37"/>
        <v>19779.61376</v>
      </c>
      <c r="AA223" s="2">
        <f>[4]HR!$Z292-Z223</f>
        <v>-1644.8960850000003</v>
      </c>
    </row>
    <row r="224" spans="1:27" s="236" customFormat="1" ht="12.75" customHeight="1" x14ac:dyDescent="0.2">
      <c r="A224" s="16"/>
      <c r="B224" s="467">
        <v>1</v>
      </c>
      <c r="C224" s="16" t="s">
        <v>630</v>
      </c>
      <c r="D224" s="232"/>
      <c r="E224" s="16" t="s">
        <v>771</v>
      </c>
      <c r="F224" s="16"/>
      <c r="G224" s="19"/>
      <c r="H224" s="16" t="s">
        <v>216</v>
      </c>
      <c r="I224" s="19" t="s">
        <v>24</v>
      </c>
      <c r="J224" s="19" t="s">
        <v>1019</v>
      </c>
      <c r="K224" s="339">
        <f>23.28*10%</f>
        <v>2.3280000000000003</v>
      </c>
      <c r="L224" s="339">
        <v>2080</v>
      </c>
      <c r="M224" s="339"/>
      <c r="N224" s="339">
        <f t="shared" ref="N224:N295" si="59">L224*K224</f>
        <v>4842.2400000000007</v>
      </c>
      <c r="O224" s="339">
        <v>2080</v>
      </c>
      <c r="P224" s="339"/>
      <c r="Q224" s="339">
        <f t="shared" si="43"/>
        <v>1605.2025600000004</v>
      </c>
      <c r="R224" s="339">
        <f>(N224+O224)*0.0145</f>
        <v>100.37248000000001</v>
      </c>
      <c r="S224" s="339"/>
      <c r="T224" s="339">
        <v>8403.84</v>
      </c>
      <c r="U224" s="339">
        <v>323.04000000000002</v>
      </c>
      <c r="V224" s="339"/>
      <c r="W224" s="264">
        <f t="shared" ref="W224:W295" si="60">SUM(N224:V224)</f>
        <v>17354.695040000002</v>
      </c>
      <c r="X224" s="339">
        <f t="shared" ref="X224:X295" si="61">IF(Q224&lt;&gt;"",W224*$X$25,0)</f>
        <v>0</v>
      </c>
      <c r="Y224" s="339"/>
      <c r="Z224" s="340">
        <f t="shared" ref="Z224:Z295" si="62">Y224+X224+W224</f>
        <v>17354.695040000002</v>
      </c>
      <c r="AA224" s="2">
        <f>[4]HR!$Z601-Z224</f>
        <v>101794.14639999998</v>
      </c>
    </row>
    <row r="225" spans="1:27" s="236" customFormat="1" ht="12.75" customHeight="1" x14ac:dyDescent="0.2">
      <c r="A225" s="16"/>
      <c r="B225" s="467">
        <v>0</v>
      </c>
      <c r="C225" s="16" t="s">
        <v>630</v>
      </c>
      <c r="D225" s="232"/>
      <c r="E225" s="16" t="s">
        <v>771</v>
      </c>
      <c r="F225" s="16"/>
      <c r="G225" s="19"/>
      <c r="H225" s="16" t="s">
        <v>216</v>
      </c>
      <c r="I225" s="19" t="s">
        <v>24</v>
      </c>
      <c r="J225" s="19" t="s">
        <v>108</v>
      </c>
      <c r="K225" s="339">
        <f>23.28*80%</f>
        <v>18.624000000000002</v>
      </c>
      <c r="L225" s="339">
        <v>2080</v>
      </c>
      <c r="M225" s="339"/>
      <c r="N225" s="339">
        <f t="shared" si="59"/>
        <v>38737.920000000006</v>
      </c>
      <c r="O225" s="339"/>
      <c r="P225" s="339"/>
      <c r="Q225" s="339">
        <f>N225*0.3315</f>
        <v>12841.620480000003</v>
      </c>
      <c r="R225" s="339">
        <f>(N225+O225)*0.0145</f>
        <v>561.69984000000011</v>
      </c>
      <c r="S225" s="339"/>
      <c r="T225" s="339"/>
      <c r="U225" s="339"/>
      <c r="V225" s="339"/>
      <c r="W225" s="264">
        <f t="shared" si="60"/>
        <v>52141.240320000012</v>
      </c>
      <c r="X225" s="339">
        <f t="shared" si="61"/>
        <v>0</v>
      </c>
      <c r="Y225" s="339"/>
      <c r="Z225" s="340">
        <f t="shared" si="62"/>
        <v>52141.240320000012</v>
      </c>
      <c r="AA225" s="2">
        <f>[4]HR!$Z602-Z225</f>
        <v>108920.91624000002</v>
      </c>
    </row>
    <row r="226" spans="1:27" s="236" customFormat="1" ht="12.75" customHeight="1" x14ac:dyDescent="0.2">
      <c r="A226" s="16"/>
      <c r="B226" s="467">
        <v>0</v>
      </c>
      <c r="C226" s="16" t="s">
        <v>630</v>
      </c>
      <c r="D226" s="232"/>
      <c r="E226" s="16" t="s">
        <v>771</v>
      </c>
      <c r="F226" s="16"/>
      <c r="G226" s="19"/>
      <c r="H226" s="16" t="s">
        <v>216</v>
      </c>
      <c r="I226" s="19" t="s">
        <v>24</v>
      </c>
      <c r="J226" s="19" t="s">
        <v>99</v>
      </c>
      <c r="K226" s="339">
        <f>23.28*10%</f>
        <v>2.3280000000000003</v>
      </c>
      <c r="L226" s="339">
        <v>2080</v>
      </c>
      <c r="M226" s="339"/>
      <c r="N226" s="339">
        <f t="shared" si="59"/>
        <v>4842.2400000000007</v>
      </c>
      <c r="O226" s="339"/>
      <c r="P226" s="339"/>
      <c r="Q226" s="339">
        <f t="shared" si="43"/>
        <v>1605.2025600000004</v>
      </c>
      <c r="R226" s="339">
        <f t="shared" ref="R226:R227" si="63">(N226+O226)*0.0145</f>
        <v>70.212480000000014</v>
      </c>
      <c r="S226" s="339"/>
      <c r="T226" s="339"/>
      <c r="U226" s="339"/>
      <c r="V226" s="339"/>
      <c r="W226" s="264">
        <f t="shared" si="60"/>
        <v>6517.6550400000015</v>
      </c>
      <c r="X226" s="339"/>
      <c r="Y226" s="339"/>
      <c r="Z226" s="340">
        <f t="shared" si="62"/>
        <v>6517.6550400000015</v>
      </c>
      <c r="AA226" s="2"/>
    </row>
    <row r="227" spans="1:27" s="236" customFormat="1" ht="12.75" customHeight="1" x14ac:dyDescent="0.2">
      <c r="A227" s="16"/>
      <c r="B227" s="467">
        <v>1</v>
      </c>
      <c r="C227" s="16" t="s">
        <v>706</v>
      </c>
      <c r="D227" s="232"/>
      <c r="E227" s="16" t="s">
        <v>802</v>
      </c>
      <c r="F227" s="16"/>
      <c r="G227" s="19"/>
      <c r="H227" s="16" t="s">
        <v>216</v>
      </c>
      <c r="I227" s="19" t="s">
        <v>24</v>
      </c>
      <c r="J227" s="16" t="s">
        <v>491</v>
      </c>
      <c r="K227" s="339">
        <f>21.89*10%</f>
        <v>2.1890000000000001</v>
      </c>
      <c r="L227" s="339">
        <v>2080</v>
      </c>
      <c r="M227" s="339"/>
      <c r="N227" s="339">
        <f t="shared" si="59"/>
        <v>4553.12</v>
      </c>
      <c r="O227" s="339"/>
      <c r="P227" s="339"/>
      <c r="Q227" s="339">
        <f t="shared" si="43"/>
        <v>1509.3592800000001</v>
      </c>
      <c r="R227" s="339">
        <f t="shared" si="63"/>
        <v>66.020240000000001</v>
      </c>
      <c r="S227" s="339"/>
      <c r="T227" s="339"/>
      <c r="U227" s="339"/>
      <c r="V227" s="339"/>
      <c r="W227" s="264">
        <f t="shared" si="60"/>
        <v>6128.4995199999994</v>
      </c>
      <c r="X227" s="339">
        <f t="shared" si="61"/>
        <v>0</v>
      </c>
      <c r="Y227" s="339"/>
      <c r="Z227" s="340">
        <f t="shared" si="62"/>
        <v>6128.4995199999994</v>
      </c>
      <c r="AA227" s="2">
        <f>[4]HR!$Z314-Z227</f>
        <v>5797.3863999999994</v>
      </c>
    </row>
    <row r="228" spans="1:27" s="236" customFormat="1" ht="12.75" customHeight="1" x14ac:dyDescent="0.2">
      <c r="A228" s="16"/>
      <c r="B228" s="467">
        <v>0</v>
      </c>
      <c r="C228" s="16" t="s">
        <v>706</v>
      </c>
      <c r="D228" s="232"/>
      <c r="E228" s="16" t="s">
        <v>802</v>
      </c>
      <c r="F228" s="16"/>
      <c r="G228" s="19"/>
      <c r="H228" s="16" t="s">
        <v>216</v>
      </c>
      <c r="I228" s="19" t="s">
        <v>24</v>
      </c>
      <c r="J228" s="19" t="s">
        <v>99</v>
      </c>
      <c r="K228" s="339">
        <f>21.89*35%</f>
        <v>7.6614999999999993</v>
      </c>
      <c r="L228" s="339">
        <v>2080</v>
      </c>
      <c r="M228" s="339"/>
      <c r="N228" s="339">
        <f t="shared" si="59"/>
        <v>15935.919999999998</v>
      </c>
      <c r="O228" s="339"/>
      <c r="P228" s="339"/>
      <c r="Q228" s="339">
        <f t="shared" si="43"/>
        <v>5282.7574799999993</v>
      </c>
      <c r="R228" s="339">
        <f t="shared" ref="R228:R248" si="64">N228*0.0145</f>
        <v>231.07083999999998</v>
      </c>
      <c r="S228" s="339"/>
      <c r="T228" s="339"/>
      <c r="U228" s="339"/>
      <c r="V228" s="339"/>
      <c r="W228" s="264">
        <f t="shared" si="60"/>
        <v>21449.748319999999</v>
      </c>
      <c r="X228" s="339">
        <f t="shared" si="61"/>
        <v>0</v>
      </c>
      <c r="Y228" s="339"/>
      <c r="Z228" s="340">
        <f t="shared" si="62"/>
        <v>21449.748319999999</v>
      </c>
      <c r="AA228" s="2">
        <f>[4]HR!$Z315-Z228</f>
        <v>-15486.805359999998</v>
      </c>
    </row>
    <row r="229" spans="1:27" s="236" customFormat="1" ht="12.75" customHeight="1" x14ac:dyDescent="0.2">
      <c r="A229" s="16"/>
      <c r="B229" s="467">
        <v>0</v>
      </c>
      <c r="C229" s="16" t="s">
        <v>706</v>
      </c>
      <c r="D229" s="232"/>
      <c r="E229" s="16" t="s">
        <v>802</v>
      </c>
      <c r="F229" s="16"/>
      <c r="G229" s="19"/>
      <c r="H229" s="16" t="s">
        <v>216</v>
      </c>
      <c r="I229" s="19" t="s">
        <v>24</v>
      </c>
      <c r="J229" s="19" t="s">
        <v>96</v>
      </c>
      <c r="K229" s="339">
        <f>21.89*25%</f>
        <v>5.4725000000000001</v>
      </c>
      <c r="L229" s="339">
        <v>2080</v>
      </c>
      <c r="M229" s="339"/>
      <c r="N229" s="339">
        <f t="shared" si="59"/>
        <v>11382.800000000001</v>
      </c>
      <c r="O229" s="339"/>
      <c r="P229" s="339"/>
      <c r="Q229" s="339">
        <f t="shared" si="43"/>
        <v>3773.3982000000005</v>
      </c>
      <c r="R229" s="339">
        <f t="shared" si="64"/>
        <v>165.05060000000003</v>
      </c>
      <c r="S229" s="339"/>
      <c r="T229" s="339"/>
      <c r="U229" s="339"/>
      <c r="V229" s="339"/>
      <c r="W229" s="264">
        <f t="shared" si="60"/>
        <v>15321.248800000003</v>
      </c>
      <c r="X229" s="339">
        <f t="shared" si="61"/>
        <v>0</v>
      </c>
      <c r="Y229" s="339"/>
      <c r="Z229" s="340">
        <f t="shared" si="62"/>
        <v>15321.248800000003</v>
      </c>
      <c r="AA229" s="2">
        <f>[4]HR!$Z316-Z229</f>
        <v>12810.250079999996</v>
      </c>
    </row>
    <row r="230" spans="1:27" s="236" customFormat="1" ht="12.75" customHeight="1" x14ac:dyDescent="0.2">
      <c r="A230" s="16"/>
      <c r="B230" s="467">
        <v>0</v>
      </c>
      <c r="C230" s="16" t="s">
        <v>706</v>
      </c>
      <c r="D230" s="232"/>
      <c r="E230" s="16" t="s">
        <v>802</v>
      </c>
      <c r="F230" s="16"/>
      <c r="G230" s="19"/>
      <c r="H230" s="16" t="s">
        <v>216</v>
      </c>
      <c r="I230" s="19" t="s">
        <v>24</v>
      </c>
      <c r="J230" s="19" t="s">
        <v>108</v>
      </c>
      <c r="K230" s="339">
        <f>21.89*15%</f>
        <v>3.2835000000000001</v>
      </c>
      <c r="L230" s="339">
        <v>2080</v>
      </c>
      <c r="M230" s="339"/>
      <c r="N230" s="339">
        <f t="shared" si="59"/>
        <v>6829.68</v>
      </c>
      <c r="O230" s="339"/>
      <c r="P230" s="339"/>
      <c r="Q230" s="339">
        <f t="shared" si="43"/>
        <v>2264.0389200000004</v>
      </c>
      <c r="R230" s="339">
        <f t="shared" si="64"/>
        <v>99.030360000000016</v>
      </c>
      <c r="S230" s="339"/>
      <c r="T230" s="339"/>
      <c r="U230" s="339"/>
      <c r="V230" s="339"/>
      <c r="W230" s="264">
        <f t="shared" si="60"/>
        <v>9192.7492800000018</v>
      </c>
      <c r="X230" s="339">
        <f t="shared" si="61"/>
        <v>0</v>
      </c>
      <c r="Y230" s="339"/>
      <c r="Z230" s="340">
        <f t="shared" si="62"/>
        <v>9192.7492800000018</v>
      </c>
      <c r="AA230" s="2">
        <f>[4]HR!$Z317-Z230</f>
        <v>18454.910239999997</v>
      </c>
    </row>
    <row r="231" spans="1:27" s="236" customFormat="1" ht="12.75" customHeight="1" x14ac:dyDescent="0.2">
      <c r="A231" s="16"/>
      <c r="B231" s="467">
        <v>0</v>
      </c>
      <c r="C231" s="16" t="s">
        <v>706</v>
      </c>
      <c r="D231" s="232"/>
      <c r="E231" s="16" t="s">
        <v>802</v>
      </c>
      <c r="F231" s="16"/>
      <c r="G231" s="19"/>
      <c r="H231" s="16" t="s">
        <v>216</v>
      </c>
      <c r="I231" s="19" t="s">
        <v>24</v>
      </c>
      <c r="J231" s="19" t="s">
        <v>1019</v>
      </c>
      <c r="K231" s="339">
        <f>21.89*10%</f>
        <v>2.1890000000000001</v>
      </c>
      <c r="L231" s="339">
        <v>2080</v>
      </c>
      <c r="M231" s="339"/>
      <c r="N231" s="339">
        <f t="shared" si="59"/>
        <v>4553.12</v>
      </c>
      <c r="O231" s="339"/>
      <c r="P231" s="339"/>
      <c r="Q231" s="339">
        <f t="shared" si="43"/>
        <v>1509.3592800000001</v>
      </c>
      <c r="R231" s="339">
        <f t="shared" si="64"/>
        <v>66.020240000000001</v>
      </c>
      <c r="S231" s="339"/>
      <c r="T231" s="339">
        <v>9592.56</v>
      </c>
      <c r="U231" s="339">
        <v>935.28</v>
      </c>
      <c r="V231" s="339"/>
      <c r="W231" s="264">
        <f t="shared" si="60"/>
        <v>16656.339519999998</v>
      </c>
      <c r="X231" s="339">
        <f t="shared" si="61"/>
        <v>0</v>
      </c>
      <c r="Y231" s="339"/>
      <c r="Z231" s="340">
        <f t="shared" si="62"/>
        <v>16656.339519999998</v>
      </c>
      <c r="AA231" s="2">
        <f>[4]HR!$Z318-Z231</f>
        <v>7535.3625599999978</v>
      </c>
    </row>
    <row r="232" spans="1:27" s="236" customFormat="1" ht="12.75" customHeight="1" x14ac:dyDescent="0.2">
      <c r="A232" s="16"/>
      <c r="B232" s="467">
        <v>0</v>
      </c>
      <c r="C232" s="16" t="s">
        <v>706</v>
      </c>
      <c r="D232" s="232"/>
      <c r="E232" s="16" t="s">
        <v>802</v>
      </c>
      <c r="F232" s="16"/>
      <c r="G232" s="19"/>
      <c r="H232" s="16" t="s">
        <v>216</v>
      </c>
      <c r="I232" s="19" t="s">
        <v>24</v>
      </c>
      <c r="J232" s="19" t="s">
        <v>954</v>
      </c>
      <c r="K232" s="339">
        <f>21.89*5%</f>
        <v>1.0945</v>
      </c>
      <c r="L232" s="339">
        <v>2080</v>
      </c>
      <c r="M232" s="339"/>
      <c r="N232" s="339">
        <f t="shared" si="59"/>
        <v>2276.56</v>
      </c>
      <c r="O232" s="339"/>
      <c r="P232" s="339"/>
      <c r="Q232" s="339">
        <f t="shared" si="43"/>
        <v>754.67964000000006</v>
      </c>
      <c r="R232" s="339">
        <f t="shared" si="64"/>
        <v>33.010120000000001</v>
      </c>
      <c r="S232" s="339"/>
      <c r="T232" s="339"/>
      <c r="U232" s="339"/>
      <c r="V232" s="339"/>
      <c r="W232" s="264">
        <f t="shared" si="60"/>
        <v>3064.2497599999997</v>
      </c>
      <c r="X232" s="339">
        <f t="shared" si="61"/>
        <v>0</v>
      </c>
      <c r="Y232" s="339"/>
      <c r="Z232" s="340">
        <f t="shared" si="62"/>
        <v>3064.2497599999997</v>
      </c>
      <c r="AA232" s="2"/>
    </row>
    <row r="233" spans="1:27" s="236" customFormat="1" ht="12.75" customHeight="1" x14ac:dyDescent="0.2">
      <c r="A233" s="16"/>
      <c r="B233" s="467">
        <v>1</v>
      </c>
      <c r="C233" s="16" t="s">
        <v>707</v>
      </c>
      <c r="D233" s="232"/>
      <c r="E233" s="16" t="s">
        <v>769</v>
      </c>
      <c r="F233" s="16"/>
      <c r="G233" s="19"/>
      <c r="H233" s="16" t="s">
        <v>216</v>
      </c>
      <c r="I233" s="19" t="s">
        <v>24</v>
      </c>
      <c r="J233" s="19" t="s">
        <v>99</v>
      </c>
      <c r="K233" s="339">
        <f>37.06*15%</f>
        <v>5.5590000000000002</v>
      </c>
      <c r="L233" s="339">
        <v>2080</v>
      </c>
      <c r="M233" s="339"/>
      <c r="N233" s="339">
        <f t="shared" si="59"/>
        <v>11562.720000000001</v>
      </c>
      <c r="O233" s="339"/>
      <c r="P233" s="339"/>
      <c r="Q233" s="339">
        <f t="shared" si="43"/>
        <v>3833.0416800000007</v>
      </c>
      <c r="R233" s="339">
        <f t="shared" si="64"/>
        <v>167.65944000000002</v>
      </c>
      <c r="S233" s="339"/>
      <c r="T233" s="339"/>
      <c r="U233" s="339"/>
      <c r="V233" s="339"/>
      <c r="W233" s="264">
        <f t="shared" si="60"/>
        <v>15563.421120000001</v>
      </c>
      <c r="X233" s="339">
        <f t="shared" si="61"/>
        <v>0</v>
      </c>
      <c r="Y233" s="339"/>
      <c r="Z233" s="340">
        <f t="shared" si="62"/>
        <v>15563.421120000001</v>
      </c>
      <c r="AA233" s="2">
        <f>[4]HR!$Z323-Z233</f>
        <v>-423.77805600000283</v>
      </c>
    </row>
    <row r="234" spans="1:27" s="236" customFormat="1" ht="12.75" customHeight="1" x14ac:dyDescent="0.2">
      <c r="A234" s="16"/>
      <c r="B234" s="467">
        <v>0</v>
      </c>
      <c r="C234" s="16" t="s">
        <v>707</v>
      </c>
      <c r="D234" s="232"/>
      <c r="E234" s="16" t="s">
        <v>769</v>
      </c>
      <c r="F234" s="16"/>
      <c r="G234" s="19"/>
      <c r="H234" s="16" t="s">
        <v>216</v>
      </c>
      <c r="I234" s="19" t="s">
        <v>24</v>
      </c>
      <c r="J234" s="19" t="s">
        <v>96</v>
      </c>
      <c r="K234" s="339">
        <f>37.06*5%</f>
        <v>1.8530000000000002</v>
      </c>
      <c r="L234" s="339">
        <v>2080</v>
      </c>
      <c r="M234" s="339"/>
      <c r="N234" s="339">
        <f t="shared" si="59"/>
        <v>3854.2400000000002</v>
      </c>
      <c r="O234" s="339"/>
      <c r="P234" s="339"/>
      <c r="Q234" s="339">
        <f t="shared" si="43"/>
        <v>1277.6805600000002</v>
      </c>
      <c r="R234" s="339">
        <f t="shared" si="64"/>
        <v>55.886480000000006</v>
      </c>
      <c r="S234" s="339"/>
      <c r="T234" s="339"/>
      <c r="U234" s="339"/>
      <c r="V234" s="339"/>
      <c r="W234" s="727">
        <f t="shared" si="60"/>
        <v>5187.8070400000006</v>
      </c>
      <c r="X234" s="339">
        <f t="shared" si="61"/>
        <v>0</v>
      </c>
      <c r="Y234" s="339"/>
      <c r="Z234" s="340">
        <f t="shared" si="62"/>
        <v>5187.8070400000006</v>
      </c>
      <c r="AA234" s="2">
        <f>[4]HR!$Z324-Z234</f>
        <v>8347.1806480000014</v>
      </c>
    </row>
    <row r="235" spans="1:27" s="236" customFormat="1" ht="12.75" customHeight="1" x14ac:dyDescent="0.2">
      <c r="A235" s="16"/>
      <c r="B235" s="467">
        <v>0</v>
      </c>
      <c r="C235" s="16" t="s">
        <v>707</v>
      </c>
      <c r="D235" s="232"/>
      <c r="E235" s="16" t="s">
        <v>769</v>
      </c>
      <c r="F235" s="16"/>
      <c r="G235" s="19"/>
      <c r="H235" s="16" t="s">
        <v>216</v>
      </c>
      <c r="I235" s="19" t="s">
        <v>24</v>
      </c>
      <c r="J235" s="16" t="s">
        <v>491</v>
      </c>
      <c r="K235" s="339">
        <f>37.06*5%</f>
        <v>1.8530000000000002</v>
      </c>
      <c r="L235" s="339">
        <v>2080</v>
      </c>
      <c r="M235" s="339"/>
      <c r="N235" s="339">
        <f t="shared" si="59"/>
        <v>3854.2400000000002</v>
      </c>
      <c r="O235" s="339"/>
      <c r="P235" s="339"/>
      <c r="Q235" s="339">
        <f t="shared" si="43"/>
        <v>1277.6805600000002</v>
      </c>
      <c r="R235" s="339">
        <f t="shared" si="64"/>
        <v>55.886480000000006</v>
      </c>
      <c r="S235" s="339"/>
      <c r="T235" s="339"/>
      <c r="U235" s="339"/>
      <c r="V235" s="339"/>
      <c r="W235" s="727">
        <f t="shared" si="60"/>
        <v>5187.8070400000006</v>
      </c>
      <c r="X235" s="339">
        <f t="shared" si="61"/>
        <v>0</v>
      </c>
      <c r="Y235" s="339"/>
      <c r="Z235" s="340">
        <f t="shared" si="62"/>
        <v>5187.8070400000006</v>
      </c>
      <c r="AA235" s="2">
        <f>[4]HR!$Z325-Z235</f>
        <v>51859.923206000007</v>
      </c>
    </row>
    <row r="236" spans="1:27" s="236" customFormat="1" ht="12.75" customHeight="1" x14ac:dyDescent="0.2">
      <c r="A236" s="16"/>
      <c r="B236" s="467">
        <v>0</v>
      </c>
      <c r="C236" s="16" t="s">
        <v>707</v>
      </c>
      <c r="D236" s="232"/>
      <c r="E236" s="16" t="s">
        <v>769</v>
      </c>
      <c r="F236" s="16"/>
      <c r="G236" s="19"/>
      <c r="H236" s="16" t="s">
        <v>216</v>
      </c>
      <c r="I236" s="19" t="s">
        <v>24</v>
      </c>
      <c r="J236" s="19" t="s">
        <v>1019</v>
      </c>
      <c r="K236" s="339">
        <f>37.06*10%</f>
        <v>3.7060000000000004</v>
      </c>
      <c r="L236" s="339">
        <v>2080</v>
      </c>
      <c r="M236" s="339"/>
      <c r="N236" s="339">
        <f t="shared" si="59"/>
        <v>7708.4800000000005</v>
      </c>
      <c r="O236" s="339"/>
      <c r="P236" s="339"/>
      <c r="Q236" s="339">
        <f t="shared" si="43"/>
        <v>2555.3611200000005</v>
      </c>
      <c r="R236" s="339">
        <f t="shared" si="64"/>
        <v>111.77296000000001</v>
      </c>
      <c r="S236" s="339"/>
      <c r="T236" s="339">
        <v>9594.9599999999991</v>
      </c>
      <c r="U236" s="339">
        <v>323.04000000000002</v>
      </c>
      <c r="V236" s="339"/>
      <c r="W236" s="727">
        <f t="shared" si="60"/>
        <v>20293.614079999999</v>
      </c>
      <c r="X236" s="339">
        <f t="shared" si="61"/>
        <v>0</v>
      </c>
      <c r="Y236" s="339"/>
      <c r="Z236" s="340">
        <f t="shared" si="62"/>
        <v>20293.614079999999</v>
      </c>
      <c r="AA236" s="2">
        <f>[4]HR!$Z326-Z236</f>
        <v>-4484.5145909999992</v>
      </c>
    </row>
    <row r="237" spans="1:27" s="236" customFormat="1" ht="12.75" customHeight="1" x14ac:dyDescent="0.2">
      <c r="A237" s="16"/>
      <c r="B237" s="467">
        <v>0</v>
      </c>
      <c r="C237" s="16" t="s">
        <v>707</v>
      </c>
      <c r="D237" s="232"/>
      <c r="E237" s="16" t="s">
        <v>769</v>
      </c>
      <c r="F237" s="16"/>
      <c r="G237" s="19"/>
      <c r="H237" s="16" t="s">
        <v>216</v>
      </c>
      <c r="I237" s="19" t="s">
        <v>24</v>
      </c>
      <c r="J237" s="19" t="s">
        <v>108</v>
      </c>
      <c r="K237" s="339">
        <f>37.06*65%</f>
        <v>24.089000000000002</v>
      </c>
      <c r="L237" s="339">
        <v>2080</v>
      </c>
      <c r="M237" s="339"/>
      <c r="N237" s="339">
        <f t="shared" si="59"/>
        <v>50105.120000000003</v>
      </c>
      <c r="O237" s="339"/>
      <c r="P237" s="339"/>
      <c r="Q237" s="339">
        <f t="shared" si="43"/>
        <v>16609.847280000002</v>
      </c>
      <c r="R237" s="339">
        <f t="shared" si="64"/>
        <v>726.52424000000008</v>
      </c>
      <c r="S237" s="339"/>
      <c r="T237" s="339"/>
      <c r="U237" s="339"/>
      <c r="V237" s="339"/>
      <c r="W237" s="727">
        <f t="shared" si="60"/>
        <v>67441.49152000001</v>
      </c>
      <c r="X237" s="339"/>
      <c r="Y237" s="339"/>
      <c r="Z237" s="340">
        <f t="shared" si="62"/>
        <v>67441.49152000001</v>
      </c>
      <c r="AA237" s="2"/>
    </row>
    <row r="238" spans="1:27" s="236" customFormat="1" ht="12.75" customHeight="1" x14ac:dyDescent="0.2">
      <c r="A238" s="16"/>
      <c r="B238" s="467">
        <v>1</v>
      </c>
      <c r="C238" s="16" t="s">
        <v>708</v>
      </c>
      <c r="D238" s="232"/>
      <c r="E238" s="16" t="s">
        <v>771</v>
      </c>
      <c r="F238" s="16"/>
      <c r="G238" s="19"/>
      <c r="H238" s="16" t="s">
        <v>216</v>
      </c>
      <c r="I238" s="19" t="s">
        <v>24</v>
      </c>
      <c r="J238" s="19" t="s">
        <v>108</v>
      </c>
      <c r="K238" s="339">
        <f>21.06*75%</f>
        <v>15.794999999999998</v>
      </c>
      <c r="L238" s="339">
        <v>2080</v>
      </c>
      <c r="M238" s="339"/>
      <c r="N238" s="339">
        <f t="shared" si="59"/>
        <v>32853.599999999999</v>
      </c>
      <c r="O238" s="339"/>
      <c r="P238" s="339"/>
      <c r="Q238" s="339">
        <f t="shared" si="43"/>
        <v>10890.9684</v>
      </c>
      <c r="R238" s="339">
        <f t="shared" si="64"/>
        <v>476.37720000000002</v>
      </c>
      <c r="S238" s="339"/>
      <c r="T238" s="339"/>
      <c r="U238" s="339"/>
      <c r="V238" s="339"/>
      <c r="W238" s="727">
        <f t="shared" si="60"/>
        <v>44220.945599999999</v>
      </c>
      <c r="X238" s="339">
        <f t="shared" si="61"/>
        <v>0</v>
      </c>
      <c r="Y238" s="339"/>
      <c r="Z238" s="340">
        <f t="shared" si="62"/>
        <v>44220.945599999999</v>
      </c>
      <c r="AA238" s="2">
        <f>[4]HR!$Z327-Z238</f>
        <v>80776.880479999993</v>
      </c>
    </row>
    <row r="239" spans="1:27" s="236" customFormat="1" ht="12.75" customHeight="1" x14ac:dyDescent="0.2">
      <c r="A239" s="16"/>
      <c r="B239" s="467">
        <v>0</v>
      </c>
      <c r="C239" s="16" t="s">
        <v>708</v>
      </c>
      <c r="D239" s="232"/>
      <c r="E239" s="16" t="s">
        <v>771</v>
      </c>
      <c r="F239" s="16"/>
      <c r="G239" s="19"/>
      <c r="H239" s="16" t="s">
        <v>216</v>
      </c>
      <c r="I239" s="19" t="s">
        <v>24</v>
      </c>
      <c r="J239" s="19" t="s">
        <v>1019</v>
      </c>
      <c r="K239" s="339">
        <f>21.06*10%</f>
        <v>2.1059999999999999</v>
      </c>
      <c r="L239" s="339">
        <v>2080</v>
      </c>
      <c r="M239" s="339"/>
      <c r="N239" s="339">
        <f t="shared" si="59"/>
        <v>4380.4799999999996</v>
      </c>
      <c r="O239" s="339">
        <v>2080</v>
      </c>
      <c r="P239" s="339"/>
      <c r="Q239" s="339">
        <f>N239*0.3315</f>
        <v>1452.1291199999998</v>
      </c>
      <c r="R239" s="339">
        <f>(N239+O239)*0.0145</f>
        <v>93.676959999999994</v>
      </c>
      <c r="S239" s="339"/>
      <c r="T239" s="339">
        <v>7092.48</v>
      </c>
      <c r="U239" s="339"/>
      <c r="V239" s="339"/>
      <c r="W239" s="264">
        <f t="shared" si="60"/>
        <v>15098.766079999998</v>
      </c>
      <c r="X239" s="339">
        <f t="shared" si="61"/>
        <v>0</v>
      </c>
      <c r="Y239" s="339"/>
      <c r="Z239" s="340">
        <f t="shared" si="62"/>
        <v>15098.766079999998</v>
      </c>
      <c r="AA239" s="2">
        <f>[4]HR!$Z328-Z239</f>
        <v>110004.45496</v>
      </c>
    </row>
    <row r="240" spans="1:27" s="236" customFormat="1" ht="12.75" customHeight="1" x14ac:dyDescent="0.2">
      <c r="A240" s="16"/>
      <c r="B240" s="467">
        <v>0</v>
      </c>
      <c r="C240" s="16" t="s">
        <v>708</v>
      </c>
      <c r="D240" s="232"/>
      <c r="E240" s="16" t="s">
        <v>771</v>
      </c>
      <c r="F240" s="16"/>
      <c r="G240" s="19"/>
      <c r="H240" s="16" t="s">
        <v>216</v>
      </c>
      <c r="I240" s="19" t="s">
        <v>24</v>
      </c>
      <c r="J240" s="19" t="s">
        <v>99</v>
      </c>
      <c r="K240" s="339">
        <f t="shared" ref="K240" si="65">21.06*10%</f>
        <v>2.1059999999999999</v>
      </c>
      <c r="L240" s="339">
        <v>2080</v>
      </c>
      <c r="M240" s="339"/>
      <c r="N240" s="339">
        <f t="shared" si="59"/>
        <v>4380.4799999999996</v>
      </c>
      <c r="O240" s="339"/>
      <c r="P240" s="339"/>
      <c r="Q240" s="339">
        <f t="shared" si="43"/>
        <v>1452.1291199999998</v>
      </c>
      <c r="R240" s="339">
        <f t="shared" si="64"/>
        <v>63.516959999999997</v>
      </c>
      <c r="S240" s="339"/>
      <c r="T240" s="339"/>
      <c r="U240" s="339"/>
      <c r="V240" s="339"/>
      <c r="W240" s="264">
        <f t="shared" si="60"/>
        <v>5896.1260799999991</v>
      </c>
      <c r="X240" s="339">
        <f t="shared" si="61"/>
        <v>0</v>
      </c>
      <c r="Y240" s="339"/>
      <c r="Z240" s="340">
        <f t="shared" si="62"/>
        <v>5896.1260799999991</v>
      </c>
      <c r="AA240" s="2"/>
    </row>
    <row r="241" spans="1:27" s="236" customFormat="1" ht="12.75" customHeight="1" x14ac:dyDescent="0.2">
      <c r="A241" s="16"/>
      <c r="B241" s="467">
        <v>0</v>
      </c>
      <c r="C241" s="16" t="s">
        <v>708</v>
      </c>
      <c r="D241" s="232"/>
      <c r="E241" s="16" t="s">
        <v>771</v>
      </c>
      <c r="F241" s="16"/>
      <c r="G241" s="19"/>
      <c r="H241" s="16" t="s">
        <v>216</v>
      </c>
      <c r="I241" s="19" t="s">
        <v>24</v>
      </c>
      <c r="J241" s="19" t="s">
        <v>96</v>
      </c>
      <c r="K241" s="339">
        <f>21.06*5%</f>
        <v>1.0529999999999999</v>
      </c>
      <c r="L241" s="339">
        <v>2080</v>
      </c>
      <c r="M241" s="339"/>
      <c r="N241" s="339">
        <f t="shared" si="59"/>
        <v>2190.2399999999998</v>
      </c>
      <c r="O241" s="339"/>
      <c r="P241" s="339"/>
      <c r="Q241" s="339">
        <f t="shared" si="43"/>
        <v>726.06455999999991</v>
      </c>
      <c r="R241" s="339">
        <f t="shared" si="64"/>
        <v>31.758479999999999</v>
      </c>
      <c r="S241" s="339"/>
      <c r="T241" s="339"/>
      <c r="U241" s="339"/>
      <c r="V241" s="339"/>
      <c r="W241" s="264">
        <f t="shared" si="60"/>
        <v>2948.0630399999995</v>
      </c>
      <c r="X241" s="339">
        <f t="shared" si="61"/>
        <v>0</v>
      </c>
      <c r="Y241" s="339"/>
      <c r="Z241" s="340">
        <f t="shared" si="62"/>
        <v>2948.0630399999995</v>
      </c>
      <c r="AA241" s="2"/>
    </row>
    <row r="242" spans="1:27" s="236" customFormat="1" ht="12.75" customHeight="1" x14ac:dyDescent="0.2">
      <c r="A242" s="16"/>
      <c r="B242" s="467">
        <v>1</v>
      </c>
      <c r="C242" s="16" t="s">
        <v>709</v>
      </c>
      <c r="D242" s="232"/>
      <c r="E242" s="16" t="s">
        <v>804</v>
      </c>
      <c r="F242" s="16"/>
      <c r="G242" s="16"/>
      <c r="H242" s="16" t="s">
        <v>216</v>
      </c>
      <c r="I242" s="19" t="s">
        <v>25</v>
      </c>
      <c r="J242" s="19" t="s">
        <v>973</v>
      </c>
      <c r="K242" s="339">
        <v>41.76</v>
      </c>
      <c r="L242" s="339">
        <v>2080</v>
      </c>
      <c r="M242" s="339"/>
      <c r="N242" s="339">
        <f t="shared" si="59"/>
        <v>86860.800000000003</v>
      </c>
      <c r="O242" s="339"/>
      <c r="P242" s="339"/>
      <c r="Q242" s="339">
        <f t="shared" si="43"/>
        <v>28794.355200000002</v>
      </c>
      <c r="R242" s="339">
        <f t="shared" si="64"/>
        <v>1259.4816000000001</v>
      </c>
      <c r="S242" s="339"/>
      <c r="T242" s="339">
        <v>9628.56</v>
      </c>
      <c r="U242" s="339">
        <v>702.48</v>
      </c>
      <c r="V242" s="339"/>
      <c r="W242" s="264">
        <f t="shared" si="60"/>
        <v>127245.6768</v>
      </c>
      <c r="X242" s="339">
        <f t="shared" si="61"/>
        <v>0</v>
      </c>
      <c r="Y242" s="339"/>
      <c r="Z242" s="340">
        <f t="shared" si="62"/>
        <v>127245.6768</v>
      </c>
      <c r="AA242" s="2">
        <f>[4]HR!$Z329-Z242</f>
        <v>-31330.065571680025</v>
      </c>
    </row>
    <row r="243" spans="1:27" s="236" customFormat="1" ht="12.75" customHeight="1" x14ac:dyDescent="0.2">
      <c r="A243" s="16"/>
      <c r="B243" s="467">
        <v>1</v>
      </c>
      <c r="C243" s="16" t="s">
        <v>710</v>
      </c>
      <c r="D243" s="232"/>
      <c r="E243" s="16" t="s">
        <v>804</v>
      </c>
      <c r="F243" s="16"/>
      <c r="G243" s="16"/>
      <c r="H243" s="16" t="s">
        <v>216</v>
      </c>
      <c r="I243" s="19" t="s">
        <v>25</v>
      </c>
      <c r="J243" s="19" t="s">
        <v>99</v>
      </c>
      <c r="K243" s="339">
        <f>41.74*65%</f>
        <v>27.131000000000004</v>
      </c>
      <c r="L243" s="339">
        <v>2080</v>
      </c>
      <c r="M243" s="339"/>
      <c r="N243" s="339">
        <f t="shared" si="59"/>
        <v>56432.48000000001</v>
      </c>
      <c r="O243" s="339"/>
      <c r="P243" s="339"/>
      <c r="Q243" s="339">
        <f t="shared" si="43"/>
        <v>18707.367120000003</v>
      </c>
      <c r="R243" s="339">
        <f t="shared" si="64"/>
        <v>818.27096000000017</v>
      </c>
      <c r="S243" s="339"/>
      <c r="T243" s="339">
        <v>9664.56</v>
      </c>
      <c r="U243" s="339">
        <v>702.48</v>
      </c>
      <c r="V243" s="339"/>
      <c r="W243" s="264">
        <f t="shared" si="60"/>
        <v>86325.158080000008</v>
      </c>
      <c r="X243" s="339">
        <f t="shared" si="61"/>
        <v>0</v>
      </c>
      <c r="Y243" s="339"/>
      <c r="Z243" s="340">
        <f t="shared" si="62"/>
        <v>86325.158080000008</v>
      </c>
      <c r="AA243" s="2">
        <f>[4]HR!$Z330-Z243</f>
        <v>-67985.369245360009</v>
      </c>
    </row>
    <row r="244" spans="1:27" s="236" customFormat="1" ht="12.75" customHeight="1" x14ac:dyDescent="0.2">
      <c r="A244" s="16"/>
      <c r="B244" s="467">
        <v>0</v>
      </c>
      <c r="C244" s="16" t="s">
        <v>710</v>
      </c>
      <c r="D244" s="232"/>
      <c r="E244" s="16" t="s">
        <v>804</v>
      </c>
      <c r="F244" s="16"/>
      <c r="G244" s="16"/>
      <c r="H244" s="16" t="s">
        <v>216</v>
      </c>
      <c r="I244" s="19" t="s">
        <v>25</v>
      </c>
      <c r="J244" s="19" t="s">
        <v>105</v>
      </c>
      <c r="K244" s="339">
        <f>41.74*5%</f>
        <v>2.0870000000000002</v>
      </c>
      <c r="L244" s="339">
        <v>2080</v>
      </c>
      <c r="M244" s="339"/>
      <c r="N244" s="339">
        <f t="shared" si="59"/>
        <v>4340.96</v>
      </c>
      <c r="O244" s="339"/>
      <c r="P244" s="339"/>
      <c r="Q244" s="339">
        <f t="shared" si="43"/>
        <v>1439.0282400000001</v>
      </c>
      <c r="R244" s="339">
        <f t="shared" si="64"/>
        <v>62.943920000000006</v>
      </c>
      <c r="S244" s="339"/>
      <c r="T244" s="339"/>
      <c r="U244" s="339"/>
      <c r="V244" s="339"/>
      <c r="W244" s="264">
        <f t="shared" si="60"/>
        <v>5842.9321600000003</v>
      </c>
      <c r="X244" s="339">
        <f t="shared" si="61"/>
        <v>0</v>
      </c>
      <c r="Y244" s="339"/>
      <c r="Z244" s="340">
        <f t="shared" si="62"/>
        <v>5842.9321600000003</v>
      </c>
      <c r="AA244" s="2"/>
    </row>
    <row r="245" spans="1:27" s="236" customFormat="1" ht="12.75" customHeight="1" x14ac:dyDescent="0.2">
      <c r="A245" s="16"/>
      <c r="B245" s="467">
        <v>0</v>
      </c>
      <c r="C245" s="16" t="s">
        <v>710</v>
      </c>
      <c r="D245" s="232"/>
      <c r="E245" s="16" t="s">
        <v>804</v>
      </c>
      <c r="F245" s="16"/>
      <c r="G245" s="16"/>
      <c r="H245" s="16" t="s">
        <v>216</v>
      </c>
      <c r="I245" s="19" t="s">
        <v>25</v>
      </c>
      <c r="J245" s="19" t="s">
        <v>100</v>
      </c>
      <c r="K245" s="339">
        <f>41.74*5%</f>
        <v>2.0870000000000002</v>
      </c>
      <c r="L245" s="339">
        <v>2080</v>
      </c>
      <c r="M245" s="339"/>
      <c r="N245" s="339">
        <f t="shared" si="59"/>
        <v>4340.96</v>
      </c>
      <c r="O245" s="339"/>
      <c r="P245" s="339"/>
      <c r="Q245" s="339">
        <f t="shared" si="43"/>
        <v>1439.0282400000001</v>
      </c>
      <c r="R245" s="339">
        <f t="shared" si="64"/>
        <v>62.943920000000006</v>
      </c>
      <c r="S245" s="339"/>
      <c r="T245" s="339"/>
      <c r="U245" s="339"/>
      <c r="V245" s="339"/>
      <c r="W245" s="264">
        <f t="shared" si="60"/>
        <v>5842.9321600000003</v>
      </c>
      <c r="X245" s="339">
        <f t="shared" si="61"/>
        <v>0</v>
      </c>
      <c r="Y245" s="339"/>
      <c r="Z245" s="340">
        <f t="shared" si="62"/>
        <v>5842.9321600000003</v>
      </c>
      <c r="AA245" s="2"/>
    </row>
    <row r="246" spans="1:27" s="236" customFormat="1" ht="12.75" customHeight="1" x14ac:dyDescent="0.2">
      <c r="A246" s="16"/>
      <c r="B246" s="467">
        <v>0</v>
      </c>
      <c r="C246" s="16" t="s">
        <v>710</v>
      </c>
      <c r="D246" s="232"/>
      <c r="E246" s="16" t="s">
        <v>804</v>
      </c>
      <c r="F246" s="16"/>
      <c r="G246" s="16"/>
      <c r="H246" s="16" t="s">
        <v>216</v>
      </c>
      <c r="I246" s="19" t="s">
        <v>25</v>
      </c>
      <c r="J246" s="19" t="s">
        <v>101</v>
      </c>
      <c r="K246" s="339">
        <f>41.74*5%</f>
        <v>2.0870000000000002</v>
      </c>
      <c r="L246" s="339">
        <v>2080</v>
      </c>
      <c r="M246" s="339"/>
      <c r="N246" s="339">
        <f t="shared" si="59"/>
        <v>4340.96</v>
      </c>
      <c r="O246" s="339"/>
      <c r="P246" s="339"/>
      <c r="Q246" s="339">
        <f t="shared" si="43"/>
        <v>1439.0282400000001</v>
      </c>
      <c r="R246" s="339">
        <f t="shared" si="64"/>
        <v>62.943920000000006</v>
      </c>
      <c r="S246" s="339"/>
      <c r="T246" s="339"/>
      <c r="U246" s="339"/>
      <c r="V246" s="339"/>
      <c r="W246" s="264">
        <f t="shared" si="60"/>
        <v>5842.9321600000003</v>
      </c>
      <c r="X246" s="339">
        <f t="shared" si="61"/>
        <v>0</v>
      </c>
      <c r="Y246" s="339"/>
      <c r="Z246" s="340">
        <f t="shared" si="62"/>
        <v>5842.9321600000003</v>
      </c>
      <c r="AA246" s="2"/>
    </row>
    <row r="247" spans="1:27" s="236" customFormat="1" ht="12.75" customHeight="1" x14ac:dyDescent="0.2">
      <c r="A247" s="16"/>
      <c r="B247" s="467">
        <v>0</v>
      </c>
      <c r="C247" s="16" t="s">
        <v>710</v>
      </c>
      <c r="D247" s="232"/>
      <c r="E247" s="16" t="s">
        <v>804</v>
      </c>
      <c r="F247" s="16"/>
      <c r="G247" s="16"/>
      <c r="H247" s="16" t="s">
        <v>216</v>
      </c>
      <c r="I247" s="19" t="s">
        <v>25</v>
      </c>
      <c r="J247" s="19" t="s">
        <v>96</v>
      </c>
      <c r="K247" s="339">
        <f>41.74*15%</f>
        <v>6.2610000000000001</v>
      </c>
      <c r="L247" s="339">
        <v>2080</v>
      </c>
      <c r="M247" s="339"/>
      <c r="N247" s="339">
        <f t="shared" si="59"/>
        <v>13022.880000000001</v>
      </c>
      <c r="O247" s="339"/>
      <c r="P247" s="339"/>
      <c r="Q247" s="339">
        <f t="shared" si="43"/>
        <v>4317.0847200000007</v>
      </c>
      <c r="R247" s="339">
        <f t="shared" si="64"/>
        <v>188.83176000000003</v>
      </c>
      <c r="S247" s="339"/>
      <c r="T247" s="339"/>
      <c r="U247" s="339"/>
      <c r="V247" s="339"/>
      <c r="W247" s="264">
        <f t="shared" si="60"/>
        <v>17528.796480000005</v>
      </c>
      <c r="X247" s="339">
        <f t="shared" si="61"/>
        <v>0</v>
      </c>
      <c r="Y247" s="339"/>
      <c r="Z247" s="340">
        <f t="shared" si="62"/>
        <v>17528.796480000005</v>
      </c>
      <c r="AA247" s="2"/>
    </row>
    <row r="248" spans="1:27" s="236" customFormat="1" ht="12.75" customHeight="1" x14ac:dyDescent="0.2">
      <c r="A248" s="16"/>
      <c r="B248" s="467">
        <v>0</v>
      </c>
      <c r="C248" s="16" t="s">
        <v>710</v>
      </c>
      <c r="D248" s="232"/>
      <c r="E248" s="16" t="s">
        <v>804</v>
      </c>
      <c r="F248" s="16"/>
      <c r="G248" s="16"/>
      <c r="H248" s="16" t="s">
        <v>216</v>
      </c>
      <c r="I248" s="19" t="s">
        <v>25</v>
      </c>
      <c r="J248" s="19" t="s">
        <v>137</v>
      </c>
      <c r="K248" s="339">
        <f>41.74*5%</f>
        <v>2.0870000000000002</v>
      </c>
      <c r="L248" s="339">
        <v>2080</v>
      </c>
      <c r="M248" s="339"/>
      <c r="N248" s="339">
        <f t="shared" si="59"/>
        <v>4340.96</v>
      </c>
      <c r="O248" s="339"/>
      <c r="P248" s="339"/>
      <c r="Q248" s="339">
        <f t="shared" si="43"/>
        <v>1439.0282400000001</v>
      </c>
      <c r="R248" s="339">
        <f t="shared" si="64"/>
        <v>62.943920000000006</v>
      </c>
      <c r="S248" s="339"/>
      <c r="T248" s="339"/>
      <c r="U248" s="339"/>
      <c r="V248" s="339"/>
      <c r="W248" s="264">
        <f t="shared" si="60"/>
        <v>5842.9321600000003</v>
      </c>
      <c r="X248" s="339">
        <f t="shared" si="61"/>
        <v>0</v>
      </c>
      <c r="Y248" s="339"/>
      <c r="Z248" s="340">
        <f t="shared" si="62"/>
        <v>5842.9321600000003</v>
      </c>
      <c r="AA248" s="2"/>
    </row>
    <row r="249" spans="1:27" s="236" customFormat="1" ht="12.75" customHeight="1" x14ac:dyDescent="0.2">
      <c r="A249" s="16"/>
      <c r="B249" s="467">
        <v>1</v>
      </c>
      <c r="C249" s="16" t="s">
        <v>712</v>
      </c>
      <c r="D249" s="232"/>
      <c r="E249" s="16" t="s">
        <v>778</v>
      </c>
      <c r="F249" s="16"/>
      <c r="G249" s="16"/>
      <c r="H249" s="16" t="s">
        <v>216</v>
      </c>
      <c r="I249" s="19" t="s">
        <v>25</v>
      </c>
      <c r="J249" s="19" t="s">
        <v>973</v>
      </c>
      <c r="K249" s="339">
        <f>55.08*25%</f>
        <v>13.77</v>
      </c>
      <c r="L249" s="339">
        <v>2080</v>
      </c>
      <c r="M249" s="339"/>
      <c r="N249" s="339">
        <f t="shared" si="59"/>
        <v>28641.599999999999</v>
      </c>
      <c r="O249" s="339"/>
      <c r="P249" s="339"/>
      <c r="Q249" s="339">
        <f t="shared" si="43"/>
        <v>9494.6903999999995</v>
      </c>
      <c r="R249" s="339">
        <f t="shared" ref="R249:R272" si="66">N249*0.0145</f>
        <v>415.3032</v>
      </c>
      <c r="S249" s="339"/>
      <c r="T249" s="339">
        <v>8415.84</v>
      </c>
      <c r="U249" s="339">
        <v>400.32</v>
      </c>
      <c r="V249" s="339"/>
      <c r="W249" s="264">
        <f t="shared" si="60"/>
        <v>47367.753600000004</v>
      </c>
      <c r="X249" s="339">
        <f t="shared" si="61"/>
        <v>0</v>
      </c>
      <c r="Y249" s="339"/>
      <c r="Z249" s="340">
        <f t="shared" si="62"/>
        <v>47367.753600000004</v>
      </c>
      <c r="AA249" s="2">
        <f>[4]HR!$Z334-Z249</f>
        <v>-17068.638208000004</v>
      </c>
    </row>
    <row r="250" spans="1:27" s="236" customFormat="1" ht="12.75" customHeight="1" x14ac:dyDescent="0.2">
      <c r="A250" s="16"/>
      <c r="B250" s="467">
        <v>0</v>
      </c>
      <c r="C250" s="16" t="s">
        <v>712</v>
      </c>
      <c r="D250" s="232"/>
      <c r="E250" s="16" t="s">
        <v>778</v>
      </c>
      <c r="F250" s="16"/>
      <c r="G250" s="16"/>
      <c r="H250" s="16" t="s">
        <v>216</v>
      </c>
      <c r="I250" s="19" t="s">
        <v>25</v>
      </c>
      <c r="J250" s="19" t="s">
        <v>96</v>
      </c>
      <c r="K250" s="339">
        <f>55.08*25%</f>
        <v>13.77</v>
      </c>
      <c r="L250" s="339">
        <v>2080</v>
      </c>
      <c r="M250" s="339"/>
      <c r="N250" s="339">
        <f t="shared" si="59"/>
        <v>28641.599999999999</v>
      </c>
      <c r="O250" s="339"/>
      <c r="P250" s="339"/>
      <c r="Q250" s="339">
        <f t="shared" si="43"/>
        <v>9494.6903999999995</v>
      </c>
      <c r="R250" s="339">
        <f t="shared" si="66"/>
        <v>415.3032</v>
      </c>
      <c r="S250" s="339"/>
      <c r="T250" s="339"/>
      <c r="U250" s="339"/>
      <c r="V250" s="339"/>
      <c r="W250" s="264">
        <f t="shared" si="60"/>
        <v>38551.5936</v>
      </c>
      <c r="X250" s="339">
        <f t="shared" si="61"/>
        <v>0</v>
      </c>
      <c r="Y250" s="339"/>
      <c r="Z250" s="340">
        <f t="shared" si="62"/>
        <v>38551.5936</v>
      </c>
      <c r="AA250" s="2">
        <f>[4]HR!$Z336-Z250</f>
        <v>-8252.4782080000004</v>
      </c>
    </row>
    <row r="251" spans="1:27" s="236" customFormat="1" ht="12.75" customHeight="1" x14ac:dyDescent="0.2">
      <c r="A251" s="16"/>
      <c r="B251" s="467">
        <v>0</v>
      </c>
      <c r="C251" s="16" t="s">
        <v>712</v>
      </c>
      <c r="D251" s="232"/>
      <c r="E251" s="16" t="s">
        <v>778</v>
      </c>
      <c r="F251" s="16"/>
      <c r="G251" s="16"/>
      <c r="H251" s="16" t="s">
        <v>216</v>
      </c>
      <c r="I251" s="19" t="s">
        <v>25</v>
      </c>
      <c r="J251" s="19" t="s">
        <v>99</v>
      </c>
      <c r="K251" s="339">
        <f>55.08*50%</f>
        <v>27.54</v>
      </c>
      <c r="L251" s="339">
        <v>2080</v>
      </c>
      <c r="M251" s="339"/>
      <c r="N251" s="339">
        <f t="shared" si="59"/>
        <v>57283.199999999997</v>
      </c>
      <c r="O251" s="339"/>
      <c r="P251" s="339"/>
      <c r="Q251" s="339">
        <f t="shared" si="43"/>
        <v>18989.380799999999</v>
      </c>
      <c r="R251" s="339">
        <f t="shared" si="66"/>
        <v>830.60640000000001</v>
      </c>
      <c r="S251" s="339"/>
      <c r="T251" s="339"/>
      <c r="U251" s="339"/>
      <c r="V251" s="339"/>
      <c r="W251" s="264">
        <f t="shared" si="60"/>
        <v>77103.1872</v>
      </c>
      <c r="X251" s="339">
        <f t="shared" si="61"/>
        <v>0</v>
      </c>
      <c r="Y251" s="339"/>
      <c r="Z251" s="340">
        <f t="shared" si="62"/>
        <v>77103.1872</v>
      </c>
      <c r="AA251" s="2">
        <f>[4]HR!$Z338-Z251</f>
        <v>-70381.066703999997</v>
      </c>
    </row>
    <row r="252" spans="1:27" s="236" customFormat="1" ht="12.75" customHeight="1" x14ac:dyDescent="0.2">
      <c r="A252" s="16"/>
      <c r="B252" s="467">
        <v>1</v>
      </c>
      <c r="C252" s="16" t="s">
        <v>652</v>
      </c>
      <c r="D252" s="232"/>
      <c r="E252" s="16" t="s">
        <v>768</v>
      </c>
      <c r="F252" s="16"/>
      <c r="G252" s="19"/>
      <c r="H252" s="16" t="s">
        <v>216</v>
      </c>
      <c r="I252" s="19" t="s">
        <v>394</v>
      </c>
      <c r="J252" s="19" t="s">
        <v>1010</v>
      </c>
      <c r="K252" s="339">
        <f>35.35*10%</f>
        <v>3.5350000000000001</v>
      </c>
      <c r="L252" s="339">
        <v>2080</v>
      </c>
      <c r="M252" s="339"/>
      <c r="N252" s="339">
        <f t="shared" si="59"/>
        <v>7352.8</v>
      </c>
      <c r="O252" s="339"/>
      <c r="P252" s="339"/>
      <c r="Q252" s="339">
        <f t="shared" si="43"/>
        <v>2437.4532000000004</v>
      </c>
      <c r="R252" s="339">
        <f t="shared" si="66"/>
        <v>106.61560000000001</v>
      </c>
      <c r="S252" s="339"/>
      <c r="T252" s="339"/>
      <c r="U252" s="339"/>
      <c r="V252" s="339"/>
      <c r="W252" s="264">
        <f t="shared" si="60"/>
        <v>9896.8688000000002</v>
      </c>
      <c r="X252" s="339">
        <f t="shared" si="61"/>
        <v>0</v>
      </c>
      <c r="Y252" s="339"/>
      <c r="Z252" s="340">
        <f t="shared" si="62"/>
        <v>9896.8688000000002</v>
      </c>
      <c r="AA252" s="2">
        <f>[4]HR!$Z349-Z252</f>
        <v>-268.34475199999906</v>
      </c>
    </row>
    <row r="253" spans="1:27" s="236" customFormat="1" ht="12.75" customHeight="1" x14ac:dyDescent="0.2">
      <c r="A253" s="16"/>
      <c r="B253" s="467">
        <v>0</v>
      </c>
      <c r="C253" s="16" t="s">
        <v>652</v>
      </c>
      <c r="D253" s="232"/>
      <c r="E253" s="16" t="s">
        <v>768</v>
      </c>
      <c r="F253" s="16"/>
      <c r="G253" s="19"/>
      <c r="H253" s="16" t="s">
        <v>216</v>
      </c>
      <c r="I253" s="19" t="s">
        <v>394</v>
      </c>
      <c r="J253" s="19" t="s">
        <v>985</v>
      </c>
      <c r="K253" s="339">
        <f>35.35*10%</f>
        <v>3.5350000000000001</v>
      </c>
      <c r="L253" s="339">
        <v>2080</v>
      </c>
      <c r="M253" s="339"/>
      <c r="N253" s="339">
        <f t="shared" si="59"/>
        <v>7352.8</v>
      </c>
      <c r="O253" s="339"/>
      <c r="P253" s="339"/>
      <c r="Q253" s="339">
        <f t="shared" si="43"/>
        <v>2437.4532000000004</v>
      </c>
      <c r="R253" s="339">
        <f t="shared" si="66"/>
        <v>106.61560000000001</v>
      </c>
      <c r="S253" s="339"/>
      <c r="T253" s="339"/>
      <c r="U253" s="339"/>
      <c r="V253" s="339"/>
      <c r="W253" s="264">
        <f t="shared" si="60"/>
        <v>9896.8688000000002</v>
      </c>
      <c r="X253" s="339">
        <f t="shared" si="61"/>
        <v>0</v>
      </c>
      <c r="Y253" s="339"/>
      <c r="Z253" s="340">
        <f t="shared" si="62"/>
        <v>9896.8688000000002</v>
      </c>
      <c r="AA253" s="2">
        <f>[4]HR!$Z350-Z253</f>
        <v>14174.441319999998</v>
      </c>
    </row>
    <row r="254" spans="1:27" s="236" customFormat="1" ht="12.75" customHeight="1" x14ac:dyDescent="0.2">
      <c r="A254" s="16"/>
      <c r="B254" s="467">
        <v>0</v>
      </c>
      <c r="C254" s="16" t="s">
        <v>652</v>
      </c>
      <c r="D254" s="232"/>
      <c r="E254" s="16" t="s">
        <v>768</v>
      </c>
      <c r="F254" s="16"/>
      <c r="G254" s="19"/>
      <c r="H254" s="16" t="s">
        <v>216</v>
      </c>
      <c r="I254" s="19" t="s">
        <v>394</v>
      </c>
      <c r="J254" s="19" t="s">
        <v>1053</v>
      </c>
      <c r="K254" s="339">
        <f>35.35*15%</f>
        <v>5.3025000000000002</v>
      </c>
      <c r="L254" s="339">
        <v>2080</v>
      </c>
      <c r="M254" s="339"/>
      <c r="N254" s="339">
        <f t="shared" si="59"/>
        <v>11029.2</v>
      </c>
      <c r="O254" s="339"/>
      <c r="P254" s="339"/>
      <c r="Q254" s="339">
        <f t="shared" si="43"/>
        <v>3656.1798000000003</v>
      </c>
      <c r="R254" s="339">
        <f t="shared" si="66"/>
        <v>159.92340000000002</v>
      </c>
      <c r="S254" s="339"/>
      <c r="T254" s="339"/>
      <c r="U254" s="339"/>
      <c r="V254" s="339"/>
      <c r="W254" s="264">
        <f t="shared" si="60"/>
        <v>14845.3032</v>
      </c>
      <c r="X254" s="339">
        <f t="shared" si="61"/>
        <v>0</v>
      </c>
      <c r="Y254" s="339"/>
      <c r="Z254" s="340">
        <f t="shared" si="62"/>
        <v>14845.3032</v>
      </c>
      <c r="AA254" s="2">
        <f>[4]HR!$Z351-Z254</f>
        <v>9226.006919999998</v>
      </c>
    </row>
    <row r="255" spans="1:27" s="236" customFormat="1" ht="12.75" customHeight="1" x14ac:dyDescent="0.2">
      <c r="A255" s="16"/>
      <c r="B255" s="467">
        <v>0</v>
      </c>
      <c r="C255" s="16" t="s">
        <v>652</v>
      </c>
      <c r="D255" s="232"/>
      <c r="E255" s="16" t="s">
        <v>768</v>
      </c>
      <c r="F255" s="16"/>
      <c r="G255" s="19"/>
      <c r="H255" s="16" t="s">
        <v>216</v>
      </c>
      <c r="I255" s="19" t="s">
        <v>394</v>
      </c>
      <c r="J255" s="19" t="s">
        <v>939</v>
      </c>
      <c r="K255" s="339">
        <f>35.35*30%</f>
        <v>10.605</v>
      </c>
      <c r="L255" s="339">
        <v>2080</v>
      </c>
      <c r="M255" s="339"/>
      <c r="N255" s="339">
        <f t="shared" si="59"/>
        <v>22058.400000000001</v>
      </c>
      <c r="O255" s="339"/>
      <c r="P255" s="339"/>
      <c r="Q255" s="339">
        <f t="shared" si="43"/>
        <v>7312.3596000000007</v>
      </c>
      <c r="R255" s="339">
        <f t="shared" si="66"/>
        <v>319.84680000000003</v>
      </c>
      <c r="S255" s="339"/>
      <c r="T255" s="339"/>
      <c r="U255" s="339"/>
      <c r="V255" s="339"/>
      <c r="W255" s="264">
        <f t="shared" si="60"/>
        <v>29690.606400000001</v>
      </c>
      <c r="X255" s="339">
        <f t="shared" si="61"/>
        <v>0</v>
      </c>
      <c r="Y255" s="339"/>
      <c r="Z255" s="340">
        <f t="shared" si="62"/>
        <v>29690.606400000001</v>
      </c>
      <c r="AA255" s="2">
        <f>[4]HR!$Z352-Z255</f>
        <v>-24876.344376000001</v>
      </c>
    </row>
    <row r="256" spans="1:27" s="236" customFormat="1" ht="12.75" customHeight="1" x14ac:dyDescent="0.2">
      <c r="A256" s="16"/>
      <c r="B256" s="467">
        <v>0</v>
      </c>
      <c r="C256" s="16" t="s">
        <v>652</v>
      </c>
      <c r="D256" s="232"/>
      <c r="E256" s="16" t="s">
        <v>768</v>
      </c>
      <c r="F256" s="16"/>
      <c r="G256" s="19"/>
      <c r="H256" s="16" t="s">
        <v>216</v>
      </c>
      <c r="I256" s="19" t="s">
        <v>394</v>
      </c>
      <c r="J256" s="19" t="s">
        <v>937</v>
      </c>
      <c r="K256" s="339">
        <f>35.35*30%</f>
        <v>10.605</v>
      </c>
      <c r="L256" s="339">
        <v>2080</v>
      </c>
      <c r="M256" s="339"/>
      <c r="N256" s="339">
        <f t="shared" si="59"/>
        <v>22058.400000000001</v>
      </c>
      <c r="O256" s="339"/>
      <c r="P256" s="339"/>
      <c r="Q256" s="339">
        <f t="shared" si="43"/>
        <v>7312.3596000000007</v>
      </c>
      <c r="R256" s="339">
        <f t="shared" si="66"/>
        <v>319.84680000000003</v>
      </c>
      <c r="S256" s="339"/>
      <c r="T256" s="339"/>
      <c r="U256" s="339"/>
      <c r="V256" s="339"/>
      <c r="W256" s="264">
        <f t="shared" si="60"/>
        <v>29690.606400000001</v>
      </c>
      <c r="X256" s="339">
        <f t="shared" si="61"/>
        <v>0</v>
      </c>
      <c r="Y256" s="339"/>
      <c r="Z256" s="340">
        <f t="shared" si="62"/>
        <v>29690.606400000001</v>
      </c>
      <c r="AA256" s="2">
        <f>[4]HR!$Z353-Z256</f>
        <v>-24876.344376000001</v>
      </c>
    </row>
    <row r="257" spans="1:27" s="236" customFormat="1" ht="12.75" customHeight="1" x14ac:dyDescent="0.2">
      <c r="A257" s="16"/>
      <c r="B257" s="467">
        <v>0</v>
      </c>
      <c r="C257" s="16" t="s">
        <v>652</v>
      </c>
      <c r="D257" s="232"/>
      <c r="E257" s="16" t="s">
        <v>768</v>
      </c>
      <c r="F257" s="16"/>
      <c r="G257" s="19"/>
      <c r="H257" s="16" t="s">
        <v>216</v>
      </c>
      <c r="I257" s="19" t="s">
        <v>394</v>
      </c>
      <c r="J257" s="19" t="s">
        <v>49</v>
      </c>
      <c r="K257" s="339">
        <f>35.35*5%</f>
        <v>1.7675000000000001</v>
      </c>
      <c r="L257" s="339">
        <v>2080</v>
      </c>
      <c r="M257" s="339"/>
      <c r="N257" s="339">
        <f t="shared" si="59"/>
        <v>3676.4</v>
      </c>
      <c r="O257" s="339"/>
      <c r="P257" s="339"/>
      <c r="Q257" s="339">
        <f t="shared" si="43"/>
        <v>1218.7266000000002</v>
      </c>
      <c r="R257" s="339">
        <f t="shared" si="66"/>
        <v>53.307800000000007</v>
      </c>
      <c r="S257" s="339"/>
      <c r="T257" s="339">
        <v>8379.84</v>
      </c>
      <c r="U257" s="339">
        <v>400.32</v>
      </c>
      <c r="V257" s="339"/>
      <c r="W257" s="264">
        <f t="shared" si="60"/>
        <v>13728.5944</v>
      </c>
      <c r="X257" s="339">
        <f t="shared" si="61"/>
        <v>0</v>
      </c>
      <c r="Y257" s="339"/>
      <c r="Z257" s="340">
        <f t="shared" si="62"/>
        <v>13728.5944</v>
      </c>
      <c r="AA257" s="2">
        <f>[4]HR!$Z356-Z257</f>
        <v>-4070.3264560000007</v>
      </c>
    </row>
    <row r="258" spans="1:27" s="236" customFormat="1" ht="12.75" customHeight="1" x14ac:dyDescent="0.2">
      <c r="A258" s="16"/>
      <c r="B258" s="467">
        <v>1</v>
      </c>
      <c r="C258" s="19" t="s">
        <v>704</v>
      </c>
      <c r="D258" s="232"/>
      <c r="E258" s="16" t="s">
        <v>767</v>
      </c>
      <c r="F258" s="19"/>
      <c r="G258" s="19"/>
      <c r="H258" s="16" t="s">
        <v>216</v>
      </c>
      <c r="I258" s="19" t="s">
        <v>394</v>
      </c>
      <c r="J258" s="19" t="s">
        <v>1010</v>
      </c>
      <c r="K258" s="339">
        <f>33.19*10%</f>
        <v>3.319</v>
      </c>
      <c r="L258" s="339">
        <v>2080</v>
      </c>
      <c r="M258" s="339"/>
      <c r="N258" s="339">
        <f t="shared" si="59"/>
        <v>6903.5199999999995</v>
      </c>
      <c r="O258" s="339"/>
      <c r="P258" s="339"/>
      <c r="Q258" s="339">
        <f t="shared" si="43"/>
        <v>2288.5168800000001</v>
      </c>
      <c r="R258" s="339">
        <f t="shared" si="66"/>
        <v>100.10104</v>
      </c>
      <c r="S258" s="339"/>
      <c r="T258" s="339"/>
      <c r="U258" s="339"/>
      <c r="V258" s="339"/>
      <c r="W258" s="264">
        <f t="shared" si="60"/>
        <v>9292.1379199999992</v>
      </c>
      <c r="X258" s="339">
        <f t="shared" si="61"/>
        <v>0</v>
      </c>
      <c r="Y258" s="339"/>
      <c r="Z258" s="340">
        <f t="shared" si="62"/>
        <v>9292.1379199999992</v>
      </c>
      <c r="AA258" s="2">
        <f>[4]HR!$Z339-Z258</f>
        <v>-2570.0174239999997</v>
      </c>
    </row>
    <row r="259" spans="1:27" s="236" customFormat="1" ht="12.75" customHeight="1" x14ac:dyDescent="0.2">
      <c r="A259" s="16"/>
      <c r="B259" s="467">
        <v>0</v>
      </c>
      <c r="C259" s="19" t="s">
        <v>704</v>
      </c>
      <c r="D259" s="232"/>
      <c r="E259" s="16" t="s">
        <v>767</v>
      </c>
      <c r="F259" s="19"/>
      <c r="G259" s="19"/>
      <c r="H259" s="16" t="s">
        <v>216</v>
      </c>
      <c r="I259" s="19" t="s">
        <v>394</v>
      </c>
      <c r="J259" s="19" t="s">
        <v>985</v>
      </c>
      <c r="K259" s="339">
        <f>33.19*10%</f>
        <v>3.319</v>
      </c>
      <c r="L259" s="339">
        <v>2080</v>
      </c>
      <c r="M259" s="339"/>
      <c r="N259" s="339">
        <f t="shared" si="59"/>
        <v>6903.5199999999995</v>
      </c>
      <c r="O259" s="339"/>
      <c r="P259" s="339"/>
      <c r="Q259" s="339">
        <f t="shared" ref="Q259:Q335" si="67">N259*0.3315</f>
        <v>2288.5168800000001</v>
      </c>
      <c r="R259" s="339">
        <f t="shared" si="66"/>
        <v>100.10104</v>
      </c>
      <c r="S259" s="339"/>
      <c r="T259" s="339"/>
      <c r="U259" s="339"/>
      <c r="V259" s="339"/>
      <c r="W259" s="264">
        <f t="shared" si="60"/>
        <v>9292.1379199999992</v>
      </c>
      <c r="X259" s="339">
        <f t="shared" si="61"/>
        <v>0</v>
      </c>
      <c r="Y259" s="339"/>
      <c r="Z259" s="340">
        <f t="shared" si="62"/>
        <v>9292.1379199999992</v>
      </c>
      <c r="AA259" s="2">
        <f>[4]HR!$Z340-Z259</f>
        <v>14235.283816000005</v>
      </c>
    </row>
    <row r="260" spans="1:27" s="236" customFormat="1" ht="12.75" customHeight="1" x14ac:dyDescent="0.2">
      <c r="A260" s="16"/>
      <c r="B260" s="467">
        <v>0</v>
      </c>
      <c r="C260" s="19" t="s">
        <v>704</v>
      </c>
      <c r="D260" s="232"/>
      <c r="E260" s="16" t="s">
        <v>767</v>
      </c>
      <c r="F260" s="19"/>
      <c r="G260" s="19"/>
      <c r="H260" s="16" t="s">
        <v>216</v>
      </c>
      <c r="I260" s="19" t="s">
        <v>394</v>
      </c>
      <c r="J260" s="19" t="s">
        <v>1053</v>
      </c>
      <c r="K260" s="339">
        <f>33.19*10%</f>
        <v>3.319</v>
      </c>
      <c r="L260" s="339">
        <v>2080</v>
      </c>
      <c r="M260" s="339"/>
      <c r="N260" s="339">
        <f t="shared" si="59"/>
        <v>6903.5199999999995</v>
      </c>
      <c r="O260" s="339"/>
      <c r="P260" s="339"/>
      <c r="Q260" s="339">
        <f t="shared" si="67"/>
        <v>2288.5168800000001</v>
      </c>
      <c r="R260" s="339">
        <f t="shared" si="66"/>
        <v>100.10104</v>
      </c>
      <c r="S260" s="339"/>
      <c r="T260" s="339"/>
      <c r="U260" s="339"/>
      <c r="V260" s="339"/>
      <c r="W260" s="264">
        <f t="shared" si="60"/>
        <v>9292.1379199999992</v>
      </c>
      <c r="X260" s="339">
        <f t="shared" si="61"/>
        <v>0</v>
      </c>
      <c r="Y260" s="339"/>
      <c r="Z260" s="340">
        <f t="shared" si="62"/>
        <v>9292.1379199999992</v>
      </c>
      <c r="AA260" s="2">
        <f>[4]HR!$Z341-Z260</f>
        <v>14235.283816000005</v>
      </c>
    </row>
    <row r="261" spans="1:27" s="236" customFormat="1" ht="12.75" customHeight="1" x14ac:dyDescent="0.2">
      <c r="A261" s="16"/>
      <c r="B261" s="467">
        <v>0</v>
      </c>
      <c r="C261" s="19" t="s">
        <v>704</v>
      </c>
      <c r="D261" s="232"/>
      <c r="E261" s="16" t="s">
        <v>767</v>
      </c>
      <c r="F261" s="19"/>
      <c r="G261" s="19"/>
      <c r="H261" s="16" t="s">
        <v>216</v>
      </c>
      <c r="I261" s="19" t="s">
        <v>394</v>
      </c>
      <c r="J261" s="19" t="s">
        <v>939</v>
      </c>
      <c r="K261" s="339">
        <f>33.19*30%</f>
        <v>9.956999999999999</v>
      </c>
      <c r="L261" s="339">
        <v>2080</v>
      </c>
      <c r="M261" s="339"/>
      <c r="N261" s="339">
        <f t="shared" si="59"/>
        <v>20710.559999999998</v>
      </c>
      <c r="O261" s="339"/>
      <c r="P261" s="339"/>
      <c r="Q261" s="339">
        <f t="shared" si="67"/>
        <v>6865.5506399999995</v>
      </c>
      <c r="R261" s="339">
        <f t="shared" si="66"/>
        <v>300.30311999999998</v>
      </c>
      <c r="S261" s="339"/>
      <c r="T261" s="339"/>
      <c r="U261" s="339"/>
      <c r="V261" s="339"/>
      <c r="W261" s="264">
        <f t="shared" si="60"/>
        <v>27876.413759999999</v>
      </c>
      <c r="X261" s="339">
        <f t="shared" si="61"/>
        <v>0</v>
      </c>
      <c r="Y261" s="339"/>
      <c r="Z261" s="340">
        <f t="shared" si="62"/>
        <v>27876.413759999999</v>
      </c>
      <c r="AA261" s="2">
        <f>[4]HR!$Z342-Z261</f>
        <v>-22972.920048</v>
      </c>
    </row>
    <row r="262" spans="1:27" s="236" customFormat="1" ht="12.75" customHeight="1" x14ac:dyDescent="0.2">
      <c r="A262" s="16"/>
      <c r="B262" s="467">
        <v>0</v>
      </c>
      <c r="C262" s="19" t="s">
        <v>704</v>
      </c>
      <c r="D262" s="232"/>
      <c r="E262" s="16" t="s">
        <v>767</v>
      </c>
      <c r="F262" s="19"/>
      <c r="G262" s="19"/>
      <c r="H262" s="16" t="s">
        <v>216</v>
      </c>
      <c r="I262" s="19" t="s">
        <v>394</v>
      </c>
      <c r="J262" s="19" t="s">
        <v>937</v>
      </c>
      <c r="K262" s="339">
        <f>33.19*30%</f>
        <v>9.956999999999999</v>
      </c>
      <c r="L262" s="339">
        <v>2080</v>
      </c>
      <c r="M262" s="339"/>
      <c r="N262" s="339">
        <f t="shared" si="59"/>
        <v>20710.559999999998</v>
      </c>
      <c r="O262" s="339"/>
      <c r="P262" s="339"/>
      <c r="Q262" s="339">
        <f t="shared" si="67"/>
        <v>6865.5506399999995</v>
      </c>
      <c r="R262" s="339">
        <f t="shared" si="66"/>
        <v>300.30311999999998</v>
      </c>
      <c r="S262" s="339"/>
      <c r="T262" s="339"/>
      <c r="U262" s="339"/>
      <c r="V262" s="339"/>
      <c r="W262" s="264">
        <f t="shared" si="60"/>
        <v>27876.413759999999</v>
      </c>
      <c r="X262" s="339">
        <f t="shared" si="61"/>
        <v>0</v>
      </c>
      <c r="Y262" s="339"/>
      <c r="Z262" s="340">
        <f t="shared" si="62"/>
        <v>27876.413759999999</v>
      </c>
      <c r="AA262" s="2">
        <f>[4]HR!$Z343-Z262</f>
        <v>-22972.920048</v>
      </c>
    </row>
    <row r="263" spans="1:27" s="236" customFormat="1" ht="12.75" customHeight="1" x14ac:dyDescent="0.2">
      <c r="A263" s="16"/>
      <c r="B263" s="467">
        <v>0</v>
      </c>
      <c r="C263" s="19" t="s">
        <v>704</v>
      </c>
      <c r="D263" s="232"/>
      <c r="E263" s="16" t="s">
        <v>767</v>
      </c>
      <c r="F263" s="19"/>
      <c r="G263" s="19"/>
      <c r="H263" s="16" t="s">
        <v>216</v>
      </c>
      <c r="I263" s="19" t="s">
        <v>394</v>
      </c>
      <c r="J263" s="19" t="s">
        <v>1632</v>
      </c>
      <c r="K263" s="339">
        <f>33.19*10%</f>
        <v>3.319</v>
      </c>
      <c r="L263" s="339">
        <v>2080</v>
      </c>
      <c r="M263" s="339"/>
      <c r="N263" s="339">
        <f t="shared" si="59"/>
        <v>6903.5199999999995</v>
      </c>
      <c r="O263" s="339"/>
      <c r="P263" s="339"/>
      <c r="Q263" s="339">
        <f t="shared" si="67"/>
        <v>2288.5168800000001</v>
      </c>
      <c r="R263" s="339">
        <f t="shared" si="66"/>
        <v>100.10104</v>
      </c>
      <c r="S263" s="339"/>
      <c r="T263" s="339"/>
      <c r="U263" s="339"/>
      <c r="V263" s="339"/>
      <c r="W263" s="264">
        <f t="shared" si="60"/>
        <v>9292.1379199999992</v>
      </c>
      <c r="X263" s="339">
        <f t="shared" si="61"/>
        <v>0</v>
      </c>
      <c r="Y263" s="339"/>
      <c r="Z263" s="340">
        <f t="shared" si="62"/>
        <v>9292.1379199999992</v>
      </c>
      <c r="AA263" s="2"/>
    </row>
    <row r="264" spans="1:27" s="236" customFormat="1" ht="12.75" customHeight="1" x14ac:dyDescent="0.2">
      <c r="A264" s="16"/>
      <c r="B264" s="467">
        <v>1</v>
      </c>
      <c r="C264" s="16" t="s">
        <v>654</v>
      </c>
      <c r="D264" s="232"/>
      <c r="E264" s="16" t="s">
        <v>778</v>
      </c>
      <c r="F264" s="16"/>
      <c r="G264" s="19"/>
      <c r="H264" s="16" t="s">
        <v>216</v>
      </c>
      <c r="I264" s="19" t="s">
        <v>394</v>
      </c>
      <c r="J264" s="19" t="s">
        <v>1010</v>
      </c>
      <c r="K264" s="339">
        <f>55.16*10%</f>
        <v>5.516</v>
      </c>
      <c r="L264" s="339">
        <v>2080</v>
      </c>
      <c r="M264" s="339"/>
      <c r="N264" s="339">
        <f t="shared" si="59"/>
        <v>11473.28</v>
      </c>
      <c r="O264" s="339"/>
      <c r="P264" s="339"/>
      <c r="Q264" s="339">
        <f t="shared" si="67"/>
        <v>3803.3923200000004</v>
      </c>
      <c r="R264" s="339">
        <f t="shared" si="66"/>
        <v>166.36256000000003</v>
      </c>
      <c r="S264" s="339"/>
      <c r="T264" s="339">
        <v>15285.6</v>
      </c>
      <c r="U264" s="339">
        <v>983.52</v>
      </c>
      <c r="V264" s="339"/>
      <c r="W264" s="264">
        <f t="shared" si="60"/>
        <v>31712.154880000002</v>
      </c>
      <c r="X264" s="339">
        <f t="shared" si="61"/>
        <v>0</v>
      </c>
      <c r="Y264" s="339"/>
      <c r="Z264" s="732">
        <f t="shared" si="62"/>
        <v>31712.154880000002</v>
      </c>
      <c r="AA264" s="2">
        <f>[4]HR!$Z362-Z264</f>
        <v>-24127.4614</v>
      </c>
    </row>
    <row r="265" spans="1:27" s="236" customFormat="1" ht="12.75" customHeight="1" x14ac:dyDescent="0.2">
      <c r="A265" s="16"/>
      <c r="B265" s="467">
        <v>0</v>
      </c>
      <c r="C265" s="16" t="s">
        <v>654</v>
      </c>
      <c r="D265" s="232"/>
      <c r="E265" s="16" t="s">
        <v>778</v>
      </c>
      <c r="F265" s="16"/>
      <c r="G265" s="19"/>
      <c r="H265" s="16" t="s">
        <v>216</v>
      </c>
      <c r="I265" s="19" t="s">
        <v>394</v>
      </c>
      <c r="J265" s="19" t="s">
        <v>985</v>
      </c>
      <c r="K265" s="339">
        <f>55.16*7.5%</f>
        <v>4.1369999999999996</v>
      </c>
      <c r="L265" s="339">
        <v>2080</v>
      </c>
      <c r="M265" s="339"/>
      <c r="N265" s="339">
        <f t="shared" si="59"/>
        <v>8604.9599999999991</v>
      </c>
      <c r="O265" s="339"/>
      <c r="P265" s="339"/>
      <c r="Q265" s="339">
        <f t="shared" si="67"/>
        <v>2852.5442399999997</v>
      </c>
      <c r="R265" s="339">
        <f t="shared" si="66"/>
        <v>124.77191999999999</v>
      </c>
      <c r="S265" s="339"/>
      <c r="T265" s="339"/>
      <c r="U265" s="339"/>
      <c r="V265" s="339"/>
      <c r="W265" s="264">
        <f t="shared" si="60"/>
        <v>11582.276159999998</v>
      </c>
      <c r="X265" s="339">
        <f t="shared" si="61"/>
        <v>0</v>
      </c>
      <c r="Y265" s="339"/>
      <c r="Z265" s="732">
        <f t="shared" si="62"/>
        <v>11582.276159999998</v>
      </c>
      <c r="AA265" s="2">
        <f>[4]HR!$Z363-Z265</f>
        <v>33925.884720000002</v>
      </c>
    </row>
    <row r="266" spans="1:27" s="236" customFormat="1" ht="12.75" customHeight="1" x14ac:dyDescent="0.2">
      <c r="A266" s="16"/>
      <c r="B266" s="467">
        <v>0</v>
      </c>
      <c r="C266" s="16" t="s">
        <v>654</v>
      </c>
      <c r="D266" s="232"/>
      <c r="E266" s="16" t="s">
        <v>778</v>
      </c>
      <c r="F266" s="16"/>
      <c r="G266" s="19"/>
      <c r="H266" s="16" t="s">
        <v>216</v>
      </c>
      <c r="I266" s="19" t="s">
        <v>394</v>
      </c>
      <c r="J266" s="19" t="s">
        <v>1053</v>
      </c>
      <c r="K266" s="339">
        <f>55.16*7.5%</f>
        <v>4.1369999999999996</v>
      </c>
      <c r="L266" s="339">
        <v>2080</v>
      </c>
      <c r="M266" s="339"/>
      <c r="N266" s="339">
        <f t="shared" si="59"/>
        <v>8604.9599999999991</v>
      </c>
      <c r="O266" s="339"/>
      <c r="P266" s="339"/>
      <c r="Q266" s="339">
        <f t="shared" si="67"/>
        <v>2852.5442399999997</v>
      </c>
      <c r="R266" s="339">
        <f t="shared" si="66"/>
        <v>124.77191999999999</v>
      </c>
      <c r="S266" s="339"/>
      <c r="T266" s="339"/>
      <c r="U266" s="339"/>
      <c r="V266" s="339"/>
      <c r="W266" s="264">
        <f t="shared" si="60"/>
        <v>11582.276159999998</v>
      </c>
      <c r="X266" s="339">
        <f t="shared" si="61"/>
        <v>0</v>
      </c>
      <c r="Y266" s="339"/>
      <c r="Z266" s="732">
        <f t="shared" si="62"/>
        <v>11582.276159999998</v>
      </c>
      <c r="AA266" s="2"/>
    </row>
    <row r="267" spans="1:27" s="467" customFormat="1" ht="12.75" customHeight="1" x14ac:dyDescent="0.2">
      <c r="A267" s="16"/>
      <c r="B267" s="467">
        <v>0</v>
      </c>
      <c r="C267" s="16" t="s">
        <v>654</v>
      </c>
      <c r="D267" s="232"/>
      <c r="E267" s="16" t="s">
        <v>778</v>
      </c>
      <c r="F267" s="16"/>
      <c r="G267" s="19"/>
      <c r="H267" s="16" t="s">
        <v>216</v>
      </c>
      <c r="I267" s="19" t="s">
        <v>394</v>
      </c>
      <c r="J267" s="19" t="s">
        <v>939</v>
      </c>
      <c r="K267" s="339">
        <f>55.16*30%</f>
        <v>16.547999999999998</v>
      </c>
      <c r="L267" s="339">
        <v>2080</v>
      </c>
      <c r="M267" s="339"/>
      <c r="N267" s="339">
        <f t="shared" si="59"/>
        <v>34419.839999999997</v>
      </c>
      <c r="O267" s="339"/>
      <c r="P267" s="339"/>
      <c r="Q267" s="339">
        <f t="shared" si="67"/>
        <v>11410.176959999999</v>
      </c>
      <c r="R267" s="339">
        <f t="shared" si="66"/>
        <v>499.08767999999998</v>
      </c>
      <c r="S267" s="339"/>
      <c r="T267" s="339"/>
      <c r="U267" s="339"/>
      <c r="V267" s="339"/>
      <c r="W267" s="264">
        <f t="shared" si="60"/>
        <v>46329.10463999999</v>
      </c>
      <c r="X267" s="339">
        <f t="shared" si="61"/>
        <v>0</v>
      </c>
      <c r="Y267" s="339"/>
      <c r="Z267" s="732">
        <f t="shared" si="62"/>
        <v>46329.10463999999</v>
      </c>
      <c r="AA267" s="2">
        <f>[4]HR!$Z365-Z267</f>
        <v>-38744.411159999989</v>
      </c>
    </row>
    <row r="268" spans="1:27" s="236" customFormat="1" ht="12.75" customHeight="1" x14ac:dyDescent="0.2">
      <c r="A268" s="16"/>
      <c r="B268" s="467">
        <v>0</v>
      </c>
      <c r="C268" s="16" t="s">
        <v>654</v>
      </c>
      <c r="D268" s="232"/>
      <c r="E268" s="16" t="s">
        <v>778</v>
      </c>
      <c r="F268" s="16"/>
      <c r="G268" s="19"/>
      <c r="H268" s="16" t="s">
        <v>216</v>
      </c>
      <c r="I268" s="19" t="s">
        <v>394</v>
      </c>
      <c r="J268" s="19" t="s">
        <v>937</v>
      </c>
      <c r="K268" s="339">
        <f>55.16*30%</f>
        <v>16.547999999999998</v>
      </c>
      <c r="L268" s="339">
        <v>2080</v>
      </c>
      <c r="M268" s="339"/>
      <c r="N268" s="339">
        <f t="shared" si="59"/>
        <v>34419.839999999997</v>
      </c>
      <c r="O268" s="339"/>
      <c r="P268" s="339"/>
      <c r="Q268" s="339">
        <f t="shared" si="67"/>
        <v>11410.176959999999</v>
      </c>
      <c r="R268" s="339">
        <f t="shared" si="66"/>
        <v>499.08767999999998</v>
      </c>
      <c r="S268" s="339"/>
      <c r="T268" s="339"/>
      <c r="U268" s="339"/>
      <c r="V268" s="339"/>
      <c r="W268" s="264">
        <f t="shared" si="60"/>
        <v>46329.10463999999</v>
      </c>
      <c r="X268" s="339">
        <f t="shared" si="61"/>
        <v>0</v>
      </c>
      <c r="Y268" s="339"/>
      <c r="Z268" s="732">
        <f t="shared" si="62"/>
        <v>46329.10463999999</v>
      </c>
      <c r="AA268" s="2">
        <f>[4]HR!$Z366-Z268</f>
        <v>-38744.411159999989</v>
      </c>
    </row>
    <row r="269" spans="1:27" s="236" customFormat="1" ht="12.75" customHeight="1" x14ac:dyDescent="0.2">
      <c r="A269" s="16"/>
      <c r="B269" s="467">
        <v>0</v>
      </c>
      <c r="C269" s="16" t="s">
        <v>654</v>
      </c>
      <c r="D269" s="232"/>
      <c r="E269" s="16" t="s">
        <v>778</v>
      </c>
      <c r="F269" s="16"/>
      <c r="G269" s="19"/>
      <c r="H269" s="16" t="s">
        <v>216</v>
      </c>
      <c r="I269" s="19" t="s">
        <v>394</v>
      </c>
      <c r="J269" s="19" t="s">
        <v>1632</v>
      </c>
      <c r="K269" s="339">
        <f>55.16*10%</f>
        <v>5.516</v>
      </c>
      <c r="L269" s="339">
        <v>2080</v>
      </c>
      <c r="M269" s="339"/>
      <c r="N269" s="339">
        <f t="shared" si="59"/>
        <v>11473.28</v>
      </c>
      <c r="O269" s="339"/>
      <c r="P269" s="339"/>
      <c r="Q269" s="339">
        <f t="shared" si="67"/>
        <v>3803.3923200000004</v>
      </c>
      <c r="R269" s="339">
        <f t="shared" si="66"/>
        <v>166.36256000000003</v>
      </c>
      <c r="S269" s="339"/>
      <c r="T269" s="339"/>
      <c r="U269" s="339"/>
      <c r="V269" s="339"/>
      <c r="W269" s="264">
        <f t="shared" si="60"/>
        <v>15443.034880000001</v>
      </c>
      <c r="X269" s="339">
        <f t="shared" si="61"/>
        <v>0</v>
      </c>
      <c r="Y269" s="339"/>
      <c r="Z269" s="732">
        <f t="shared" si="62"/>
        <v>15443.034880000001</v>
      </c>
      <c r="AA269" s="2">
        <f>[4]HR!$Z367-Z269</f>
        <v>-11650.68814</v>
      </c>
    </row>
    <row r="270" spans="1:27" s="236" customFormat="1" ht="12.75" customHeight="1" x14ac:dyDescent="0.2">
      <c r="A270" s="16"/>
      <c r="B270" s="467">
        <v>0</v>
      </c>
      <c r="C270" s="16" t="s">
        <v>654</v>
      </c>
      <c r="D270" s="232"/>
      <c r="E270" s="16" t="s">
        <v>778</v>
      </c>
      <c r="F270" s="16"/>
      <c r="G270" s="19"/>
      <c r="H270" s="16" t="s">
        <v>216</v>
      </c>
      <c r="I270" s="19" t="s">
        <v>394</v>
      </c>
      <c r="J270" s="19" t="s">
        <v>49</v>
      </c>
      <c r="K270" s="339">
        <f>55.16*5%</f>
        <v>2.758</v>
      </c>
      <c r="L270" s="339">
        <v>2080</v>
      </c>
      <c r="M270" s="339"/>
      <c r="N270" s="339">
        <f t="shared" si="59"/>
        <v>5736.64</v>
      </c>
      <c r="O270" s="339"/>
      <c r="P270" s="339"/>
      <c r="Q270" s="339">
        <f t="shared" si="67"/>
        <v>1901.6961600000002</v>
      </c>
      <c r="R270" s="339">
        <f t="shared" si="66"/>
        <v>83.181280000000015</v>
      </c>
      <c r="S270" s="339"/>
      <c r="T270" s="339"/>
      <c r="U270" s="339"/>
      <c r="V270" s="339"/>
      <c r="W270" s="264">
        <f t="shared" si="60"/>
        <v>7721.5174400000005</v>
      </c>
      <c r="X270" s="339">
        <f t="shared" si="61"/>
        <v>0</v>
      </c>
      <c r="Y270" s="339"/>
      <c r="Z270" s="732">
        <f t="shared" si="62"/>
        <v>7721.5174400000005</v>
      </c>
      <c r="AA270" s="2">
        <f>[4]HR!$Z371-Z270</f>
        <v>2465.0587519999999</v>
      </c>
    </row>
    <row r="271" spans="1:27" s="236" customFormat="1" ht="12.75" customHeight="1" x14ac:dyDescent="0.2">
      <c r="A271" s="16"/>
      <c r="B271" s="467">
        <v>1</v>
      </c>
      <c r="C271" s="16" t="s">
        <v>655</v>
      </c>
      <c r="D271" s="232"/>
      <c r="E271" s="16" t="s">
        <v>773</v>
      </c>
      <c r="F271" s="16"/>
      <c r="G271" s="19"/>
      <c r="H271" s="16" t="s">
        <v>216</v>
      </c>
      <c r="I271" s="19" t="s">
        <v>394</v>
      </c>
      <c r="J271" s="19" t="s">
        <v>1010</v>
      </c>
      <c r="K271" s="339">
        <f>37.4*10%</f>
        <v>3.74</v>
      </c>
      <c r="L271" s="339">
        <v>2080</v>
      </c>
      <c r="M271" s="339"/>
      <c r="N271" s="339">
        <f t="shared" si="59"/>
        <v>7779.2000000000007</v>
      </c>
      <c r="O271" s="339"/>
      <c r="P271" s="339"/>
      <c r="Q271" s="339">
        <f t="shared" si="67"/>
        <v>2578.8048000000003</v>
      </c>
      <c r="R271" s="339">
        <f t="shared" si="66"/>
        <v>112.79840000000002</v>
      </c>
      <c r="S271" s="339"/>
      <c r="T271" s="339"/>
      <c r="U271" s="339"/>
      <c r="V271" s="339"/>
      <c r="W271" s="264">
        <f t="shared" si="60"/>
        <v>10470.8032</v>
      </c>
      <c r="X271" s="339">
        <f t="shared" si="61"/>
        <v>0</v>
      </c>
      <c r="Y271" s="339"/>
      <c r="Z271" s="340">
        <f t="shared" si="62"/>
        <v>10470.8032</v>
      </c>
      <c r="AA271" s="2">
        <f>[4]HR!$Z372-Z271</f>
        <v>-284.22700799999984</v>
      </c>
    </row>
    <row r="272" spans="1:27" s="236" customFormat="1" ht="12.75" customHeight="1" x14ac:dyDescent="0.2">
      <c r="A272" s="16"/>
      <c r="B272" s="467">
        <v>0</v>
      </c>
      <c r="C272" s="16" t="s">
        <v>655</v>
      </c>
      <c r="D272" s="232"/>
      <c r="E272" s="16" t="s">
        <v>773</v>
      </c>
      <c r="F272" s="16"/>
      <c r="G272" s="19"/>
      <c r="H272" s="16" t="s">
        <v>216</v>
      </c>
      <c r="I272" s="19" t="s">
        <v>394</v>
      </c>
      <c r="J272" s="19" t="s">
        <v>985</v>
      </c>
      <c r="K272" s="339">
        <f>37.4*10%</f>
        <v>3.74</v>
      </c>
      <c r="L272" s="339">
        <v>2080</v>
      </c>
      <c r="M272" s="339"/>
      <c r="N272" s="339">
        <f t="shared" si="59"/>
        <v>7779.2000000000007</v>
      </c>
      <c r="O272" s="339"/>
      <c r="P272" s="339"/>
      <c r="Q272" s="339">
        <f t="shared" si="67"/>
        <v>2578.8048000000003</v>
      </c>
      <c r="R272" s="339">
        <f t="shared" si="66"/>
        <v>112.79840000000002</v>
      </c>
      <c r="S272" s="339"/>
      <c r="T272" s="339"/>
      <c r="U272" s="339"/>
      <c r="V272" s="339"/>
      <c r="W272" s="264">
        <f t="shared" si="60"/>
        <v>10470.8032</v>
      </c>
      <c r="X272" s="339">
        <f t="shared" si="61"/>
        <v>0</v>
      </c>
      <c r="Y272" s="339"/>
      <c r="Z272" s="340">
        <f t="shared" si="62"/>
        <v>10470.8032</v>
      </c>
      <c r="AA272" s="2">
        <f>[4]HR!$Z373-Z272</f>
        <v>20088.925375999999</v>
      </c>
    </row>
    <row r="273" spans="1:27" s="236" customFormat="1" ht="12.75" customHeight="1" x14ac:dyDescent="0.2">
      <c r="A273" s="16"/>
      <c r="B273" s="467">
        <v>0</v>
      </c>
      <c r="C273" s="16" t="s">
        <v>655</v>
      </c>
      <c r="D273" s="232"/>
      <c r="E273" s="16" t="s">
        <v>773</v>
      </c>
      <c r="F273" s="16"/>
      <c r="G273" s="19"/>
      <c r="H273" s="16" t="s">
        <v>216</v>
      </c>
      <c r="I273" s="19" t="s">
        <v>394</v>
      </c>
      <c r="J273" s="19" t="s">
        <v>1053</v>
      </c>
      <c r="K273" s="339">
        <f>37.4*10%</f>
        <v>3.74</v>
      </c>
      <c r="L273" s="339">
        <v>2080</v>
      </c>
      <c r="M273" s="339"/>
      <c r="N273" s="339">
        <f t="shared" si="59"/>
        <v>7779.2000000000007</v>
      </c>
      <c r="O273" s="339"/>
      <c r="P273" s="339"/>
      <c r="Q273" s="339">
        <f t="shared" si="67"/>
        <v>2578.8048000000003</v>
      </c>
      <c r="R273" s="339">
        <f t="shared" ref="R273:R310" si="68">N273*0.0145</f>
        <v>112.79840000000002</v>
      </c>
      <c r="S273" s="339"/>
      <c r="T273" s="339"/>
      <c r="U273" s="339"/>
      <c r="V273" s="339"/>
      <c r="W273" s="264">
        <f t="shared" si="60"/>
        <v>10470.8032</v>
      </c>
      <c r="X273" s="339">
        <f t="shared" si="61"/>
        <v>0</v>
      </c>
      <c r="Y273" s="339"/>
      <c r="Z273" s="340">
        <f t="shared" si="62"/>
        <v>10470.8032</v>
      </c>
      <c r="AA273" s="2">
        <f>[4]HR!$Z374-Z273</f>
        <v>20088.925375999999</v>
      </c>
    </row>
    <row r="274" spans="1:27" s="467" customFormat="1" ht="12.75" customHeight="1" x14ac:dyDescent="0.2">
      <c r="A274" s="16"/>
      <c r="B274" s="467">
        <v>0</v>
      </c>
      <c r="C274" s="16" t="s">
        <v>655</v>
      </c>
      <c r="D274" s="232"/>
      <c r="E274" s="16" t="s">
        <v>773</v>
      </c>
      <c r="F274" s="16"/>
      <c r="G274" s="19"/>
      <c r="H274" s="16" t="s">
        <v>216</v>
      </c>
      <c r="I274" s="19" t="s">
        <v>394</v>
      </c>
      <c r="J274" s="19" t="s">
        <v>939</v>
      </c>
      <c r="K274" s="339">
        <f>37.4*30%</f>
        <v>11.219999999999999</v>
      </c>
      <c r="L274" s="339">
        <v>2080</v>
      </c>
      <c r="M274" s="339"/>
      <c r="N274" s="339">
        <f t="shared" si="59"/>
        <v>23337.599999999999</v>
      </c>
      <c r="O274" s="339"/>
      <c r="P274" s="339"/>
      <c r="Q274" s="339">
        <f t="shared" si="67"/>
        <v>7736.4143999999997</v>
      </c>
      <c r="R274" s="339">
        <f t="shared" si="68"/>
        <v>338.39519999999999</v>
      </c>
      <c r="S274" s="339"/>
      <c r="T274" s="339"/>
      <c r="U274" s="339"/>
      <c r="V274" s="339"/>
      <c r="W274" s="264">
        <f t="shared" si="60"/>
        <v>31412.409599999999</v>
      </c>
      <c r="X274" s="339">
        <f t="shared" si="61"/>
        <v>0</v>
      </c>
      <c r="Y274" s="339"/>
      <c r="Z274" s="340">
        <f t="shared" si="62"/>
        <v>31412.409599999999</v>
      </c>
      <c r="AA274" s="2">
        <f>[4]HR!$Z375-Z274</f>
        <v>-25534.861504</v>
      </c>
    </row>
    <row r="275" spans="1:27" s="236" customFormat="1" ht="12.75" customHeight="1" x14ac:dyDescent="0.2">
      <c r="A275" s="16"/>
      <c r="B275" s="467">
        <v>0</v>
      </c>
      <c r="C275" s="16" t="s">
        <v>655</v>
      </c>
      <c r="D275" s="232"/>
      <c r="E275" s="16" t="s">
        <v>773</v>
      </c>
      <c r="F275" s="16"/>
      <c r="G275" s="19"/>
      <c r="H275" s="16" t="s">
        <v>216</v>
      </c>
      <c r="I275" s="19" t="s">
        <v>394</v>
      </c>
      <c r="J275" s="19" t="s">
        <v>937</v>
      </c>
      <c r="K275" s="339">
        <f>37.4*30%</f>
        <v>11.219999999999999</v>
      </c>
      <c r="L275" s="339">
        <v>2080</v>
      </c>
      <c r="M275" s="339"/>
      <c r="N275" s="339">
        <f t="shared" si="59"/>
        <v>23337.599999999999</v>
      </c>
      <c r="O275" s="339"/>
      <c r="P275" s="339"/>
      <c r="Q275" s="339">
        <f t="shared" si="67"/>
        <v>7736.4143999999997</v>
      </c>
      <c r="R275" s="339">
        <f t="shared" si="68"/>
        <v>338.39519999999999</v>
      </c>
      <c r="S275" s="339"/>
      <c r="T275" s="339"/>
      <c r="U275" s="339"/>
      <c r="V275" s="339"/>
      <c r="W275" s="264">
        <f t="shared" si="60"/>
        <v>31412.409599999999</v>
      </c>
      <c r="X275" s="339">
        <f t="shared" si="61"/>
        <v>0</v>
      </c>
      <c r="Y275" s="339"/>
      <c r="Z275" s="340">
        <f t="shared" si="62"/>
        <v>31412.409599999999</v>
      </c>
      <c r="AA275" s="2">
        <f>[4]HR!$Z376-Z275</f>
        <v>-26319.121503999999</v>
      </c>
    </row>
    <row r="276" spans="1:27" s="236" customFormat="1" ht="12.75" customHeight="1" x14ac:dyDescent="0.2">
      <c r="A276" s="16"/>
      <c r="B276" s="467">
        <v>0</v>
      </c>
      <c r="C276" s="16" t="s">
        <v>655</v>
      </c>
      <c r="D276" s="232"/>
      <c r="E276" s="16" t="s">
        <v>773</v>
      </c>
      <c r="F276" s="16"/>
      <c r="G276" s="19"/>
      <c r="H276" s="16" t="s">
        <v>216</v>
      </c>
      <c r="I276" s="19" t="s">
        <v>394</v>
      </c>
      <c r="J276" s="19" t="s">
        <v>1632</v>
      </c>
      <c r="K276" s="339">
        <f>37.4*10%</f>
        <v>3.74</v>
      </c>
      <c r="L276" s="339">
        <v>2080</v>
      </c>
      <c r="M276" s="339"/>
      <c r="N276" s="339">
        <f t="shared" si="59"/>
        <v>7779.2000000000007</v>
      </c>
      <c r="O276" s="339"/>
      <c r="P276" s="339"/>
      <c r="Q276" s="339">
        <f t="shared" si="67"/>
        <v>2578.8048000000003</v>
      </c>
      <c r="R276" s="339">
        <f t="shared" si="68"/>
        <v>112.79840000000002</v>
      </c>
      <c r="S276" s="339"/>
      <c r="T276" s="339">
        <v>120</v>
      </c>
      <c r="U276" s="339">
        <v>323.04000000000002</v>
      </c>
      <c r="V276" s="339"/>
      <c r="W276" s="264">
        <f t="shared" si="60"/>
        <v>10913.843200000001</v>
      </c>
      <c r="X276" s="339">
        <f t="shared" si="61"/>
        <v>0</v>
      </c>
      <c r="Y276" s="339"/>
      <c r="Z276" s="340">
        <f t="shared" si="62"/>
        <v>10913.843200000001</v>
      </c>
      <c r="AA276" s="2">
        <f>[4]HR!$Z377-Z276</f>
        <v>78782.671919999993</v>
      </c>
    </row>
    <row r="277" spans="1:27" s="236" customFormat="1" ht="12.75" customHeight="1" x14ac:dyDescent="0.2">
      <c r="A277" s="16"/>
      <c r="B277" s="467">
        <v>1</v>
      </c>
      <c r="C277" s="16" t="s">
        <v>656</v>
      </c>
      <c r="D277" s="232"/>
      <c r="E277" s="16" t="s">
        <v>767</v>
      </c>
      <c r="F277" s="16"/>
      <c r="G277" s="16"/>
      <c r="H277" s="341" t="s">
        <v>216</v>
      </c>
      <c r="I277" s="19" t="s">
        <v>350</v>
      </c>
      <c r="J277" s="19" t="s">
        <v>98</v>
      </c>
      <c r="K277" s="339">
        <v>29.96</v>
      </c>
      <c r="L277" s="339">
        <v>2080</v>
      </c>
      <c r="M277" s="339"/>
      <c r="N277" s="339">
        <f t="shared" si="59"/>
        <v>62316.800000000003</v>
      </c>
      <c r="O277" s="339"/>
      <c r="P277" s="339"/>
      <c r="Q277" s="339">
        <f t="shared" si="67"/>
        <v>20658.019200000002</v>
      </c>
      <c r="R277" s="339">
        <f t="shared" si="68"/>
        <v>903.59360000000004</v>
      </c>
      <c r="S277" s="339"/>
      <c r="T277" s="339">
        <v>7092.48</v>
      </c>
      <c r="U277" s="339">
        <v>165.6</v>
      </c>
      <c r="V277" s="339"/>
      <c r="W277" s="264">
        <f t="shared" si="60"/>
        <v>91136.492799999993</v>
      </c>
      <c r="X277" s="339">
        <f t="shared" si="61"/>
        <v>0</v>
      </c>
      <c r="Y277" s="339"/>
      <c r="Z277" s="340">
        <f t="shared" si="62"/>
        <v>91136.492799999993</v>
      </c>
      <c r="AA277" s="2">
        <f>[4]HR!$Z379-Z277</f>
        <v>-74016.756087999995</v>
      </c>
    </row>
    <row r="278" spans="1:27" s="236" customFormat="1" ht="12.75" customHeight="1" x14ac:dyDescent="0.2">
      <c r="A278" s="16"/>
      <c r="B278" s="467">
        <v>1</v>
      </c>
      <c r="C278" s="16" t="s">
        <v>578</v>
      </c>
      <c r="D278" s="232"/>
      <c r="E278" s="16" t="s">
        <v>753</v>
      </c>
      <c r="F278" s="16"/>
      <c r="G278" s="16"/>
      <c r="H278" s="16" t="s">
        <v>216</v>
      </c>
      <c r="I278" s="237" t="s">
        <v>350</v>
      </c>
      <c r="J278" s="19" t="s">
        <v>108</v>
      </c>
      <c r="K278" s="339">
        <f>27.1*20%</f>
        <v>5.4200000000000008</v>
      </c>
      <c r="L278" s="339">
        <v>2080</v>
      </c>
      <c r="M278" s="339"/>
      <c r="N278" s="339">
        <f t="shared" si="59"/>
        <v>11273.600000000002</v>
      </c>
      <c r="O278" s="339"/>
      <c r="P278" s="339"/>
      <c r="Q278" s="339">
        <f t="shared" si="67"/>
        <v>3737.1984000000011</v>
      </c>
      <c r="R278" s="339">
        <f t="shared" si="68"/>
        <v>163.46720000000005</v>
      </c>
      <c r="S278" s="339"/>
      <c r="T278" s="339">
        <v>9592.56</v>
      </c>
      <c r="U278" s="339">
        <v>702.48</v>
      </c>
      <c r="V278" s="339"/>
      <c r="W278" s="264">
        <f t="shared" si="60"/>
        <v>25469.305600000003</v>
      </c>
      <c r="X278" s="339">
        <f t="shared" si="61"/>
        <v>0</v>
      </c>
      <c r="Y278" s="339"/>
      <c r="Z278" s="340">
        <f t="shared" si="62"/>
        <v>25469.305600000003</v>
      </c>
      <c r="AA278" s="2">
        <f>[4]HR!$Z503-Z278</f>
        <v>-17798.213184000004</v>
      </c>
    </row>
    <row r="279" spans="1:27" s="236" customFormat="1" ht="12.75" customHeight="1" x14ac:dyDescent="0.2">
      <c r="A279" s="16"/>
      <c r="B279" s="467">
        <v>0</v>
      </c>
      <c r="C279" s="16" t="s">
        <v>578</v>
      </c>
      <c r="D279" s="232"/>
      <c r="E279" s="16" t="s">
        <v>753</v>
      </c>
      <c r="F279" s="16"/>
      <c r="G279" s="16"/>
      <c r="H279" s="16" t="s">
        <v>216</v>
      </c>
      <c r="I279" s="237" t="s">
        <v>350</v>
      </c>
      <c r="J279" s="237" t="s">
        <v>98</v>
      </c>
      <c r="K279" s="339">
        <f>27.1*70%</f>
        <v>18.97</v>
      </c>
      <c r="L279" s="339">
        <v>2080</v>
      </c>
      <c r="M279" s="339"/>
      <c r="N279" s="339">
        <f t="shared" si="59"/>
        <v>39457.599999999999</v>
      </c>
      <c r="O279" s="339"/>
      <c r="P279" s="339"/>
      <c r="Q279" s="339">
        <f t="shared" si="67"/>
        <v>13080.1944</v>
      </c>
      <c r="R279" s="339">
        <f t="shared" si="68"/>
        <v>572.13520000000005</v>
      </c>
      <c r="S279" s="339"/>
      <c r="T279" s="339"/>
      <c r="U279" s="339"/>
      <c r="V279" s="339"/>
      <c r="W279" s="264">
        <f t="shared" si="60"/>
        <v>53109.929599999996</v>
      </c>
      <c r="X279" s="339"/>
      <c r="Y279" s="339"/>
      <c r="Z279" s="340">
        <f t="shared" si="62"/>
        <v>53109.929599999996</v>
      </c>
      <c r="AA279" s="2"/>
    </row>
    <row r="280" spans="1:27" s="236" customFormat="1" ht="12.75" customHeight="1" x14ac:dyDescent="0.2">
      <c r="A280" s="16"/>
      <c r="B280" s="467">
        <v>0</v>
      </c>
      <c r="C280" s="16" t="s">
        <v>578</v>
      </c>
      <c r="D280" s="232"/>
      <c r="E280" s="16" t="s">
        <v>753</v>
      </c>
      <c r="F280" s="16"/>
      <c r="G280" s="16"/>
      <c r="H280" s="16" t="s">
        <v>216</v>
      </c>
      <c r="I280" s="237" t="s">
        <v>350</v>
      </c>
      <c r="J280" s="237" t="s">
        <v>120</v>
      </c>
      <c r="K280" s="339">
        <f>27.1*5%</f>
        <v>1.3550000000000002</v>
      </c>
      <c r="L280" s="339">
        <v>2080</v>
      </c>
      <c r="M280" s="339"/>
      <c r="N280" s="339">
        <f t="shared" si="59"/>
        <v>2818.4000000000005</v>
      </c>
      <c r="O280" s="339"/>
      <c r="P280" s="339"/>
      <c r="Q280" s="339">
        <f t="shared" si="67"/>
        <v>934.29960000000028</v>
      </c>
      <c r="R280" s="339">
        <f t="shared" si="68"/>
        <v>40.866800000000012</v>
      </c>
      <c r="S280" s="339"/>
      <c r="T280" s="339"/>
      <c r="U280" s="339"/>
      <c r="V280" s="339"/>
      <c r="W280" s="264">
        <f t="shared" si="60"/>
        <v>3793.5664000000006</v>
      </c>
      <c r="X280" s="339"/>
      <c r="Y280" s="339"/>
      <c r="Z280" s="340">
        <f t="shared" si="62"/>
        <v>3793.5664000000006</v>
      </c>
      <c r="AA280" s="2"/>
    </row>
    <row r="281" spans="1:27" s="236" customFormat="1" ht="12.75" customHeight="1" x14ac:dyDescent="0.2">
      <c r="A281" s="16"/>
      <c r="B281" s="467">
        <v>0</v>
      </c>
      <c r="C281" s="16" t="s">
        <v>578</v>
      </c>
      <c r="D281" s="232"/>
      <c r="E281" s="16" t="s">
        <v>753</v>
      </c>
      <c r="F281" s="16"/>
      <c r="G281" s="16"/>
      <c r="H281" s="16" t="s">
        <v>216</v>
      </c>
      <c r="I281" s="237" t="s">
        <v>350</v>
      </c>
      <c r="J281" s="237" t="s">
        <v>1056</v>
      </c>
      <c r="K281" s="339">
        <f>27.1*5%</f>
        <v>1.3550000000000002</v>
      </c>
      <c r="L281" s="339">
        <v>2080</v>
      </c>
      <c r="M281" s="339"/>
      <c r="N281" s="339">
        <f t="shared" si="59"/>
        <v>2818.4000000000005</v>
      </c>
      <c r="O281" s="339"/>
      <c r="P281" s="339"/>
      <c r="Q281" s="339">
        <f t="shared" si="67"/>
        <v>934.29960000000028</v>
      </c>
      <c r="R281" s="339">
        <f t="shared" si="68"/>
        <v>40.866800000000012</v>
      </c>
      <c r="S281" s="339"/>
      <c r="T281" s="339"/>
      <c r="U281" s="339"/>
      <c r="V281" s="339"/>
      <c r="W281" s="264">
        <f t="shared" si="60"/>
        <v>3793.5664000000006</v>
      </c>
      <c r="X281" s="339"/>
      <c r="Y281" s="339"/>
      <c r="Z281" s="340">
        <f t="shared" si="62"/>
        <v>3793.5664000000006</v>
      </c>
      <c r="AA281" s="2"/>
    </row>
    <row r="282" spans="1:27" s="236" customFormat="1" ht="12.75" customHeight="1" x14ac:dyDescent="0.2">
      <c r="A282" s="16"/>
      <c r="B282" s="467">
        <v>1</v>
      </c>
      <c r="C282" s="16" t="s">
        <v>658</v>
      </c>
      <c r="D282" s="232"/>
      <c r="E282" s="16" t="s">
        <v>773</v>
      </c>
      <c r="F282" s="16"/>
      <c r="G282" s="16"/>
      <c r="H282" s="341" t="s">
        <v>216</v>
      </c>
      <c r="I282" s="19" t="s">
        <v>350</v>
      </c>
      <c r="J282" s="19" t="s">
        <v>98</v>
      </c>
      <c r="K282" s="339">
        <f>41.5*85%</f>
        <v>35.274999999999999</v>
      </c>
      <c r="L282" s="339">
        <v>2080</v>
      </c>
      <c r="M282" s="339"/>
      <c r="N282" s="339">
        <f t="shared" si="59"/>
        <v>73372</v>
      </c>
      <c r="O282" s="339"/>
      <c r="P282" s="339"/>
      <c r="Q282" s="339">
        <f t="shared" si="67"/>
        <v>24322.818000000003</v>
      </c>
      <c r="R282" s="339">
        <f t="shared" si="68"/>
        <v>1063.894</v>
      </c>
      <c r="S282" s="339"/>
      <c r="T282" s="339">
        <v>9592.56</v>
      </c>
      <c r="U282" s="339">
        <v>323.04000000000002</v>
      </c>
      <c r="V282" s="339"/>
      <c r="W282" s="264">
        <f t="shared" si="60"/>
        <v>108674.31199999999</v>
      </c>
      <c r="X282" s="339">
        <f t="shared" si="61"/>
        <v>0</v>
      </c>
      <c r="Y282" s="339"/>
      <c r="Z282" s="340">
        <f t="shared" si="62"/>
        <v>108674.31199999999</v>
      </c>
      <c r="AA282" s="2">
        <f>[4]HR!$Z380-Z282</f>
        <v>-31264.689559199993</v>
      </c>
    </row>
    <row r="283" spans="1:27" s="236" customFormat="1" ht="12.75" customHeight="1" x14ac:dyDescent="0.2">
      <c r="A283" s="16"/>
      <c r="B283" s="467">
        <v>0</v>
      </c>
      <c r="C283" s="16" t="s">
        <v>658</v>
      </c>
      <c r="D283" s="232"/>
      <c r="E283" s="16" t="s">
        <v>773</v>
      </c>
      <c r="F283" s="16"/>
      <c r="G283" s="16"/>
      <c r="H283" s="341" t="s">
        <v>216</v>
      </c>
      <c r="I283" s="19" t="s">
        <v>350</v>
      </c>
      <c r="J283" s="19" t="s">
        <v>120</v>
      </c>
      <c r="K283" s="339">
        <f>41.5*7.5%</f>
        <v>3.1124999999999998</v>
      </c>
      <c r="L283" s="339">
        <v>2080</v>
      </c>
      <c r="M283" s="339"/>
      <c r="N283" s="339">
        <f t="shared" si="59"/>
        <v>6474</v>
      </c>
      <c r="O283" s="339"/>
      <c r="P283" s="339"/>
      <c r="Q283" s="339">
        <f t="shared" si="67"/>
        <v>2146.1310000000003</v>
      </c>
      <c r="R283" s="339">
        <f t="shared" si="68"/>
        <v>93.873000000000005</v>
      </c>
      <c r="S283" s="339"/>
      <c r="T283" s="339"/>
      <c r="U283" s="339"/>
      <c r="V283" s="339"/>
      <c r="W283" s="264">
        <f t="shared" si="60"/>
        <v>8714.0040000000008</v>
      </c>
      <c r="X283" s="339">
        <f t="shared" si="61"/>
        <v>0</v>
      </c>
      <c r="Y283" s="339"/>
      <c r="Z283" s="340">
        <f t="shared" si="62"/>
        <v>8714.0040000000008</v>
      </c>
      <c r="AA283" s="2">
        <f>[4]HR!$Z381-Z283</f>
        <v>83344.184479999982</v>
      </c>
    </row>
    <row r="284" spans="1:27" s="236" customFormat="1" ht="12.75" customHeight="1" x14ac:dyDescent="0.2">
      <c r="A284" s="16"/>
      <c r="B284" s="467">
        <v>0</v>
      </c>
      <c r="C284" s="16" t="s">
        <v>658</v>
      </c>
      <c r="D284" s="232"/>
      <c r="E284" s="16" t="s">
        <v>773</v>
      </c>
      <c r="F284" s="16"/>
      <c r="G284" s="16"/>
      <c r="H284" s="341" t="s">
        <v>216</v>
      </c>
      <c r="I284" s="19" t="s">
        <v>350</v>
      </c>
      <c r="J284" s="19" t="s">
        <v>1056</v>
      </c>
      <c r="K284" s="339">
        <f>41.5*7.5%</f>
        <v>3.1124999999999998</v>
      </c>
      <c r="L284" s="339">
        <v>2080</v>
      </c>
      <c r="M284" s="339"/>
      <c r="N284" s="339">
        <f t="shared" si="59"/>
        <v>6474</v>
      </c>
      <c r="O284" s="339"/>
      <c r="P284" s="339"/>
      <c r="Q284" s="339">
        <f t="shared" si="67"/>
        <v>2146.1310000000003</v>
      </c>
      <c r="R284" s="339">
        <f t="shared" si="68"/>
        <v>93.873000000000005</v>
      </c>
      <c r="S284" s="339"/>
      <c r="T284" s="339"/>
      <c r="U284" s="339"/>
      <c r="V284" s="339"/>
      <c r="W284" s="264">
        <f t="shared" si="60"/>
        <v>8714.0040000000008</v>
      </c>
      <c r="X284" s="339"/>
      <c r="Y284" s="339"/>
      <c r="Z284" s="340">
        <f t="shared" si="62"/>
        <v>8714.0040000000008</v>
      </c>
      <c r="AA284" s="2"/>
    </row>
    <row r="285" spans="1:27" s="236" customFormat="1" ht="12.75" customHeight="1" x14ac:dyDescent="0.2">
      <c r="A285" s="16"/>
      <c r="B285" s="467">
        <v>1</v>
      </c>
      <c r="C285" s="16" t="s">
        <v>660</v>
      </c>
      <c r="D285" s="232"/>
      <c r="E285" s="16" t="s">
        <v>778</v>
      </c>
      <c r="F285" s="16"/>
      <c r="G285" s="16"/>
      <c r="H285" s="341" t="s">
        <v>216</v>
      </c>
      <c r="I285" s="19" t="s">
        <v>350</v>
      </c>
      <c r="J285" s="19" t="s">
        <v>108</v>
      </c>
      <c r="K285" s="339">
        <f>55.08*50%</f>
        <v>27.54</v>
      </c>
      <c r="L285" s="339">
        <v>2080</v>
      </c>
      <c r="M285" s="339"/>
      <c r="N285" s="339">
        <f t="shared" si="59"/>
        <v>57283.199999999997</v>
      </c>
      <c r="O285" s="339"/>
      <c r="P285" s="339"/>
      <c r="Q285" s="339">
        <f t="shared" si="67"/>
        <v>18989.380799999999</v>
      </c>
      <c r="R285" s="339">
        <f t="shared" si="68"/>
        <v>830.60640000000001</v>
      </c>
      <c r="S285" s="339"/>
      <c r="T285" s="339">
        <v>15321.6</v>
      </c>
      <c r="U285" s="339">
        <v>1362.48</v>
      </c>
      <c r="V285" s="339"/>
      <c r="W285" s="264">
        <f t="shared" si="60"/>
        <v>93787.267200000002</v>
      </c>
      <c r="X285" s="339">
        <f t="shared" si="61"/>
        <v>0</v>
      </c>
      <c r="Y285" s="339"/>
      <c r="Z285" s="340">
        <f t="shared" si="62"/>
        <v>93787.267200000002</v>
      </c>
      <c r="AA285" s="2">
        <f>[4]HR!$Z383-Z285</f>
        <v>-73335.364310400008</v>
      </c>
    </row>
    <row r="286" spans="1:27" ht="12.75" customHeight="1" x14ac:dyDescent="0.2">
      <c r="A286" s="16"/>
      <c r="B286" s="467">
        <v>0</v>
      </c>
      <c r="C286" s="16" t="s">
        <v>660</v>
      </c>
      <c r="D286" s="232"/>
      <c r="E286" s="16" t="s">
        <v>778</v>
      </c>
      <c r="F286" s="16"/>
      <c r="G286" s="16"/>
      <c r="H286" s="341" t="s">
        <v>216</v>
      </c>
      <c r="I286" s="19" t="s">
        <v>350</v>
      </c>
      <c r="J286" s="19" t="s">
        <v>98</v>
      </c>
      <c r="K286" s="339">
        <f>55.08*25%</f>
        <v>13.77</v>
      </c>
      <c r="L286" s="339">
        <v>2080</v>
      </c>
      <c r="M286" s="339"/>
      <c r="N286" s="339">
        <f t="shared" si="59"/>
        <v>28641.599999999999</v>
      </c>
      <c r="O286" s="339"/>
      <c r="P286" s="339"/>
      <c r="Q286" s="339">
        <f t="shared" si="67"/>
        <v>9494.6903999999995</v>
      </c>
      <c r="R286" s="339">
        <f t="shared" si="68"/>
        <v>415.3032</v>
      </c>
      <c r="S286" s="339"/>
      <c r="T286" s="339"/>
      <c r="U286" s="339"/>
      <c r="V286" s="339"/>
      <c r="W286" s="264">
        <f t="shared" si="60"/>
        <v>38551.5936</v>
      </c>
      <c r="X286" s="339">
        <f t="shared" si="61"/>
        <v>0</v>
      </c>
      <c r="Y286" s="339"/>
      <c r="Z286" s="340">
        <f t="shared" si="62"/>
        <v>38551.5936</v>
      </c>
      <c r="AA286" s="2">
        <f>[4]HR!$Z384-Z286</f>
        <v>-35521.682060799998</v>
      </c>
    </row>
    <row r="287" spans="1:27" ht="12.75" customHeight="1" x14ac:dyDescent="0.2">
      <c r="A287" s="16"/>
      <c r="B287" s="467">
        <v>0</v>
      </c>
      <c r="C287" s="16" t="s">
        <v>660</v>
      </c>
      <c r="D287" s="232"/>
      <c r="E287" s="16" t="s">
        <v>778</v>
      </c>
      <c r="F287" s="16"/>
      <c r="G287" s="16"/>
      <c r="H287" s="341" t="s">
        <v>216</v>
      </c>
      <c r="I287" s="19" t="s">
        <v>350</v>
      </c>
      <c r="J287" s="19" t="s">
        <v>120</v>
      </c>
      <c r="K287" s="339">
        <f>55.08*10%</f>
        <v>5.508</v>
      </c>
      <c r="L287" s="339">
        <v>2080</v>
      </c>
      <c r="M287" s="339"/>
      <c r="N287" s="339">
        <f t="shared" si="59"/>
        <v>11456.64</v>
      </c>
      <c r="O287" s="339"/>
      <c r="P287" s="339"/>
      <c r="Q287" s="339">
        <f t="shared" si="67"/>
        <v>3797.8761599999998</v>
      </c>
      <c r="R287" s="339">
        <f t="shared" si="68"/>
        <v>166.12128000000001</v>
      </c>
      <c r="S287" s="339"/>
      <c r="T287" s="339"/>
      <c r="U287" s="339"/>
      <c r="V287" s="339"/>
      <c r="W287" s="264">
        <f t="shared" si="60"/>
        <v>15420.637439999999</v>
      </c>
      <c r="X287" s="339">
        <f t="shared" si="61"/>
        <v>0</v>
      </c>
      <c r="Y287" s="339"/>
      <c r="Z287" s="340">
        <f t="shared" si="62"/>
        <v>15420.637439999999</v>
      </c>
      <c r="AA287" s="2">
        <f>[4]HR!$Z385-Z287</f>
        <v>-14663.159555199998</v>
      </c>
    </row>
    <row r="288" spans="1:27" s="467" customFormat="1" ht="12.75" customHeight="1" x14ac:dyDescent="0.2">
      <c r="A288" s="16"/>
      <c r="B288" s="467">
        <v>0</v>
      </c>
      <c r="C288" s="16" t="s">
        <v>660</v>
      </c>
      <c r="D288" s="232"/>
      <c r="E288" s="16" t="s">
        <v>778</v>
      </c>
      <c r="F288" s="16"/>
      <c r="G288" s="16"/>
      <c r="H288" s="341" t="s">
        <v>216</v>
      </c>
      <c r="I288" s="19" t="s">
        <v>350</v>
      </c>
      <c r="J288" s="19" t="s">
        <v>109</v>
      </c>
      <c r="K288" s="339">
        <f>55.08*2%</f>
        <v>1.1015999999999999</v>
      </c>
      <c r="L288" s="339">
        <v>2080</v>
      </c>
      <c r="M288" s="339"/>
      <c r="N288" s="339">
        <f t="shared" si="59"/>
        <v>2291.328</v>
      </c>
      <c r="O288" s="339"/>
      <c r="P288" s="339"/>
      <c r="Q288" s="339">
        <f t="shared" si="67"/>
        <v>759.57523200000003</v>
      </c>
      <c r="R288" s="339">
        <f t="shared" si="68"/>
        <v>33.224256000000004</v>
      </c>
      <c r="S288" s="339"/>
      <c r="T288" s="339"/>
      <c r="U288" s="339"/>
      <c r="V288" s="339"/>
      <c r="W288" s="264">
        <f t="shared" si="60"/>
        <v>3084.1274880000001</v>
      </c>
      <c r="X288" s="339">
        <f t="shared" si="61"/>
        <v>0</v>
      </c>
      <c r="Y288" s="339"/>
      <c r="Z288" s="340">
        <f t="shared" si="62"/>
        <v>3084.1274880000001</v>
      </c>
      <c r="AA288" s="2">
        <f>[4]HR!$Z386-Z288</f>
        <v>3733.1734751999993</v>
      </c>
    </row>
    <row r="289" spans="1:27" s="236" customFormat="1" ht="12.75" customHeight="1" x14ac:dyDescent="0.2">
      <c r="A289" s="16"/>
      <c r="B289" s="467">
        <v>0</v>
      </c>
      <c r="C289" s="16" t="s">
        <v>660</v>
      </c>
      <c r="D289" s="232"/>
      <c r="E289" s="16" t="s">
        <v>778</v>
      </c>
      <c r="F289" s="16"/>
      <c r="G289" s="16"/>
      <c r="H289" s="341" t="s">
        <v>216</v>
      </c>
      <c r="I289" s="19" t="s">
        <v>350</v>
      </c>
      <c r="J289" s="19" t="s">
        <v>107</v>
      </c>
      <c r="K289" s="339">
        <f>55.08*0.5%</f>
        <v>0.27539999999999998</v>
      </c>
      <c r="L289" s="339">
        <v>2080</v>
      </c>
      <c r="M289" s="339"/>
      <c r="N289" s="339">
        <f t="shared" si="59"/>
        <v>572.83199999999999</v>
      </c>
      <c r="O289" s="339"/>
      <c r="P289" s="339"/>
      <c r="Q289" s="339">
        <f t="shared" si="67"/>
        <v>189.89380800000001</v>
      </c>
      <c r="R289" s="339">
        <f t="shared" si="68"/>
        <v>8.306064000000001</v>
      </c>
      <c r="S289" s="339"/>
      <c r="T289" s="339"/>
      <c r="U289" s="339"/>
      <c r="V289" s="339"/>
      <c r="W289" s="264">
        <f t="shared" si="60"/>
        <v>771.03187200000002</v>
      </c>
      <c r="X289" s="339">
        <f t="shared" si="61"/>
        <v>0</v>
      </c>
      <c r="Y289" s="339"/>
      <c r="Z289" s="340">
        <f t="shared" si="62"/>
        <v>771.03187200000002</v>
      </c>
      <c r="AA289" s="2">
        <f>[4]HR!$Z387-Z289</f>
        <v>743.92389759999969</v>
      </c>
    </row>
    <row r="290" spans="1:27" s="236" customFormat="1" ht="12.75" customHeight="1" x14ac:dyDescent="0.2">
      <c r="A290" s="16"/>
      <c r="B290" s="467">
        <v>0</v>
      </c>
      <c r="C290" s="16" t="s">
        <v>660</v>
      </c>
      <c r="D290" s="232"/>
      <c r="E290" s="16" t="s">
        <v>778</v>
      </c>
      <c r="F290" s="16"/>
      <c r="G290" s="16"/>
      <c r="H290" s="16" t="s">
        <v>216</v>
      </c>
      <c r="I290" s="19" t="s">
        <v>350</v>
      </c>
      <c r="J290" s="19" t="s">
        <v>1056</v>
      </c>
      <c r="K290" s="339">
        <f>55.08*8%</f>
        <v>4.4063999999999997</v>
      </c>
      <c r="L290" s="339">
        <v>2080</v>
      </c>
      <c r="M290" s="339"/>
      <c r="N290" s="339">
        <f t="shared" si="59"/>
        <v>9165.3119999999999</v>
      </c>
      <c r="O290" s="339"/>
      <c r="P290" s="339"/>
      <c r="Q290" s="339">
        <f t="shared" si="67"/>
        <v>3038.3009280000001</v>
      </c>
      <c r="R290" s="339">
        <f t="shared" si="68"/>
        <v>132.89702400000002</v>
      </c>
      <c r="S290" s="339"/>
      <c r="T290" s="339"/>
      <c r="U290" s="339"/>
      <c r="V290" s="339"/>
      <c r="W290" s="264">
        <f t="shared" si="60"/>
        <v>12336.509952</v>
      </c>
      <c r="X290" s="339">
        <f t="shared" si="61"/>
        <v>0</v>
      </c>
      <c r="Y290" s="339"/>
      <c r="Z290" s="340">
        <f t="shared" si="62"/>
        <v>12336.509952</v>
      </c>
      <c r="AA290" s="2">
        <f>[4]HR!$Z388-Z290</f>
        <v>-11579.0320672</v>
      </c>
    </row>
    <row r="291" spans="1:27" s="236" customFormat="1" ht="12.75" customHeight="1" x14ac:dyDescent="0.2">
      <c r="A291" s="16"/>
      <c r="B291" s="467">
        <v>0</v>
      </c>
      <c r="C291" s="16" t="s">
        <v>660</v>
      </c>
      <c r="D291" s="232"/>
      <c r="E291" s="16" t="s">
        <v>778</v>
      </c>
      <c r="F291" s="16"/>
      <c r="G291" s="16"/>
      <c r="H291" s="16" t="s">
        <v>216</v>
      </c>
      <c r="I291" s="19" t="s">
        <v>350</v>
      </c>
      <c r="J291" s="19" t="s">
        <v>1019</v>
      </c>
      <c r="K291" s="339">
        <f>55.08*1%</f>
        <v>0.55079999999999996</v>
      </c>
      <c r="L291" s="339">
        <v>2080</v>
      </c>
      <c r="M291" s="339"/>
      <c r="N291" s="339">
        <f t="shared" si="59"/>
        <v>1145.664</v>
      </c>
      <c r="O291" s="339"/>
      <c r="P291" s="339"/>
      <c r="Q291" s="339">
        <f t="shared" si="67"/>
        <v>379.78761600000001</v>
      </c>
      <c r="R291" s="339">
        <f t="shared" si="68"/>
        <v>16.612128000000002</v>
      </c>
      <c r="S291" s="339"/>
      <c r="T291" s="339"/>
      <c r="U291" s="339"/>
      <c r="V291" s="339"/>
      <c r="W291" s="264">
        <f t="shared" si="60"/>
        <v>1542.063744</v>
      </c>
      <c r="X291" s="339">
        <f t="shared" si="61"/>
        <v>0</v>
      </c>
      <c r="Y291" s="339"/>
      <c r="Z291" s="340">
        <f t="shared" si="62"/>
        <v>1542.063744</v>
      </c>
      <c r="AA291" s="2">
        <f>[4]HR!$Z389-Z291</f>
        <v>730.36991039999975</v>
      </c>
    </row>
    <row r="292" spans="1:27" s="236" customFormat="1" ht="12.75" customHeight="1" x14ac:dyDescent="0.2">
      <c r="A292" s="16"/>
      <c r="B292" s="467">
        <v>0</v>
      </c>
      <c r="C292" s="16" t="s">
        <v>660</v>
      </c>
      <c r="D292" s="232"/>
      <c r="E292" s="16" t="s">
        <v>778</v>
      </c>
      <c r="F292" s="16"/>
      <c r="G292" s="16"/>
      <c r="H292" s="16" t="s">
        <v>216</v>
      </c>
      <c r="I292" s="19" t="s">
        <v>350</v>
      </c>
      <c r="J292" s="19" t="s">
        <v>97</v>
      </c>
      <c r="K292" s="339">
        <f>55.08*0.5%</f>
        <v>0.27539999999999998</v>
      </c>
      <c r="L292" s="339">
        <v>2080</v>
      </c>
      <c r="M292" s="339"/>
      <c r="N292" s="339">
        <f t="shared" si="59"/>
        <v>572.83199999999999</v>
      </c>
      <c r="O292" s="339"/>
      <c r="P292" s="339"/>
      <c r="Q292" s="339">
        <f t="shared" si="67"/>
        <v>189.89380800000001</v>
      </c>
      <c r="R292" s="339">
        <f t="shared" si="68"/>
        <v>8.306064000000001</v>
      </c>
      <c r="S292" s="339"/>
      <c r="T292" s="339"/>
      <c r="U292" s="339"/>
      <c r="V292" s="339"/>
      <c r="W292" s="264">
        <f t="shared" si="60"/>
        <v>771.03187200000002</v>
      </c>
      <c r="X292" s="339">
        <f t="shared" si="61"/>
        <v>0</v>
      </c>
      <c r="Y292" s="339"/>
      <c r="Z292" s="340">
        <f t="shared" si="62"/>
        <v>771.03187200000002</v>
      </c>
      <c r="AA292" s="2">
        <f>[4]HR!$Z390-Z292</f>
        <v>1501.4017823999998</v>
      </c>
    </row>
    <row r="293" spans="1:27" s="236" customFormat="1" ht="12.75" customHeight="1" x14ac:dyDescent="0.2">
      <c r="A293" s="16"/>
      <c r="B293" s="467">
        <v>0</v>
      </c>
      <c r="C293" s="16" t="s">
        <v>660</v>
      </c>
      <c r="D293" s="232"/>
      <c r="E293" s="16" t="s">
        <v>778</v>
      </c>
      <c r="F293" s="16"/>
      <c r="G293" s="16"/>
      <c r="H293" s="16" t="s">
        <v>216</v>
      </c>
      <c r="I293" s="19" t="s">
        <v>350</v>
      </c>
      <c r="J293" s="19" t="s">
        <v>976</v>
      </c>
      <c r="K293" s="339">
        <f>55.08*1%</f>
        <v>0.55079999999999996</v>
      </c>
      <c r="L293" s="339">
        <v>2080</v>
      </c>
      <c r="M293" s="339"/>
      <c r="N293" s="339">
        <f t="shared" si="59"/>
        <v>1145.664</v>
      </c>
      <c r="O293" s="339"/>
      <c r="P293" s="339"/>
      <c r="Q293" s="339">
        <f t="shared" si="67"/>
        <v>379.78761600000001</v>
      </c>
      <c r="R293" s="339">
        <f t="shared" si="68"/>
        <v>16.612128000000002</v>
      </c>
      <c r="S293" s="339"/>
      <c r="T293" s="339"/>
      <c r="U293" s="339"/>
      <c r="V293" s="339"/>
      <c r="W293" s="264">
        <f t="shared" si="60"/>
        <v>1542.063744</v>
      </c>
      <c r="X293" s="339">
        <f t="shared" si="61"/>
        <v>0</v>
      </c>
      <c r="Y293" s="339"/>
      <c r="Z293" s="340">
        <f t="shared" si="62"/>
        <v>1542.063744</v>
      </c>
      <c r="AA293" s="2">
        <f>[4]HR!$Z391-Z293</f>
        <v>6151.6906880000006</v>
      </c>
    </row>
    <row r="294" spans="1:27" ht="12.75" customHeight="1" x14ac:dyDescent="0.2">
      <c r="A294" s="16"/>
      <c r="B294" s="467">
        <v>0</v>
      </c>
      <c r="C294" s="16" t="s">
        <v>660</v>
      </c>
      <c r="D294" s="232"/>
      <c r="E294" s="16" t="s">
        <v>778</v>
      </c>
      <c r="F294" s="16"/>
      <c r="G294" s="16"/>
      <c r="H294" s="16" t="s">
        <v>216</v>
      </c>
      <c r="I294" s="19" t="s">
        <v>350</v>
      </c>
      <c r="J294" s="19" t="s">
        <v>978</v>
      </c>
      <c r="K294" s="339">
        <f>55.08*1%</f>
        <v>0.55079999999999996</v>
      </c>
      <c r="L294" s="339">
        <v>2080</v>
      </c>
      <c r="M294" s="339"/>
      <c r="N294" s="339">
        <f t="shared" si="59"/>
        <v>1145.664</v>
      </c>
      <c r="O294" s="339"/>
      <c r="P294" s="339"/>
      <c r="Q294" s="339">
        <f t="shared" si="67"/>
        <v>379.78761600000001</v>
      </c>
      <c r="R294" s="339">
        <f t="shared" si="68"/>
        <v>16.612128000000002</v>
      </c>
      <c r="S294" s="339"/>
      <c r="T294" s="339"/>
      <c r="U294" s="339"/>
      <c r="V294" s="339"/>
      <c r="W294" s="264">
        <f t="shared" si="60"/>
        <v>1542.063744</v>
      </c>
      <c r="X294" s="339">
        <f t="shared" si="61"/>
        <v>0</v>
      </c>
      <c r="Y294" s="339"/>
      <c r="Z294" s="340">
        <f t="shared" si="62"/>
        <v>1542.063744</v>
      </c>
      <c r="AA294" s="2">
        <f>[4]HR!$Z392-Z294</f>
        <v>33079.831199999993</v>
      </c>
    </row>
    <row r="295" spans="1:27" s="236" customFormat="1" ht="12.75" customHeight="1" x14ac:dyDescent="0.2">
      <c r="A295" s="16"/>
      <c r="B295" s="467">
        <v>0</v>
      </c>
      <c r="C295" s="16" t="s">
        <v>660</v>
      </c>
      <c r="D295" s="232"/>
      <c r="E295" s="16" t="s">
        <v>778</v>
      </c>
      <c r="F295" s="16"/>
      <c r="G295" s="16"/>
      <c r="H295" s="16" t="s">
        <v>216</v>
      </c>
      <c r="I295" s="19" t="s">
        <v>350</v>
      </c>
      <c r="J295" s="19" t="s">
        <v>1057</v>
      </c>
      <c r="K295" s="339">
        <f>55.08*1%</f>
        <v>0.55079999999999996</v>
      </c>
      <c r="L295" s="339">
        <v>2080</v>
      </c>
      <c r="M295" s="339"/>
      <c r="N295" s="339">
        <f t="shared" si="59"/>
        <v>1145.664</v>
      </c>
      <c r="O295" s="339"/>
      <c r="P295" s="339"/>
      <c r="Q295" s="339">
        <f t="shared" si="67"/>
        <v>379.78761600000001</v>
      </c>
      <c r="R295" s="339">
        <f t="shared" si="68"/>
        <v>16.612128000000002</v>
      </c>
      <c r="S295" s="339"/>
      <c r="T295" s="339"/>
      <c r="U295" s="339"/>
      <c r="V295" s="339"/>
      <c r="W295" s="264">
        <f t="shared" si="60"/>
        <v>1542.063744</v>
      </c>
      <c r="X295" s="339">
        <f t="shared" si="61"/>
        <v>0</v>
      </c>
      <c r="Y295" s="339"/>
      <c r="Z295" s="340">
        <f t="shared" si="62"/>
        <v>1542.063744</v>
      </c>
      <c r="AA295" s="2"/>
    </row>
    <row r="296" spans="1:27" s="236" customFormat="1" ht="12.75" customHeight="1" x14ac:dyDescent="0.2">
      <c r="A296" s="16"/>
      <c r="B296" s="467">
        <v>1</v>
      </c>
      <c r="C296" s="16" t="s">
        <v>663</v>
      </c>
      <c r="D296" s="232"/>
      <c r="E296" s="16" t="s">
        <v>767</v>
      </c>
      <c r="F296" s="16"/>
      <c r="G296" s="16"/>
      <c r="H296" s="16" t="s">
        <v>216</v>
      </c>
      <c r="I296" s="19" t="s">
        <v>350</v>
      </c>
      <c r="J296" s="19" t="s">
        <v>98</v>
      </c>
      <c r="K296" s="339">
        <f>31.98*90%</f>
        <v>28.782</v>
      </c>
      <c r="L296" s="339">
        <v>2080</v>
      </c>
      <c r="M296" s="339"/>
      <c r="N296" s="339">
        <f t="shared" ref="N296:N370" si="69">L296*K296</f>
        <v>59866.559999999998</v>
      </c>
      <c r="O296" s="339"/>
      <c r="P296" s="339"/>
      <c r="Q296" s="339">
        <f t="shared" si="67"/>
        <v>19845.764640000001</v>
      </c>
      <c r="R296" s="339">
        <f t="shared" si="68"/>
        <v>868.06511999999998</v>
      </c>
      <c r="S296" s="339"/>
      <c r="T296" s="339">
        <v>8583.84</v>
      </c>
      <c r="U296" s="339">
        <v>935.28</v>
      </c>
      <c r="V296" s="339"/>
      <c r="W296" s="264">
        <f t="shared" ref="W296:W371" si="70">SUM(N296:V296)</f>
        <v>90099.509760000001</v>
      </c>
      <c r="X296" s="339">
        <f t="shared" ref="X296:X371" si="71">IF(Q296&lt;&gt;"",W296*$X$25,0)</f>
        <v>0</v>
      </c>
      <c r="Y296" s="339"/>
      <c r="Z296" s="340">
        <f t="shared" ref="Z296:Z371" si="72">Y296+X296+W296</f>
        <v>90099.509760000001</v>
      </c>
      <c r="AA296" s="2">
        <f>[4]HR!$Z397-Z296</f>
        <v>25612.590320000003</v>
      </c>
    </row>
    <row r="297" spans="1:27" s="467" customFormat="1" ht="12.75" customHeight="1" x14ac:dyDescent="0.2">
      <c r="A297" s="16"/>
      <c r="B297" s="467">
        <v>0</v>
      </c>
      <c r="C297" s="16" t="s">
        <v>663</v>
      </c>
      <c r="D297" s="232"/>
      <c r="E297" s="16" t="s">
        <v>767</v>
      </c>
      <c r="F297" s="16"/>
      <c r="G297" s="16"/>
      <c r="H297" s="16" t="s">
        <v>216</v>
      </c>
      <c r="I297" s="19" t="s">
        <v>350</v>
      </c>
      <c r="J297" s="19" t="s">
        <v>107</v>
      </c>
      <c r="K297" s="339">
        <f>31.98*5%</f>
        <v>1.5990000000000002</v>
      </c>
      <c r="L297" s="339">
        <v>2080</v>
      </c>
      <c r="M297" s="339"/>
      <c r="N297" s="339">
        <f t="shared" si="69"/>
        <v>3325.9200000000005</v>
      </c>
      <c r="O297" s="339"/>
      <c r="P297" s="339"/>
      <c r="Q297" s="339">
        <f t="shared" si="67"/>
        <v>1102.5424800000003</v>
      </c>
      <c r="R297" s="339">
        <f t="shared" si="68"/>
        <v>48.225840000000012</v>
      </c>
      <c r="S297" s="339"/>
      <c r="T297" s="339"/>
      <c r="U297" s="339"/>
      <c r="V297" s="339"/>
      <c r="W297" s="264">
        <f t="shared" si="70"/>
        <v>4476.6883200000011</v>
      </c>
      <c r="X297" s="339">
        <f t="shared" si="71"/>
        <v>0</v>
      </c>
      <c r="Y297" s="339"/>
      <c r="Z297" s="340">
        <f t="shared" si="72"/>
        <v>4476.6883200000011</v>
      </c>
      <c r="AA297" s="2">
        <f>[4]HR!$Z398-Z297</f>
        <v>89032.455200000011</v>
      </c>
    </row>
    <row r="298" spans="1:27" s="236" customFormat="1" ht="12.75" customHeight="1" x14ac:dyDescent="0.2">
      <c r="A298" s="16"/>
      <c r="B298" s="467">
        <v>0</v>
      </c>
      <c r="C298" s="16" t="s">
        <v>663</v>
      </c>
      <c r="D298" s="232"/>
      <c r="E298" s="16" t="s">
        <v>767</v>
      </c>
      <c r="F298" s="16"/>
      <c r="G298" s="16"/>
      <c r="H298" s="16" t="s">
        <v>216</v>
      </c>
      <c r="I298" s="19" t="s">
        <v>350</v>
      </c>
      <c r="J298" s="19" t="s">
        <v>97</v>
      </c>
      <c r="K298" s="339">
        <f>31.98*5%</f>
        <v>1.5990000000000002</v>
      </c>
      <c r="L298" s="339">
        <v>2080</v>
      </c>
      <c r="M298" s="339"/>
      <c r="N298" s="339">
        <f t="shared" si="69"/>
        <v>3325.9200000000005</v>
      </c>
      <c r="O298" s="339"/>
      <c r="P298" s="339"/>
      <c r="Q298" s="339">
        <f t="shared" si="67"/>
        <v>1102.5424800000003</v>
      </c>
      <c r="R298" s="339">
        <f t="shared" si="68"/>
        <v>48.225840000000012</v>
      </c>
      <c r="S298" s="339"/>
      <c r="T298" s="339"/>
      <c r="U298" s="339"/>
      <c r="V298" s="339"/>
      <c r="W298" s="264">
        <f t="shared" si="70"/>
        <v>4476.6883200000011</v>
      </c>
      <c r="X298" s="339">
        <f t="shared" si="71"/>
        <v>0</v>
      </c>
      <c r="Y298" s="339"/>
      <c r="Z298" s="340">
        <f t="shared" si="72"/>
        <v>4476.6883200000011</v>
      </c>
      <c r="AA298" s="2">
        <f>[4]HR!$Z399-Z298</f>
        <v>94160.68609599999</v>
      </c>
    </row>
    <row r="299" spans="1:27" s="236" customFormat="1" ht="12.75" customHeight="1" x14ac:dyDescent="0.2">
      <c r="A299" s="16"/>
      <c r="B299" s="467">
        <v>1</v>
      </c>
      <c r="C299" s="16" t="s">
        <v>664</v>
      </c>
      <c r="D299" s="232"/>
      <c r="E299" s="16" t="s">
        <v>767</v>
      </c>
      <c r="F299" s="16"/>
      <c r="G299" s="16"/>
      <c r="H299" s="16" t="s">
        <v>216</v>
      </c>
      <c r="I299" s="19" t="s">
        <v>350</v>
      </c>
      <c r="J299" s="19" t="s">
        <v>98</v>
      </c>
      <c r="K299" s="339">
        <v>38.67</v>
      </c>
      <c r="L299" s="339">
        <v>2080</v>
      </c>
      <c r="M299" s="339"/>
      <c r="N299" s="339">
        <f t="shared" si="69"/>
        <v>80433.600000000006</v>
      </c>
      <c r="O299" s="339"/>
      <c r="P299" s="339"/>
      <c r="Q299" s="339">
        <f t="shared" si="67"/>
        <v>26663.738400000002</v>
      </c>
      <c r="R299" s="339">
        <f t="shared" si="68"/>
        <v>1166.2872000000002</v>
      </c>
      <c r="S299" s="339"/>
      <c r="T299" s="339">
        <v>8532</v>
      </c>
      <c r="U299" s="339">
        <v>400.32</v>
      </c>
      <c r="V299" s="339"/>
      <c r="W299" s="264">
        <f t="shared" si="70"/>
        <v>117195.94560000002</v>
      </c>
      <c r="X299" s="339">
        <f t="shared" si="71"/>
        <v>0</v>
      </c>
      <c r="Y299" s="339"/>
      <c r="Z299" s="340">
        <f t="shared" si="72"/>
        <v>117195.94560000002</v>
      </c>
      <c r="AA299" s="2">
        <f>[4]HR!$Z400-Z299</f>
        <v>-106145.38004800002</v>
      </c>
    </row>
    <row r="300" spans="1:27" s="236" customFormat="1" ht="12.75" customHeight="1" x14ac:dyDescent="0.2">
      <c r="A300" s="16"/>
      <c r="B300" s="467">
        <v>1</v>
      </c>
      <c r="C300" s="16" t="s">
        <v>598</v>
      </c>
      <c r="D300" s="232" t="s">
        <v>718</v>
      </c>
      <c r="E300" s="16" t="s">
        <v>769</v>
      </c>
      <c r="F300" s="16"/>
      <c r="G300" s="16"/>
      <c r="H300" s="341" t="s">
        <v>216</v>
      </c>
      <c r="I300" s="19" t="s">
        <v>350</v>
      </c>
      <c r="J300" s="19" t="s">
        <v>98</v>
      </c>
      <c r="K300" s="339">
        <f>40.57*80%</f>
        <v>32.456000000000003</v>
      </c>
      <c r="L300" s="339">
        <v>2080</v>
      </c>
      <c r="M300" s="339"/>
      <c r="N300" s="339">
        <f t="shared" si="69"/>
        <v>67508.48000000001</v>
      </c>
      <c r="O300" s="339"/>
      <c r="P300" s="339"/>
      <c r="Q300" s="339">
        <f t="shared" si="67"/>
        <v>22379.061120000006</v>
      </c>
      <c r="R300" s="339">
        <f t="shared" si="68"/>
        <v>978.87296000000015</v>
      </c>
      <c r="S300" s="339"/>
      <c r="T300" s="339">
        <v>9640.56</v>
      </c>
      <c r="U300" s="339">
        <v>702.48</v>
      </c>
      <c r="V300" s="339"/>
      <c r="W300" s="264">
        <f t="shared" si="70"/>
        <v>101209.45408</v>
      </c>
      <c r="X300" s="339">
        <f t="shared" si="71"/>
        <v>0</v>
      </c>
      <c r="Y300" s="339"/>
      <c r="Z300" s="340">
        <f t="shared" si="72"/>
        <v>101209.45408</v>
      </c>
      <c r="AA300" s="2">
        <f>[4]HR!$Z402-Z300</f>
        <v>-95684.171303999989</v>
      </c>
    </row>
    <row r="301" spans="1:27" s="236" customFormat="1" ht="12.75" customHeight="1" x14ac:dyDescent="0.2">
      <c r="A301" s="16"/>
      <c r="B301" s="467">
        <v>0</v>
      </c>
      <c r="C301" s="16" t="s">
        <v>598</v>
      </c>
      <c r="D301" s="232" t="s">
        <v>718</v>
      </c>
      <c r="E301" s="16" t="s">
        <v>769</v>
      </c>
      <c r="F301" s="16"/>
      <c r="G301" s="16"/>
      <c r="H301" s="341" t="s">
        <v>216</v>
      </c>
      <c r="I301" s="19" t="s">
        <v>350</v>
      </c>
      <c r="J301" s="19" t="s">
        <v>120</v>
      </c>
      <c r="K301" s="339">
        <f>40.57*5.5%</f>
        <v>2.2313499999999999</v>
      </c>
      <c r="L301" s="339">
        <v>2080</v>
      </c>
      <c r="M301" s="339"/>
      <c r="N301" s="339">
        <f t="shared" si="69"/>
        <v>4641.2079999999996</v>
      </c>
      <c r="O301" s="339"/>
      <c r="P301" s="339"/>
      <c r="Q301" s="339">
        <f t="shared" si="67"/>
        <v>1538.5604519999999</v>
      </c>
      <c r="R301" s="339">
        <f t="shared" si="68"/>
        <v>67.297516000000002</v>
      </c>
      <c r="S301" s="339"/>
      <c r="T301" s="339"/>
      <c r="U301" s="339"/>
      <c r="V301" s="339"/>
      <c r="W301" s="264">
        <f t="shared" si="70"/>
        <v>6247.065967999999</v>
      </c>
      <c r="X301" s="339">
        <f t="shared" si="71"/>
        <v>0</v>
      </c>
      <c r="Y301" s="339"/>
      <c r="Z301" s="340">
        <f t="shared" si="72"/>
        <v>6247.065967999999</v>
      </c>
      <c r="AA301" s="2">
        <f>[4]HR!$Z403-Z301</f>
        <v>19600.105535999999</v>
      </c>
    </row>
    <row r="302" spans="1:27" s="236" customFormat="1" ht="12.75" customHeight="1" x14ac:dyDescent="0.2">
      <c r="A302" s="16"/>
      <c r="B302" s="467">
        <v>0</v>
      </c>
      <c r="C302" s="16" t="s">
        <v>598</v>
      </c>
      <c r="D302" s="232" t="s">
        <v>718</v>
      </c>
      <c r="E302" s="16" t="s">
        <v>769</v>
      </c>
      <c r="F302" s="16"/>
      <c r="G302" s="16"/>
      <c r="H302" s="341" t="s">
        <v>216</v>
      </c>
      <c r="I302" s="19" t="s">
        <v>350</v>
      </c>
      <c r="J302" s="19" t="s">
        <v>976</v>
      </c>
      <c r="K302" s="339">
        <f>40.57*3%</f>
        <v>1.2171000000000001</v>
      </c>
      <c r="L302" s="339">
        <v>2080</v>
      </c>
      <c r="M302" s="339"/>
      <c r="N302" s="339">
        <f t="shared" si="69"/>
        <v>2531.5680000000002</v>
      </c>
      <c r="O302" s="339"/>
      <c r="P302" s="339"/>
      <c r="Q302" s="339">
        <f t="shared" si="67"/>
        <v>839.2147920000001</v>
      </c>
      <c r="R302" s="339">
        <f t="shared" si="68"/>
        <v>36.707736000000004</v>
      </c>
      <c r="S302" s="339"/>
      <c r="T302" s="339"/>
      <c r="U302" s="339"/>
      <c r="V302" s="339"/>
      <c r="W302" s="264">
        <f t="shared" si="70"/>
        <v>3407.4905280000003</v>
      </c>
      <c r="X302" s="339">
        <f t="shared" si="71"/>
        <v>0</v>
      </c>
      <c r="Y302" s="339"/>
      <c r="Z302" s="340">
        <f t="shared" si="72"/>
        <v>3407.4905280000003</v>
      </c>
      <c r="AA302" s="2">
        <f>[4]HR!$Z404-Z302</f>
        <v>27764.112480000003</v>
      </c>
    </row>
    <row r="303" spans="1:27" ht="12.75" customHeight="1" x14ac:dyDescent="0.2">
      <c r="A303" s="16"/>
      <c r="B303" s="467">
        <v>0</v>
      </c>
      <c r="C303" s="16" t="s">
        <v>598</v>
      </c>
      <c r="D303" s="232" t="s">
        <v>718</v>
      </c>
      <c r="E303" s="16" t="s">
        <v>769</v>
      </c>
      <c r="F303" s="16"/>
      <c r="G303" s="16"/>
      <c r="H303" s="341" t="s">
        <v>216</v>
      </c>
      <c r="I303" s="19" t="s">
        <v>350</v>
      </c>
      <c r="J303" s="19" t="s">
        <v>1057</v>
      </c>
      <c r="K303" s="339">
        <f>40.57*3%</f>
        <v>1.2171000000000001</v>
      </c>
      <c r="L303" s="339">
        <v>2080</v>
      </c>
      <c r="M303" s="339"/>
      <c r="N303" s="339">
        <f t="shared" si="69"/>
        <v>2531.5680000000002</v>
      </c>
      <c r="O303" s="339"/>
      <c r="P303" s="339"/>
      <c r="Q303" s="339">
        <f t="shared" si="67"/>
        <v>839.2147920000001</v>
      </c>
      <c r="R303" s="339">
        <f t="shared" si="68"/>
        <v>36.707736000000004</v>
      </c>
      <c r="S303" s="339"/>
      <c r="T303" s="339"/>
      <c r="U303" s="339"/>
      <c r="V303" s="339"/>
      <c r="W303" s="264">
        <f t="shared" si="70"/>
        <v>3407.4905280000003</v>
      </c>
      <c r="X303" s="339">
        <f t="shared" si="71"/>
        <v>0</v>
      </c>
      <c r="Y303" s="339"/>
      <c r="Z303" s="340">
        <f t="shared" si="72"/>
        <v>3407.4905280000003</v>
      </c>
      <c r="AA303" s="2">
        <f>[4]HR!$Z405-Z303</f>
        <v>27764.112480000003</v>
      </c>
    </row>
    <row r="304" spans="1:27" s="236" customFormat="1" ht="12.75" customHeight="1" x14ac:dyDescent="0.2">
      <c r="A304" s="16"/>
      <c r="B304" s="467">
        <v>0</v>
      </c>
      <c r="C304" s="16" t="s">
        <v>598</v>
      </c>
      <c r="D304" s="232" t="s">
        <v>718</v>
      </c>
      <c r="E304" s="16" t="s">
        <v>769</v>
      </c>
      <c r="F304" s="16"/>
      <c r="G304" s="16"/>
      <c r="H304" s="341" t="s">
        <v>216</v>
      </c>
      <c r="I304" s="19" t="s">
        <v>350</v>
      </c>
      <c r="J304" s="19" t="s">
        <v>978</v>
      </c>
      <c r="K304" s="339">
        <f>40.57*3%</f>
        <v>1.2171000000000001</v>
      </c>
      <c r="L304" s="339">
        <v>2080</v>
      </c>
      <c r="M304" s="339"/>
      <c r="N304" s="339">
        <f t="shared" si="69"/>
        <v>2531.5680000000002</v>
      </c>
      <c r="O304" s="339"/>
      <c r="P304" s="339"/>
      <c r="Q304" s="339">
        <f t="shared" si="67"/>
        <v>839.2147920000001</v>
      </c>
      <c r="R304" s="339">
        <f t="shared" si="68"/>
        <v>36.707736000000004</v>
      </c>
      <c r="S304" s="339"/>
      <c r="T304" s="339"/>
      <c r="U304" s="339"/>
      <c r="V304" s="339"/>
      <c r="W304" s="264">
        <f t="shared" si="70"/>
        <v>3407.4905280000003</v>
      </c>
      <c r="X304" s="339">
        <f t="shared" si="71"/>
        <v>0</v>
      </c>
      <c r="Y304" s="339"/>
      <c r="Z304" s="340">
        <f t="shared" si="72"/>
        <v>3407.4905280000003</v>
      </c>
      <c r="AA304" s="2">
        <f>[4]HR!$Z406-Z304</f>
        <v>80300.331072000001</v>
      </c>
    </row>
    <row r="305" spans="1:27" s="236" customFormat="1" ht="12.75" customHeight="1" x14ac:dyDescent="0.2">
      <c r="A305" s="16"/>
      <c r="B305" s="467">
        <v>0</v>
      </c>
      <c r="C305" s="16" t="s">
        <v>598</v>
      </c>
      <c r="D305" s="232"/>
      <c r="E305" s="16" t="s">
        <v>769</v>
      </c>
      <c r="F305" s="16"/>
      <c r="G305" s="16"/>
      <c r="H305" s="341" t="s">
        <v>216</v>
      </c>
      <c r="I305" s="19" t="s">
        <v>350</v>
      </c>
      <c r="J305" s="19" t="s">
        <v>1056</v>
      </c>
      <c r="K305" s="339">
        <f>40.57*5.5%</f>
        <v>2.2313499999999999</v>
      </c>
      <c r="L305" s="339">
        <v>2080</v>
      </c>
      <c r="M305" s="339"/>
      <c r="N305" s="339">
        <f t="shared" si="69"/>
        <v>4641.2079999999996</v>
      </c>
      <c r="O305" s="339"/>
      <c r="P305" s="339"/>
      <c r="Q305" s="339">
        <f t="shared" si="67"/>
        <v>1538.5604519999999</v>
      </c>
      <c r="R305" s="339">
        <f t="shared" si="68"/>
        <v>67.297516000000002</v>
      </c>
      <c r="S305" s="339"/>
      <c r="T305" s="339"/>
      <c r="U305" s="339"/>
      <c r="V305" s="339"/>
      <c r="W305" s="264">
        <f t="shared" si="70"/>
        <v>6247.065967999999</v>
      </c>
      <c r="X305" s="339">
        <f t="shared" si="71"/>
        <v>0</v>
      </c>
      <c r="Y305" s="339"/>
      <c r="Z305" s="340">
        <f t="shared" si="72"/>
        <v>6247.065967999999</v>
      </c>
      <c r="AA305" s="2"/>
    </row>
    <row r="306" spans="1:27" s="236" customFormat="1" ht="12.75" customHeight="1" x14ac:dyDescent="0.2">
      <c r="A306" s="16"/>
      <c r="B306" s="467">
        <v>1</v>
      </c>
      <c r="C306" s="16" t="s">
        <v>666</v>
      </c>
      <c r="D306" s="232"/>
      <c r="E306" s="16" t="s">
        <v>767</v>
      </c>
      <c r="F306" s="16"/>
      <c r="G306" s="16"/>
      <c r="H306" s="16" t="s">
        <v>216</v>
      </c>
      <c r="I306" s="19" t="s">
        <v>350</v>
      </c>
      <c r="J306" s="19" t="s">
        <v>120</v>
      </c>
      <c r="K306" s="339">
        <f>28.61*12.5%</f>
        <v>3.5762499999999999</v>
      </c>
      <c r="L306" s="339">
        <v>2080</v>
      </c>
      <c r="M306" s="339"/>
      <c r="N306" s="339">
        <f t="shared" si="69"/>
        <v>7438.5999999999995</v>
      </c>
      <c r="O306" s="339"/>
      <c r="P306" s="339"/>
      <c r="Q306" s="339">
        <f t="shared" si="67"/>
        <v>2465.8959</v>
      </c>
      <c r="R306" s="339">
        <f t="shared" si="68"/>
        <v>107.8597</v>
      </c>
      <c r="S306" s="339"/>
      <c r="T306" s="339">
        <v>4.8</v>
      </c>
      <c r="U306" s="339">
        <v>0</v>
      </c>
      <c r="V306" s="339"/>
      <c r="W306" s="264">
        <f t="shared" si="70"/>
        <v>10017.1556</v>
      </c>
      <c r="X306" s="339">
        <f t="shared" si="71"/>
        <v>0</v>
      </c>
      <c r="Y306" s="339"/>
      <c r="Z306" s="340">
        <f t="shared" si="72"/>
        <v>10017.1556</v>
      </c>
      <c r="AA306" s="2">
        <f>[4]HR!$Z407-Z306</f>
        <v>69275.124400000001</v>
      </c>
    </row>
    <row r="307" spans="1:27" ht="12.75" customHeight="1" x14ac:dyDescent="0.2">
      <c r="A307" s="16"/>
      <c r="B307" s="467">
        <v>0</v>
      </c>
      <c r="C307" s="16" t="s">
        <v>666</v>
      </c>
      <c r="D307" s="232"/>
      <c r="E307" s="16" t="s">
        <v>767</v>
      </c>
      <c r="F307" s="16"/>
      <c r="G307" s="16"/>
      <c r="H307" s="16" t="s">
        <v>216</v>
      </c>
      <c r="I307" s="19" t="s">
        <v>350</v>
      </c>
      <c r="J307" s="19" t="s">
        <v>1056</v>
      </c>
      <c r="K307" s="339">
        <f>28.61*12.5%</f>
        <v>3.5762499999999999</v>
      </c>
      <c r="L307" s="339">
        <v>2080</v>
      </c>
      <c r="M307" s="339"/>
      <c r="N307" s="339">
        <f t="shared" si="69"/>
        <v>7438.5999999999995</v>
      </c>
      <c r="O307" s="339"/>
      <c r="P307" s="339"/>
      <c r="Q307" s="339">
        <f t="shared" si="67"/>
        <v>2465.8959</v>
      </c>
      <c r="R307" s="339">
        <f t="shared" si="68"/>
        <v>107.8597</v>
      </c>
      <c r="S307" s="339"/>
      <c r="T307" s="339"/>
      <c r="U307" s="339"/>
      <c r="V307" s="339"/>
      <c r="W307" s="264">
        <f t="shared" si="70"/>
        <v>10012.355600000001</v>
      </c>
      <c r="X307" s="339">
        <f t="shared" si="71"/>
        <v>0</v>
      </c>
      <c r="Y307" s="339"/>
      <c r="Z307" s="340">
        <f t="shared" si="72"/>
        <v>10012.355600000001</v>
      </c>
      <c r="AA307" s="2">
        <f>[4]HR!$Z408-Z307</f>
        <v>-5790.1387440000008</v>
      </c>
    </row>
    <row r="308" spans="1:27" s="236" customFormat="1" ht="12.75" customHeight="1" x14ac:dyDescent="0.2">
      <c r="A308" s="16"/>
      <c r="B308" s="467">
        <v>0</v>
      </c>
      <c r="C308" s="16" t="s">
        <v>666</v>
      </c>
      <c r="D308" s="232"/>
      <c r="E308" s="16" t="s">
        <v>767</v>
      </c>
      <c r="F308" s="16"/>
      <c r="G308" s="16"/>
      <c r="H308" s="16" t="s">
        <v>216</v>
      </c>
      <c r="I308" s="19" t="s">
        <v>350</v>
      </c>
      <c r="J308" s="19" t="s">
        <v>1057</v>
      </c>
      <c r="K308" s="339">
        <f>28.61*25%</f>
        <v>7.1524999999999999</v>
      </c>
      <c r="L308" s="339">
        <v>2080</v>
      </c>
      <c r="M308" s="339"/>
      <c r="N308" s="339">
        <f t="shared" si="69"/>
        <v>14877.199999999999</v>
      </c>
      <c r="O308" s="339"/>
      <c r="P308" s="339"/>
      <c r="Q308" s="339">
        <f t="shared" si="67"/>
        <v>4931.7918</v>
      </c>
      <c r="R308" s="339">
        <f t="shared" si="68"/>
        <v>215.71940000000001</v>
      </c>
      <c r="S308" s="339"/>
      <c r="T308" s="339"/>
      <c r="U308" s="339"/>
      <c r="V308" s="339"/>
      <c r="W308" s="264">
        <f t="shared" si="70"/>
        <v>20024.711200000002</v>
      </c>
      <c r="X308" s="339">
        <f t="shared" si="71"/>
        <v>0</v>
      </c>
      <c r="Y308" s="339"/>
      <c r="Z308" s="340">
        <f t="shared" si="72"/>
        <v>20024.711200000002</v>
      </c>
      <c r="AA308" s="2">
        <f>[4]HR!$Z409-Z308</f>
        <v>-15802.494344000002</v>
      </c>
    </row>
    <row r="309" spans="1:27" s="236" customFormat="1" ht="12.75" customHeight="1" x14ac:dyDescent="0.2">
      <c r="A309" s="16"/>
      <c r="B309" s="467">
        <v>0</v>
      </c>
      <c r="C309" s="16" t="s">
        <v>666</v>
      </c>
      <c r="D309" s="232"/>
      <c r="E309" s="16" t="s">
        <v>767</v>
      </c>
      <c r="F309" s="16"/>
      <c r="G309" s="16"/>
      <c r="H309" s="16" t="s">
        <v>216</v>
      </c>
      <c r="I309" s="19" t="s">
        <v>350</v>
      </c>
      <c r="J309" s="19" t="s">
        <v>978</v>
      </c>
      <c r="K309" s="339">
        <f>28.61*25%</f>
        <v>7.1524999999999999</v>
      </c>
      <c r="L309" s="339">
        <v>2080</v>
      </c>
      <c r="M309" s="339"/>
      <c r="N309" s="339">
        <f t="shared" si="69"/>
        <v>14877.199999999999</v>
      </c>
      <c r="O309" s="339"/>
      <c r="P309" s="339"/>
      <c r="Q309" s="339">
        <f t="shared" si="67"/>
        <v>4931.7918</v>
      </c>
      <c r="R309" s="339">
        <f t="shared" si="68"/>
        <v>215.71940000000001</v>
      </c>
      <c r="S309" s="339"/>
      <c r="T309" s="339"/>
      <c r="U309" s="339"/>
      <c r="V309" s="339"/>
      <c r="W309" s="264">
        <f t="shared" si="70"/>
        <v>20024.711200000002</v>
      </c>
      <c r="X309" s="339">
        <f t="shared" si="71"/>
        <v>0</v>
      </c>
      <c r="Y309" s="339"/>
      <c r="Z309" s="340">
        <f t="shared" si="72"/>
        <v>20024.711200000002</v>
      </c>
      <c r="AA309" s="2">
        <f>[4]HR!$Z410-Z309</f>
        <v>-11580.277488000002</v>
      </c>
    </row>
    <row r="310" spans="1:27" s="236" customFormat="1" ht="12.75" customHeight="1" x14ac:dyDescent="0.2">
      <c r="A310" s="16"/>
      <c r="B310" s="467">
        <v>0</v>
      </c>
      <c r="C310" s="16" t="s">
        <v>666</v>
      </c>
      <c r="D310" s="232"/>
      <c r="E310" s="16" t="s">
        <v>767</v>
      </c>
      <c r="F310" s="16"/>
      <c r="G310" s="16"/>
      <c r="H310" s="16" t="s">
        <v>216</v>
      </c>
      <c r="I310" s="19" t="s">
        <v>350</v>
      </c>
      <c r="J310" s="19" t="s">
        <v>976</v>
      </c>
      <c r="K310" s="339">
        <f>28.61*25%</f>
        <v>7.1524999999999999</v>
      </c>
      <c r="L310" s="339">
        <v>2080</v>
      </c>
      <c r="M310" s="339"/>
      <c r="N310" s="339">
        <f t="shared" si="69"/>
        <v>14877.199999999999</v>
      </c>
      <c r="O310" s="339"/>
      <c r="P310" s="339"/>
      <c r="Q310" s="339">
        <f t="shared" si="67"/>
        <v>4931.7918</v>
      </c>
      <c r="R310" s="339">
        <f t="shared" si="68"/>
        <v>215.71940000000001</v>
      </c>
      <c r="S310" s="339"/>
      <c r="T310" s="339"/>
      <c r="U310" s="339"/>
      <c r="V310" s="339"/>
      <c r="W310" s="264">
        <f t="shared" si="70"/>
        <v>20024.711200000002</v>
      </c>
      <c r="X310" s="339">
        <f t="shared" si="71"/>
        <v>0</v>
      </c>
      <c r="Y310" s="339"/>
      <c r="Z310" s="340">
        <f t="shared" si="72"/>
        <v>20024.711200000002</v>
      </c>
      <c r="AA310" s="2"/>
    </row>
    <row r="311" spans="1:27" s="236" customFormat="1" ht="12.75" customHeight="1" x14ac:dyDescent="0.2">
      <c r="A311" s="16"/>
      <c r="B311" s="467">
        <v>1</v>
      </c>
      <c r="C311" s="16" t="s">
        <v>667</v>
      </c>
      <c r="D311" s="232"/>
      <c r="E311" s="16" t="s">
        <v>767</v>
      </c>
      <c r="F311" s="16"/>
      <c r="G311" s="16"/>
      <c r="H311" s="16" t="s">
        <v>216</v>
      </c>
      <c r="I311" s="19" t="s">
        <v>350</v>
      </c>
      <c r="J311" s="19" t="s">
        <v>98</v>
      </c>
      <c r="K311" s="339">
        <v>30.73</v>
      </c>
      <c r="L311" s="339">
        <v>2080</v>
      </c>
      <c r="M311" s="339"/>
      <c r="N311" s="339">
        <f t="shared" si="69"/>
        <v>63918.400000000001</v>
      </c>
      <c r="O311" s="339"/>
      <c r="P311" s="339"/>
      <c r="Q311" s="339">
        <f t="shared" si="67"/>
        <v>21188.9496</v>
      </c>
      <c r="R311" s="339">
        <f t="shared" ref="R311:R319" si="73">N311*0.0145</f>
        <v>926.81680000000006</v>
      </c>
      <c r="S311" s="339"/>
      <c r="T311" s="339"/>
      <c r="U311" s="339"/>
      <c r="V311" s="339"/>
      <c r="W311" s="264">
        <f t="shared" si="70"/>
        <v>86034.166400000002</v>
      </c>
      <c r="X311" s="339">
        <f t="shared" si="71"/>
        <v>0</v>
      </c>
      <c r="Y311" s="339"/>
      <c r="Z311" s="340">
        <f t="shared" si="72"/>
        <v>86034.166400000002</v>
      </c>
      <c r="AA311" s="2">
        <f>[4]HR!$Z411-Z311</f>
        <v>-77589.732688000004</v>
      </c>
    </row>
    <row r="312" spans="1:27" ht="12.75" customHeight="1" x14ac:dyDescent="0.2">
      <c r="A312" s="16"/>
      <c r="B312" s="467">
        <v>1</v>
      </c>
      <c r="C312" s="16" t="s">
        <v>610</v>
      </c>
      <c r="D312" s="232"/>
      <c r="E312" s="476" t="s">
        <v>775</v>
      </c>
      <c r="F312" s="16"/>
      <c r="G312" s="16"/>
      <c r="H312" s="16" t="s">
        <v>216</v>
      </c>
      <c r="I312" s="19" t="s">
        <v>1171</v>
      </c>
      <c r="J312" s="19" t="s">
        <v>928</v>
      </c>
      <c r="K312" s="339">
        <f>31*5%</f>
        <v>1.55</v>
      </c>
      <c r="L312" s="339">
        <v>2080</v>
      </c>
      <c r="M312" s="339"/>
      <c r="N312" s="339">
        <f t="shared" si="69"/>
        <v>3224</v>
      </c>
      <c r="O312" s="339"/>
      <c r="P312" s="339"/>
      <c r="Q312" s="339">
        <f t="shared" si="67"/>
        <v>1068.7560000000001</v>
      </c>
      <c r="R312" s="339">
        <f t="shared" si="73"/>
        <v>46.748000000000005</v>
      </c>
      <c r="S312" s="339"/>
      <c r="T312" s="339"/>
      <c r="U312" s="339"/>
      <c r="V312" s="339"/>
      <c r="W312" s="264">
        <f t="shared" si="70"/>
        <v>4339.5039999999999</v>
      </c>
      <c r="X312" s="339">
        <f t="shared" si="71"/>
        <v>0</v>
      </c>
      <c r="Y312" s="339"/>
      <c r="Z312" s="340">
        <f t="shared" si="72"/>
        <v>4339.5039999999999</v>
      </c>
      <c r="AA312" s="2">
        <f>[4]HR!$Z413-Z312</f>
        <v>727.1562272000001</v>
      </c>
    </row>
    <row r="313" spans="1:27" ht="12.75" customHeight="1" x14ac:dyDescent="0.2">
      <c r="A313" s="16"/>
      <c r="B313" s="467">
        <v>0</v>
      </c>
      <c r="C313" s="16" t="s">
        <v>610</v>
      </c>
      <c r="D313" s="232"/>
      <c r="E313" s="476" t="s">
        <v>775</v>
      </c>
      <c r="F313" s="16"/>
      <c r="G313" s="16"/>
      <c r="H313" s="16" t="s">
        <v>216</v>
      </c>
      <c r="I313" s="19" t="s">
        <v>1171</v>
      </c>
      <c r="J313" s="19" t="s">
        <v>1474</v>
      </c>
      <c r="K313" s="339">
        <f>31*5%</f>
        <v>1.55</v>
      </c>
      <c r="L313" s="339">
        <v>2080</v>
      </c>
      <c r="M313" s="339"/>
      <c r="N313" s="339">
        <f t="shared" si="69"/>
        <v>3224</v>
      </c>
      <c r="O313" s="339"/>
      <c r="P313" s="339"/>
      <c r="Q313" s="339">
        <f t="shared" si="67"/>
        <v>1068.7560000000001</v>
      </c>
      <c r="R313" s="339">
        <f t="shared" si="73"/>
        <v>46.748000000000005</v>
      </c>
      <c r="S313" s="339"/>
      <c r="T313" s="339"/>
      <c r="U313" s="339"/>
      <c r="V313" s="339"/>
      <c r="W313" s="264">
        <f t="shared" si="70"/>
        <v>4339.5039999999999</v>
      </c>
      <c r="X313" s="339">
        <f t="shared" si="71"/>
        <v>0</v>
      </c>
      <c r="Y313" s="339"/>
      <c r="Z313" s="340">
        <f t="shared" si="72"/>
        <v>4339.5039999999999</v>
      </c>
      <c r="AA313" s="2">
        <f>[4]HR!$Z414-Z313</f>
        <v>20993.797135999997</v>
      </c>
    </row>
    <row r="314" spans="1:27" s="467" customFormat="1" ht="12.75" customHeight="1" x14ac:dyDescent="0.2">
      <c r="A314" s="16"/>
      <c r="B314" s="467">
        <v>0</v>
      </c>
      <c r="C314" s="16" t="s">
        <v>610</v>
      </c>
      <c r="D314" s="232"/>
      <c r="E314" s="476" t="s">
        <v>775</v>
      </c>
      <c r="F314" s="16"/>
      <c r="G314" s="16"/>
      <c r="H314" s="16" t="s">
        <v>216</v>
      </c>
      <c r="I314" s="19" t="s">
        <v>1171</v>
      </c>
      <c r="J314" s="19" t="s">
        <v>1661</v>
      </c>
      <c r="K314" s="339">
        <f>31*10%</f>
        <v>3.1</v>
      </c>
      <c r="L314" s="339">
        <v>2080</v>
      </c>
      <c r="M314" s="339"/>
      <c r="N314" s="339">
        <f t="shared" si="69"/>
        <v>6448</v>
      </c>
      <c r="O314" s="339"/>
      <c r="P314" s="339"/>
      <c r="Q314" s="339">
        <f t="shared" si="67"/>
        <v>2137.5120000000002</v>
      </c>
      <c r="R314" s="339">
        <f t="shared" si="73"/>
        <v>93.496000000000009</v>
      </c>
      <c r="S314" s="339"/>
      <c r="T314" s="339"/>
      <c r="U314" s="339"/>
      <c r="V314" s="339"/>
      <c r="W314" s="264">
        <f t="shared" si="70"/>
        <v>8679.0079999999998</v>
      </c>
      <c r="X314" s="339">
        <f t="shared" si="71"/>
        <v>0</v>
      </c>
      <c r="Y314" s="339"/>
      <c r="Z314" s="340">
        <f t="shared" si="72"/>
        <v>8679.0079999999998</v>
      </c>
      <c r="AA314" s="2">
        <f>[4]HR!$Z415-Z314</f>
        <v>-7834.5646287999998</v>
      </c>
    </row>
    <row r="315" spans="1:27" ht="12.75" customHeight="1" x14ac:dyDescent="0.2">
      <c r="A315" s="16"/>
      <c r="B315" s="467">
        <v>0</v>
      </c>
      <c r="C315" s="16" t="s">
        <v>610</v>
      </c>
      <c r="D315" s="232"/>
      <c r="E315" s="476" t="s">
        <v>775</v>
      </c>
      <c r="F315" s="16"/>
      <c r="G315" s="16"/>
      <c r="H315" s="16" t="s">
        <v>216</v>
      </c>
      <c r="I315" s="19" t="s">
        <v>1171</v>
      </c>
      <c r="J315" s="19" t="s">
        <v>933</v>
      </c>
      <c r="K315" s="339">
        <f>31*10%</f>
        <v>3.1</v>
      </c>
      <c r="L315" s="339">
        <v>2080</v>
      </c>
      <c r="M315" s="339"/>
      <c r="N315" s="339">
        <f t="shared" si="69"/>
        <v>6448</v>
      </c>
      <c r="O315" s="339"/>
      <c r="P315" s="339"/>
      <c r="Q315" s="339">
        <f t="shared" si="67"/>
        <v>2137.5120000000002</v>
      </c>
      <c r="R315" s="339">
        <f t="shared" si="73"/>
        <v>93.496000000000009</v>
      </c>
      <c r="S315" s="339"/>
      <c r="T315" s="339"/>
      <c r="U315" s="339"/>
      <c r="V315" s="339"/>
      <c r="W315" s="264">
        <f t="shared" si="70"/>
        <v>8679.0079999999998</v>
      </c>
      <c r="X315" s="339">
        <f t="shared" si="71"/>
        <v>0</v>
      </c>
      <c r="Y315" s="339"/>
      <c r="Z315" s="340">
        <f t="shared" si="72"/>
        <v>8679.0079999999998</v>
      </c>
      <c r="AA315" s="2">
        <f>[4]HR!$Z416-Z315</f>
        <v>22983.579651200002</v>
      </c>
    </row>
    <row r="316" spans="1:27" s="236" customFormat="1" ht="12.75" customHeight="1" x14ac:dyDescent="0.2">
      <c r="A316" s="16"/>
      <c r="B316" s="467">
        <v>0</v>
      </c>
      <c r="C316" s="16" t="s">
        <v>610</v>
      </c>
      <c r="D316" s="232"/>
      <c r="E316" s="476" t="s">
        <v>775</v>
      </c>
      <c r="F316" s="16"/>
      <c r="G316" s="16"/>
      <c r="H316" s="16" t="s">
        <v>216</v>
      </c>
      <c r="I316" s="19" t="s">
        <v>1171</v>
      </c>
      <c r="J316" s="19" t="s">
        <v>935</v>
      </c>
      <c r="K316" s="339">
        <f>31*8%</f>
        <v>2.48</v>
      </c>
      <c r="L316" s="339">
        <v>2080</v>
      </c>
      <c r="M316" s="339"/>
      <c r="N316" s="339">
        <f t="shared" si="69"/>
        <v>5158.3999999999996</v>
      </c>
      <c r="O316" s="339"/>
      <c r="P316" s="339"/>
      <c r="Q316" s="339">
        <f t="shared" si="67"/>
        <v>1710.0095999999999</v>
      </c>
      <c r="R316" s="339">
        <f t="shared" si="73"/>
        <v>74.796800000000005</v>
      </c>
      <c r="S316" s="339"/>
      <c r="T316" s="339"/>
      <c r="U316" s="339"/>
      <c r="V316" s="339"/>
      <c r="W316" s="264">
        <f t="shared" si="70"/>
        <v>6943.2063999999991</v>
      </c>
      <c r="X316" s="339">
        <f t="shared" si="71"/>
        <v>0</v>
      </c>
      <c r="Y316" s="339"/>
      <c r="Z316" s="340">
        <f t="shared" si="72"/>
        <v>6943.2063999999991</v>
      </c>
      <c r="AA316" s="2">
        <f>[4]HR!$Z417-Z316</f>
        <v>-6098.7630287999991</v>
      </c>
    </row>
    <row r="317" spans="1:27" ht="12.75" customHeight="1" x14ac:dyDescent="0.2">
      <c r="A317" s="467"/>
      <c r="B317" s="467">
        <v>0</v>
      </c>
      <c r="C317" s="16" t="s">
        <v>610</v>
      </c>
      <c r="D317" s="232"/>
      <c r="E317" s="476" t="s">
        <v>775</v>
      </c>
      <c r="F317" s="16"/>
      <c r="G317" s="16"/>
      <c r="H317" s="16" t="s">
        <v>216</v>
      </c>
      <c r="I317" s="19" t="s">
        <v>1171</v>
      </c>
      <c r="J317" s="19" t="s">
        <v>1603</v>
      </c>
      <c r="K317" s="339">
        <f>31*3%</f>
        <v>0.92999999999999994</v>
      </c>
      <c r="L317" s="339">
        <v>2080</v>
      </c>
      <c r="M317" s="339"/>
      <c r="N317" s="339">
        <f t="shared" si="69"/>
        <v>1934.3999999999999</v>
      </c>
      <c r="O317" s="339"/>
      <c r="P317" s="339"/>
      <c r="Q317" s="339">
        <f t="shared" si="67"/>
        <v>641.25360000000001</v>
      </c>
      <c r="R317" s="339">
        <f t="shared" si="73"/>
        <v>28.0488</v>
      </c>
      <c r="S317" s="339"/>
      <c r="T317" s="339"/>
      <c r="U317" s="339"/>
      <c r="V317" s="339"/>
      <c r="W317" s="264">
        <f t="shared" si="70"/>
        <v>2603.7023999999997</v>
      </c>
      <c r="X317" s="339">
        <f t="shared" si="71"/>
        <v>0</v>
      </c>
      <c r="Y317" s="339"/>
      <c r="Z317" s="340">
        <f t="shared" si="72"/>
        <v>2603.7023999999997</v>
      </c>
      <c r="AA317" s="2">
        <f>[4]HR!$Z418-Z317</f>
        <v>-116.13964408799984</v>
      </c>
    </row>
    <row r="318" spans="1:27" ht="12.75" customHeight="1" x14ac:dyDescent="0.2">
      <c r="A318" s="16"/>
      <c r="B318" s="467">
        <v>0</v>
      </c>
      <c r="C318" s="16" t="s">
        <v>610</v>
      </c>
      <c r="D318" s="232"/>
      <c r="E318" s="476" t="s">
        <v>775</v>
      </c>
      <c r="F318" s="16"/>
      <c r="G318" s="16"/>
      <c r="H318" s="16" t="s">
        <v>216</v>
      </c>
      <c r="I318" s="19" t="s">
        <v>1171</v>
      </c>
      <c r="J318" s="19" t="s">
        <v>96</v>
      </c>
      <c r="K318" s="339">
        <f>31*10%</f>
        <v>3.1</v>
      </c>
      <c r="L318" s="339">
        <v>2080</v>
      </c>
      <c r="M318" s="339"/>
      <c r="N318" s="339">
        <f t="shared" si="69"/>
        <v>6448</v>
      </c>
      <c r="O318" s="339"/>
      <c r="P318" s="339"/>
      <c r="Q318" s="339">
        <f t="shared" si="67"/>
        <v>2137.5120000000002</v>
      </c>
      <c r="R318" s="339">
        <f t="shared" si="73"/>
        <v>93.496000000000009</v>
      </c>
      <c r="S318" s="339"/>
      <c r="T318" s="339"/>
      <c r="U318" s="339"/>
      <c r="V318" s="339"/>
      <c r="W318" s="264">
        <f t="shared" si="70"/>
        <v>8679.0079999999998</v>
      </c>
      <c r="X318" s="339">
        <f t="shared" si="71"/>
        <v>0</v>
      </c>
      <c r="Y318" s="339"/>
      <c r="Z318" s="340">
        <f t="shared" si="72"/>
        <v>8679.0079999999998</v>
      </c>
      <c r="AA318" s="2">
        <f>[4]HR!$Z419-Z318</f>
        <v>-6191.4452440879995</v>
      </c>
    </row>
    <row r="319" spans="1:27" s="236" customFormat="1" ht="12.75" customHeight="1" x14ac:dyDescent="0.2">
      <c r="A319" s="16"/>
      <c r="B319" s="467">
        <v>0</v>
      </c>
      <c r="C319" s="16" t="s">
        <v>610</v>
      </c>
      <c r="D319" s="232"/>
      <c r="E319" s="476" t="s">
        <v>775</v>
      </c>
      <c r="F319" s="16"/>
      <c r="G319" s="16"/>
      <c r="H319" s="16" t="s">
        <v>216</v>
      </c>
      <c r="I319" s="19" t="s">
        <v>1171</v>
      </c>
      <c r="J319" s="19" t="s">
        <v>941</v>
      </c>
      <c r="K319" s="339">
        <f>31*6%</f>
        <v>1.8599999999999999</v>
      </c>
      <c r="L319" s="339">
        <v>2080</v>
      </c>
      <c r="M319" s="339"/>
      <c r="N319" s="339">
        <f t="shared" si="69"/>
        <v>3868.7999999999997</v>
      </c>
      <c r="O319" s="339"/>
      <c r="P319" s="339"/>
      <c r="Q319" s="339">
        <f t="shared" si="67"/>
        <v>1282.5072</v>
      </c>
      <c r="R319" s="339">
        <f t="shared" si="73"/>
        <v>56.0976</v>
      </c>
      <c r="S319" s="339"/>
      <c r="T319" s="339"/>
      <c r="U319" s="339"/>
      <c r="V319" s="339"/>
      <c r="W319" s="264">
        <f t="shared" si="70"/>
        <v>5207.4047999999993</v>
      </c>
      <c r="X319" s="339">
        <f t="shared" si="71"/>
        <v>0</v>
      </c>
      <c r="Y319" s="339"/>
      <c r="Z319" s="340">
        <f t="shared" si="72"/>
        <v>5207.4047999999993</v>
      </c>
      <c r="AA319" s="2">
        <f>[4]HR!$Z420-Z319</f>
        <v>7230.4089795600003</v>
      </c>
    </row>
    <row r="320" spans="1:27" s="236" customFormat="1" ht="12.75" customHeight="1" x14ac:dyDescent="0.2">
      <c r="A320" s="16"/>
      <c r="B320" s="467">
        <v>0</v>
      </c>
      <c r="C320" s="16" t="s">
        <v>610</v>
      </c>
      <c r="D320" s="232"/>
      <c r="E320" s="476" t="s">
        <v>775</v>
      </c>
      <c r="F320" s="16"/>
      <c r="G320" s="16"/>
      <c r="H320" s="16" t="s">
        <v>216</v>
      </c>
      <c r="I320" s="19" t="s">
        <v>1171</v>
      </c>
      <c r="J320" s="19" t="s">
        <v>943</v>
      </c>
      <c r="K320" s="339">
        <f>31*6%</f>
        <v>1.8599999999999999</v>
      </c>
      <c r="L320" s="339">
        <v>2080</v>
      </c>
      <c r="M320" s="339"/>
      <c r="N320" s="339">
        <f t="shared" si="69"/>
        <v>3868.7999999999997</v>
      </c>
      <c r="O320" s="339"/>
      <c r="P320" s="339"/>
      <c r="Q320" s="339">
        <f t="shared" si="67"/>
        <v>1282.5072</v>
      </c>
      <c r="R320" s="339">
        <f>(N320+O320)*0.0145</f>
        <v>56.0976</v>
      </c>
      <c r="S320" s="339"/>
      <c r="T320" s="339">
        <v>5995.2</v>
      </c>
      <c r="U320" s="339">
        <v>702.48</v>
      </c>
      <c r="V320" s="339"/>
      <c r="W320" s="264">
        <f t="shared" si="70"/>
        <v>11905.084799999999</v>
      </c>
      <c r="X320" s="339">
        <f t="shared" si="71"/>
        <v>0</v>
      </c>
      <c r="Y320" s="339"/>
      <c r="Z320" s="340">
        <f t="shared" si="72"/>
        <v>11905.084799999999</v>
      </c>
      <c r="AA320" s="2">
        <f>[4]HR!$Z421-Z320</f>
        <v>532.72897956000088</v>
      </c>
    </row>
    <row r="321" spans="1:27" s="236" customFormat="1" ht="12.75" customHeight="1" x14ac:dyDescent="0.2">
      <c r="A321" s="16"/>
      <c r="B321" s="467">
        <v>0</v>
      </c>
      <c r="C321" s="467" t="s">
        <v>610</v>
      </c>
      <c r="D321" s="468"/>
      <c r="E321" s="479" t="s">
        <v>775</v>
      </c>
      <c r="F321" s="467"/>
      <c r="G321" s="467"/>
      <c r="H321" s="467" t="s">
        <v>216</v>
      </c>
      <c r="I321" s="469" t="s">
        <v>1171</v>
      </c>
      <c r="J321" s="469" t="s">
        <v>954</v>
      </c>
      <c r="K321" s="472">
        <f>31*4%</f>
        <v>1.24</v>
      </c>
      <c r="L321" s="472">
        <v>2080</v>
      </c>
      <c r="M321" s="472"/>
      <c r="N321" s="339">
        <f t="shared" si="69"/>
        <v>2579.1999999999998</v>
      </c>
      <c r="O321" s="472"/>
      <c r="P321" s="472"/>
      <c r="Q321" s="339">
        <f t="shared" si="67"/>
        <v>855.00479999999993</v>
      </c>
      <c r="R321" s="472">
        <f t="shared" ref="R321:R349" si="74">N321*0.0145</f>
        <v>37.398400000000002</v>
      </c>
      <c r="S321" s="472"/>
      <c r="T321" s="472"/>
      <c r="U321" s="472"/>
      <c r="V321" s="472"/>
      <c r="W321" s="473">
        <f t="shared" si="70"/>
        <v>3471.6031999999996</v>
      </c>
      <c r="X321" s="472">
        <f t="shared" si="71"/>
        <v>0</v>
      </c>
      <c r="Y321" s="472"/>
      <c r="Z321" s="474">
        <f t="shared" si="72"/>
        <v>3471.6031999999996</v>
      </c>
      <c r="AA321" s="2">
        <f>[4]HR!$Z422-Z321</f>
        <v>1503.5223118240001</v>
      </c>
    </row>
    <row r="322" spans="1:27" s="236" customFormat="1" ht="12.75" customHeight="1" x14ac:dyDescent="0.2">
      <c r="A322" s="16"/>
      <c r="B322" s="467">
        <v>0</v>
      </c>
      <c r="C322" s="467" t="s">
        <v>610</v>
      </c>
      <c r="D322" s="468"/>
      <c r="E322" s="479" t="s">
        <v>775</v>
      </c>
      <c r="F322" s="467"/>
      <c r="G322" s="467"/>
      <c r="H322" s="467" t="s">
        <v>216</v>
      </c>
      <c r="I322" s="469" t="s">
        <v>1171</v>
      </c>
      <c r="J322" s="469" t="s">
        <v>1602</v>
      </c>
      <c r="K322" s="472">
        <f>31*3%</f>
        <v>0.92999999999999994</v>
      </c>
      <c r="L322" s="472">
        <v>2080</v>
      </c>
      <c r="M322" s="472"/>
      <c r="N322" s="339">
        <f t="shared" si="69"/>
        <v>1934.3999999999999</v>
      </c>
      <c r="O322" s="472"/>
      <c r="P322" s="472"/>
      <c r="Q322" s="339">
        <f t="shared" si="67"/>
        <v>641.25360000000001</v>
      </c>
      <c r="R322" s="472">
        <f t="shared" si="74"/>
        <v>28.0488</v>
      </c>
      <c r="S322" s="472"/>
      <c r="T322" s="472"/>
      <c r="U322" s="472"/>
      <c r="V322" s="472"/>
      <c r="W322" s="473">
        <f t="shared" si="70"/>
        <v>2603.7023999999997</v>
      </c>
      <c r="X322" s="472">
        <f t="shared" si="71"/>
        <v>0</v>
      </c>
      <c r="Y322" s="472"/>
      <c r="Z322" s="474">
        <f t="shared" si="72"/>
        <v>2603.7023999999997</v>
      </c>
      <c r="AA322" s="2"/>
    </row>
    <row r="323" spans="1:27" s="236" customFormat="1" ht="12.75" customHeight="1" x14ac:dyDescent="0.2">
      <c r="A323" s="16"/>
      <c r="B323" s="467">
        <v>0</v>
      </c>
      <c r="C323" s="467" t="s">
        <v>610</v>
      </c>
      <c r="D323" s="468"/>
      <c r="E323" s="479" t="s">
        <v>775</v>
      </c>
      <c r="F323" s="467"/>
      <c r="G323" s="467"/>
      <c r="H323" s="467" t="s">
        <v>216</v>
      </c>
      <c r="I323" s="469" t="s">
        <v>1171</v>
      </c>
      <c r="J323" s="19" t="s">
        <v>973</v>
      </c>
      <c r="K323" s="472">
        <f>31*2%</f>
        <v>0.62</v>
      </c>
      <c r="L323" s="472">
        <v>2080</v>
      </c>
      <c r="M323" s="472"/>
      <c r="N323" s="339">
        <f t="shared" si="69"/>
        <v>1289.5999999999999</v>
      </c>
      <c r="O323" s="472"/>
      <c r="P323" s="472"/>
      <c r="Q323" s="339">
        <f t="shared" si="67"/>
        <v>427.50239999999997</v>
      </c>
      <c r="R323" s="472">
        <f t="shared" si="74"/>
        <v>18.699200000000001</v>
      </c>
      <c r="S323" s="472"/>
      <c r="T323" s="472"/>
      <c r="U323" s="472"/>
      <c r="V323" s="472"/>
      <c r="W323" s="473">
        <f t="shared" si="70"/>
        <v>1735.8015999999998</v>
      </c>
      <c r="X323" s="472">
        <f t="shared" si="71"/>
        <v>0</v>
      </c>
      <c r="Y323" s="472"/>
      <c r="Z323" s="474">
        <f t="shared" si="72"/>
        <v>1735.8015999999998</v>
      </c>
      <c r="AA323" s="2"/>
    </row>
    <row r="324" spans="1:27" s="236" customFormat="1" ht="12.75" customHeight="1" x14ac:dyDescent="0.2">
      <c r="A324" s="16"/>
      <c r="B324" s="467">
        <v>0</v>
      </c>
      <c r="C324" s="467" t="s">
        <v>610</v>
      </c>
      <c r="D324" s="468"/>
      <c r="E324" s="479" t="s">
        <v>775</v>
      </c>
      <c r="F324" s="467"/>
      <c r="G324" s="467"/>
      <c r="H324" s="467" t="s">
        <v>216</v>
      </c>
      <c r="I324" s="469" t="s">
        <v>1171</v>
      </c>
      <c r="J324" s="469" t="s">
        <v>985</v>
      </c>
      <c r="K324" s="472">
        <f>31*1%</f>
        <v>0.31</v>
      </c>
      <c r="L324" s="472">
        <v>2080</v>
      </c>
      <c r="M324" s="472"/>
      <c r="N324" s="339">
        <f t="shared" si="69"/>
        <v>644.79999999999995</v>
      </c>
      <c r="O324" s="472"/>
      <c r="P324" s="472"/>
      <c r="Q324" s="339">
        <f t="shared" si="67"/>
        <v>213.75119999999998</v>
      </c>
      <c r="R324" s="472">
        <f t="shared" si="74"/>
        <v>9.3496000000000006</v>
      </c>
      <c r="S324" s="472"/>
      <c r="T324" s="472"/>
      <c r="U324" s="472"/>
      <c r="V324" s="472"/>
      <c r="W324" s="473">
        <f t="shared" si="70"/>
        <v>867.90079999999989</v>
      </c>
      <c r="X324" s="472">
        <f t="shared" si="71"/>
        <v>0</v>
      </c>
      <c r="Y324" s="472"/>
      <c r="Z324" s="474">
        <f t="shared" si="72"/>
        <v>867.90079999999989</v>
      </c>
      <c r="AA324" s="2"/>
    </row>
    <row r="325" spans="1:27" s="236" customFormat="1" ht="12.75" customHeight="1" x14ac:dyDescent="0.2">
      <c r="A325" s="16"/>
      <c r="B325" s="467">
        <v>0</v>
      </c>
      <c r="C325" s="467" t="s">
        <v>610</v>
      </c>
      <c r="D325" s="468"/>
      <c r="E325" s="479" t="s">
        <v>775</v>
      </c>
      <c r="F325" s="467"/>
      <c r="G325" s="467"/>
      <c r="H325" s="467" t="s">
        <v>216</v>
      </c>
      <c r="I325" s="469" t="s">
        <v>1171</v>
      </c>
      <c r="J325" s="469" t="s">
        <v>994</v>
      </c>
      <c r="K325" s="472">
        <f>31*1%</f>
        <v>0.31</v>
      </c>
      <c r="L325" s="472">
        <v>2080</v>
      </c>
      <c r="M325" s="472"/>
      <c r="N325" s="339">
        <f t="shared" si="69"/>
        <v>644.79999999999995</v>
      </c>
      <c r="O325" s="472"/>
      <c r="P325" s="472"/>
      <c r="Q325" s="339">
        <f t="shared" si="67"/>
        <v>213.75119999999998</v>
      </c>
      <c r="R325" s="472">
        <f t="shared" si="74"/>
        <v>9.3496000000000006</v>
      </c>
      <c r="S325" s="472"/>
      <c r="T325" s="472"/>
      <c r="U325" s="472"/>
      <c r="V325" s="472"/>
      <c r="W325" s="473">
        <f t="shared" si="70"/>
        <v>867.90079999999989</v>
      </c>
      <c r="X325" s="472">
        <f t="shared" si="71"/>
        <v>0</v>
      </c>
      <c r="Y325" s="472"/>
      <c r="Z325" s="474">
        <f t="shared" si="72"/>
        <v>867.90079999999989</v>
      </c>
      <c r="AA325" s="2"/>
    </row>
    <row r="326" spans="1:27" s="236" customFormat="1" ht="12.75" customHeight="1" x14ac:dyDescent="0.2">
      <c r="A326" s="16"/>
      <c r="B326" s="467">
        <v>0</v>
      </c>
      <c r="C326" s="467" t="s">
        <v>610</v>
      </c>
      <c r="D326" s="468"/>
      <c r="E326" s="479" t="s">
        <v>775</v>
      </c>
      <c r="F326" s="467"/>
      <c r="G326" s="467"/>
      <c r="H326" s="467" t="s">
        <v>216</v>
      </c>
      <c r="I326" s="469" t="s">
        <v>1171</v>
      </c>
      <c r="J326" s="469" t="s">
        <v>491</v>
      </c>
      <c r="K326" s="472">
        <f>31*5%</f>
        <v>1.55</v>
      </c>
      <c r="L326" s="472">
        <v>2080</v>
      </c>
      <c r="M326" s="472"/>
      <c r="N326" s="339">
        <f t="shared" si="69"/>
        <v>3224</v>
      </c>
      <c r="O326" s="472"/>
      <c r="P326" s="472"/>
      <c r="Q326" s="339">
        <f t="shared" si="67"/>
        <v>1068.7560000000001</v>
      </c>
      <c r="R326" s="472">
        <f t="shared" si="74"/>
        <v>46.748000000000005</v>
      </c>
      <c r="S326" s="472"/>
      <c r="T326" s="472"/>
      <c r="U326" s="472"/>
      <c r="V326" s="472"/>
      <c r="W326" s="473">
        <f t="shared" si="70"/>
        <v>4339.5039999999999</v>
      </c>
      <c r="X326" s="472">
        <f t="shared" si="71"/>
        <v>0</v>
      </c>
      <c r="Y326" s="472"/>
      <c r="Z326" s="474">
        <f t="shared" si="72"/>
        <v>4339.5039999999999</v>
      </c>
      <c r="AA326" s="2"/>
    </row>
    <row r="327" spans="1:27" s="236" customFormat="1" ht="12.75" customHeight="1" x14ac:dyDescent="0.2">
      <c r="A327" s="16"/>
      <c r="B327" s="467">
        <v>0</v>
      </c>
      <c r="C327" s="467" t="s">
        <v>610</v>
      </c>
      <c r="D327" s="468"/>
      <c r="E327" s="479" t="s">
        <v>775</v>
      </c>
      <c r="F327" s="467"/>
      <c r="G327" s="467"/>
      <c r="H327" s="467" t="s">
        <v>216</v>
      </c>
      <c r="I327" s="469" t="s">
        <v>1171</v>
      </c>
      <c r="J327" s="469" t="s">
        <v>1010</v>
      </c>
      <c r="K327" s="472">
        <f>31*2%</f>
        <v>0.62</v>
      </c>
      <c r="L327" s="472">
        <v>2080</v>
      </c>
      <c r="M327" s="472"/>
      <c r="N327" s="339">
        <f t="shared" si="69"/>
        <v>1289.5999999999999</v>
      </c>
      <c r="O327" s="472"/>
      <c r="P327" s="472"/>
      <c r="Q327" s="339">
        <f t="shared" si="67"/>
        <v>427.50239999999997</v>
      </c>
      <c r="R327" s="472">
        <f t="shared" si="74"/>
        <v>18.699200000000001</v>
      </c>
      <c r="S327" s="472"/>
      <c r="T327" s="472"/>
      <c r="U327" s="472"/>
      <c r="V327" s="472"/>
      <c r="W327" s="473">
        <f t="shared" si="70"/>
        <v>1735.8015999999998</v>
      </c>
      <c r="X327" s="472">
        <f t="shared" si="71"/>
        <v>0</v>
      </c>
      <c r="Y327" s="472"/>
      <c r="Z327" s="474">
        <f t="shared" si="72"/>
        <v>1735.8015999999998</v>
      </c>
      <c r="AA327" s="2"/>
    </row>
    <row r="328" spans="1:27" s="236" customFormat="1" ht="12.75" customHeight="1" x14ac:dyDescent="0.2">
      <c r="A328" s="16"/>
      <c r="B328" s="467">
        <v>0</v>
      </c>
      <c r="C328" s="467" t="s">
        <v>610</v>
      </c>
      <c r="D328" s="468"/>
      <c r="E328" s="479" t="s">
        <v>775</v>
      </c>
      <c r="F328" s="467"/>
      <c r="G328" s="467"/>
      <c r="H328" s="467" t="s">
        <v>216</v>
      </c>
      <c r="I328" s="469" t="s">
        <v>1171</v>
      </c>
      <c r="J328" s="469" t="s">
        <v>1019</v>
      </c>
      <c r="K328" s="472">
        <f>31*8%</f>
        <v>2.48</v>
      </c>
      <c r="L328" s="472">
        <v>2080</v>
      </c>
      <c r="M328" s="472"/>
      <c r="N328" s="339">
        <f t="shared" si="69"/>
        <v>5158.3999999999996</v>
      </c>
      <c r="O328" s="472"/>
      <c r="P328" s="472"/>
      <c r="Q328" s="339">
        <f t="shared" si="67"/>
        <v>1710.0095999999999</v>
      </c>
      <c r="R328" s="472">
        <f t="shared" si="74"/>
        <v>74.796800000000005</v>
      </c>
      <c r="S328" s="472"/>
      <c r="T328" s="472"/>
      <c r="U328" s="472"/>
      <c r="V328" s="472"/>
      <c r="W328" s="473">
        <f t="shared" si="70"/>
        <v>6943.2063999999991</v>
      </c>
      <c r="X328" s="472">
        <f t="shared" si="71"/>
        <v>0</v>
      </c>
      <c r="Y328" s="472"/>
      <c r="Z328" s="474">
        <f t="shared" si="72"/>
        <v>6943.2063999999991</v>
      </c>
      <c r="AA328" s="2"/>
    </row>
    <row r="329" spans="1:27" s="236" customFormat="1" ht="12.75" customHeight="1" x14ac:dyDescent="0.2">
      <c r="A329" s="16"/>
      <c r="B329" s="467">
        <v>0</v>
      </c>
      <c r="C329" s="467" t="s">
        <v>610</v>
      </c>
      <c r="D329" s="468"/>
      <c r="E329" s="479" t="s">
        <v>775</v>
      </c>
      <c r="F329" s="467"/>
      <c r="G329" s="467"/>
      <c r="H329" s="467" t="s">
        <v>216</v>
      </c>
      <c r="I329" s="469" t="s">
        <v>1171</v>
      </c>
      <c r="J329" s="469" t="s">
        <v>1049</v>
      </c>
      <c r="K329" s="472">
        <f>31*6%</f>
        <v>1.8599999999999999</v>
      </c>
      <c r="L329" s="472">
        <v>2080</v>
      </c>
      <c r="M329" s="472"/>
      <c r="N329" s="339">
        <f t="shared" si="69"/>
        <v>3868.7999999999997</v>
      </c>
      <c r="O329" s="472"/>
      <c r="P329" s="472"/>
      <c r="Q329" s="339">
        <f t="shared" si="67"/>
        <v>1282.5072</v>
      </c>
      <c r="R329" s="472">
        <f t="shared" si="74"/>
        <v>56.0976</v>
      </c>
      <c r="S329" s="472"/>
      <c r="T329" s="472"/>
      <c r="U329" s="472"/>
      <c r="V329" s="472"/>
      <c r="W329" s="473">
        <f t="shared" si="70"/>
        <v>5207.4047999999993</v>
      </c>
      <c r="X329" s="472">
        <f t="shared" si="71"/>
        <v>0</v>
      </c>
      <c r="Y329" s="472"/>
      <c r="Z329" s="474">
        <f t="shared" si="72"/>
        <v>5207.4047999999993</v>
      </c>
      <c r="AA329" s="2"/>
    </row>
    <row r="330" spans="1:27" s="236" customFormat="1" ht="12.75" customHeight="1" x14ac:dyDescent="0.2">
      <c r="A330" s="16"/>
      <c r="B330" s="467">
        <v>0</v>
      </c>
      <c r="C330" s="467" t="s">
        <v>610</v>
      </c>
      <c r="D330" s="468"/>
      <c r="E330" s="479" t="s">
        <v>775</v>
      </c>
      <c r="F330" s="467"/>
      <c r="G330" s="467"/>
      <c r="H330" s="467" t="s">
        <v>216</v>
      </c>
      <c r="I330" s="469" t="s">
        <v>1171</v>
      </c>
      <c r="J330" s="469" t="s">
        <v>1053</v>
      </c>
      <c r="K330" s="472">
        <f>31*5%</f>
        <v>1.55</v>
      </c>
      <c r="L330" s="472">
        <v>2080</v>
      </c>
      <c r="M330" s="472"/>
      <c r="N330" s="339">
        <f t="shared" si="69"/>
        <v>3224</v>
      </c>
      <c r="O330" s="472"/>
      <c r="P330" s="472"/>
      <c r="Q330" s="339">
        <f t="shared" si="67"/>
        <v>1068.7560000000001</v>
      </c>
      <c r="R330" s="472">
        <f t="shared" si="74"/>
        <v>46.748000000000005</v>
      </c>
      <c r="S330" s="472"/>
      <c r="T330" s="472"/>
      <c r="U330" s="472"/>
      <c r="V330" s="472"/>
      <c r="W330" s="473">
        <f t="shared" si="70"/>
        <v>4339.5039999999999</v>
      </c>
      <c r="X330" s="472">
        <f t="shared" si="71"/>
        <v>0</v>
      </c>
      <c r="Y330" s="472"/>
      <c r="Z330" s="474">
        <f t="shared" si="72"/>
        <v>4339.5039999999999</v>
      </c>
      <c r="AA330" s="2"/>
    </row>
    <row r="331" spans="1:27" s="236" customFormat="1" ht="12.75" customHeight="1" x14ac:dyDescent="0.2">
      <c r="A331" s="16"/>
      <c r="B331" s="467">
        <v>1</v>
      </c>
      <c r="C331" s="16" t="s">
        <v>613</v>
      </c>
      <c r="D331" s="232"/>
      <c r="E331" s="476" t="s">
        <v>777</v>
      </c>
      <c r="F331" s="16"/>
      <c r="G331" s="16"/>
      <c r="H331" s="16" t="s">
        <v>216</v>
      </c>
      <c r="I331" s="19" t="s">
        <v>1171</v>
      </c>
      <c r="J331" s="19" t="s">
        <v>928</v>
      </c>
      <c r="K331" s="339">
        <f>26*5%</f>
        <v>1.3</v>
      </c>
      <c r="L331" s="339">
        <v>2080</v>
      </c>
      <c r="M331" s="339"/>
      <c r="N331" s="339">
        <f t="shared" si="69"/>
        <v>2704</v>
      </c>
      <c r="O331" s="339"/>
      <c r="P331" s="339"/>
      <c r="Q331" s="339">
        <f t="shared" si="67"/>
        <v>896.37600000000009</v>
      </c>
      <c r="R331" s="339">
        <f t="shared" si="74"/>
        <v>39.208000000000006</v>
      </c>
      <c r="S331" s="339"/>
      <c r="T331" s="339"/>
      <c r="U331" s="339"/>
      <c r="V331" s="339"/>
      <c r="W331" s="264">
        <f t="shared" si="70"/>
        <v>3639.5840000000003</v>
      </c>
      <c r="X331" s="339">
        <f t="shared" si="71"/>
        <v>0</v>
      </c>
      <c r="Y331" s="339"/>
      <c r="Z331" s="340">
        <f t="shared" si="72"/>
        <v>3639.5840000000003</v>
      </c>
      <c r="AA331" s="2">
        <f>[4]HR!$Z435-Z331</f>
        <v>1055.7024399999996</v>
      </c>
    </row>
    <row r="332" spans="1:27" s="236" customFormat="1" ht="12.75" customHeight="1" x14ac:dyDescent="0.2">
      <c r="A332" s="16"/>
      <c r="B332" s="467">
        <v>0</v>
      </c>
      <c r="C332" s="16" t="s">
        <v>613</v>
      </c>
      <c r="D332" s="232"/>
      <c r="E332" s="476" t="s">
        <v>777</v>
      </c>
      <c r="F332" s="19"/>
      <c r="G332" s="19"/>
      <c r="H332" s="16" t="s">
        <v>216</v>
      </c>
      <c r="I332" s="19" t="s">
        <v>1171</v>
      </c>
      <c r="J332" s="19" t="s">
        <v>1474</v>
      </c>
      <c r="K332" s="339">
        <f>26*5%</f>
        <v>1.3</v>
      </c>
      <c r="L332" s="339">
        <v>2080</v>
      </c>
      <c r="M332" s="339"/>
      <c r="N332" s="339">
        <f t="shared" si="69"/>
        <v>2704</v>
      </c>
      <c r="O332" s="339"/>
      <c r="P332" s="339"/>
      <c r="Q332" s="339">
        <f t="shared" si="67"/>
        <v>896.37600000000009</v>
      </c>
      <c r="R332" s="339">
        <f t="shared" si="74"/>
        <v>39.208000000000006</v>
      </c>
      <c r="S332" s="339"/>
      <c r="T332" s="339"/>
      <c r="U332" s="339"/>
      <c r="V332" s="339"/>
      <c r="W332" s="264">
        <f t="shared" si="70"/>
        <v>3639.5840000000003</v>
      </c>
      <c r="X332" s="339">
        <f t="shared" si="71"/>
        <v>0</v>
      </c>
      <c r="Y332" s="339"/>
      <c r="Z332" s="340">
        <f t="shared" si="72"/>
        <v>3639.5840000000003</v>
      </c>
      <c r="AA332" s="2">
        <f>[4]HR!$Z436-Z332</f>
        <v>10446.275320000001</v>
      </c>
    </row>
    <row r="333" spans="1:27" s="236" customFormat="1" ht="12.75" customHeight="1" x14ac:dyDescent="0.2">
      <c r="A333" s="16"/>
      <c r="B333" s="467">
        <v>0</v>
      </c>
      <c r="C333" s="16" t="s">
        <v>613</v>
      </c>
      <c r="D333" s="232"/>
      <c r="E333" s="476" t="s">
        <v>777</v>
      </c>
      <c r="F333" s="16"/>
      <c r="G333" s="16"/>
      <c r="H333" s="16" t="s">
        <v>216</v>
      </c>
      <c r="I333" s="19" t="s">
        <v>1171</v>
      </c>
      <c r="J333" s="19" t="s">
        <v>1661</v>
      </c>
      <c r="K333" s="339">
        <f>26*10%</f>
        <v>2.6</v>
      </c>
      <c r="L333" s="339">
        <v>2080</v>
      </c>
      <c r="M333" s="339"/>
      <c r="N333" s="339">
        <f t="shared" si="69"/>
        <v>5408</v>
      </c>
      <c r="O333" s="339"/>
      <c r="P333" s="339"/>
      <c r="Q333" s="339">
        <f t="shared" si="67"/>
        <v>1792.7520000000002</v>
      </c>
      <c r="R333" s="339">
        <f t="shared" si="74"/>
        <v>78.416000000000011</v>
      </c>
      <c r="S333" s="339"/>
      <c r="T333" s="339"/>
      <c r="U333" s="339"/>
      <c r="V333" s="339"/>
      <c r="W333" s="264">
        <f t="shared" si="70"/>
        <v>7279.1680000000006</v>
      </c>
      <c r="X333" s="339">
        <f t="shared" si="71"/>
        <v>0</v>
      </c>
      <c r="Y333" s="339"/>
      <c r="Z333" s="340">
        <f t="shared" si="72"/>
        <v>7279.1680000000006</v>
      </c>
      <c r="AA333" s="2">
        <f>[4]HR!$Z437-Z333</f>
        <v>-6887.8941300000006</v>
      </c>
    </row>
    <row r="334" spans="1:27" s="236" customFormat="1" ht="12.75" customHeight="1" x14ac:dyDescent="0.2">
      <c r="A334" s="16"/>
      <c r="B334" s="467">
        <v>0</v>
      </c>
      <c r="C334" s="16" t="s">
        <v>613</v>
      </c>
      <c r="D334" s="232"/>
      <c r="E334" s="476" t="s">
        <v>777</v>
      </c>
      <c r="F334" s="16"/>
      <c r="G334" s="16"/>
      <c r="H334" s="16" t="s">
        <v>216</v>
      </c>
      <c r="I334" s="19" t="s">
        <v>1171</v>
      </c>
      <c r="J334" s="19" t="s">
        <v>933</v>
      </c>
      <c r="K334" s="339">
        <f>26*10%</f>
        <v>2.6</v>
      </c>
      <c r="L334" s="339">
        <v>2080</v>
      </c>
      <c r="M334" s="339"/>
      <c r="N334" s="339">
        <f t="shared" si="69"/>
        <v>5408</v>
      </c>
      <c r="O334" s="339"/>
      <c r="P334" s="339"/>
      <c r="Q334" s="339">
        <f t="shared" si="67"/>
        <v>1792.7520000000002</v>
      </c>
      <c r="R334" s="339">
        <f t="shared" si="74"/>
        <v>78.416000000000011</v>
      </c>
      <c r="S334" s="339"/>
      <c r="T334" s="339"/>
      <c r="U334" s="339"/>
      <c r="V334" s="339"/>
      <c r="W334" s="264">
        <f t="shared" si="70"/>
        <v>7279.1680000000006</v>
      </c>
      <c r="X334" s="339">
        <f t="shared" si="71"/>
        <v>0</v>
      </c>
      <c r="Y334" s="339"/>
      <c r="Z334" s="340">
        <f t="shared" si="72"/>
        <v>7279.1680000000006</v>
      </c>
      <c r="AA334" s="2">
        <f>[4]HR!$Z438-Z334</f>
        <v>-3366.4293000000007</v>
      </c>
    </row>
    <row r="335" spans="1:27" s="236" customFormat="1" ht="12.75" customHeight="1" x14ac:dyDescent="0.2">
      <c r="A335" s="16"/>
      <c r="B335" s="467">
        <v>0</v>
      </c>
      <c r="C335" s="16" t="s">
        <v>613</v>
      </c>
      <c r="D335" s="232"/>
      <c r="E335" s="476" t="s">
        <v>777</v>
      </c>
      <c r="F335" s="16"/>
      <c r="G335" s="16"/>
      <c r="H335" s="16" t="s">
        <v>216</v>
      </c>
      <c r="I335" s="19" t="s">
        <v>1171</v>
      </c>
      <c r="J335" s="19" t="s">
        <v>937</v>
      </c>
      <c r="K335" s="339">
        <f>26*3%</f>
        <v>0.78</v>
      </c>
      <c r="L335" s="339">
        <v>2080</v>
      </c>
      <c r="M335" s="339"/>
      <c r="N335" s="339">
        <f t="shared" si="69"/>
        <v>1622.4</v>
      </c>
      <c r="O335" s="339"/>
      <c r="P335" s="339"/>
      <c r="Q335" s="339">
        <f t="shared" si="67"/>
        <v>537.82560000000001</v>
      </c>
      <c r="R335" s="339">
        <f t="shared" si="74"/>
        <v>23.524800000000003</v>
      </c>
      <c r="S335" s="339"/>
      <c r="T335" s="339"/>
      <c r="U335" s="339"/>
      <c r="V335" s="339"/>
      <c r="W335" s="264">
        <f t="shared" si="70"/>
        <v>2183.7504000000004</v>
      </c>
      <c r="X335" s="339">
        <f t="shared" si="71"/>
        <v>0</v>
      </c>
      <c r="Y335" s="339"/>
      <c r="Z335" s="340">
        <f t="shared" si="72"/>
        <v>2183.7504000000004</v>
      </c>
      <c r="AA335" s="2">
        <f>[4]HR!$Z439-Z335</f>
        <v>-1792.4765300000004</v>
      </c>
    </row>
    <row r="336" spans="1:27" s="236" customFormat="1" ht="12.75" customHeight="1" x14ac:dyDescent="0.2">
      <c r="A336" s="16"/>
      <c r="B336" s="467">
        <v>0</v>
      </c>
      <c r="C336" s="16" t="s">
        <v>613</v>
      </c>
      <c r="D336" s="232"/>
      <c r="E336" s="476" t="s">
        <v>777</v>
      </c>
      <c r="F336" s="16"/>
      <c r="G336" s="16"/>
      <c r="H336" s="16" t="s">
        <v>216</v>
      </c>
      <c r="I336" s="19" t="s">
        <v>1171</v>
      </c>
      <c r="J336" s="19" t="s">
        <v>935</v>
      </c>
      <c r="K336" s="339">
        <f>26*8%</f>
        <v>2.08</v>
      </c>
      <c r="L336" s="339">
        <v>2080</v>
      </c>
      <c r="M336" s="339"/>
      <c r="N336" s="339">
        <f t="shared" si="69"/>
        <v>4326.4000000000005</v>
      </c>
      <c r="O336" s="339"/>
      <c r="P336" s="339"/>
      <c r="Q336" s="339">
        <f t="shared" ref="Q336:Q388" si="75">N336*0.3315</f>
        <v>1434.2016000000003</v>
      </c>
      <c r="R336" s="339">
        <f t="shared" si="74"/>
        <v>62.732800000000012</v>
      </c>
      <c r="S336" s="339"/>
      <c r="T336" s="339"/>
      <c r="U336" s="339"/>
      <c r="V336" s="339"/>
      <c r="W336" s="264">
        <f t="shared" si="70"/>
        <v>5823.3344000000006</v>
      </c>
      <c r="X336" s="339">
        <f t="shared" si="71"/>
        <v>0</v>
      </c>
      <c r="Y336" s="339"/>
      <c r="Z336" s="340">
        <f t="shared" si="72"/>
        <v>5823.3344000000006</v>
      </c>
      <c r="AA336" s="2">
        <f>[4]HR!$Z440-Z336</f>
        <v>23228.086839999996</v>
      </c>
    </row>
    <row r="337" spans="1:27" s="236" customFormat="1" ht="12.75" customHeight="1" x14ac:dyDescent="0.2">
      <c r="A337" s="16"/>
      <c r="B337" s="467">
        <v>0</v>
      </c>
      <c r="C337" s="16" t="s">
        <v>613</v>
      </c>
      <c r="D337" s="232"/>
      <c r="E337" s="476" t="s">
        <v>777</v>
      </c>
      <c r="F337" s="16"/>
      <c r="G337" s="16"/>
      <c r="H337" s="16" t="s">
        <v>216</v>
      </c>
      <c r="I337" s="19" t="s">
        <v>1171</v>
      </c>
      <c r="J337" s="19" t="s">
        <v>1053</v>
      </c>
      <c r="K337" s="339">
        <f>26*5%</f>
        <v>1.3</v>
      </c>
      <c r="L337" s="339">
        <v>2080</v>
      </c>
      <c r="M337" s="339"/>
      <c r="N337" s="339">
        <f t="shared" si="69"/>
        <v>2704</v>
      </c>
      <c r="O337" s="339"/>
      <c r="P337" s="339"/>
      <c r="Q337" s="339">
        <f t="shared" si="75"/>
        <v>896.37600000000009</v>
      </c>
      <c r="R337" s="339">
        <f t="shared" si="74"/>
        <v>39.208000000000006</v>
      </c>
      <c r="S337" s="339"/>
      <c r="T337" s="339"/>
      <c r="U337" s="339"/>
      <c r="V337" s="339"/>
      <c r="W337" s="264">
        <f t="shared" si="70"/>
        <v>3639.5840000000003</v>
      </c>
      <c r="X337" s="339">
        <f t="shared" si="71"/>
        <v>0</v>
      </c>
      <c r="Y337" s="339"/>
      <c r="Z337" s="340">
        <f t="shared" si="72"/>
        <v>3639.5840000000003</v>
      </c>
      <c r="AA337" s="2">
        <f>[4]HR!$Z441-Z337</f>
        <v>-2857.0362600000003</v>
      </c>
    </row>
    <row r="338" spans="1:27" s="236" customFormat="1" ht="12.75" customHeight="1" x14ac:dyDescent="0.2">
      <c r="A338" s="467"/>
      <c r="B338" s="467">
        <v>0</v>
      </c>
      <c r="C338" s="16" t="s">
        <v>613</v>
      </c>
      <c r="D338" s="232"/>
      <c r="E338" s="476" t="s">
        <v>777</v>
      </c>
      <c r="F338" s="16"/>
      <c r="G338" s="16"/>
      <c r="H338" s="16" t="s">
        <v>216</v>
      </c>
      <c r="I338" s="19" t="s">
        <v>1171</v>
      </c>
      <c r="J338" s="19" t="s">
        <v>1602</v>
      </c>
      <c r="K338" s="339">
        <f>26*3%</f>
        <v>0.78</v>
      </c>
      <c r="L338" s="339">
        <v>2080</v>
      </c>
      <c r="M338" s="339"/>
      <c r="N338" s="339">
        <f t="shared" si="69"/>
        <v>1622.4</v>
      </c>
      <c r="O338" s="339"/>
      <c r="P338" s="339"/>
      <c r="Q338" s="339">
        <f t="shared" si="75"/>
        <v>537.82560000000001</v>
      </c>
      <c r="R338" s="339">
        <f t="shared" si="74"/>
        <v>23.524800000000003</v>
      </c>
      <c r="S338" s="339"/>
      <c r="T338" s="339"/>
      <c r="U338" s="339"/>
      <c r="V338" s="339"/>
      <c r="W338" s="264">
        <f t="shared" si="70"/>
        <v>2183.7504000000004</v>
      </c>
      <c r="X338" s="339">
        <f t="shared" si="71"/>
        <v>0</v>
      </c>
      <c r="Y338" s="339"/>
      <c r="Z338" s="340">
        <f t="shared" si="72"/>
        <v>2183.7504000000004</v>
      </c>
      <c r="AA338" s="2">
        <f>[4]HR!$Z442-Z338</f>
        <v>-1447.2348800000004</v>
      </c>
    </row>
    <row r="339" spans="1:27" ht="12.75" customHeight="1" x14ac:dyDescent="0.2">
      <c r="A339" s="16"/>
      <c r="B339" s="467">
        <v>0</v>
      </c>
      <c r="C339" s="16" t="s">
        <v>613</v>
      </c>
      <c r="D339" s="232"/>
      <c r="E339" s="476" t="s">
        <v>777</v>
      </c>
      <c r="F339" s="16"/>
      <c r="G339" s="16"/>
      <c r="H339" s="16" t="s">
        <v>216</v>
      </c>
      <c r="I339" s="19" t="s">
        <v>1171</v>
      </c>
      <c r="J339" s="16" t="s">
        <v>96</v>
      </c>
      <c r="K339" s="339">
        <f>26*10%</f>
        <v>2.6</v>
      </c>
      <c r="L339" s="339">
        <v>2080</v>
      </c>
      <c r="M339" s="339"/>
      <c r="N339" s="339">
        <f t="shared" si="69"/>
        <v>5408</v>
      </c>
      <c r="O339" s="339"/>
      <c r="P339" s="339"/>
      <c r="Q339" s="339">
        <f t="shared" si="75"/>
        <v>1792.7520000000002</v>
      </c>
      <c r="R339" s="339">
        <f t="shared" si="74"/>
        <v>78.416000000000011</v>
      </c>
      <c r="S339" s="339"/>
      <c r="T339" s="339"/>
      <c r="U339" s="339"/>
      <c r="V339" s="339"/>
      <c r="W339" s="264">
        <f t="shared" si="70"/>
        <v>7279.1680000000006</v>
      </c>
      <c r="X339" s="339">
        <f t="shared" si="71"/>
        <v>0</v>
      </c>
      <c r="Y339" s="339"/>
      <c r="Z339" s="340">
        <f t="shared" si="72"/>
        <v>7279.1680000000006</v>
      </c>
      <c r="AA339" s="2">
        <f>[4]HR!$Z443-Z339</f>
        <v>-6542.6524800000007</v>
      </c>
    </row>
    <row r="340" spans="1:27" s="236" customFormat="1" ht="12.75" customHeight="1" x14ac:dyDescent="0.2">
      <c r="A340" s="16"/>
      <c r="B340" s="467">
        <v>0</v>
      </c>
      <c r="C340" s="16" t="s">
        <v>613</v>
      </c>
      <c r="D340" s="232"/>
      <c r="E340" s="476" t="s">
        <v>777</v>
      </c>
      <c r="F340" s="16"/>
      <c r="G340" s="16"/>
      <c r="H340" s="16" t="s">
        <v>216</v>
      </c>
      <c r="I340" s="19" t="s">
        <v>1171</v>
      </c>
      <c r="J340" s="19" t="s">
        <v>941</v>
      </c>
      <c r="K340" s="339">
        <f>26*6%</f>
        <v>1.56</v>
      </c>
      <c r="L340" s="339">
        <v>2080</v>
      </c>
      <c r="M340" s="339"/>
      <c r="N340" s="339">
        <f t="shared" si="69"/>
        <v>3244.8</v>
      </c>
      <c r="O340" s="339"/>
      <c r="P340" s="339"/>
      <c r="Q340" s="339">
        <f t="shared" si="75"/>
        <v>1075.6512</v>
      </c>
      <c r="R340" s="339">
        <f t="shared" si="74"/>
        <v>47.049600000000005</v>
      </c>
      <c r="S340" s="339"/>
      <c r="T340" s="339"/>
      <c r="U340" s="339"/>
      <c r="V340" s="339"/>
      <c r="W340" s="264">
        <f t="shared" si="70"/>
        <v>4367.5008000000007</v>
      </c>
      <c r="X340" s="339">
        <f t="shared" si="71"/>
        <v>0</v>
      </c>
      <c r="Y340" s="339"/>
      <c r="Z340" s="340">
        <f t="shared" si="72"/>
        <v>4367.5008000000007</v>
      </c>
      <c r="AA340" s="2">
        <f>[4]HR!$Z444-Z340</f>
        <v>-3630.9852800000008</v>
      </c>
    </row>
    <row r="341" spans="1:27" s="236" customFormat="1" ht="12.75" customHeight="1" x14ac:dyDescent="0.2">
      <c r="A341" s="16"/>
      <c r="B341" s="467">
        <v>0</v>
      </c>
      <c r="C341" s="16" t="s">
        <v>613</v>
      </c>
      <c r="D341" s="232"/>
      <c r="E341" s="476" t="s">
        <v>777</v>
      </c>
      <c r="F341" s="16"/>
      <c r="G341" s="16"/>
      <c r="H341" s="16" t="s">
        <v>216</v>
      </c>
      <c r="I341" s="19" t="s">
        <v>1171</v>
      </c>
      <c r="J341" s="19" t="s">
        <v>943</v>
      </c>
      <c r="K341" s="339">
        <f>26*6%</f>
        <v>1.56</v>
      </c>
      <c r="L341" s="339">
        <v>2080</v>
      </c>
      <c r="M341" s="339"/>
      <c r="N341" s="339">
        <f t="shared" si="69"/>
        <v>3244.8</v>
      </c>
      <c r="O341" s="339">
        <v>3080</v>
      </c>
      <c r="P341" s="339"/>
      <c r="Q341" s="339">
        <f>N341*0.3315</f>
        <v>1075.6512</v>
      </c>
      <c r="R341" s="339">
        <f>(N341+O341)*0.0145</f>
        <v>91.709600000000009</v>
      </c>
      <c r="S341" s="339"/>
      <c r="T341" s="339">
        <v>5252.4</v>
      </c>
      <c r="U341" s="339">
        <v>400.32</v>
      </c>
      <c r="V341" s="339"/>
      <c r="W341" s="264">
        <f t="shared" si="70"/>
        <v>13144.880799999999</v>
      </c>
      <c r="X341" s="339">
        <f t="shared" si="71"/>
        <v>0</v>
      </c>
      <c r="Y341" s="339"/>
      <c r="Z341" s="340">
        <f t="shared" si="72"/>
        <v>13144.880799999999</v>
      </c>
      <c r="AA341" s="2">
        <f>[4]HR!$Z445-Z341</f>
        <v>4531.4916800000028</v>
      </c>
    </row>
    <row r="342" spans="1:27" s="236" customFormat="1" ht="12.75" customHeight="1" x14ac:dyDescent="0.2">
      <c r="A342" s="16"/>
      <c r="B342" s="467">
        <v>0</v>
      </c>
      <c r="C342" s="467" t="s">
        <v>613</v>
      </c>
      <c r="D342" s="468"/>
      <c r="E342" s="479" t="s">
        <v>777</v>
      </c>
      <c r="F342" s="467"/>
      <c r="G342" s="467"/>
      <c r="H342" s="467" t="s">
        <v>216</v>
      </c>
      <c r="I342" s="469" t="s">
        <v>1171</v>
      </c>
      <c r="J342" s="19" t="s">
        <v>954</v>
      </c>
      <c r="K342" s="339">
        <f>26*4%</f>
        <v>1.04</v>
      </c>
      <c r="L342" s="472">
        <v>2080</v>
      </c>
      <c r="M342" s="472"/>
      <c r="N342" s="339">
        <f t="shared" si="69"/>
        <v>2163.2000000000003</v>
      </c>
      <c r="O342" s="472"/>
      <c r="P342" s="472"/>
      <c r="Q342" s="339">
        <f t="shared" si="75"/>
        <v>717.10080000000016</v>
      </c>
      <c r="R342" s="339">
        <f t="shared" si="74"/>
        <v>31.366400000000006</v>
      </c>
      <c r="S342" s="472"/>
      <c r="T342" s="472"/>
      <c r="U342" s="472"/>
      <c r="V342" s="472"/>
      <c r="W342" s="473">
        <f t="shared" si="70"/>
        <v>2911.6672000000003</v>
      </c>
      <c r="X342" s="472">
        <f t="shared" si="71"/>
        <v>0</v>
      </c>
      <c r="Y342" s="472"/>
      <c r="Z342" s="474">
        <f t="shared" si="72"/>
        <v>2911.6672000000003</v>
      </c>
      <c r="AA342" s="2">
        <f>[4]HR!$Z446-Z342</f>
        <v>8872.5811200000007</v>
      </c>
    </row>
    <row r="343" spans="1:27" s="236" customFormat="1" ht="12.75" customHeight="1" x14ac:dyDescent="0.2">
      <c r="A343" s="16"/>
      <c r="B343" s="467">
        <v>0</v>
      </c>
      <c r="C343" s="467" t="s">
        <v>613</v>
      </c>
      <c r="D343" s="468"/>
      <c r="E343" s="479" t="s">
        <v>777</v>
      </c>
      <c r="F343" s="467"/>
      <c r="G343" s="467"/>
      <c r="H343" s="467" t="s">
        <v>216</v>
      </c>
      <c r="I343" s="469" t="s">
        <v>1171</v>
      </c>
      <c r="J343" s="19" t="s">
        <v>973</v>
      </c>
      <c r="K343" s="339">
        <f>26*2%</f>
        <v>0.52</v>
      </c>
      <c r="L343" s="472">
        <v>2080</v>
      </c>
      <c r="M343" s="472"/>
      <c r="N343" s="339">
        <f t="shared" si="69"/>
        <v>1081.6000000000001</v>
      </c>
      <c r="O343" s="472"/>
      <c r="P343" s="472"/>
      <c r="Q343" s="339">
        <f t="shared" si="75"/>
        <v>358.55040000000008</v>
      </c>
      <c r="R343" s="339">
        <f t="shared" si="74"/>
        <v>15.683200000000003</v>
      </c>
      <c r="S343" s="472"/>
      <c r="T343" s="472"/>
      <c r="U343" s="472"/>
      <c r="V343" s="472"/>
      <c r="W343" s="473">
        <f t="shared" si="70"/>
        <v>1455.8336000000002</v>
      </c>
      <c r="X343" s="472"/>
      <c r="Y343" s="472"/>
      <c r="Z343" s="474">
        <f t="shared" si="72"/>
        <v>1455.8336000000002</v>
      </c>
      <c r="AA343" s="2"/>
    </row>
    <row r="344" spans="1:27" s="236" customFormat="1" ht="12.75" customHeight="1" x14ac:dyDescent="0.2">
      <c r="A344" s="16"/>
      <c r="B344" s="467">
        <v>0</v>
      </c>
      <c r="C344" s="467" t="s">
        <v>613</v>
      </c>
      <c r="D344" s="468"/>
      <c r="E344" s="479" t="s">
        <v>777</v>
      </c>
      <c r="F344" s="467"/>
      <c r="G344" s="467"/>
      <c r="H344" s="467" t="s">
        <v>216</v>
      </c>
      <c r="I344" s="469" t="s">
        <v>1171</v>
      </c>
      <c r="J344" s="19" t="s">
        <v>985</v>
      </c>
      <c r="K344" s="339">
        <f>26*1%</f>
        <v>0.26</v>
      </c>
      <c r="L344" s="472">
        <v>2080</v>
      </c>
      <c r="M344" s="472"/>
      <c r="N344" s="339">
        <f t="shared" si="69"/>
        <v>540.80000000000007</v>
      </c>
      <c r="O344" s="472"/>
      <c r="P344" s="472"/>
      <c r="Q344" s="339">
        <f t="shared" si="75"/>
        <v>179.27520000000004</v>
      </c>
      <c r="R344" s="339">
        <f t="shared" si="74"/>
        <v>7.8416000000000015</v>
      </c>
      <c r="S344" s="472"/>
      <c r="T344" s="472"/>
      <c r="U344" s="472"/>
      <c r="V344" s="472"/>
      <c r="W344" s="473">
        <f t="shared" si="70"/>
        <v>727.91680000000008</v>
      </c>
      <c r="X344" s="472"/>
      <c r="Y344" s="472"/>
      <c r="Z344" s="474">
        <f t="shared" si="72"/>
        <v>727.91680000000008</v>
      </c>
      <c r="AA344" s="2"/>
    </row>
    <row r="345" spans="1:27" s="236" customFormat="1" ht="12.75" customHeight="1" x14ac:dyDescent="0.2">
      <c r="A345" s="16"/>
      <c r="B345" s="467">
        <v>0</v>
      </c>
      <c r="C345" s="467" t="s">
        <v>613</v>
      </c>
      <c r="D345" s="468"/>
      <c r="E345" s="479" t="s">
        <v>777</v>
      </c>
      <c r="F345" s="467"/>
      <c r="G345" s="467"/>
      <c r="H345" s="467" t="s">
        <v>216</v>
      </c>
      <c r="I345" s="469" t="s">
        <v>1171</v>
      </c>
      <c r="J345" s="19" t="s">
        <v>994</v>
      </c>
      <c r="K345" s="339">
        <f>26*1%</f>
        <v>0.26</v>
      </c>
      <c r="L345" s="472">
        <v>2080</v>
      </c>
      <c r="M345" s="472"/>
      <c r="N345" s="339">
        <f t="shared" si="69"/>
        <v>540.80000000000007</v>
      </c>
      <c r="O345" s="472"/>
      <c r="P345" s="472"/>
      <c r="Q345" s="339">
        <f t="shared" si="75"/>
        <v>179.27520000000004</v>
      </c>
      <c r="R345" s="339">
        <f t="shared" si="74"/>
        <v>7.8416000000000015</v>
      </c>
      <c r="S345" s="472"/>
      <c r="T345" s="472"/>
      <c r="U345" s="472"/>
      <c r="V345" s="472"/>
      <c r="W345" s="473">
        <f t="shared" si="70"/>
        <v>727.91680000000008</v>
      </c>
      <c r="X345" s="472"/>
      <c r="Y345" s="472"/>
      <c r="Z345" s="474">
        <f t="shared" si="72"/>
        <v>727.91680000000008</v>
      </c>
      <c r="AA345" s="2"/>
    </row>
    <row r="346" spans="1:27" s="236" customFormat="1" ht="12.75" customHeight="1" x14ac:dyDescent="0.2">
      <c r="A346" s="16"/>
      <c r="B346" s="467">
        <v>0</v>
      </c>
      <c r="C346" s="467" t="s">
        <v>613</v>
      </c>
      <c r="D346" s="468"/>
      <c r="E346" s="479" t="s">
        <v>777</v>
      </c>
      <c r="F346" s="467"/>
      <c r="G346" s="467"/>
      <c r="H346" s="467" t="s">
        <v>216</v>
      </c>
      <c r="I346" s="469" t="s">
        <v>1171</v>
      </c>
      <c r="J346" s="469" t="s">
        <v>491</v>
      </c>
      <c r="K346" s="339">
        <f>26*5%</f>
        <v>1.3</v>
      </c>
      <c r="L346" s="472">
        <v>2080</v>
      </c>
      <c r="M346" s="472"/>
      <c r="N346" s="339">
        <f t="shared" si="69"/>
        <v>2704</v>
      </c>
      <c r="O346" s="472"/>
      <c r="P346" s="472"/>
      <c r="Q346" s="339">
        <f t="shared" si="75"/>
        <v>896.37600000000009</v>
      </c>
      <c r="R346" s="339">
        <f t="shared" si="74"/>
        <v>39.208000000000006</v>
      </c>
      <c r="S346" s="472"/>
      <c r="T346" s="472"/>
      <c r="U346" s="472"/>
      <c r="V346" s="472"/>
      <c r="W346" s="473">
        <f t="shared" si="70"/>
        <v>3639.5840000000003</v>
      </c>
      <c r="X346" s="472"/>
      <c r="Y346" s="472"/>
      <c r="Z346" s="474">
        <f t="shared" si="72"/>
        <v>3639.5840000000003</v>
      </c>
      <c r="AA346" s="2"/>
    </row>
    <row r="347" spans="1:27" s="236" customFormat="1" ht="12.75" customHeight="1" x14ac:dyDescent="0.2">
      <c r="A347" s="16"/>
      <c r="B347" s="467">
        <v>0</v>
      </c>
      <c r="C347" s="467" t="s">
        <v>613</v>
      </c>
      <c r="D347" s="468"/>
      <c r="E347" s="479" t="s">
        <v>777</v>
      </c>
      <c r="F347" s="467"/>
      <c r="G347" s="467"/>
      <c r="H347" s="467" t="s">
        <v>216</v>
      </c>
      <c r="I347" s="469" t="s">
        <v>1171</v>
      </c>
      <c r="J347" s="19" t="s">
        <v>1010</v>
      </c>
      <c r="K347" s="339">
        <f>26*2%</f>
        <v>0.52</v>
      </c>
      <c r="L347" s="472">
        <v>2080</v>
      </c>
      <c r="M347" s="472"/>
      <c r="N347" s="339">
        <f t="shared" si="69"/>
        <v>1081.6000000000001</v>
      </c>
      <c r="O347" s="472"/>
      <c r="P347" s="472"/>
      <c r="Q347" s="339">
        <f t="shared" si="75"/>
        <v>358.55040000000008</v>
      </c>
      <c r="R347" s="339">
        <f t="shared" si="74"/>
        <v>15.683200000000003</v>
      </c>
      <c r="S347" s="472"/>
      <c r="T347" s="472"/>
      <c r="U347" s="472"/>
      <c r="V347" s="472"/>
      <c r="W347" s="473">
        <f t="shared" si="70"/>
        <v>1455.8336000000002</v>
      </c>
      <c r="X347" s="472"/>
      <c r="Y347" s="472"/>
      <c r="Z347" s="474">
        <f t="shared" si="72"/>
        <v>1455.8336000000002</v>
      </c>
      <c r="AA347" s="2"/>
    </row>
    <row r="348" spans="1:27" s="236" customFormat="1" ht="12.75" customHeight="1" x14ac:dyDescent="0.2">
      <c r="A348" s="16"/>
      <c r="B348" s="467">
        <v>0</v>
      </c>
      <c r="C348" s="467" t="s">
        <v>613</v>
      </c>
      <c r="D348" s="468"/>
      <c r="E348" s="479" t="s">
        <v>777</v>
      </c>
      <c r="F348" s="467"/>
      <c r="G348" s="467"/>
      <c r="H348" s="467" t="s">
        <v>216</v>
      </c>
      <c r="I348" s="469" t="s">
        <v>1171</v>
      </c>
      <c r="J348" s="469" t="s">
        <v>1019</v>
      </c>
      <c r="K348" s="339">
        <f>26*8%</f>
        <v>2.08</v>
      </c>
      <c r="L348" s="472">
        <v>2080</v>
      </c>
      <c r="M348" s="472"/>
      <c r="N348" s="339">
        <f t="shared" si="69"/>
        <v>4326.4000000000005</v>
      </c>
      <c r="O348" s="472"/>
      <c r="P348" s="472"/>
      <c r="Q348" s="339">
        <f t="shared" si="75"/>
        <v>1434.2016000000003</v>
      </c>
      <c r="R348" s="339">
        <f t="shared" si="74"/>
        <v>62.732800000000012</v>
      </c>
      <c r="S348" s="472"/>
      <c r="T348" s="472"/>
      <c r="U348" s="472"/>
      <c r="V348" s="472"/>
      <c r="W348" s="473">
        <f t="shared" si="70"/>
        <v>5823.3344000000006</v>
      </c>
      <c r="X348" s="472"/>
      <c r="Y348" s="472"/>
      <c r="Z348" s="474">
        <f t="shared" si="72"/>
        <v>5823.3344000000006</v>
      </c>
      <c r="AA348" s="2"/>
    </row>
    <row r="349" spans="1:27" s="236" customFormat="1" ht="12.75" customHeight="1" x14ac:dyDescent="0.2">
      <c r="A349" s="16"/>
      <c r="B349" s="467">
        <v>0</v>
      </c>
      <c r="C349" s="467" t="s">
        <v>613</v>
      </c>
      <c r="D349" s="468"/>
      <c r="E349" s="479" t="s">
        <v>777</v>
      </c>
      <c r="F349" s="467"/>
      <c r="G349" s="467"/>
      <c r="H349" s="467" t="s">
        <v>216</v>
      </c>
      <c r="I349" s="469" t="s">
        <v>1171</v>
      </c>
      <c r="J349" s="469" t="s">
        <v>1049</v>
      </c>
      <c r="K349" s="339">
        <f>26*6%</f>
        <v>1.56</v>
      </c>
      <c r="L349" s="472">
        <v>2080</v>
      </c>
      <c r="M349" s="472"/>
      <c r="N349" s="339">
        <f t="shared" si="69"/>
        <v>3244.8</v>
      </c>
      <c r="O349" s="472"/>
      <c r="P349" s="472"/>
      <c r="Q349" s="339">
        <f t="shared" si="75"/>
        <v>1075.6512</v>
      </c>
      <c r="R349" s="339">
        <f t="shared" si="74"/>
        <v>47.049600000000005</v>
      </c>
      <c r="S349" s="472"/>
      <c r="T349" s="472"/>
      <c r="U349" s="472"/>
      <c r="V349" s="472"/>
      <c r="W349" s="473">
        <f t="shared" si="70"/>
        <v>4367.5008000000007</v>
      </c>
      <c r="X349" s="472"/>
      <c r="Y349" s="472"/>
      <c r="Z349" s="474">
        <f t="shared" si="72"/>
        <v>4367.5008000000007</v>
      </c>
      <c r="AA349" s="2"/>
    </row>
    <row r="350" spans="1:27" s="236" customFormat="1" ht="12.75" customHeight="1" x14ac:dyDescent="0.2">
      <c r="A350" s="16"/>
      <c r="B350" s="467">
        <v>1</v>
      </c>
      <c r="C350" s="16" t="s">
        <v>614</v>
      </c>
      <c r="D350" s="232"/>
      <c r="E350" s="477" t="s">
        <v>778</v>
      </c>
      <c r="F350" s="16"/>
      <c r="G350" s="16"/>
      <c r="H350" s="16" t="s">
        <v>216</v>
      </c>
      <c r="I350" s="19" t="s">
        <v>1171</v>
      </c>
      <c r="J350" s="19" t="s">
        <v>928</v>
      </c>
      <c r="K350" s="478">
        <f>53.56*0.5%</f>
        <v>0.26780000000000004</v>
      </c>
      <c r="L350" s="339">
        <v>2080</v>
      </c>
      <c r="M350" s="339"/>
      <c r="N350" s="339">
        <f t="shared" si="69"/>
        <v>557.02400000000011</v>
      </c>
      <c r="O350" s="339"/>
      <c r="P350" s="339"/>
      <c r="Q350" s="339">
        <f t="shared" si="75"/>
        <v>184.65345600000003</v>
      </c>
      <c r="R350" s="339">
        <f t="shared" ref="R350:R367" si="76">N350*0.0145</f>
        <v>8.0768480000000018</v>
      </c>
      <c r="S350" s="339"/>
      <c r="T350" s="339"/>
      <c r="U350" s="339"/>
      <c r="V350" s="339"/>
      <c r="W350" s="473">
        <f t="shared" si="70"/>
        <v>749.75430400000016</v>
      </c>
      <c r="X350" s="339">
        <f t="shared" si="71"/>
        <v>0</v>
      </c>
      <c r="Y350" s="339"/>
      <c r="Z350" s="340">
        <f t="shared" si="72"/>
        <v>749.75430400000016</v>
      </c>
      <c r="AA350" s="2">
        <f>[4]HR!$Z447-Z350</f>
        <v>11034.494016000001</v>
      </c>
    </row>
    <row r="351" spans="1:27" s="236" customFormat="1" ht="12.75" customHeight="1" x14ac:dyDescent="0.2">
      <c r="A351" s="16"/>
      <c r="B351" s="467">
        <v>0</v>
      </c>
      <c r="C351" s="16" t="s">
        <v>614</v>
      </c>
      <c r="D351" s="232"/>
      <c r="E351" s="477" t="s">
        <v>778</v>
      </c>
      <c r="F351" s="16"/>
      <c r="G351" s="16"/>
      <c r="H351" s="16" t="s">
        <v>216</v>
      </c>
      <c r="I351" s="19" t="s">
        <v>1171</v>
      </c>
      <c r="J351" s="19" t="s">
        <v>1474</v>
      </c>
      <c r="K351" s="478">
        <f>53.56*0.5%</f>
        <v>0.26780000000000004</v>
      </c>
      <c r="L351" s="339">
        <v>2080</v>
      </c>
      <c r="M351" s="339"/>
      <c r="N351" s="339">
        <f t="shared" si="69"/>
        <v>557.02400000000011</v>
      </c>
      <c r="O351" s="339"/>
      <c r="P351" s="339"/>
      <c r="Q351" s="339">
        <f t="shared" si="75"/>
        <v>184.65345600000003</v>
      </c>
      <c r="R351" s="339">
        <f t="shared" si="76"/>
        <v>8.0768480000000018</v>
      </c>
      <c r="S351" s="339"/>
      <c r="T351" s="339"/>
      <c r="U351" s="339"/>
      <c r="V351" s="339"/>
      <c r="W351" s="264">
        <f t="shared" si="70"/>
        <v>749.75430400000016</v>
      </c>
      <c r="X351" s="339">
        <f t="shared" si="71"/>
        <v>0</v>
      </c>
      <c r="Y351" s="339"/>
      <c r="Z351" s="340">
        <f t="shared" si="72"/>
        <v>749.75430400000016</v>
      </c>
      <c r="AA351" s="2">
        <f>[4]HR!$Z448-Z351</f>
        <v>8088.4319360000009</v>
      </c>
    </row>
    <row r="352" spans="1:27" s="236" customFormat="1" ht="12.75" customHeight="1" x14ac:dyDescent="0.2">
      <c r="A352" s="16"/>
      <c r="B352" s="467">
        <v>0</v>
      </c>
      <c r="C352" s="16" t="s">
        <v>614</v>
      </c>
      <c r="D352" s="232"/>
      <c r="E352" s="477" t="s">
        <v>778</v>
      </c>
      <c r="F352" s="16"/>
      <c r="G352" s="16"/>
      <c r="H352" s="16" t="s">
        <v>216</v>
      </c>
      <c r="I352" s="19" t="s">
        <v>1171</v>
      </c>
      <c r="J352" s="19" t="s">
        <v>1661</v>
      </c>
      <c r="K352" s="478">
        <f>53.56*12%</f>
        <v>6.4272</v>
      </c>
      <c r="L352" s="339">
        <v>2080</v>
      </c>
      <c r="M352" s="339"/>
      <c r="N352" s="339">
        <f t="shared" si="69"/>
        <v>13368.576000000001</v>
      </c>
      <c r="O352" s="339"/>
      <c r="P352" s="339"/>
      <c r="Q352" s="339">
        <f t="shared" si="75"/>
        <v>4431.6829440000001</v>
      </c>
      <c r="R352" s="339">
        <f t="shared" si="76"/>
        <v>193.84435200000001</v>
      </c>
      <c r="S352" s="339"/>
      <c r="T352" s="339"/>
      <c r="U352" s="339"/>
      <c r="V352" s="339"/>
      <c r="W352" s="264">
        <f t="shared" si="70"/>
        <v>17994.103296000001</v>
      </c>
      <c r="X352" s="339">
        <f t="shared" si="71"/>
        <v>0</v>
      </c>
      <c r="Y352" s="339"/>
      <c r="Z352" s="340">
        <f t="shared" si="72"/>
        <v>17994.103296000001</v>
      </c>
      <c r="AA352" s="2">
        <f>[4]HR!$Z449-Z352</f>
        <v>-6209.8549760000005</v>
      </c>
    </row>
    <row r="353" spans="1:27" s="236" customFormat="1" ht="12.75" customHeight="1" x14ac:dyDescent="0.2">
      <c r="A353" s="16"/>
      <c r="B353" s="467">
        <v>0</v>
      </c>
      <c r="C353" s="16" t="s">
        <v>614</v>
      </c>
      <c r="D353" s="232"/>
      <c r="E353" s="477" t="s">
        <v>778</v>
      </c>
      <c r="F353" s="16"/>
      <c r="G353" s="16"/>
      <c r="H353" s="16" t="s">
        <v>216</v>
      </c>
      <c r="I353" s="19" t="s">
        <v>1171</v>
      </c>
      <c r="J353" s="19" t="s">
        <v>933</v>
      </c>
      <c r="K353" s="478">
        <f>53.56*12%</f>
        <v>6.4272</v>
      </c>
      <c r="L353" s="339">
        <v>2080</v>
      </c>
      <c r="M353" s="339"/>
      <c r="N353" s="339">
        <f t="shared" si="69"/>
        <v>13368.576000000001</v>
      </c>
      <c r="O353" s="339"/>
      <c r="P353" s="339"/>
      <c r="Q353" s="339">
        <f t="shared" si="75"/>
        <v>4431.6829440000001</v>
      </c>
      <c r="R353" s="339">
        <f t="shared" si="76"/>
        <v>193.84435200000001</v>
      </c>
      <c r="S353" s="339"/>
      <c r="T353" s="339"/>
      <c r="U353" s="339"/>
      <c r="V353" s="339"/>
      <c r="W353" s="264">
        <f t="shared" si="70"/>
        <v>17994.103296000001</v>
      </c>
      <c r="X353" s="339">
        <f t="shared" si="71"/>
        <v>0</v>
      </c>
      <c r="Y353" s="339"/>
      <c r="Z353" s="340">
        <f t="shared" si="72"/>
        <v>17994.103296000001</v>
      </c>
      <c r="AA353" s="2">
        <f>[4]HR!$Z450-Z353</f>
        <v>-12101.979136000002</v>
      </c>
    </row>
    <row r="354" spans="1:27" s="236" customFormat="1" ht="12.75" customHeight="1" x14ac:dyDescent="0.2">
      <c r="A354" s="16"/>
      <c r="B354" s="467">
        <v>0</v>
      </c>
      <c r="C354" s="16" t="s">
        <v>614</v>
      </c>
      <c r="D354" s="232"/>
      <c r="E354" s="477" t="s">
        <v>778</v>
      </c>
      <c r="F354" s="16"/>
      <c r="G354" s="16"/>
      <c r="H354" s="16" t="s">
        <v>216</v>
      </c>
      <c r="I354" s="19" t="s">
        <v>1171</v>
      </c>
      <c r="J354" s="19" t="s">
        <v>935</v>
      </c>
      <c r="K354" s="478">
        <f>53.56*8%</f>
        <v>4.2848000000000006</v>
      </c>
      <c r="L354" s="339">
        <v>2080</v>
      </c>
      <c r="M354" s="339"/>
      <c r="N354" s="339">
        <f t="shared" si="69"/>
        <v>8912.3840000000018</v>
      </c>
      <c r="O354" s="339"/>
      <c r="P354" s="339"/>
      <c r="Q354" s="339">
        <f t="shared" si="75"/>
        <v>2954.4552960000005</v>
      </c>
      <c r="R354" s="339">
        <f t="shared" si="76"/>
        <v>129.22956800000003</v>
      </c>
      <c r="S354" s="339"/>
      <c r="T354" s="339"/>
      <c r="U354" s="339"/>
      <c r="V354" s="339"/>
      <c r="W354" s="264">
        <f t="shared" si="70"/>
        <v>11996.068864000003</v>
      </c>
      <c r="X354" s="339">
        <f t="shared" si="71"/>
        <v>0</v>
      </c>
      <c r="Y354" s="339"/>
      <c r="Z354" s="340">
        <f t="shared" si="72"/>
        <v>11996.068864000003</v>
      </c>
      <c r="AA354" s="2">
        <f>[4]HR!$Z451-Z354</f>
        <v>-6103.9447040000023</v>
      </c>
    </row>
    <row r="355" spans="1:27" s="236" customFormat="1" ht="12.75" customHeight="1" x14ac:dyDescent="0.2">
      <c r="A355" s="16"/>
      <c r="B355" s="467">
        <v>0</v>
      </c>
      <c r="C355" s="16" t="s">
        <v>614</v>
      </c>
      <c r="D355" s="232"/>
      <c r="E355" s="477" t="s">
        <v>778</v>
      </c>
      <c r="F355" s="16"/>
      <c r="G355" s="16"/>
      <c r="H355" s="16" t="s">
        <v>216</v>
      </c>
      <c r="I355" s="19" t="s">
        <v>1171</v>
      </c>
      <c r="J355" s="19" t="s">
        <v>937</v>
      </c>
      <c r="K355" s="478">
        <f>53.56*8%</f>
        <v>4.2848000000000006</v>
      </c>
      <c r="L355" s="339">
        <v>2080</v>
      </c>
      <c r="M355" s="339"/>
      <c r="N355" s="339">
        <f t="shared" si="69"/>
        <v>8912.3840000000018</v>
      </c>
      <c r="O355" s="339"/>
      <c r="P355" s="339"/>
      <c r="Q355" s="339">
        <f t="shared" si="75"/>
        <v>2954.4552960000005</v>
      </c>
      <c r="R355" s="339">
        <f t="shared" si="76"/>
        <v>129.22956800000003</v>
      </c>
      <c r="S355" s="339"/>
      <c r="T355" s="339"/>
      <c r="U355" s="339"/>
      <c r="V355" s="339"/>
      <c r="W355" s="264">
        <f t="shared" si="70"/>
        <v>11996.068864000003</v>
      </c>
      <c r="X355" s="339">
        <f t="shared" si="71"/>
        <v>0</v>
      </c>
      <c r="Y355" s="339"/>
      <c r="Z355" s="340">
        <f t="shared" si="72"/>
        <v>11996.068864000003</v>
      </c>
      <c r="AA355" s="2">
        <f>[4]HR!$Z452-Z355</f>
        <v>-10523.037824000003</v>
      </c>
    </row>
    <row r="356" spans="1:27" s="236" customFormat="1" ht="12.75" customHeight="1" x14ac:dyDescent="0.2">
      <c r="A356" s="16"/>
      <c r="B356" s="467">
        <v>0</v>
      </c>
      <c r="C356" s="16" t="s">
        <v>614</v>
      </c>
      <c r="D356" s="232"/>
      <c r="E356" s="477" t="s">
        <v>778</v>
      </c>
      <c r="F356" s="16"/>
      <c r="G356" s="16"/>
      <c r="H356" s="16" t="s">
        <v>216</v>
      </c>
      <c r="I356" s="19" t="s">
        <v>1171</v>
      </c>
      <c r="J356" s="19" t="s">
        <v>939</v>
      </c>
      <c r="K356" s="478">
        <f>53.56*6%</f>
        <v>3.2136</v>
      </c>
      <c r="L356" s="339">
        <v>2080</v>
      </c>
      <c r="M356" s="339"/>
      <c r="N356" s="339">
        <f t="shared" si="69"/>
        <v>6684.2880000000005</v>
      </c>
      <c r="O356" s="339"/>
      <c r="P356" s="339"/>
      <c r="Q356" s="339">
        <f t="shared" si="75"/>
        <v>2215.8414720000001</v>
      </c>
      <c r="R356" s="339">
        <f t="shared" si="76"/>
        <v>96.922176000000007</v>
      </c>
      <c r="S356" s="339"/>
      <c r="T356" s="339"/>
      <c r="U356" s="339"/>
      <c r="V356" s="339"/>
      <c r="W356" s="264">
        <f t="shared" si="70"/>
        <v>8997.0516480000006</v>
      </c>
      <c r="X356" s="339">
        <f t="shared" si="71"/>
        <v>0</v>
      </c>
      <c r="Y356" s="339"/>
      <c r="Z356" s="340">
        <f t="shared" si="72"/>
        <v>8997.0516480000006</v>
      </c>
      <c r="AA356" s="2">
        <f>[4]HR!$Z453-Z356</f>
        <v>-4577.9585280000001</v>
      </c>
    </row>
    <row r="357" spans="1:27" s="236" customFormat="1" ht="12.75" customHeight="1" x14ac:dyDescent="0.2">
      <c r="A357" s="16"/>
      <c r="B357" s="467">
        <v>0</v>
      </c>
      <c r="C357" s="16" t="s">
        <v>614</v>
      </c>
      <c r="D357" s="232"/>
      <c r="E357" s="477" t="s">
        <v>778</v>
      </c>
      <c r="F357" s="16"/>
      <c r="G357" s="16"/>
      <c r="H357" s="16" t="s">
        <v>216</v>
      </c>
      <c r="I357" s="19" t="s">
        <v>1171</v>
      </c>
      <c r="J357" s="19" t="s">
        <v>96</v>
      </c>
      <c r="K357" s="478">
        <f>53.56*8%</f>
        <v>4.2848000000000006</v>
      </c>
      <c r="L357" s="339">
        <v>2080</v>
      </c>
      <c r="M357" s="339"/>
      <c r="N357" s="339">
        <f t="shared" si="69"/>
        <v>8912.3840000000018</v>
      </c>
      <c r="O357" s="339"/>
      <c r="P357" s="339"/>
      <c r="Q357" s="339">
        <f t="shared" si="75"/>
        <v>2954.4552960000005</v>
      </c>
      <c r="R357" s="339">
        <f t="shared" si="76"/>
        <v>129.22956800000003</v>
      </c>
      <c r="S357" s="339"/>
      <c r="T357" s="339"/>
      <c r="U357" s="339"/>
      <c r="V357" s="339"/>
      <c r="W357" s="264">
        <f t="shared" si="70"/>
        <v>11996.068864000003</v>
      </c>
      <c r="X357" s="339">
        <f t="shared" si="71"/>
        <v>0</v>
      </c>
      <c r="Y357" s="339"/>
      <c r="Z357" s="340">
        <f t="shared" si="72"/>
        <v>11996.068864000003</v>
      </c>
      <c r="AA357" s="2">
        <f>[4]HR!$Z454-Z357</f>
        <v>-7576.9757440000021</v>
      </c>
    </row>
    <row r="358" spans="1:27" s="236" customFormat="1" ht="12.75" customHeight="1" x14ac:dyDescent="0.2">
      <c r="A358" s="16"/>
      <c r="B358" s="467">
        <v>0</v>
      </c>
      <c r="C358" s="16" t="s">
        <v>614</v>
      </c>
      <c r="D358" s="232"/>
      <c r="E358" s="477" t="s">
        <v>778</v>
      </c>
      <c r="F358" s="16"/>
      <c r="G358" s="16"/>
      <c r="H358" s="16" t="s">
        <v>216</v>
      </c>
      <c r="I358" s="19" t="s">
        <v>1171</v>
      </c>
      <c r="J358" s="19" t="s">
        <v>941</v>
      </c>
      <c r="K358" s="478">
        <f>53.56*6%</f>
        <v>3.2136</v>
      </c>
      <c r="L358" s="339">
        <v>2080</v>
      </c>
      <c r="M358" s="339"/>
      <c r="N358" s="339">
        <f t="shared" si="69"/>
        <v>6684.2880000000005</v>
      </c>
      <c r="O358" s="339"/>
      <c r="P358" s="339"/>
      <c r="Q358" s="339">
        <f t="shared" si="75"/>
        <v>2215.8414720000001</v>
      </c>
      <c r="R358" s="339">
        <f t="shared" si="76"/>
        <v>96.922176000000007</v>
      </c>
      <c r="S358" s="339"/>
      <c r="T358" s="339"/>
      <c r="U358" s="339"/>
      <c r="V358" s="339"/>
      <c r="W358" s="264">
        <f t="shared" si="70"/>
        <v>8997.0516480000006</v>
      </c>
      <c r="X358" s="339">
        <f t="shared" si="71"/>
        <v>0</v>
      </c>
      <c r="Y358" s="339"/>
      <c r="Z358" s="340">
        <f t="shared" si="72"/>
        <v>8997.0516480000006</v>
      </c>
      <c r="AA358" s="2">
        <f>[4]HR!$Z455-Z358</f>
        <v>-7524.0206080000007</v>
      </c>
    </row>
    <row r="359" spans="1:27" s="236" customFormat="1" ht="12.75" customHeight="1" x14ac:dyDescent="0.2">
      <c r="A359" s="16"/>
      <c r="B359" s="467">
        <v>0</v>
      </c>
      <c r="C359" s="16" t="s">
        <v>614</v>
      </c>
      <c r="D359" s="232"/>
      <c r="E359" s="477" t="s">
        <v>778</v>
      </c>
      <c r="F359" s="16"/>
      <c r="G359" s="16"/>
      <c r="H359" s="16" t="s">
        <v>216</v>
      </c>
      <c r="I359" s="19" t="s">
        <v>1171</v>
      </c>
      <c r="J359" s="19" t="s">
        <v>1324</v>
      </c>
      <c r="K359" s="478">
        <f>53.56*6%</f>
        <v>3.2136</v>
      </c>
      <c r="L359" s="339">
        <v>2080</v>
      </c>
      <c r="M359" s="339"/>
      <c r="N359" s="339">
        <f t="shared" si="69"/>
        <v>6684.2880000000005</v>
      </c>
      <c r="O359" s="339"/>
      <c r="P359" s="339"/>
      <c r="Q359" s="339">
        <f t="shared" si="75"/>
        <v>2215.8414720000001</v>
      </c>
      <c r="R359" s="339">
        <f t="shared" si="76"/>
        <v>96.922176000000007</v>
      </c>
      <c r="S359" s="339"/>
      <c r="T359" s="339"/>
      <c r="U359" s="339"/>
      <c r="V359" s="339"/>
      <c r="W359" s="264">
        <f t="shared" si="70"/>
        <v>8997.0516480000006</v>
      </c>
      <c r="X359" s="339">
        <f t="shared" si="71"/>
        <v>0</v>
      </c>
      <c r="Y359" s="339"/>
      <c r="Z359" s="340">
        <f t="shared" si="72"/>
        <v>8997.0516480000006</v>
      </c>
      <c r="AA359" s="2">
        <f>[4]HR!$Z456-Z359</f>
        <v>-1631.8964480000004</v>
      </c>
    </row>
    <row r="360" spans="1:27" s="236" customFormat="1" ht="12.75" customHeight="1" x14ac:dyDescent="0.2">
      <c r="A360" s="16"/>
      <c r="B360" s="467">
        <v>0</v>
      </c>
      <c r="C360" s="16" t="s">
        <v>614</v>
      </c>
      <c r="D360" s="232"/>
      <c r="E360" s="477" t="s">
        <v>778</v>
      </c>
      <c r="F360" s="16"/>
      <c r="G360" s="16"/>
      <c r="H360" s="16" t="s">
        <v>216</v>
      </c>
      <c r="I360" s="19" t="s">
        <v>1171</v>
      </c>
      <c r="J360" s="19" t="s">
        <v>954</v>
      </c>
      <c r="K360" s="478">
        <f>53.56*3%</f>
        <v>1.6068</v>
      </c>
      <c r="L360" s="339">
        <v>2080</v>
      </c>
      <c r="M360" s="339"/>
      <c r="N360" s="339">
        <f t="shared" si="69"/>
        <v>3342.1440000000002</v>
      </c>
      <c r="O360" s="339"/>
      <c r="P360" s="339"/>
      <c r="Q360" s="339">
        <f t="shared" si="75"/>
        <v>1107.920736</v>
      </c>
      <c r="R360" s="339">
        <f t="shared" si="76"/>
        <v>48.461088000000004</v>
      </c>
      <c r="S360" s="339"/>
      <c r="T360" s="339"/>
      <c r="U360" s="339"/>
      <c r="V360" s="339"/>
      <c r="W360" s="264">
        <f t="shared" si="70"/>
        <v>4498.5258240000003</v>
      </c>
      <c r="X360" s="339">
        <f t="shared" si="71"/>
        <v>0</v>
      </c>
      <c r="Y360" s="339"/>
      <c r="Z360" s="340">
        <f t="shared" si="72"/>
        <v>4498.5258240000003</v>
      </c>
      <c r="AA360" s="2">
        <f>[4]HR!$Z457-Z360</f>
        <v>-1552.4637440000001</v>
      </c>
    </row>
    <row r="361" spans="1:27" s="236" customFormat="1" ht="12.75" customHeight="1" x14ac:dyDescent="0.2">
      <c r="A361" s="16"/>
      <c r="B361" s="467">
        <v>0</v>
      </c>
      <c r="C361" s="16" t="s">
        <v>614</v>
      </c>
      <c r="D361" s="232"/>
      <c r="E361" s="477" t="s">
        <v>778</v>
      </c>
      <c r="F361" s="16"/>
      <c r="G361" s="16"/>
      <c r="H361" s="16" t="s">
        <v>216</v>
      </c>
      <c r="I361" s="19" t="s">
        <v>1171</v>
      </c>
      <c r="J361" s="19" t="s">
        <v>973</v>
      </c>
      <c r="K361" s="478">
        <f>53.56*2%</f>
        <v>1.0712000000000002</v>
      </c>
      <c r="L361" s="339">
        <v>2080</v>
      </c>
      <c r="M361" s="339"/>
      <c r="N361" s="339">
        <f t="shared" si="69"/>
        <v>2228.0960000000005</v>
      </c>
      <c r="O361" s="339"/>
      <c r="P361" s="339"/>
      <c r="Q361" s="339">
        <f t="shared" si="75"/>
        <v>738.61382400000014</v>
      </c>
      <c r="R361" s="339">
        <f t="shared" si="76"/>
        <v>32.307392000000007</v>
      </c>
      <c r="S361" s="339"/>
      <c r="T361" s="339"/>
      <c r="U361" s="339"/>
      <c r="V361" s="339"/>
      <c r="W361" s="264">
        <f t="shared" si="70"/>
        <v>2999.0172160000006</v>
      </c>
      <c r="X361" s="339">
        <f t="shared" si="71"/>
        <v>0</v>
      </c>
      <c r="Y361" s="339"/>
      <c r="Z361" s="340">
        <f t="shared" si="72"/>
        <v>2999.0172160000006</v>
      </c>
      <c r="AA361" s="2">
        <f>[4]HR!$Z458-Z361</f>
        <v>43860.529823999997</v>
      </c>
    </row>
    <row r="362" spans="1:27" s="236" customFormat="1" ht="12.75" customHeight="1" x14ac:dyDescent="0.2">
      <c r="A362" s="16"/>
      <c r="B362" s="467">
        <v>0</v>
      </c>
      <c r="C362" s="16" t="s">
        <v>614</v>
      </c>
      <c r="D362" s="232"/>
      <c r="E362" s="477" t="s">
        <v>778</v>
      </c>
      <c r="F362" s="16"/>
      <c r="G362" s="16"/>
      <c r="H362" s="16" t="s">
        <v>216</v>
      </c>
      <c r="I362" s="19" t="s">
        <v>1171</v>
      </c>
      <c r="J362" s="19" t="s">
        <v>985</v>
      </c>
      <c r="K362" s="478">
        <f>53.56*1%</f>
        <v>0.53560000000000008</v>
      </c>
      <c r="L362" s="339">
        <v>2080</v>
      </c>
      <c r="M362" s="339"/>
      <c r="N362" s="339">
        <f t="shared" si="69"/>
        <v>1114.0480000000002</v>
      </c>
      <c r="O362" s="339"/>
      <c r="P362" s="339"/>
      <c r="Q362" s="339">
        <f t="shared" si="75"/>
        <v>369.30691200000007</v>
      </c>
      <c r="R362" s="339">
        <f t="shared" si="76"/>
        <v>16.153696000000004</v>
      </c>
      <c r="S362" s="339"/>
      <c r="T362" s="339"/>
      <c r="U362" s="339"/>
      <c r="V362" s="339"/>
      <c r="W362" s="264">
        <f t="shared" si="70"/>
        <v>1499.5086080000003</v>
      </c>
      <c r="X362" s="339">
        <f t="shared" si="71"/>
        <v>0</v>
      </c>
      <c r="Y362" s="339"/>
      <c r="Z362" s="340">
        <f t="shared" si="72"/>
        <v>1499.5086080000003</v>
      </c>
      <c r="AA362" s="2">
        <f>[4]HR!$Z459-Z362</f>
        <v>-762.99308800000028</v>
      </c>
    </row>
    <row r="363" spans="1:27" s="236" customFormat="1" ht="12.75" customHeight="1" x14ac:dyDescent="0.2">
      <c r="A363" s="16"/>
      <c r="B363" s="467">
        <v>0</v>
      </c>
      <c r="C363" s="16" t="s">
        <v>614</v>
      </c>
      <c r="D363" s="232"/>
      <c r="E363" s="477" t="s">
        <v>778</v>
      </c>
      <c r="F363" s="16"/>
      <c r="G363" s="16"/>
      <c r="H363" s="16" t="s">
        <v>216</v>
      </c>
      <c r="I363" s="19" t="s">
        <v>1171</v>
      </c>
      <c r="J363" s="19" t="s">
        <v>994</v>
      </c>
      <c r="K363" s="478">
        <f>53.56*1%</f>
        <v>0.53560000000000008</v>
      </c>
      <c r="L363" s="339">
        <v>2080</v>
      </c>
      <c r="M363" s="339"/>
      <c r="N363" s="339">
        <f t="shared" si="69"/>
        <v>1114.0480000000002</v>
      </c>
      <c r="O363" s="339"/>
      <c r="P363" s="339"/>
      <c r="Q363" s="339">
        <f t="shared" si="75"/>
        <v>369.30691200000007</v>
      </c>
      <c r="R363" s="339">
        <f t="shared" si="76"/>
        <v>16.153696000000004</v>
      </c>
      <c r="S363" s="339"/>
      <c r="T363" s="339"/>
      <c r="U363" s="339"/>
      <c r="V363" s="339"/>
      <c r="W363" s="264">
        <f t="shared" si="70"/>
        <v>1499.5086080000003</v>
      </c>
      <c r="X363" s="339">
        <f t="shared" si="71"/>
        <v>0</v>
      </c>
      <c r="Y363" s="339"/>
      <c r="Z363" s="340">
        <f t="shared" si="72"/>
        <v>1499.5086080000003</v>
      </c>
      <c r="AA363" s="2">
        <f>[4]HR!$Z460-Z363</f>
        <v>1446.5534719999998</v>
      </c>
    </row>
    <row r="364" spans="1:27" s="236" customFormat="1" ht="12.75" customHeight="1" x14ac:dyDescent="0.2">
      <c r="A364" s="16"/>
      <c r="B364" s="467">
        <v>0</v>
      </c>
      <c r="C364" s="16" t="s">
        <v>614</v>
      </c>
      <c r="D364" s="232"/>
      <c r="E364" s="477" t="s">
        <v>778</v>
      </c>
      <c r="F364" s="16"/>
      <c r="G364" s="16"/>
      <c r="H364" s="16" t="s">
        <v>216</v>
      </c>
      <c r="I364" s="19" t="s">
        <v>1171</v>
      </c>
      <c r="J364" s="16" t="s">
        <v>491</v>
      </c>
      <c r="K364" s="478">
        <f>53.56*5%</f>
        <v>2.6780000000000004</v>
      </c>
      <c r="L364" s="339">
        <v>2080</v>
      </c>
      <c r="M364" s="339"/>
      <c r="N364" s="339">
        <f t="shared" si="69"/>
        <v>5570.2400000000007</v>
      </c>
      <c r="O364" s="339"/>
      <c r="P364" s="339"/>
      <c r="Q364" s="339">
        <f t="shared" si="75"/>
        <v>1846.5345600000003</v>
      </c>
      <c r="R364" s="339">
        <f t="shared" si="76"/>
        <v>80.768480000000011</v>
      </c>
      <c r="S364" s="339"/>
      <c r="T364" s="339"/>
      <c r="U364" s="339"/>
      <c r="V364" s="339"/>
      <c r="W364" s="264">
        <f t="shared" si="70"/>
        <v>7497.5430400000005</v>
      </c>
      <c r="X364" s="339">
        <f t="shared" si="71"/>
        <v>0</v>
      </c>
      <c r="Y364" s="339"/>
      <c r="Z364" s="340">
        <f t="shared" si="72"/>
        <v>7497.5430400000005</v>
      </c>
      <c r="AA364" s="2">
        <f>[4]HR!$Z461-Z364</f>
        <v>-132.38784000000032</v>
      </c>
    </row>
    <row r="365" spans="1:27" s="236" customFormat="1" ht="12.75" customHeight="1" x14ac:dyDescent="0.2">
      <c r="A365" s="16"/>
      <c r="B365" s="467">
        <v>0</v>
      </c>
      <c r="C365" s="16" t="s">
        <v>614</v>
      </c>
      <c r="D365" s="232"/>
      <c r="E365" s="477" t="s">
        <v>778</v>
      </c>
      <c r="F365" s="16"/>
      <c r="G365" s="16"/>
      <c r="H365" s="16" t="s">
        <v>216</v>
      </c>
      <c r="I365" s="19" t="s">
        <v>1171</v>
      </c>
      <c r="J365" s="19" t="s">
        <v>1010</v>
      </c>
      <c r="K365" s="478">
        <f>53.56*2%</f>
        <v>1.0712000000000002</v>
      </c>
      <c r="L365" s="339">
        <v>2080</v>
      </c>
      <c r="M365" s="339"/>
      <c r="N365" s="339">
        <f t="shared" si="69"/>
        <v>2228.0960000000005</v>
      </c>
      <c r="O365" s="339"/>
      <c r="P365" s="339"/>
      <c r="Q365" s="339">
        <f t="shared" si="75"/>
        <v>738.61382400000014</v>
      </c>
      <c r="R365" s="339">
        <f t="shared" si="76"/>
        <v>32.307392000000007</v>
      </c>
      <c r="S365" s="339"/>
      <c r="T365" s="339"/>
      <c r="U365" s="339"/>
      <c r="V365" s="339"/>
      <c r="W365" s="264">
        <f t="shared" si="70"/>
        <v>2999.0172160000006</v>
      </c>
      <c r="X365" s="339">
        <f t="shared" si="71"/>
        <v>0</v>
      </c>
      <c r="Y365" s="339"/>
      <c r="Z365" s="340">
        <f t="shared" si="72"/>
        <v>2999.0172160000006</v>
      </c>
      <c r="AA365" s="2">
        <f>[4]HR!$Z462-Z365</f>
        <v>-2687.0604020000005</v>
      </c>
    </row>
    <row r="366" spans="1:27" s="236" customFormat="1" ht="12.75" customHeight="1" x14ac:dyDescent="0.2">
      <c r="A366" s="16"/>
      <c r="B366" s="467">
        <v>0</v>
      </c>
      <c r="C366" s="16" t="s">
        <v>614</v>
      </c>
      <c r="D366" s="232"/>
      <c r="E366" s="477" t="s">
        <v>778</v>
      </c>
      <c r="F366" s="16"/>
      <c r="G366" s="16"/>
      <c r="H366" s="16" t="s">
        <v>216</v>
      </c>
      <c r="I366" s="19" t="s">
        <v>1171</v>
      </c>
      <c r="J366" s="19" t="s">
        <v>1019</v>
      </c>
      <c r="K366" s="478">
        <f>53.56*8%</f>
        <v>4.2848000000000006</v>
      </c>
      <c r="L366" s="339">
        <v>2080</v>
      </c>
      <c r="M366" s="339"/>
      <c r="N366" s="339">
        <f t="shared" si="69"/>
        <v>8912.3840000000018</v>
      </c>
      <c r="O366" s="339"/>
      <c r="P366" s="339"/>
      <c r="Q366" s="339">
        <f t="shared" si="75"/>
        <v>2954.4552960000005</v>
      </c>
      <c r="R366" s="339">
        <f t="shared" si="76"/>
        <v>129.22956800000003</v>
      </c>
      <c r="S366" s="339"/>
      <c r="T366" s="339">
        <v>8403.84</v>
      </c>
      <c r="U366" s="339">
        <v>323.04000000000002</v>
      </c>
      <c r="V366" s="339"/>
      <c r="W366" s="264">
        <f t="shared" si="70"/>
        <v>20722.948864000005</v>
      </c>
      <c r="X366" s="339">
        <f t="shared" si="71"/>
        <v>0</v>
      </c>
      <c r="Y366" s="339"/>
      <c r="Z366" s="340">
        <f t="shared" si="72"/>
        <v>20722.948864000005</v>
      </c>
      <c r="AA366" s="2">
        <f>[4]HR!$Z463-Z366</f>
        <v>-20410.992050000004</v>
      </c>
    </row>
    <row r="367" spans="1:27" s="236" customFormat="1" ht="12.75" customHeight="1" x14ac:dyDescent="0.2">
      <c r="A367" s="16"/>
      <c r="B367" s="467">
        <v>0</v>
      </c>
      <c r="C367" s="16" t="s">
        <v>614</v>
      </c>
      <c r="D367" s="232"/>
      <c r="E367" s="477" t="s">
        <v>778</v>
      </c>
      <c r="F367" s="16"/>
      <c r="G367" s="16"/>
      <c r="H367" s="16" t="s">
        <v>216</v>
      </c>
      <c r="I367" s="19" t="s">
        <v>1171</v>
      </c>
      <c r="J367" s="19" t="s">
        <v>1049</v>
      </c>
      <c r="K367" s="478">
        <f>53.56*6%</f>
        <v>3.2136</v>
      </c>
      <c r="L367" s="339">
        <v>2080</v>
      </c>
      <c r="M367" s="339"/>
      <c r="N367" s="339">
        <f t="shared" si="69"/>
        <v>6684.2880000000005</v>
      </c>
      <c r="O367" s="339"/>
      <c r="P367" s="339"/>
      <c r="Q367" s="339">
        <f t="shared" si="75"/>
        <v>2215.8414720000001</v>
      </c>
      <c r="R367" s="339">
        <f t="shared" si="76"/>
        <v>96.922176000000007</v>
      </c>
      <c r="S367" s="339"/>
      <c r="T367" s="339"/>
      <c r="U367" s="339"/>
      <c r="V367" s="339"/>
      <c r="W367" s="264">
        <f t="shared" si="70"/>
        <v>8997.0516480000006</v>
      </c>
      <c r="X367" s="339">
        <f t="shared" si="71"/>
        <v>0</v>
      </c>
      <c r="Y367" s="339"/>
      <c r="Z367" s="340">
        <f t="shared" si="72"/>
        <v>8997.0516480000006</v>
      </c>
      <c r="AA367" s="2">
        <f>[4]HR!$Z465-Z367</f>
        <v>-6501.3971360000005</v>
      </c>
    </row>
    <row r="368" spans="1:27" s="236" customFormat="1" ht="12.75" customHeight="1" x14ac:dyDescent="0.2">
      <c r="A368" s="16"/>
      <c r="B368" s="467">
        <v>0</v>
      </c>
      <c r="C368" s="16" t="s">
        <v>614</v>
      </c>
      <c r="D368" s="232"/>
      <c r="E368" s="477" t="s">
        <v>778</v>
      </c>
      <c r="F368" s="16"/>
      <c r="G368" s="16"/>
      <c r="H368" s="16" t="s">
        <v>216</v>
      </c>
      <c r="I368" s="19" t="s">
        <v>1171</v>
      </c>
      <c r="J368" s="19" t="s">
        <v>1053</v>
      </c>
      <c r="K368" s="478">
        <f>53.56*5%</f>
        <v>2.6780000000000004</v>
      </c>
      <c r="L368" s="339">
        <v>2080</v>
      </c>
      <c r="M368" s="339"/>
      <c r="N368" s="339">
        <f t="shared" si="69"/>
        <v>5570.2400000000007</v>
      </c>
      <c r="O368" s="339">
        <v>2960</v>
      </c>
      <c r="P368" s="339"/>
      <c r="Q368" s="339">
        <f t="shared" si="75"/>
        <v>1846.5345600000003</v>
      </c>
      <c r="R368" s="339">
        <f>SUM(N368+O368)*0.0145</f>
        <v>123.68848000000003</v>
      </c>
      <c r="S368" s="339"/>
      <c r="T368" s="339"/>
      <c r="U368" s="339"/>
      <c r="V368" s="339"/>
      <c r="W368" s="264">
        <f t="shared" si="70"/>
        <v>10500.463040000002</v>
      </c>
      <c r="X368" s="339">
        <f t="shared" si="71"/>
        <v>0</v>
      </c>
      <c r="Y368" s="339"/>
      <c r="Z368" s="340">
        <f t="shared" si="72"/>
        <v>10500.463040000002</v>
      </c>
      <c r="AA368" s="2">
        <f>[4]HR!$Z466-Z368</f>
        <v>8216.9457999999977</v>
      </c>
    </row>
    <row r="369" spans="1:27" s="236" customFormat="1" x14ac:dyDescent="0.2">
      <c r="A369" s="16"/>
      <c r="B369" s="467">
        <v>1</v>
      </c>
      <c r="C369" s="16" t="s">
        <v>1643</v>
      </c>
      <c r="D369" s="232"/>
      <c r="E369" s="16" t="s">
        <v>755</v>
      </c>
      <c r="F369" s="16"/>
      <c r="G369" s="16"/>
      <c r="H369" s="16" t="s">
        <v>216</v>
      </c>
      <c r="I369" s="19" t="s">
        <v>1182</v>
      </c>
      <c r="J369" s="19" t="s">
        <v>1019</v>
      </c>
      <c r="K369" s="339">
        <f>50.49*100%</f>
        <v>50.49</v>
      </c>
      <c r="L369" s="339">
        <v>2080</v>
      </c>
      <c r="M369" s="339"/>
      <c r="N369" s="339">
        <f t="shared" si="69"/>
        <v>105019.2</v>
      </c>
      <c r="O369" s="339"/>
      <c r="P369" s="339"/>
      <c r="Q369" s="339">
        <f t="shared" si="75"/>
        <v>34813.864800000003</v>
      </c>
      <c r="R369" s="339">
        <f t="shared" ref="R369:R370" si="77">N369*0.0145</f>
        <v>1522.7784000000001</v>
      </c>
      <c r="S369" s="339"/>
      <c r="T369" s="339">
        <v>3024</v>
      </c>
      <c r="U369" s="339">
        <v>323.04000000000002</v>
      </c>
      <c r="V369" s="339"/>
      <c r="W369" s="264">
        <f t="shared" si="70"/>
        <v>144702.88320000001</v>
      </c>
      <c r="X369" s="339">
        <f t="shared" si="71"/>
        <v>0</v>
      </c>
      <c r="Y369" s="339"/>
      <c r="Z369" s="340">
        <f t="shared" si="72"/>
        <v>144702.88320000001</v>
      </c>
      <c r="AA369" s="2">
        <f>[4]HR!$Z505-Z369</f>
        <v>-93532.051072000002</v>
      </c>
    </row>
    <row r="370" spans="1:27" s="236" customFormat="1" x14ac:dyDescent="0.2">
      <c r="A370" s="16"/>
      <c r="B370" s="467">
        <v>1</v>
      </c>
      <c r="C370" s="16" t="s">
        <v>1644</v>
      </c>
      <c r="D370" s="232"/>
      <c r="E370" s="16" t="s">
        <v>1645</v>
      </c>
      <c r="F370" s="16"/>
      <c r="G370" s="16"/>
      <c r="H370" s="16" t="s">
        <v>216</v>
      </c>
      <c r="I370" s="19" t="s">
        <v>1182</v>
      </c>
      <c r="J370" s="19" t="s">
        <v>1019</v>
      </c>
      <c r="K370" s="339">
        <f>47.88*100%</f>
        <v>47.88</v>
      </c>
      <c r="L370" s="339">
        <v>2080</v>
      </c>
      <c r="M370" s="339"/>
      <c r="N370" s="339">
        <f t="shared" si="69"/>
        <v>99590.400000000009</v>
      </c>
      <c r="O370" s="339"/>
      <c r="P370" s="339"/>
      <c r="Q370" s="339">
        <f t="shared" si="75"/>
        <v>33014.217600000004</v>
      </c>
      <c r="R370" s="339">
        <f t="shared" si="77"/>
        <v>1444.0608000000002</v>
      </c>
      <c r="S370" s="339"/>
      <c r="T370" s="339">
        <v>8583.84</v>
      </c>
      <c r="U370" s="339">
        <v>323.04000000000002</v>
      </c>
      <c r="V370" s="339"/>
      <c r="W370" s="264">
        <f t="shared" si="70"/>
        <v>142955.55840000001</v>
      </c>
      <c r="X370" s="339">
        <f t="shared" si="71"/>
        <v>0</v>
      </c>
      <c r="Y370" s="339"/>
      <c r="Z370" s="340">
        <f t="shared" si="72"/>
        <v>142955.55840000001</v>
      </c>
      <c r="AA370" s="2">
        <f>[4]HR!$Z509-Z370</f>
        <v>-112979.37673600001</v>
      </c>
    </row>
    <row r="371" spans="1:27" s="236" customFormat="1" x14ac:dyDescent="0.2">
      <c r="A371" s="16"/>
      <c r="B371" s="467">
        <v>1</v>
      </c>
      <c r="C371" s="16" t="s">
        <v>1646</v>
      </c>
      <c r="D371" s="232"/>
      <c r="E371" s="16" t="s">
        <v>756</v>
      </c>
      <c r="F371" s="16"/>
      <c r="G371" s="16"/>
      <c r="H371" s="16" t="s">
        <v>216</v>
      </c>
      <c r="I371" s="19" t="s">
        <v>1182</v>
      </c>
      <c r="J371" s="19" t="s">
        <v>1019</v>
      </c>
      <c r="K371" s="339">
        <f>62.5*100%</f>
        <v>62.5</v>
      </c>
      <c r="L371" s="339">
        <v>2080</v>
      </c>
      <c r="M371" s="339"/>
      <c r="N371" s="339">
        <f>L371*K371</f>
        <v>130000</v>
      </c>
      <c r="O371" s="339"/>
      <c r="P371" s="339"/>
      <c r="Q371" s="339">
        <f t="shared" si="75"/>
        <v>43095</v>
      </c>
      <c r="R371" s="339">
        <f>(N371+P371)*0.0145</f>
        <v>1885</v>
      </c>
      <c r="S371" s="339"/>
      <c r="T371" s="339">
        <v>14638.32</v>
      </c>
      <c r="U371" s="339">
        <v>610.08000000000004</v>
      </c>
      <c r="V371" s="339"/>
      <c r="W371" s="264">
        <f t="shared" si="70"/>
        <v>190228.4</v>
      </c>
      <c r="X371" s="339">
        <f t="shared" si="71"/>
        <v>0</v>
      </c>
      <c r="Y371" s="339"/>
      <c r="Z371" s="340">
        <f t="shared" si="72"/>
        <v>190228.4</v>
      </c>
      <c r="AA371" s="2">
        <f>[4]HR!$Z512-Z371</f>
        <v>-175240.30916800001</v>
      </c>
    </row>
    <row r="372" spans="1:27" s="236" customFormat="1" ht="12.75" customHeight="1" x14ac:dyDescent="0.2">
      <c r="A372" s="16"/>
      <c r="B372" s="467">
        <v>1</v>
      </c>
      <c r="C372" s="16" t="s">
        <v>569</v>
      </c>
      <c r="D372" s="232"/>
      <c r="E372" s="16" t="s">
        <v>746</v>
      </c>
      <c r="F372" s="16"/>
      <c r="G372" s="16"/>
      <c r="H372" s="16" t="s">
        <v>216</v>
      </c>
      <c r="I372" s="19" t="s">
        <v>20</v>
      </c>
      <c r="J372" s="19" t="s">
        <v>1019</v>
      </c>
      <c r="K372" s="339">
        <v>44.380899999999997</v>
      </c>
      <c r="L372" s="339">
        <v>2080</v>
      </c>
      <c r="M372" s="339"/>
      <c r="N372" s="339">
        <f t="shared" ref="N372:N423" si="78">L372*K372</f>
        <v>92312.271999999997</v>
      </c>
      <c r="O372" s="339"/>
      <c r="P372" s="339"/>
      <c r="Q372" s="339">
        <f t="shared" si="75"/>
        <v>30601.518168000002</v>
      </c>
      <c r="R372" s="339">
        <f t="shared" ref="R372:R391" si="79">N372*0.0145</f>
        <v>1338.5279439999999</v>
      </c>
      <c r="S372" s="339"/>
      <c r="T372" s="339">
        <v>8583.84</v>
      </c>
      <c r="U372" s="339">
        <v>72</v>
      </c>
      <c r="V372" s="339"/>
      <c r="W372" s="725">
        <f t="shared" ref="W372:W423" si="80">SUM(N372:V372)</f>
        <v>132908.158112</v>
      </c>
      <c r="X372" s="339">
        <f t="shared" ref="X372:X423" si="81">IF(Q372&lt;&gt;"",W372*$X$25,0)</f>
        <v>0</v>
      </c>
      <c r="Y372" s="339"/>
      <c r="Z372" s="340">
        <f t="shared" ref="Z372:Z423" si="82">Y372+X372+W372</f>
        <v>132908.158112</v>
      </c>
      <c r="AA372" s="2">
        <f>[4]HR!$Z519-Z372</f>
        <v>67322.646688000008</v>
      </c>
    </row>
    <row r="373" spans="1:27" ht="12.75" customHeight="1" x14ac:dyDescent="0.2">
      <c r="A373" s="16"/>
      <c r="B373" s="467">
        <v>1</v>
      </c>
      <c r="C373" s="16" t="s">
        <v>570</v>
      </c>
      <c r="D373" s="232"/>
      <c r="E373" s="16" t="s">
        <v>747</v>
      </c>
      <c r="F373" s="16"/>
      <c r="G373" s="16"/>
      <c r="H373" s="16" t="s">
        <v>216</v>
      </c>
      <c r="I373" s="19" t="s">
        <v>20</v>
      </c>
      <c r="J373" s="19" t="s">
        <v>1019</v>
      </c>
      <c r="K373" s="339">
        <v>76.923124999999999</v>
      </c>
      <c r="L373" s="339">
        <v>2080</v>
      </c>
      <c r="M373" s="339"/>
      <c r="N373" s="339">
        <f t="shared" si="78"/>
        <v>160000.1</v>
      </c>
      <c r="O373" s="339"/>
      <c r="P373" s="339"/>
      <c r="Q373" s="339">
        <f t="shared" si="75"/>
        <v>53040.033150000003</v>
      </c>
      <c r="R373" s="339">
        <f t="shared" si="79"/>
        <v>2320.0014500000002</v>
      </c>
      <c r="S373" s="339"/>
      <c r="T373" s="339">
        <v>5524.08</v>
      </c>
      <c r="U373" s="339">
        <v>983.52</v>
      </c>
      <c r="V373" s="339"/>
      <c r="W373" s="725">
        <f t="shared" si="80"/>
        <v>221867.7346</v>
      </c>
      <c r="X373" s="339">
        <f t="shared" si="81"/>
        <v>0</v>
      </c>
      <c r="Y373" s="339"/>
      <c r="Z373" s="340">
        <f t="shared" si="82"/>
        <v>221867.7346</v>
      </c>
      <c r="AA373" s="2">
        <f>[4]HR!$Z520-Z373</f>
        <v>-89996.471479999978</v>
      </c>
    </row>
    <row r="374" spans="1:27" s="236" customFormat="1" ht="12.75" customHeight="1" x14ac:dyDescent="0.2">
      <c r="A374" s="16"/>
      <c r="B374" s="467">
        <v>1</v>
      </c>
      <c r="C374" s="16" t="s">
        <v>571</v>
      </c>
      <c r="D374" s="232"/>
      <c r="E374" s="16" t="s">
        <v>748</v>
      </c>
      <c r="F374" s="16"/>
      <c r="G374" s="16"/>
      <c r="H374" s="16" t="s">
        <v>216</v>
      </c>
      <c r="I374" s="19" t="s">
        <v>20</v>
      </c>
      <c r="J374" s="19" t="s">
        <v>1019</v>
      </c>
      <c r="K374" s="339">
        <v>33.659999999999997</v>
      </c>
      <c r="L374" s="339">
        <v>2080</v>
      </c>
      <c r="M374" s="339"/>
      <c r="N374" s="339">
        <f t="shared" si="78"/>
        <v>70012.799999999988</v>
      </c>
      <c r="O374" s="339"/>
      <c r="P374" s="339"/>
      <c r="Q374" s="339">
        <f t="shared" si="75"/>
        <v>23209.243199999997</v>
      </c>
      <c r="R374" s="339">
        <f t="shared" si="79"/>
        <v>1015.1855999999999</v>
      </c>
      <c r="S374" s="339"/>
      <c r="T374" s="339">
        <v>8379.84</v>
      </c>
      <c r="U374" s="339">
        <v>0</v>
      </c>
      <c r="V374" s="339"/>
      <c r="W374" s="725">
        <f t="shared" si="80"/>
        <v>102617.06879999998</v>
      </c>
      <c r="X374" s="339">
        <f t="shared" si="81"/>
        <v>0</v>
      </c>
      <c r="Y374" s="339"/>
      <c r="Z374" s="340">
        <f t="shared" si="82"/>
        <v>102617.06879999998</v>
      </c>
      <c r="AA374" s="2">
        <f>[4]HR!$Z521-Z374</f>
        <v>110613.80544000003</v>
      </c>
    </row>
    <row r="375" spans="1:27" ht="12.75" customHeight="1" x14ac:dyDescent="0.2">
      <c r="A375" s="16"/>
      <c r="B375" s="467">
        <v>1</v>
      </c>
      <c r="C375" s="16" t="s">
        <v>1636</v>
      </c>
      <c r="D375" s="232"/>
      <c r="E375" s="16" t="s">
        <v>752</v>
      </c>
      <c r="F375" s="16"/>
      <c r="G375" s="16"/>
      <c r="H375" s="16" t="s">
        <v>216</v>
      </c>
      <c r="I375" s="19" t="s">
        <v>20</v>
      </c>
      <c r="J375" s="19" t="s">
        <v>46</v>
      </c>
      <c r="K375" s="339">
        <v>108.17307</v>
      </c>
      <c r="L375" s="339">
        <v>2080</v>
      </c>
      <c r="M375" s="339"/>
      <c r="N375" s="339">
        <f t="shared" si="78"/>
        <v>224999.98559999999</v>
      </c>
      <c r="O375" s="339"/>
      <c r="P375" s="339"/>
      <c r="Q375" s="339">
        <f t="shared" si="75"/>
        <v>74587.495226400002</v>
      </c>
      <c r="R375" s="339">
        <f t="shared" si="79"/>
        <v>3262.4997911999999</v>
      </c>
      <c r="S375" s="339"/>
      <c r="T375" s="339">
        <v>15357.6</v>
      </c>
      <c r="U375" s="339">
        <v>983.52</v>
      </c>
      <c r="V375" s="339"/>
      <c r="W375" s="725">
        <f t="shared" si="80"/>
        <v>319191.10061759996</v>
      </c>
      <c r="X375" s="339">
        <f t="shared" si="81"/>
        <v>0</v>
      </c>
      <c r="Y375" s="339"/>
      <c r="Z375" s="340">
        <f t="shared" si="82"/>
        <v>319191.10061759996</v>
      </c>
      <c r="AA375" s="2">
        <f>[4]HR!$Z530-Z375</f>
        <v>-311616.32176959998</v>
      </c>
    </row>
    <row r="376" spans="1:27" ht="12.75" customHeight="1" x14ac:dyDescent="0.2">
      <c r="A376" s="16"/>
      <c r="B376" s="467">
        <v>1</v>
      </c>
      <c r="C376" s="16" t="s">
        <v>572</v>
      </c>
      <c r="D376" s="232"/>
      <c r="E376" s="16" t="s">
        <v>749</v>
      </c>
      <c r="F376" s="16"/>
      <c r="G376" s="16"/>
      <c r="H376" s="16" t="s">
        <v>216</v>
      </c>
      <c r="I376" s="19" t="s">
        <v>20</v>
      </c>
      <c r="J376" s="19" t="s">
        <v>1019</v>
      </c>
      <c r="K376" s="339">
        <v>74.51925</v>
      </c>
      <c r="L376" s="339">
        <v>2080</v>
      </c>
      <c r="M376" s="339"/>
      <c r="N376" s="339">
        <f t="shared" si="78"/>
        <v>155000.04</v>
      </c>
      <c r="O376" s="339"/>
      <c r="P376" s="339"/>
      <c r="Q376" s="339">
        <f t="shared" si="75"/>
        <v>51382.513260000007</v>
      </c>
      <c r="R376" s="339">
        <f t="shared" si="79"/>
        <v>2247.5005800000004</v>
      </c>
      <c r="S376" s="339"/>
      <c r="T376" s="339">
        <v>8367.84</v>
      </c>
      <c r="U376" s="339">
        <v>806.4</v>
      </c>
      <c r="V376" s="339"/>
      <c r="W376" s="725">
        <f t="shared" si="80"/>
        <v>217804.29384</v>
      </c>
      <c r="X376" s="339">
        <f t="shared" si="81"/>
        <v>0</v>
      </c>
      <c r="Y376" s="339"/>
      <c r="Z376" s="340">
        <f t="shared" si="82"/>
        <v>217804.29384</v>
      </c>
      <c r="AA376" s="2">
        <f>[4]HR!$Z522-Z376</f>
        <v>-39019.733840000001</v>
      </c>
    </row>
    <row r="377" spans="1:27" ht="12.75" customHeight="1" x14ac:dyDescent="0.2">
      <c r="A377" s="16"/>
      <c r="B377" s="467">
        <v>1</v>
      </c>
      <c r="C377" s="16" t="s">
        <v>573</v>
      </c>
      <c r="D377" s="232"/>
      <c r="E377" s="16" t="s">
        <v>750</v>
      </c>
      <c r="F377" s="16"/>
      <c r="G377" s="16"/>
      <c r="H377" s="16" t="s">
        <v>216</v>
      </c>
      <c r="I377" s="19" t="s">
        <v>20</v>
      </c>
      <c r="J377" s="19" t="s">
        <v>1019</v>
      </c>
      <c r="K377" s="339">
        <v>42.01</v>
      </c>
      <c r="L377" s="339">
        <v>2080</v>
      </c>
      <c r="M377" s="339"/>
      <c r="N377" s="339">
        <f t="shared" si="78"/>
        <v>87380.800000000003</v>
      </c>
      <c r="O377" s="339"/>
      <c r="P377" s="339"/>
      <c r="Q377" s="339">
        <f t="shared" si="75"/>
        <v>28966.735200000003</v>
      </c>
      <c r="R377" s="339">
        <f t="shared" si="79"/>
        <v>1267.0216</v>
      </c>
      <c r="S377" s="339"/>
      <c r="T377" s="339">
        <v>8379.84</v>
      </c>
      <c r="U377" s="339">
        <v>323.04000000000002</v>
      </c>
      <c r="V377" s="339"/>
      <c r="W377" s="725">
        <f t="shared" si="80"/>
        <v>126317.43680000001</v>
      </c>
      <c r="X377" s="339">
        <f t="shared" si="81"/>
        <v>0</v>
      </c>
      <c r="Y377" s="339"/>
      <c r="Z377" s="340">
        <f t="shared" si="82"/>
        <v>126317.43680000001</v>
      </c>
      <c r="AA377" s="2">
        <f>[4]HR!$Z523-Z377</f>
        <v>59664.273200000011</v>
      </c>
    </row>
    <row r="378" spans="1:27" ht="12.75" customHeight="1" x14ac:dyDescent="0.2">
      <c r="A378" s="16"/>
      <c r="B378" s="467">
        <v>1</v>
      </c>
      <c r="C378" s="16" t="s">
        <v>685</v>
      </c>
      <c r="D378" s="232"/>
      <c r="E378" s="16" t="s">
        <v>1639</v>
      </c>
      <c r="F378" s="16"/>
      <c r="G378" s="16"/>
      <c r="H378" s="16" t="s">
        <v>216</v>
      </c>
      <c r="I378" s="19" t="s">
        <v>20</v>
      </c>
      <c r="J378" s="19" t="s">
        <v>1019</v>
      </c>
      <c r="K378" s="339">
        <v>44.11</v>
      </c>
      <c r="L378" s="339">
        <v>2080</v>
      </c>
      <c r="M378" s="339"/>
      <c r="N378" s="339">
        <f t="shared" si="78"/>
        <v>91748.800000000003</v>
      </c>
      <c r="O378" s="339"/>
      <c r="P378" s="339"/>
      <c r="Q378" s="339">
        <f t="shared" si="75"/>
        <v>30414.727200000001</v>
      </c>
      <c r="R378" s="339">
        <f t="shared" si="79"/>
        <v>1330.3576</v>
      </c>
      <c r="S378" s="339"/>
      <c r="T378" s="339">
        <v>8367.84</v>
      </c>
      <c r="U378" s="339">
        <v>323.04000000000002</v>
      </c>
      <c r="V378" s="339"/>
      <c r="W378" s="264">
        <f t="shared" si="80"/>
        <v>132184.76480000003</v>
      </c>
      <c r="X378" s="339">
        <f t="shared" si="81"/>
        <v>0</v>
      </c>
      <c r="Y378" s="339"/>
      <c r="Z378" s="340">
        <f t="shared" si="82"/>
        <v>132184.76480000003</v>
      </c>
      <c r="AA378" s="2">
        <f>[4]HR!$Z527-Z378</f>
        <v>-128854.86482400003</v>
      </c>
    </row>
    <row r="379" spans="1:27" s="236" customFormat="1" ht="12.75" customHeight="1" x14ac:dyDescent="0.2">
      <c r="A379" s="16"/>
      <c r="B379" s="467">
        <v>1</v>
      </c>
      <c r="C379" s="16" t="s">
        <v>575</v>
      </c>
      <c r="D379" s="232"/>
      <c r="E379" s="16" t="s">
        <v>750</v>
      </c>
      <c r="F379" s="16"/>
      <c r="G379" s="16"/>
      <c r="H379" s="16" t="s">
        <v>216</v>
      </c>
      <c r="I379" s="19" t="s">
        <v>20</v>
      </c>
      <c r="J379" s="19" t="s">
        <v>1019</v>
      </c>
      <c r="K379" s="339">
        <v>44.09</v>
      </c>
      <c r="L379" s="339">
        <v>2080</v>
      </c>
      <c r="M379" s="339"/>
      <c r="N379" s="339">
        <f t="shared" si="78"/>
        <v>91707.200000000012</v>
      </c>
      <c r="O379" s="339"/>
      <c r="P379" s="339"/>
      <c r="Q379" s="339">
        <f t="shared" si="75"/>
        <v>30400.936800000007</v>
      </c>
      <c r="R379" s="339">
        <f t="shared" si="79"/>
        <v>1329.7544000000003</v>
      </c>
      <c r="S379" s="339"/>
      <c r="T379" s="339">
        <v>9664.56</v>
      </c>
      <c r="U379" s="339">
        <v>983.52</v>
      </c>
      <c r="V379" s="339"/>
      <c r="W379" s="725">
        <f t="shared" si="80"/>
        <v>134085.97120000003</v>
      </c>
      <c r="X379" s="339">
        <f t="shared" si="81"/>
        <v>0</v>
      </c>
      <c r="Y379" s="339"/>
      <c r="Z379" s="340">
        <f t="shared" si="82"/>
        <v>134085.97120000003</v>
      </c>
      <c r="AA379" s="2">
        <f>[4]HR!$Z526-Z379</f>
        <v>-124096.27127200003</v>
      </c>
    </row>
    <row r="380" spans="1:27" s="236" customFormat="1" ht="12.75" customHeight="1" x14ac:dyDescent="0.2">
      <c r="A380" s="16"/>
      <c r="B380" s="467">
        <v>1</v>
      </c>
      <c r="C380" s="16" t="s">
        <v>380</v>
      </c>
      <c r="D380" s="232"/>
      <c r="E380" s="16" t="s">
        <v>380</v>
      </c>
      <c r="F380" s="16"/>
      <c r="G380" s="16"/>
      <c r="H380" s="16" t="s">
        <v>216</v>
      </c>
      <c r="I380" s="19" t="s">
        <v>20</v>
      </c>
      <c r="J380" s="19" t="s">
        <v>1019</v>
      </c>
      <c r="K380" s="339">
        <v>0</v>
      </c>
      <c r="L380" s="339"/>
      <c r="M380" s="339"/>
      <c r="N380" s="339">
        <f t="shared" si="78"/>
        <v>0</v>
      </c>
      <c r="O380" s="339"/>
      <c r="P380" s="339"/>
      <c r="Q380" s="339">
        <f t="shared" si="75"/>
        <v>0</v>
      </c>
      <c r="R380" s="339">
        <f t="shared" si="79"/>
        <v>0</v>
      </c>
      <c r="S380" s="339"/>
      <c r="T380" s="339">
        <v>178784.56</v>
      </c>
      <c r="U380" s="339">
        <v>0</v>
      </c>
      <c r="V380" s="339"/>
      <c r="W380" s="264">
        <f t="shared" si="80"/>
        <v>178784.56</v>
      </c>
      <c r="X380" s="339">
        <f t="shared" si="81"/>
        <v>0</v>
      </c>
      <c r="Y380" s="339"/>
      <c r="Z380" s="340">
        <f t="shared" si="82"/>
        <v>178784.56</v>
      </c>
      <c r="AA380" s="2">
        <f>[4]HR!$Z528-Z380</f>
        <v>-177452.60000959999</v>
      </c>
    </row>
    <row r="381" spans="1:27" s="236" customFormat="1" ht="12.75" customHeight="1" x14ac:dyDescent="0.2">
      <c r="A381" s="16"/>
      <c r="B381" s="467">
        <v>1</v>
      </c>
      <c r="C381" s="16" t="s">
        <v>1638</v>
      </c>
      <c r="D381" s="232"/>
      <c r="E381" s="16" t="s">
        <v>1505</v>
      </c>
      <c r="F381" s="16"/>
      <c r="G381" s="16"/>
      <c r="H381" s="16" t="s">
        <v>216</v>
      </c>
      <c r="I381" s="19" t="s">
        <v>20</v>
      </c>
      <c r="J381" s="19" t="s">
        <v>1019</v>
      </c>
      <c r="K381" s="339">
        <f>76.923125*100%</f>
        <v>76.923124999999999</v>
      </c>
      <c r="L381" s="339">
        <v>2080</v>
      </c>
      <c r="M381" s="339"/>
      <c r="N381" s="339">
        <f t="shared" si="78"/>
        <v>160000.1</v>
      </c>
      <c r="O381" s="339"/>
      <c r="P381" s="339"/>
      <c r="Q381" s="339">
        <f t="shared" si="75"/>
        <v>53040.033150000003</v>
      </c>
      <c r="R381" s="339">
        <f t="shared" si="79"/>
        <v>2320.0014500000002</v>
      </c>
      <c r="S381" s="339"/>
      <c r="T381" s="339">
        <v>14710.32</v>
      </c>
      <c r="U381" s="339">
        <v>610.08000000000004</v>
      </c>
      <c r="V381" s="339"/>
      <c r="W381" s="725">
        <f t="shared" si="80"/>
        <v>230680.53460000001</v>
      </c>
      <c r="X381" s="339">
        <f t="shared" si="81"/>
        <v>0</v>
      </c>
      <c r="Y381" s="339"/>
      <c r="Z381" s="340">
        <f t="shared" si="82"/>
        <v>230680.53460000001</v>
      </c>
      <c r="AA381" s="2">
        <f>[4]HR!$Z513-Z381</f>
        <v>-223186.48918400001</v>
      </c>
    </row>
    <row r="382" spans="1:27" s="236" customFormat="1" ht="12.75" customHeight="1" x14ac:dyDescent="0.2">
      <c r="A382" s="16"/>
      <c r="B382" s="103">
        <v>1</v>
      </c>
      <c r="C382" s="16" t="s">
        <v>1212</v>
      </c>
      <c r="D382" s="232"/>
      <c r="E382" s="19" t="s">
        <v>740</v>
      </c>
      <c r="F382" s="19"/>
      <c r="G382" s="16" t="s">
        <v>211</v>
      </c>
      <c r="H382" s="341" t="s">
        <v>216</v>
      </c>
      <c r="I382" s="396" t="s">
        <v>20</v>
      </c>
      <c r="J382" s="19" t="s">
        <v>1019</v>
      </c>
      <c r="K382" s="465">
        <v>86.538460000000001</v>
      </c>
      <c r="L382" s="339">
        <v>2080</v>
      </c>
      <c r="M382" s="339"/>
      <c r="N382" s="339">
        <f t="shared" si="78"/>
        <v>179999.99679999999</v>
      </c>
      <c r="O382" s="339"/>
      <c r="P382" s="339">
        <v>2141.87</v>
      </c>
      <c r="Q382" s="339">
        <f t="shared" si="75"/>
        <v>59669.998939199999</v>
      </c>
      <c r="R382" s="339">
        <f t="shared" si="79"/>
        <v>2609.9999536</v>
      </c>
      <c r="S382" s="339"/>
      <c r="T382" s="339"/>
      <c r="U382" s="339">
        <v>72</v>
      </c>
      <c r="V382" s="339"/>
      <c r="W382" s="725">
        <f t="shared" si="80"/>
        <v>244493.86569279997</v>
      </c>
      <c r="X382" s="339">
        <f t="shared" si="81"/>
        <v>0</v>
      </c>
      <c r="Y382" s="339"/>
      <c r="Z382" s="340">
        <f t="shared" si="82"/>
        <v>244493.86569279997</v>
      </c>
      <c r="AA382" s="2">
        <f>[4]HR!$Z227-Z382</f>
        <v>-232917.82464479998</v>
      </c>
    </row>
    <row r="383" spans="1:27" s="236" customFormat="1" ht="12.75" customHeight="1" x14ac:dyDescent="0.2">
      <c r="A383" s="16"/>
      <c r="B383" s="467">
        <v>1</v>
      </c>
      <c r="C383" s="16" t="s">
        <v>616</v>
      </c>
      <c r="D383" s="232"/>
      <c r="E383" s="16" t="s">
        <v>778</v>
      </c>
      <c r="F383" s="16"/>
      <c r="G383" s="19"/>
      <c r="H383" s="16" t="s">
        <v>216</v>
      </c>
      <c r="I383" s="19" t="s">
        <v>510</v>
      </c>
      <c r="J383" s="19" t="s">
        <v>993</v>
      </c>
      <c r="K383" s="339">
        <f>55.08*25%</f>
        <v>13.77</v>
      </c>
      <c r="L383" s="339">
        <v>2080</v>
      </c>
      <c r="M383" s="339"/>
      <c r="N383" s="339">
        <f t="shared" si="78"/>
        <v>28641.599999999999</v>
      </c>
      <c r="O383" s="339"/>
      <c r="P383" s="339"/>
      <c r="Q383" s="339">
        <f t="shared" si="75"/>
        <v>9494.6903999999995</v>
      </c>
      <c r="R383" s="339">
        <f t="shared" si="79"/>
        <v>415.3032</v>
      </c>
      <c r="S383" s="339"/>
      <c r="T383" s="339"/>
      <c r="U383" s="339"/>
      <c r="V383" s="339"/>
      <c r="W383" s="264">
        <f t="shared" si="80"/>
        <v>38551.5936</v>
      </c>
      <c r="X383" s="339">
        <f t="shared" si="81"/>
        <v>0</v>
      </c>
      <c r="Y383" s="339"/>
      <c r="Z383" s="340">
        <f t="shared" si="82"/>
        <v>38551.5936</v>
      </c>
      <c r="AA383" s="2">
        <f>[4]HR!$Z535-Z383</f>
        <v>-30976.814751999998</v>
      </c>
    </row>
    <row r="384" spans="1:27" s="236" customFormat="1" ht="12.75" customHeight="1" x14ac:dyDescent="0.2">
      <c r="A384" s="16"/>
      <c r="B384" s="467">
        <v>0</v>
      </c>
      <c r="C384" s="16" t="s">
        <v>616</v>
      </c>
      <c r="D384" s="232"/>
      <c r="E384" s="16" t="s">
        <v>778</v>
      </c>
      <c r="F384" s="16"/>
      <c r="G384" s="19"/>
      <c r="H384" s="16" t="s">
        <v>216</v>
      </c>
      <c r="I384" s="19" t="s">
        <v>510</v>
      </c>
      <c r="J384" s="19" t="s">
        <v>927</v>
      </c>
      <c r="K384" s="339">
        <f>55.08*5%</f>
        <v>2.754</v>
      </c>
      <c r="L384" s="339">
        <v>2080</v>
      </c>
      <c r="M384" s="339"/>
      <c r="N384" s="339">
        <f t="shared" si="78"/>
        <v>5728.32</v>
      </c>
      <c r="O384" s="339"/>
      <c r="P384" s="339"/>
      <c r="Q384" s="339">
        <f t="shared" si="75"/>
        <v>1898.9380799999999</v>
      </c>
      <c r="R384" s="339">
        <f t="shared" si="79"/>
        <v>83.060640000000006</v>
      </c>
      <c r="S384" s="339"/>
      <c r="T384" s="339"/>
      <c r="U384" s="339"/>
      <c r="V384" s="339"/>
      <c r="W384" s="264">
        <f t="shared" si="80"/>
        <v>7710.3187199999993</v>
      </c>
      <c r="X384" s="339">
        <f t="shared" si="81"/>
        <v>0</v>
      </c>
      <c r="Y384" s="339"/>
      <c r="Z384" s="340">
        <f t="shared" si="82"/>
        <v>7710.3187199999993</v>
      </c>
      <c r="AA384" s="2">
        <f>[4]HR!$Z536-Z384</f>
        <v>-4680.4071807999999</v>
      </c>
    </row>
    <row r="385" spans="1:27" s="236" customFormat="1" ht="12.75" customHeight="1" x14ac:dyDescent="0.2">
      <c r="A385" s="16"/>
      <c r="B385" s="467">
        <v>0</v>
      </c>
      <c r="C385" s="16" t="s">
        <v>616</v>
      </c>
      <c r="D385" s="232"/>
      <c r="E385" s="16" t="s">
        <v>778</v>
      </c>
      <c r="F385" s="16"/>
      <c r="G385" s="19"/>
      <c r="H385" s="16" t="s">
        <v>216</v>
      </c>
      <c r="I385" s="19" t="s">
        <v>510</v>
      </c>
      <c r="J385" s="19" t="s">
        <v>933</v>
      </c>
      <c r="K385" s="339">
        <f>55.08*5%</f>
        <v>2.754</v>
      </c>
      <c r="L385" s="339">
        <v>2080</v>
      </c>
      <c r="M385" s="339"/>
      <c r="N385" s="339">
        <f t="shared" si="78"/>
        <v>5728.32</v>
      </c>
      <c r="O385" s="339"/>
      <c r="P385" s="339"/>
      <c r="Q385" s="339">
        <f t="shared" si="75"/>
        <v>1898.9380799999999</v>
      </c>
      <c r="R385" s="339">
        <f t="shared" si="79"/>
        <v>83.060640000000006</v>
      </c>
      <c r="S385" s="339"/>
      <c r="T385" s="339"/>
      <c r="U385" s="339"/>
      <c r="V385" s="339"/>
      <c r="W385" s="264">
        <f t="shared" si="80"/>
        <v>7710.3187199999993</v>
      </c>
      <c r="X385" s="339">
        <f t="shared" si="81"/>
        <v>0</v>
      </c>
      <c r="Y385" s="339"/>
      <c r="Z385" s="340">
        <f t="shared" si="82"/>
        <v>7710.3187199999993</v>
      </c>
      <c r="AA385" s="2">
        <f>[4]HR!$Z537-Z385</f>
        <v>-4680.4071807999999</v>
      </c>
    </row>
    <row r="386" spans="1:27" s="236" customFormat="1" ht="12.75" customHeight="1" x14ac:dyDescent="0.2">
      <c r="A386" s="16"/>
      <c r="B386" s="467">
        <v>0</v>
      </c>
      <c r="C386" s="16" t="s">
        <v>616</v>
      </c>
      <c r="D386" s="232"/>
      <c r="E386" s="16" t="s">
        <v>778</v>
      </c>
      <c r="F386" s="16"/>
      <c r="G386" s="19"/>
      <c r="H386" s="16" t="s">
        <v>216</v>
      </c>
      <c r="I386" s="19" t="s">
        <v>510</v>
      </c>
      <c r="J386" s="19" t="s">
        <v>1360</v>
      </c>
      <c r="K386" s="339">
        <f>55.08*5%</f>
        <v>2.754</v>
      </c>
      <c r="L386" s="339">
        <v>2080</v>
      </c>
      <c r="M386" s="339"/>
      <c r="N386" s="339">
        <f t="shared" si="78"/>
        <v>5728.32</v>
      </c>
      <c r="O386" s="339"/>
      <c r="P386" s="339"/>
      <c r="Q386" s="339">
        <f t="shared" si="75"/>
        <v>1898.9380799999999</v>
      </c>
      <c r="R386" s="339">
        <f t="shared" si="79"/>
        <v>83.060640000000006</v>
      </c>
      <c r="S386" s="339"/>
      <c r="T386" s="339"/>
      <c r="U386" s="339"/>
      <c r="V386" s="339"/>
      <c r="W386" s="264">
        <f t="shared" si="80"/>
        <v>7710.3187199999993</v>
      </c>
      <c r="X386" s="339">
        <f t="shared" si="81"/>
        <v>0</v>
      </c>
      <c r="Y386" s="339"/>
      <c r="Z386" s="340">
        <f t="shared" si="82"/>
        <v>7710.3187199999993</v>
      </c>
      <c r="AA386" s="2">
        <f>[4]HR!$Z538-Z386</f>
        <v>-135.53987199999938</v>
      </c>
    </row>
    <row r="387" spans="1:27" s="236" customFormat="1" ht="12.75" customHeight="1" x14ac:dyDescent="0.2">
      <c r="A387" s="16"/>
      <c r="B387" s="467">
        <v>0</v>
      </c>
      <c r="C387" s="16" t="s">
        <v>616</v>
      </c>
      <c r="D387" s="232"/>
      <c r="E387" s="16" t="s">
        <v>778</v>
      </c>
      <c r="F387" s="16"/>
      <c r="G387" s="19"/>
      <c r="H387" s="16" t="s">
        <v>216</v>
      </c>
      <c r="I387" s="19" t="s">
        <v>510</v>
      </c>
      <c r="J387" s="19" t="s">
        <v>994</v>
      </c>
      <c r="K387" s="339">
        <f>55.08*5%</f>
        <v>2.754</v>
      </c>
      <c r="L387" s="339">
        <v>2080</v>
      </c>
      <c r="M387" s="339"/>
      <c r="N387" s="339">
        <f t="shared" si="78"/>
        <v>5728.32</v>
      </c>
      <c r="O387" s="339"/>
      <c r="P387" s="339"/>
      <c r="Q387" s="339">
        <f t="shared" si="75"/>
        <v>1898.9380799999999</v>
      </c>
      <c r="R387" s="339">
        <f t="shared" si="79"/>
        <v>83.060640000000006</v>
      </c>
      <c r="S387" s="339"/>
      <c r="T387" s="339"/>
      <c r="U387" s="339"/>
      <c r="V387" s="339"/>
      <c r="W387" s="264">
        <f t="shared" si="80"/>
        <v>7710.3187199999993</v>
      </c>
      <c r="X387" s="339">
        <f t="shared" si="81"/>
        <v>0</v>
      </c>
      <c r="Y387" s="339"/>
      <c r="Z387" s="340">
        <f t="shared" si="82"/>
        <v>7710.3187199999993</v>
      </c>
      <c r="AA387" s="2">
        <f>[4]HR!$Z539-Z387</f>
        <v>42283.221676799993</v>
      </c>
    </row>
    <row r="388" spans="1:27" s="236" customFormat="1" ht="12.75" customHeight="1" x14ac:dyDescent="0.2">
      <c r="A388" s="16"/>
      <c r="B388" s="467">
        <v>0</v>
      </c>
      <c r="C388" s="16" t="s">
        <v>616</v>
      </c>
      <c r="D388" s="232"/>
      <c r="E388" s="16" t="s">
        <v>778</v>
      </c>
      <c r="F388" s="16"/>
      <c r="G388" s="19"/>
      <c r="H388" s="16" t="s">
        <v>216</v>
      </c>
      <c r="I388" s="19" t="s">
        <v>510</v>
      </c>
      <c r="J388" s="19" t="s">
        <v>1003</v>
      </c>
      <c r="K388" s="339">
        <f>55.08*2%</f>
        <v>1.1015999999999999</v>
      </c>
      <c r="L388" s="339">
        <v>2080</v>
      </c>
      <c r="M388" s="339"/>
      <c r="N388" s="339">
        <f t="shared" si="78"/>
        <v>2291.328</v>
      </c>
      <c r="O388" s="339"/>
      <c r="P388" s="339"/>
      <c r="Q388" s="339">
        <f t="shared" si="75"/>
        <v>759.57523200000003</v>
      </c>
      <c r="R388" s="339">
        <f t="shared" si="79"/>
        <v>33.224256000000004</v>
      </c>
      <c r="S388" s="339"/>
      <c r="T388" s="339"/>
      <c r="U388" s="339"/>
      <c r="V388" s="339"/>
      <c r="W388" s="264">
        <f t="shared" si="80"/>
        <v>3084.1274880000001</v>
      </c>
      <c r="X388" s="339">
        <f t="shared" si="81"/>
        <v>0</v>
      </c>
      <c r="Y388" s="339"/>
      <c r="Z388" s="340">
        <f t="shared" si="82"/>
        <v>3084.1274880000001</v>
      </c>
      <c r="AA388" s="2">
        <f>[4]HR!$Z540-Z388</f>
        <v>8696.9840511999992</v>
      </c>
    </row>
    <row r="389" spans="1:27" s="236" customFormat="1" ht="12.75" customHeight="1" x14ac:dyDescent="0.2">
      <c r="A389" s="16"/>
      <c r="B389" s="467">
        <v>0</v>
      </c>
      <c r="C389" s="16" t="s">
        <v>616</v>
      </c>
      <c r="D389" s="232"/>
      <c r="E389" s="16" t="s">
        <v>778</v>
      </c>
      <c r="F389" s="16"/>
      <c r="G389" s="19"/>
      <c r="H389" s="16" t="s">
        <v>216</v>
      </c>
      <c r="I389" s="19" t="s">
        <v>510</v>
      </c>
      <c r="J389" s="19" t="s">
        <v>990</v>
      </c>
      <c r="K389" s="339">
        <f>55.08*5%</f>
        <v>2.754</v>
      </c>
      <c r="L389" s="339">
        <v>2080</v>
      </c>
      <c r="M389" s="339"/>
      <c r="N389" s="339">
        <f t="shared" si="78"/>
        <v>5728.32</v>
      </c>
      <c r="O389" s="339"/>
      <c r="P389" s="339"/>
      <c r="Q389" s="339">
        <f t="shared" ref="Q389:Q458" si="83">N389*0.3315</f>
        <v>1898.9380799999999</v>
      </c>
      <c r="R389" s="339">
        <f t="shared" si="79"/>
        <v>83.060640000000006</v>
      </c>
      <c r="S389" s="339"/>
      <c r="T389" s="339"/>
      <c r="U389" s="339"/>
      <c r="V389" s="339"/>
      <c r="W389" s="264">
        <f t="shared" si="80"/>
        <v>7710.3187199999993</v>
      </c>
      <c r="X389" s="339">
        <f t="shared" si="81"/>
        <v>0</v>
      </c>
      <c r="Y389" s="339"/>
      <c r="Z389" s="340">
        <f t="shared" si="82"/>
        <v>7710.3187199999993</v>
      </c>
      <c r="AA389" s="2">
        <f>[4]HR!$Z541-Z389</f>
        <v>-4680.4071807999999</v>
      </c>
    </row>
    <row r="390" spans="1:27" s="236" customFormat="1" ht="12.75" customHeight="1" x14ac:dyDescent="0.2">
      <c r="A390" s="16"/>
      <c r="B390" s="467">
        <v>0</v>
      </c>
      <c r="C390" s="16" t="s">
        <v>616</v>
      </c>
      <c r="D390" s="232"/>
      <c r="E390" s="16" t="s">
        <v>778</v>
      </c>
      <c r="F390" s="16"/>
      <c r="G390" s="19"/>
      <c r="H390" s="16" t="s">
        <v>216</v>
      </c>
      <c r="I390" s="19" t="s">
        <v>510</v>
      </c>
      <c r="J390" s="19" t="s">
        <v>995</v>
      </c>
      <c r="K390" s="339">
        <f>55.08*2%</f>
        <v>1.1015999999999999</v>
      </c>
      <c r="L390" s="339">
        <v>2080</v>
      </c>
      <c r="M390" s="339"/>
      <c r="N390" s="339">
        <f t="shared" si="78"/>
        <v>2291.328</v>
      </c>
      <c r="O390" s="339"/>
      <c r="P390" s="339"/>
      <c r="Q390" s="339">
        <f t="shared" si="83"/>
        <v>759.57523200000003</v>
      </c>
      <c r="R390" s="339">
        <f t="shared" si="79"/>
        <v>33.224256000000004</v>
      </c>
      <c r="S390" s="339"/>
      <c r="T390" s="339"/>
      <c r="U390" s="339"/>
      <c r="V390" s="339"/>
      <c r="W390" s="264">
        <f t="shared" si="80"/>
        <v>3084.1274880000001</v>
      </c>
      <c r="X390" s="339">
        <f t="shared" si="81"/>
        <v>0</v>
      </c>
      <c r="Y390" s="339"/>
      <c r="Z390" s="340">
        <f t="shared" si="82"/>
        <v>3084.1274880000001</v>
      </c>
      <c r="AA390" s="2">
        <f>[4]HR!$Z542-Z390</f>
        <v>-54.21594880000066</v>
      </c>
    </row>
    <row r="391" spans="1:27" s="236" customFormat="1" ht="12.75" customHeight="1" x14ac:dyDescent="0.2">
      <c r="A391" s="16"/>
      <c r="B391" s="467">
        <v>0</v>
      </c>
      <c r="C391" s="16" t="s">
        <v>616</v>
      </c>
      <c r="D391" s="232"/>
      <c r="E391" s="16" t="s">
        <v>778</v>
      </c>
      <c r="F391" s="16"/>
      <c r="G391" s="19"/>
      <c r="H391" s="16" t="s">
        <v>216</v>
      </c>
      <c r="I391" s="19" t="s">
        <v>510</v>
      </c>
      <c r="J391" s="19" t="s">
        <v>957</v>
      </c>
      <c r="K391" s="339">
        <f>55.08*2%</f>
        <v>1.1015999999999999</v>
      </c>
      <c r="L391" s="339">
        <v>2080</v>
      </c>
      <c r="M391" s="339"/>
      <c r="N391" s="339">
        <f t="shared" si="78"/>
        <v>2291.328</v>
      </c>
      <c r="O391" s="339"/>
      <c r="P391" s="339"/>
      <c r="Q391" s="339">
        <f t="shared" si="83"/>
        <v>759.57523200000003</v>
      </c>
      <c r="R391" s="339">
        <f t="shared" si="79"/>
        <v>33.224256000000004</v>
      </c>
      <c r="S391" s="339"/>
      <c r="T391" s="339"/>
      <c r="U391" s="339"/>
      <c r="V391" s="339"/>
      <c r="W391" s="264">
        <f t="shared" si="80"/>
        <v>3084.1274880000001</v>
      </c>
      <c r="X391" s="339">
        <f t="shared" si="81"/>
        <v>0</v>
      </c>
      <c r="Y391" s="339"/>
      <c r="Z391" s="340">
        <f t="shared" si="82"/>
        <v>3084.1274880000001</v>
      </c>
      <c r="AA391" s="2">
        <f>[4]HR!$Z543-Z391</f>
        <v>89580.855936000007</v>
      </c>
    </row>
    <row r="392" spans="1:27" s="236" customFormat="1" ht="12.75" customHeight="1" x14ac:dyDescent="0.2">
      <c r="A392" s="16"/>
      <c r="B392" s="467">
        <v>0</v>
      </c>
      <c r="C392" s="16" t="s">
        <v>616</v>
      </c>
      <c r="D392" s="232"/>
      <c r="E392" s="16" t="s">
        <v>778</v>
      </c>
      <c r="F392" s="16"/>
      <c r="G392" s="19"/>
      <c r="H392" s="16" t="s">
        <v>216</v>
      </c>
      <c r="I392" s="19" t="s">
        <v>510</v>
      </c>
      <c r="J392" s="19" t="s">
        <v>113</v>
      </c>
      <c r="K392" s="339">
        <f>55.08*5%</f>
        <v>2.754</v>
      </c>
      <c r="L392" s="339">
        <v>2080</v>
      </c>
      <c r="M392" s="339"/>
      <c r="N392" s="339">
        <f t="shared" si="78"/>
        <v>5728.32</v>
      </c>
      <c r="O392" s="339"/>
      <c r="P392" s="339"/>
      <c r="Q392" s="339">
        <f t="shared" si="83"/>
        <v>1898.9380799999999</v>
      </c>
      <c r="R392" s="339">
        <f t="shared" ref="R392:R423" si="84">N392*0.0145</f>
        <v>83.060640000000006</v>
      </c>
      <c r="S392" s="339"/>
      <c r="T392" s="339"/>
      <c r="U392" s="339"/>
      <c r="V392" s="339"/>
      <c r="W392" s="264">
        <f t="shared" si="80"/>
        <v>7710.3187199999993</v>
      </c>
      <c r="X392" s="339">
        <f t="shared" si="81"/>
        <v>0</v>
      </c>
      <c r="Y392" s="339"/>
      <c r="Z392" s="340">
        <f t="shared" si="82"/>
        <v>7710.3187199999993</v>
      </c>
      <c r="AA392" s="2">
        <f>[4]HR!$Z544-Z392</f>
        <v>-1918.757255999999</v>
      </c>
    </row>
    <row r="393" spans="1:27" s="236" customFormat="1" ht="12.75" customHeight="1" x14ac:dyDescent="0.2">
      <c r="A393" s="16"/>
      <c r="B393" s="467">
        <v>0</v>
      </c>
      <c r="C393" s="16" t="s">
        <v>616</v>
      </c>
      <c r="D393" s="232"/>
      <c r="E393" s="16" t="s">
        <v>778</v>
      </c>
      <c r="F393" s="16"/>
      <c r="G393" s="19"/>
      <c r="H393" s="16" t="s">
        <v>216</v>
      </c>
      <c r="I393" s="19" t="s">
        <v>510</v>
      </c>
      <c r="J393" s="19" t="s">
        <v>1049</v>
      </c>
      <c r="K393" s="339">
        <f>55.08*33%</f>
        <v>18.176400000000001</v>
      </c>
      <c r="L393" s="339">
        <v>2080</v>
      </c>
      <c r="M393" s="339"/>
      <c r="N393" s="339">
        <f t="shared" si="78"/>
        <v>37806.912000000004</v>
      </c>
      <c r="O393" s="339"/>
      <c r="P393" s="339"/>
      <c r="Q393" s="339">
        <f t="shared" si="83"/>
        <v>12532.991328000002</v>
      </c>
      <c r="R393" s="339">
        <f t="shared" si="84"/>
        <v>548.20022400000005</v>
      </c>
      <c r="S393" s="339"/>
      <c r="T393" s="339"/>
      <c r="U393" s="339"/>
      <c r="V393" s="339"/>
      <c r="W393" s="264">
        <f t="shared" si="80"/>
        <v>50888.103552000008</v>
      </c>
      <c r="X393" s="339">
        <f t="shared" si="81"/>
        <v>0</v>
      </c>
      <c r="Y393" s="339"/>
      <c r="Z393" s="340">
        <f t="shared" si="82"/>
        <v>50888.103552000008</v>
      </c>
      <c r="AA393" s="2">
        <f>[4]HR!$Z545-Z393</f>
        <v>-45096.542088000009</v>
      </c>
    </row>
    <row r="394" spans="1:27" s="236" customFormat="1" ht="12.75" customHeight="1" x14ac:dyDescent="0.2">
      <c r="A394" s="16"/>
      <c r="B394" s="467">
        <v>0</v>
      </c>
      <c r="C394" s="16" t="s">
        <v>616</v>
      </c>
      <c r="D394" s="232"/>
      <c r="E394" s="16" t="s">
        <v>778</v>
      </c>
      <c r="F394" s="16"/>
      <c r="G394" s="19"/>
      <c r="H394" s="16" t="s">
        <v>216</v>
      </c>
      <c r="I394" s="19" t="s">
        <v>510</v>
      </c>
      <c r="J394" s="19" t="s">
        <v>947</v>
      </c>
      <c r="K394" s="339">
        <f>55.08*2%</f>
        <v>1.1015999999999999</v>
      </c>
      <c r="L394" s="339">
        <v>2080</v>
      </c>
      <c r="M394" s="339"/>
      <c r="N394" s="339">
        <f t="shared" si="78"/>
        <v>2291.328</v>
      </c>
      <c r="O394" s="339"/>
      <c r="P394" s="339"/>
      <c r="Q394" s="339">
        <f t="shared" si="83"/>
        <v>759.57523200000003</v>
      </c>
      <c r="R394" s="339">
        <f t="shared" si="84"/>
        <v>33.224256000000004</v>
      </c>
      <c r="S394" s="339"/>
      <c r="T394" s="339">
        <v>8379.84</v>
      </c>
      <c r="U394" s="339">
        <v>323.04000000000002</v>
      </c>
      <c r="V394" s="339"/>
      <c r="W394" s="264">
        <f t="shared" si="80"/>
        <v>11787.007488000001</v>
      </c>
      <c r="X394" s="339">
        <f t="shared" si="81"/>
        <v>0</v>
      </c>
      <c r="Y394" s="339"/>
      <c r="Z394" s="340">
        <f t="shared" si="82"/>
        <v>11787.007488000001</v>
      </c>
      <c r="AA394" s="2">
        <f>[4]HR!$Z546-Z394</f>
        <v>-5995.4460240000008</v>
      </c>
    </row>
    <row r="395" spans="1:27" s="236" customFormat="1" ht="12.75" customHeight="1" x14ac:dyDescent="0.2">
      <c r="A395" s="16"/>
      <c r="B395" s="467">
        <v>0</v>
      </c>
      <c r="C395" s="16" t="s">
        <v>616</v>
      </c>
      <c r="D395" s="232"/>
      <c r="E395" s="16" t="s">
        <v>778</v>
      </c>
      <c r="F395" s="16"/>
      <c r="G395" s="19"/>
      <c r="H395" s="16" t="s">
        <v>216</v>
      </c>
      <c r="I395" s="19" t="s">
        <v>510</v>
      </c>
      <c r="J395" s="19" t="s">
        <v>1039</v>
      </c>
      <c r="K395" s="339">
        <f>55.08*2%</f>
        <v>1.1015999999999999</v>
      </c>
      <c r="L395" s="339">
        <v>2080</v>
      </c>
      <c r="M395" s="339"/>
      <c r="N395" s="339">
        <f t="shared" si="78"/>
        <v>2291.328</v>
      </c>
      <c r="O395" s="339"/>
      <c r="P395" s="339"/>
      <c r="Q395" s="339">
        <f t="shared" si="83"/>
        <v>759.57523200000003</v>
      </c>
      <c r="R395" s="339">
        <f t="shared" si="84"/>
        <v>33.224256000000004</v>
      </c>
      <c r="S395" s="339"/>
      <c r="T395" s="339"/>
      <c r="U395" s="339"/>
      <c r="V395" s="339"/>
      <c r="W395" s="264">
        <f t="shared" si="80"/>
        <v>3084.1274880000001</v>
      </c>
      <c r="X395" s="339">
        <f t="shared" si="81"/>
        <v>0</v>
      </c>
      <c r="Y395" s="339"/>
      <c r="Z395" s="340">
        <f t="shared" si="82"/>
        <v>3084.1274880000001</v>
      </c>
      <c r="AA395" s="2">
        <f>[4]HR!$Z547-Z395</f>
        <v>11834.593976</v>
      </c>
    </row>
    <row r="396" spans="1:27" s="236" customFormat="1" ht="12.75" customHeight="1" x14ac:dyDescent="0.2">
      <c r="A396" s="16"/>
      <c r="B396" s="467">
        <v>0</v>
      </c>
      <c r="C396" s="16" t="s">
        <v>616</v>
      </c>
      <c r="D396" s="232"/>
      <c r="E396" s="16" t="s">
        <v>778</v>
      </c>
      <c r="F396" s="16"/>
      <c r="G396" s="19"/>
      <c r="H396" s="16" t="s">
        <v>216</v>
      </c>
      <c r="I396" s="19" t="s">
        <v>510</v>
      </c>
      <c r="J396" s="19" t="s">
        <v>958</v>
      </c>
      <c r="K396" s="339">
        <f>55.08*2%</f>
        <v>1.1015999999999999</v>
      </c>
      <c r="L396" s="339">
        <v>2080</v>
      </c>
      <c r="M396" s="339"/>
      <c r="N396" s="339">
        <f t="shared" si="78"/>
        <v>2291.328</v>
      </c>
      <c r="O396" s="339"/>
      <c r="P396" s="339"/>
      <c r="Q396" s="339">
        <f t="shared" si="83"/>
        <v>759.57523200000003</v>
      </c>
      <c r="R396" s="339">
        <f t="shared" si="84"/>
        <v>33.224256000000004</v>
      </c>
      <c r="S396" s="339"/>
      <c r="T396" s="339"/>
      <c r="U396" s="339"/>
      <c r="V396" s="339"/>
      <c r="W396" s="264">
        <f t="shared" si="80"/>
        <v>3084.1274880000001</v>
      </c>
      <c r="X396" s="339">
        <f t="shared" si="81"/>
        <v>0</v>
      </c>
      <c r="Y396" s="339"/>
      <c r="Z396" s="340">
        <f t="shared" si="82"/>
        <v>3084.1274880000001</v>
      </c>
      <c r="AA396" s="2">
        <f>[4]HR!$Z548-Z396</f>
        <v>86273.486918399998</v>
      </c>
    </row>
    <row r="397" spans="1:27" s="236" customFormat="1" ht="12.75" customHeight="1" x14ac:dyDescent="0.2">
      <c r="A397" s="16"/>
      <c r="B397" s="467">
        <v>1</v>
      </c>
      <c r="C397" s="16" t="s">
        <v>617</v>
      </c>
      <c r="D397" s="232"/>
      <c r="E397" s="16" t="s">
        <v>779</v>
      </c>
      <c r="F397" s="16"/>
      <c r="G397" s="19"/>
      <c r="H397" s="16" t="s">
        <v>216</v>
      </c>
      <c r="I397" s="19" t="s">
        <v>510</v>
      </c>
      <c r="J397" s="19" t="s">
        <v>947</v>
      </c>
      <c r="K397" s="339">
        <f>42.12*80%</f>
        <v>33.695999999999998</v>
      </c>
      <c r="L397" s="339">
        <v>2080</v>
      </c>
      <c r="M397" s="339"/>
      <c r="N397" s="339">
        <f t="shared" si="78"/>
        <v>70087.679999999993</v>
      </c>
      <c r="O397" s="339"/>
      <c r="P397" s="339"/>
      <c r="Q397" s="339">
        <f t="shared" si="83"/>
        <v>23234.065919999997</v>
      </c>
      <c r="R397" s="339">
        <f t="shared" si="84"/>
        <v>1016.27136</v>
      </c>
      <c r="S397" s="339"/>
      <c r="T397" s="339"/>
      <c r="U397" s="339"/>
      <c r="V397" s="339"/>
      <c r="W397" s="264">
        <f t="shared" si="80"/>
        <v>94338.017279999985</v>
      </c>
      <c r="X397" s="339">
        <f t="shared" si="81"/>
        <v>0</v>
      </c>
      <c r="Y397" s="339"/>
      <c r="Z397" s="340">
        <f t="shared" si="82"/>
        <v>94338.017279999985</v>
      </c>
      <c r="AA397" s="2">
        <f>[4]HR!$Z549-Z397</f>
        <v>-38834.040127999986</v>
      </c>
    </row>
    <row r="398" spans="1:27" s="236" customFormat="1" ht="12.75" customHeight="1" x14ac:dyDescent="0.2">
      <c r="A398" s="16"/>
      <c r="B398" s="467">
        <v>0</v>
      </c>
      <c r="C398" s="16" t="s">
        <v>617</v>
      </c>
      <c r="D398" s="232"/>
      <c r="E398" s="16" t="s">
        <v>779</v>
      </c>
      <c r="F398" s="16"/>
      <c r="G398" s="19"/>
      <c r="H398" s="16" t="s">
        <v>216</v>
      </c>
      <c r="I398" s="19" t="s">
        <v>510</v>
      </c>
      <c r="J398" s="19" t="s">
        <v>113</v>
      </c>
      <c r="K398" s="339">
        <f>42.12*5%</f>
        <v>2.1059999999999999</v>
      </c>
      <c r="L398" s="339">
        <v>2080</v>
      </c>
      <c r="M398" s="339"/>
      <c r="N398" s="339">
        <f t="shared" si="78"/>
        <v>4380.4799999999996</v>
      </c>
      <c r="O398" s="339"/>
      <c r="P398" s="339"/>
      <c r="Q398" s="339">
        <f t="shared" si="83"/>
        <v>1452.1291199999998</v>
      </c>
      <c r="R398" s="339">
        <f t="shared" si="84"/>
        <v>63.516959999999997</v>
      </c>
      <c r="S398" s="339"/>
      <c r="T398" s="339"/>
      <c r="U398" s="339"/>
      <c r="V398" s="339"/>
      <c r="W398" s="264">
        <f t="shared" si="80"/>
        <v>5896.1260799999991</v>
      </c>
      <c r="X398" s="339">
        <f t="shared" si="81"/>
        <v>0</v>
      </c>
      <c r="Y398" s="339"/>
      <c r="Z398" s="340">
        <f t="shared" si="82"/>
        <v>5896.1260799999991</v>
      </c>
      <c r="AA398" s="2">
        <f>[4]HR!$Z550-Z398</f>
        <v>5842.7982080000011</v>
      </c>
    </row>
    <row r="399" spans="1:27" s="236" customFormat="1" ht="12.75" customHeight="1" x14ac:dyDescent="0.2">
      <c r="A399" s="16"/>
      <c r="B399" s="467">
        <v>0</v>
      </c>
      <c r="C399" s="16" t="s">
        <v>617</v>
      </c>
      <c r="D399" s="232"/>
      <c r="E399" s="16" t="s">
        <v>779</v>
      </c>
      <c r="F399" s="16"/>
      <c r="G399" s="19"/>
      <c r="H399" s="16" t="s">
        <v>216</v>
      </c>
      <c r="I399" s="19" t="s">
        <v>510</v>
      </c>
      <c r="J399" s="19" t="s">
        <v>925</v>
      </c>
      <c r="K399" s="339">
        <f>42.12*5%</f>
        <v>2.1059999999999999</v>
      </c>
      <c r="L399" s="339">
        <v>2080</v>
      </c>
      <c r="M399" s="339"/>
      <c r="N399" s="339">
        <f t="shared" si="78"/>
        <v>4380.4799999999996</v>
      </c>
      <c r="O399" s="339"/>
      <c r="P399" s="339"/>
      <c r="Q399" s="339">
        <f t="shared" si="83"/>
        <v>1452.1291199999998</v>
      </c>
      <c r="R399" s="339">
        <f t="shared" si="84"/>
        <v>63.516959999999997</v>
      </c>
      <c r="S399" s="339"/>
      <c r="T399" s="339"/>
      <c r="U399" s="339"/>
      <c r="V399" s="339"/>
      <c r="W399" s="264">
        <f t="shared" si="80"/>
        <v>5896.1260799999991</v>
      </c>
      <c r="X399" s="339">
        <f t="shared" si="81"/>
        <v>0</v>
      </c>
      <c r="Y399" s="339"/>
      <c r="Z399" s="340">
        <f t="shared" si="82"/>
        <v>5896.1260799999991</v>
      </c>
      <c r="AA399" s="2">
        <f>[4]HR!$Z551-Z399</f>
        <v>50825.977599999991</v>
      </c>
    </row>
    <row r="400" spans="1:27" s="236" customFormat="1" ht="12.75" customHeight="1" x14ac:dyDescent="0.2">
      <c r="A400" s="16"/>
      <c r="B400" s="467">
        <v>0</v>
      </c>
      <c r="C400" s="16" t="s">
        <v>617</v>
      </c>
      <c r="D400" s="232"/>
      <c r="E400" s="16" t="s">
        <v>779</v>
      </c>
      <c r="F400" s="16"/>
      <c r="G400" s="19"/>
      <c r="H400" s="16" t="s">
        <v>216</v>
      </c>
      <c r="I400" s="19" t="s">
        <v>510</v>
      </c>
      <c r="J400" s="19" t="s">
        <v>924</v>
      </c>
      <c r="K400" s="339">
        <f>42.12*5%</f>
        <v>2.1059999999999999</v>
      </c>
      <c r="L400" s="339">
        <v>2080</v>
      </c>
      <c r="M400" s="339"/>
      <c r="N400" s="339">
        <f t="shared" si="78"/>
        <v>4380.4799999999996</v>
      </c>
      <c r="O400" s="339"/>
      <c r="P400" s="339"/>
      <c r="Q400" s="339">
        <f t="shared" si="83"/>
        <v>1452.1291199999998</v>
      </c>
      <c r="R400" s="339">
        <f t="shared" si="84"/>
        <v>63.516959999999997</v>
      </c>
      <c r="S400" s="339"/>
      <c r="T400" s="339"/>
      <c r="U400" s="339"/>
      <c r="V400" s="339"/>
      <c r="W400" s="264">
        <f t="shared" si="80"/>
        <v>5896.1260799999991</v>
      </c>
      <c r="X400" s="339">
        <f t="shared" si="81"/>
        <v>0</v>
      </c>
      <c r="Y400" s="339"/>
      <c r="Z400" s="340">
        <f t="shared" si="82"/>
        <v>5896.1260799999991</v>
      </c>
      <c r="AA400" s="2">
        <f>[4]HR!$Z552-Z400</f>
        <v>45348.357599999996</v>
      </c>
    </row>
    <row r="401" spans="1:27" s="236" customFormat="1" ht="12.75" customHeight="1" x14ac:dyDescent="0.2">
      <c r="A401" s="16"/>
      <c r="B401" s="467">
        <v>0</v>
      </c>
      <c r="C401" s="16" t="s">
        <v>617</v>
      </c>
      <c r="D401" s="232"/>
      <c r="E401" s="16" t="s">
        <v>779</v>
      </c>
      <c r="F401" s="16"/>
      <c r="G401" s="19"/>
      <c r="H401" s="16" t="s">
        <v>216</v>
      </c>
      <c r="I401" s="19" t="s">
        <v>510</v>
      </c>
      <c r="J401" s="19" t="s">
        <v>924</v>
      </c>
      <c r="K401" s="339">
        <f>42.12*5%</f>
        <v>2.1059999999999999</v>
      </c>
      <c r="L401" s="339">
        <v>2080</v>
      </c>
      <c r="M401" s="339"/>
      <c r="N401" s="339">
        <f t="shared" si="78"/>
        <v>4380.4799999999996</v>
      </c>
      <c r="O401" s="339"/>
      <c r="P401" s="339"/>
      <c r="Q401" s="339">
        <f t="shared" si="83"/>
        <v>1452.1291199999998</v>
      </c>
      <c r="R401" s="339">
        <f t="shared" si="84"/>
        <v>63.516959999999997</v>
      </c>
      <c r="S401" s="339"/>
      <c r="T401" s="339">
        <v>8439.84</v>
      </c>
      <c r="U401" s="339">
        <v>702.48</v>
      </c>
      <c r="V401" s="339"/>
      <c r="W401" s="264">
        <f t="shared" si="80"/>
        <v>15038.446079999998</v>
      </c>
      <c r="X401" s="339">
        <f t="shared" si="81"/>
        <v>0</v>
      </c>
      <c r="Y401" s="339"/>
      <c r="Z401" s="340">
        <f t="shared" si="82"/>
        <v>15038.446079999998</v>
      </c>
      <c r="AA401" s="2">
        <f>[4]HR!$Z553-Z401</f>
        <v>20016.859920000006</v>
      </c>
    </row>
    <row r="402" spans="1:27" s="236" customFormat="1" ht="12.75" customHeight="1" x14ac:dyDescent="0.2">
      <c r="A402" s="16"/>
      <c r="B402" s="467">
        <v>1</v>
      </c>
      <c r="C402" s="16" t="s">
        <v>618</v>
      </c>
      <c r="D402" s="232"/>
      <c r="E402" s="16" t="s">
        <v>771</v>
      </c>
      <c r="F402" s="16"/>
      <c r="G402" s="19"/>
      <c r="H402" s="16" t="s">
        <v>216</v>
      </c>
      <c r="I402" s="19" t="s">
        <v>510</v>
      </c>
      <c r="J402" s="19" t="s">
        <v>993</v>
      </c>
      <c r="K402" s="339">
        <v>26.87</v>
      </c>
      <c r="L402" s="339">
        <v>2080</v>
      </c>
      <c r="M402" s="339"/>
      <c r="N402" s="339">
        <f t="shared" si="78"/>
        <v>55889.599999999999</v>
      </c>
      <c r="O402" s="339"/>
      <c r="P402" s="339"/>
      <c r="Q402" s="339">
        <f t="shared" si="83"/>
        <v>18527.402399999999</v>
      </c>
      <c r="R402" s="339">
        <f t="shared" si="84"/>
        <v>810.39920000000006</v>
      </c>
      <c r="S402" s="339"/>
      <c r="T402" s="339">
        <v>8367.84</v>
      </c>
      <c r="U402" s="339">
        <v>323.04000000000002</v>
      </c>
      <c r="V402" s="339"/>
      <c r="W402" s="264">
        <f t="shared" si="80"/>
        <v>83918.281599999988</v>
      </c>
      <c r="X402" s="339">
        <f t="shared" si="81"/>
        <v>0</v>
      </c>
      <c r="Y402" s="339"/>
      <c r="Z402" s="340">
        <f t="shared" si="82"/>
        <v>83918.281599999988</v>
      </c>
      <c r="AA402" s="2">
        <f>[4]HR!$Z554-Z402</f>
        <v>-76128.213599999988</v>
      </c>
    </row>
    <row r="403" spans="1:27" s="236" customFormat="1" ht="12.75" customHeight="1" x14ac:dyDescent="0.2">
      <c r="A403" s="16"/>
      <c r="B403" s="467">
        <v>1</v>
      </c>
      <c r="C403" s="16" t="s">
        <v>620</v>
      </c>
      <c r="D403" s="232"/>
      <c r="E403" s="16" t="s">
        <v>750</v>
      </c>
      <c r="F403" s="16"/>
      <c r="G403" s="19"/>
      <c r="H403" s="16" t="s">
        <v>216</v>
      </c>
      <c r="I403" s="19" t="s">
        <v>510</v>
      </c>
      <c r="J403" s="19" t="s">
        <v>994</v>
      </c>
      <c r="K403" s="339">
        <f>37.63*50%</f>
        <v>18.815000000000001</v>
      </c>
      <c r="L403" s="339">
        <v>2080</v>
      </c>
      <c r="M403" s="339"/>
      <c r="N403" s="339">
        <f t="shared" si="78"/>
        <v>39135.200000000004</v>
      </c>
      <c r="O403" s="339"/>
      <c r="P403" s="339"/>
      <c r="Q403" s="339">
        <f t="shared" si="83"/>
        <v>12973.318800000003</v>
      </c>
      <c r="R403" s="339">
        <f t="shared" si="84"/>
        <v>567.46040000000005</v>
      </c>
      <c r="S403" s="339"/>
      <c r="T403" s="339">
        <v>5228.3999999999996</v>
      </c>
      <c r="U403" s="339">
        <v>400.32</v>
      </c>
      <c r="V403" s="339"/>
      <c r="W403" s="264">
        <f t="shared" si="80"/>
        <v>58304.69920000001</v>
      </c>
      <c r="X403" s="339">
        <f t="shared" si="81"/>
        <v>0</v>
      </c>
      <c r="Y403" s="339"/>
      <c r="Z403" s="340">
        <f t="shared" si="82"/>
        <v>58304.69920000001</v>
      </c>
      <c r="AA403" s="2">
        <f>[4]HR!$Z557-Z403</f>
        <v>-39396.079600000012</v>
      </c>
    </row>
    <row r="404" spans="1:27" s="236" customFormat="1" ht="12.75" customHeight="1" x14ac:dyDescent="0.2">
      <c r="A404" s="16"/>
      <c r="B404" s="467">
        <v>0</v>
      </c>
      <c r="C404" s="16" t="s">
        <v>620</v>
      </c>
      <c r="D404" s="232"/>
      <c r="E404" s="16" t="s">
        <v>750</v>
      </c>
      <c r="F404" s="16"/>
      <c r="G404" s="19"/>
      <c r="H404" s="16" t="s">
        <v>216</v>
      </c>
      <c r="I404" s="19" t="s">
        <v>510</v>
      </c>
      <c r="J404" s="19" t="s">
        <v>1003</v>
      </c>
      <c r="K404" s="339">
        <f>37.63*50%</f>
        <v>18.815000000000001</v>
      </c>
      <c r="L404" s="339">
        <v>2080</v>
      </c>
      <c r="M404" s="339"/>
      <c r="N404" s="339">
        <f t="shared" si="78"/>
        <v>39135.200000000004</v>
      </c>
      <c r="O404" s="339"/>
      <c r="P404" s="339"/>
      <c r="Q404" s="339">
        <f t="shared" si="83"/>
        <v>12973.318800000003</v>
      </c>
      <c r="R404" s="339">
        <f t="shared" si="84"/>
        <v>567.46040000000005</v>
      </c>
      <c r="S404" s="339"/>
      <c r="T404" s="339"/>
      <c r="U404" s="339"/>
      <c r="V404" s="339"/>
      <c r="W404" s="264">
        <f t="shared" si="80"/>
        <v>52675.979200000009</v>
      </c>
      <c r="X404" s="339">
        <f t="shared" si="81"/>
        <v>0</v>
      </c>
      <c r="Y404" s="339"/>
      <c r="Z404" s="340">
        <f t="shared" si="82"/>
        <v>52675.979200000009</v>
      </c>
      <c r="AA404" s="2">
        <f>[4]HR!$Z558-Z404</f>
        <v>17753.41118399999</v>
      </c>
    </row>
    <row r="405" spans="1:27" s="236" customFormat="1" ht="12.75" customHeight="1" x14ac:dyDescent="0.2">
      <c r="A405" s="16"/>
      <c r="B405" s="467">
        <v>1</v>
      </c>
      <c r="C405" s="16" t="s">
        <v>646</v>
      </c>
      <c r="D405" s="232"/>
      <c r="E405" s="16" t="s">
        <v>789</v>
      </c>
      <c r="F405" s="16"/>
      <c r="G405" s="16"/>
      <c r="H405" s="16" t="s">
        <v>216</v>
      </c>
      <c r="I405" s="19" t="s">
        <v>510</v>
      </c>
      <c r="J405" s="19" t="s">
        <v>1019</v>
      </c>
      <c r="K405" s="339">
        <v>31.63</v>
      </c>
      <c r="L405" s="339">
        <v>2080</v>
      </c>
      <c r="M405" s="339"/>
      <c r="N405" s="339">
        <f t="shared" si="78"/>
        <v>65790.399999999994</v>
      </c>
      <c r="O405" s="339"/>
      <c r="P405" s="339"/>
      <c r="Q405" s="339">
        <f t="shared" si="83"/>
        <v>21809.517599999999</v>
      </c>
      <c r="R405" s="339">
        <f t="shared" si="84"/>
        <v>953.96079999999995</v>
      </c>
      <c r="S405" s="339"/>
      <c r="T405" s="339">
        <v>15357.6</v>
      </c>
      <c r="U405" s="339">
        <v>1362.48</v>
      </c>
      <c r="V405" s="339"/>
      <c r="W405" s="264">
        <f t="shared" si="80"/>
        <v>105273.95839999999</v>
      </c>
      <c r="X405" s="339">
        <f t="shared" si="81"/>
        <v>0</v>
      </c>
      <c r="Y405" s="339"/>
      <c r="Z405" s="340">
        <f t="shared" si="82"/>
        <v>105273.95839999999</v>
      </c>
      <c r="AA405" s="2">
        <f>[4]HR!$Z776-Z405</f>
        <v>-105273.95839999999</v>
      </c>
    </row>
    <row r="406" spans="1:27" s="236" customFormat="1" ht="12.75" customHeight="1" x14ac:dyDescent="0.2">
      <c r="A406" s="16"/>
      <c r="B406" s="467">
        <v>1</v>
      </c>
      <c r="C406" s="16" t="s">
        <v>622</v>
      </c>
      <c r="D406" s="232"/>
      <c r="E406" s="16" t="s">
        <v>767</v>
      </c>
      <c r="F406" s="16"/>
      <c r="G406" s="19"/>
      <c r="H406" s="16" t="s">
        <v>216</v>
      </c>
      <c r="I406" s="19" t="s">
        <v>510</v>
      </c>
      <c r="J406" s="19" t="s">
        <v>1037</v>
      </c>
      <c r="K406" s="339">
        <f>27.77*75%</f>
        <v>20.827500000000001</v>
      </c>
      <c r="L406" s="339">
        <v>2080</v>
      </c>
      <c r="M406" s="339"/>
      <c r="N406" s="339">
        <f t="shared" si="78"/>
        <v>43321.200000000004</v>
      </c>
      <c r="O406" s="339"/>
      <c r="P406" s="339"/>
      <c r="Q406" s="339">
        <f t="shared" si="83"/>
        <v>14360.977800000002</v>
      </c>
      <c r="R406" s="339">
        <f t="shared" si="84"/>
        <v>628.15740000000005</v>
      </c>
      <c r="S406" s="339"/>
      <c r="T406" s="339">
        <v>2.4</v>
      </c>
      <c r="U406" s="339">
        <v>323.04000000000002</v>
      </c>
      <c r="V406" s="339"/>
      <c r="W406" s="264">
        <f t="shared" si="80"/>
        <v>58635.775200000004</v>
      </c>
      <c r="X406" s="339">
        <f t="shared" si="81"/>
        <v>0</v>
      </c>
      <c r="Y406" s="339"/>
      <c r="Z406" s="340">
        <f t="shared" si="82"/>
        <v>58635.775200000004</v>
      </c>
      <c r="AA406" s="2">
        <f>[4]HR!$Z562-Z406</f>
        <v>-56157.117200000001</v>
      </c>
    </row>
    <row r="407" spans="1:27" s="236" customFormat="1" ht="12.75" customHeight="1" x14ac:dyDescent="0.2">
      <c r="A407" s="16"/>
      <c r="B407" s="467">
        <v>0</v>
      </c>
      <c r="C407" s="16" t="s">
        <v>622</v>
      </c>
      <c r="D407" s="232"/>
      <c r="E407" s="16" t="s">
        <v>767</v>
      </c>
      <c r="F407" s="16"/>
      <c r="G407" s="19"/>
      <c r="H407" s="16" t="s">
        <v>216</v>
      </c>
      <c r="I407" s="19" t="s">
        <v>510</v>
      </c>
      <c r="J407" s="19" t="s">
        <v>993</v>
      </c>
      <c r="K407" s="339">
        <f>27.77*25%</f>
        <v>6.9424999999999999</v>
      </c>
      <c r="L407" s="339">
        <v>2080</v>
      </c>
      <c r="M407" s="339"/>
      <c r="N407" s="339">
        <f t="shared" si="78"/>
        <v>14440.4</v>
      </c>
      <c r="O407" s="339"/>
      <c r="P407" s="339"/>
      <c r="Q407" s="339">
        <f t="shared" si="83"/>
        <v>4786.9926000000005</v>
      </c>
      <c r="R407" s="339">
        <f t="shared" si="84"/>
        <v>209.38580000000002</v>
      </c>
      <c r="S407" s="339"/>
      <c r="T407" s="339"/>
      <c r="U407" s="339"/>
      <c r="V407" s="339"/>
      <c r="W407" s="264">
        <f t="shared" si="80"/>
        <v>19436.778399999999</v>
      </c>
      <c r="X407" s="339">
        <f t="shared" si="81"/>
        <v>0</v>
      </c>
      <c r="Y407" s="339"/>
      <c r="Z407" s="340">
        <f t="shared" si="82"/>
        <v>19436.778399999999</v>
      </c>
      <c r="AA407" s="2">
        <f>[4]HR!$Z563-Z407</f>
        <v>-16958.1204</v>
      </c>
    </row>
    <row r="408" spans="1:27" s="236" customFormat="1" ht="12.75" customHeight="1" x14ac:dyDescent="0.2">
      <c r="A408" s="16"/>
      <c r="B408" s="467">
        <v>1</v>
      </c>
      <c r="C408" s="16" t="s">
        <v>625</v>
      </c>
      <c r="D408" s="232"/>
      <c r="E408" s="16" t="s">
        <v>767</v>
      </c>
      <c r="F408" s="16"/>
      <c r="G408" s="19"/>
      <c r="H408" s="16" t="s">
        <v>216</v>
      </c>
      <c r="I408" s="19" t="s">
        <v>510</v>
      </c>
      <c r="J408" s="19" t="s">
        <v>995</v>
      </c>
      <c r="K408" s="339">
        <f>30.57*90%</f>
        <v>27.513000000000002</v>
      </c>
      <c r="L408" s="339">
        <v>2080</v>
      </c>
      <c r="M408" s="339"/>
      <c r="N408" s="339">
        <f t="shared" si="78"/>
        <v>57227.040000000001</v>
      </c>
      <c r="O408" s="339"/>
      <c r="P408" s="339"/>
      <c r="Q408" s="339">
        <f t="shared" si="83"/>
        <v>18970.763760000002</v>
      </c>
      <c r="R408" s="339">
        <f t="shared" si="84"/>
        <v>829.79208000000006</v>
      </c>
      <c r="S408" s="339"/>
      <c r="T408" s="339"/>
      <c r="U408" s="339"/>
      <c r="V408" s="339"/>
      <c r="W408" s="264">
        <f t="shared" si="80"/>
        <v>77027.595840000009</v>
      </c>
      <c r="X408" s="339">
        <f t="shared" si="81"/>
        <v>0</v>
      </c>
      <c r="Y408" s="339"/>
      <c r="Z408" s="340">
        <f t="shared" si="82"/>
        <v>77027.595840000009</v>
      </c>
      <c r="AA408" s="2">
        <f>[4]HR!$Z580-Z408</f>
        <v>-61050.874560000011</v>
      </c>
    </row>
    <row r="409" spans="1:27" s="236" customFormat="1" ht="12.75" customHeight="1" x14ac:dyDescent="0.2">
      <c r="A409" s="16"/>
      <c r="B409" s="467">
        <v>0</v>
      </c>
      <c r="C409" s="16" t="s">
        <v>625</v>
      </c>
      <c r="D409" s="232"/>
      <c r="E409" s="16" t="s">
        <v>767</v>
      </c>
      <c r="F409" s="16"/>
      <c r="G409" s="19"/>
      <c r="H409" s="16" t="s">
        <v>216</v>
      </c>
      <c r="I409" s="19" t="s">
        <v>510</v>
      </c>
      <c r="J409" s="19" t="s">
        <v>1040</v>
      </c>
      <c r="K409" s="339">
        <f>30.57*10%</f>
        <v>3.0570000000000004</v>
      </c>
      <c r="L409" s="339">
        <v>2080</v>
      </c>
      <c r="M409" s="339"/>
      <c r="N409" s="339">
        <f t="shared" si="78"/>
        <v>6358.56</v>
      </c>
      <c r="O409" s="339"/>
      <c r="P409" s="339"/>
      <c r="Q409" s="339">
        <f t="shared" si="83"/>
        <v>2107.8626400000003</v>
      </c>
      <c r="R409" s="339">
        <f t="shared" si="84"/>
        <v>92.199120000000008</v>
      </c>
      <c r="S409" s="339"/>
      <c r="T409" s="339">
        <v>8415.84</v>
      </c>
      <c r="U409" s="339">
        <v>323.04000000000002</v>
      </c>
      <c r="V409" s="339"/>
      <c r="W409" s="264">
        <f t="shared" si="80"/>
        <v>17297.501759999999</v>
      </c>
      <c r="X409" s="339">
        <f t="shared" si="81"/>
        <v>0</v>
      </c>
      <c r="Y409" s="339"/>
      <c r="Z409" s="340">
        <f t="shared" si="82"/>
        <v>17297.501759999999</v>
      </c>
      <c r="AA409" s="2">
        <f>[4]HR!$Z581-Z409</f>
        <v>-11971.928</v>
      </c>
    </row>
    <row r="410" spans="1:27" s="236" customFormat="1" ht="12.75" customHeight="1" x14ac:dyDescent="0.2">
      <c r="A410" s="16"/>
      <c r="B410" s="467">
        <v>1</v>
      </c>
      <c r="C410" s="16" t="s">
        <v>626</v>
      </c>
      <c r="D410" s="232"/>
      <c r="E410" s="16" t="s">
        <v>773</v>
      </c>
      <c r="F410" s="16"/>
      <c r="G410" s="19"/>
      <c r="H410" s="16" t="s">
        <v>216</v>
      </c>
      <c r="I410" s="19" t="s">
        <v>510</v>
      </c>
      <c r="J410" s="19" t="s">
        <v>113</v>
      </c>
      <c r="K410" s="339">
        <f>35.21*20%</f>
        <v>7.0420000000000007</v>
      </c>
      <c r="L410" s="339">
        <v>2080</v>
      </c>
      <c r="M410" s="339"/>
      <c r="N410" s="339">
        <f t="shared" si="78"/>
        <v>14647.36</v>
      </c>
      <c r="O410" s="339"/>
      <c r="P410" s="339"/>
      <c r="Q410" s="339">
        <f t="shared" si="83"/>
        <v>4855.5998400000008</v>
      </c>
      <c r="R410" s="339">
        <f t="shared" si="84"/>
        <v>212.38672000000003</v>
      </c>
      <c r="S410" s="339"/>
      <c r="T410" s="339"/>
      <c r="U410" s="339"/>
      <c r="V410" s="339"/>
      <c r="W410" s="264">
        <f t="shared" si="80"/>
        <v>19715.346560000002</v>
      </c>
      <c r="X410" s="339">
        <f t="shared" si="81"/>
        <v>0</v>
      </c>
      <c r="Y410" s="339"/>
      <c r="Z410" s="340">
        <f t="shared" si="82"/>
        <v>19715.346560000002</v>
      </c>
      <c r="AA410" s="2">
        <f>[4]HR!$Z582-Z410</f>
        <v>-3738.6252800000038</v>
      </c>
    </row>
    <row r="411" spans="1:27" ht="12.75" customHeight="1" x14ac:dyDescent="0.2">
      <c r="A411" s="16"/>
      <c r="B411" s="467">
        <v>0</v>
      </c>
      <c r="C411" s="16" t="s">
        <v>626</v>
      </c>
      <c r="D411" s="232"/>
      <c r="E411" s="16" t="s">
        <v>773</v>
      </c>
      <c r="F411" s="16"/>
      <c r="G411" s="19"/>
      <c r="H411" s="16" t="s">
        <v>216</v>
      </c>
      <c r="I411" s="19" t="s">
        <v>510</v>
      </c>
      <c r="J411" s="19" t="s">
        <v>995</v>
      </c>
      <c r="K411" s="339">
        <f>35.21*5%</f>
        <v>1.7605000000000002</v>
      </c>
      <c r="L411" s="339">
        <v>2080</v>
      </c>
      <c r="M411" s="339"/>
      <c r="N411" s="339">
        <f t="shared" si="78"/>
        <v>3661.84</v>
      </c>
      <c r="O411" s="339"/>
      <c r="P411" s="339"/>
      <c r="Q411" s="339">
        <f t="shared" si="83"/>
        <v>1213.8999600000002</v>
      </c>
      <c r="R411" s="339">
        <f t="shared" si="84"/>
        <v>53.096680000000006</v>
      </c>
      <c r="S411" s="339"/>
      <c r="T411" s="339"/>
      <c r="U411" s="339"/>
      <c r="V411" s="339"/>
      <c r="W411" s="264">
        <f t="shared" si="80"/>
        <v>4928.8366400000004</v>
      </c>
      <c r="X411" s="339">
        <f t="shared" si="81"/>
        <v>0</v>
      </c>
      <c r="Y411" s="339"/>
      <c r="Z411" s="340">
        <f t="shared" si="82"/>
        <v>4928.8366400000004</v>
      </c>
      <c r="AA411" s="2">
        <f>[4]HR!$Z583-Z411</f>
        <v>5722.31088</v>
      </c>
    </row>
    <row r="412" spans="1:27" s="236" customFormat="1" ht="12.75" customHeight="1" x14ac:dyDescent="0.2">
      <c r="A412" s="16"/>
      <c r="B412" s="467">
        <v>0</v>
      </c>
      <c r="C412" s="16" t="s">
        <v>626</v>
      </c>
      <c r="D412" s="232"/>
      <c r="E412" s="16" t="s">
        <v>773</v>
      </c>
      <c r="F412" s="16"/>
      <c r="G412" s="19"/>
      <c r="H412" s="16" t="s">
        <v>216</v>
      </c>
      <c r="I412" s="19" t="s">
        <v>510</v>
      </c>
      <c r="J412" s="19" t="s">
        <v>925</v>
      </c>
      <c r="K412" s="339">
        <f>35.21*5%</f>
        <v>1.7605000000000002</v>
      </c>
      <c r="L412" s="339">
        <v>2080</v>
      </c>
      <c r="M412" s="339"/>
      <c r="N412" s="339">
        <f t="shared" si="78"/>
        <v>3661.84</v>
      </c>
      <c r="O412" s="339"/>
      <c r="P412" s="339"/>
      <c r="Q412" s="339">
        <f t="shared" si="83"/>
        <v>1213.8999600000002</v>
      </c>
      <c r="R412" s="339">
        <f t="shared" si="84"/>
        <v>53.096680000000006</v>
      </c>
      <c r="S412" s="339"/>
      <c r="T412" s="339"/>
      <c r="U412" s="339"/>
      <c r="V412" s="339"/>
      <c r="W412" s="264">
        <f t="shared" si="80"/>
        <v>4928.8366400000004</v>
      </c>
      <c r="X412" s="339">
        <f t="shared" si="81"/>
        <v>0</v>
      </c>
      <c r="Y412" s="339"/>
      <c r="Z412" s="340">
        <f t="shared" si="82"/>
        <v>4928.8366400000004</v>
      </c>
      <c r="AA412" s="2">
        <f>[4]HR!$Z584-Z412</f>
        <v>9740.1271199999974</v>
      </c>
    </row>
    <row r="413" spans="1:27" s="236" customFormat="1" ht="12.75" customHeight="1" x14ac:dyDescent="0.2">
      <c r="A413" s="16"/>
      <c r="B413" s="467">
        <v>0</v>
      </c>
      <c r="C413" s="16" t="s">
        <v>626</v>
      </c>
      <c r="D413" s="232"/>
      <c r="E413" s="16" t="s">
        <v>773</v>
      </c>
      <c r="F413" s="16"/>
      <c r="G413" s="19"/>
      <c r="H413" s="16" t="s">
        <v>216</v>
      </c>
      <c r="I413" s="19" t="s">
        <v>510</v>
      </c>
      <c r="J413" s="19" t="s">
        <v>995</v>
      </c>
      <c r="K413" s="339">
        <f>35.21*20%</f>
        <v>7.0420000000000007</v>
      </c>
      <c r="L413" s="339">
        <v>2080</v>
      </c>
      <c r="M413" s="339"/>
      <c r="N413" s="339">
        <f t="shared" si="78"/>
        <v>14647.36</v>
      </c>
      <c r="O413" s="339"/>
      <c r="P413" s="339"/>
      <c r="Q413" s="339">
        <f t="shared" si="83"/>
        <v>4855.5998400000008</v>
      </c>
      <c r="R413" s="339">
        <f t="shared" si="84"/>
        <v>212.38672000000003</v>
      </c>
      <c r="S413" s="339"/>
      <c r="T413" s="339"/>
      <c r="U413" s="339"/>
      <c r="V413" s="339"/>
      <c r="W413" s="264">
        <f t="shared" si="80"/>
        <v>19715.346560000002</v>
      </c>
      <c r="X413" s="339">
        <f t="shared" si="81"/>
        <v>0</v>
      </c>
      <c r="Y413" s="339"/>
      <c r="Z413" s="340">
        <f t="shared" si="82"/>
        <v>19715.346560000002</v>
      </c>
      <c r="AA413" s="2">
        <f>[4]HR!$Z585-Z413</f>
        <v>-15401.065264000001</v>
      </c>
    </row>
    <row r="414" spans="1:27" s="236" customFormat="1" ht="12.75" customHeight="1" x14ac:dyDescent="0.2">
      <c r="A414" s="16"/>
      <c r="B414" s="467">
        <v>0</v>
      </c>
      <c r="C414" s="16" t="s">
        <v>626</v>
      </c>
      <c r="D414" s="232"/>
      <c r="E414" s="16" t="s">
        <v>773</v>
      </c>
      <c r="F414" s="16"/>
      <c r="G414" s="19"/>
      <c r="H414" s="16" t="s">
        <v>216</v>
      </c>
      <c r="I414" s="19" t="s">
        <v>510</v>
      </c>
      <c r="J414" s="19" t="s">
        <v>947</v>
      </c>
      <c r="K414" s="339">
        <f>35.21*15%</f>
        <v>5.2815000000000003</v>
      </c>
      <c r="L414" s="339">
        <v>2080</v>
      </c>
      <c r="M414" s="339"/>
      <c r="N414" s="339">
        <f t="shared" si="78"/>
        <v>10985.52</v>
      </c>
      <c r="O414" s="339"/>
      <c r="P414" s="339"/>
      <c r="Q414" s="339">
        <f t="shared" si="83"/>
        <v>3641.6998800000001</v>
      </c>
      <c r="R414" s="339">
        <f t="shared" si="84"/>
        <v>159.29004</v>
      </c>
      <c r="S414" s="339"/>
      <c r="T414" s="339"/>
      <c r="U414" s="339"/>
      <c r="V414" s="339"/>
      <c r="W414" s="264">
        <f t="shared" si="80"/>
        <v>14786.50992</v>
      </c>
      <c r="X414" s="339">
        <f t="shared" si="81"/>
        <v>0</v>
      </c>
      <c r="Y414" s="339"/>
      <c r="Z414" s="340">
        <f t="shared" si="82"/>
        <v>14786.50992</v>
      </c>
      <c r="AA414" s="2">
        <f>[4]HR!$Z586-Z414</f>
        <v>-1843.6660319999992</v>
      </c>
    </row>
    <row r="415" spans="1:27" s="236" customFormat="1" ht="12.75" customHeight="1" x14ac:dyDescent="0.2">
      <c r="A415" s="16"/>
      <c r="B415" s="467">
        <v>0</v>
      </c>
      <c r="C415" s="16" t="s">
        <v>626</v>
      </c>
      <c r="D415" s="232"/>
      <c r="E415" s="16" t="s">
        <v>773</v>
      </c>
      <c r="F415" s="16"/>
      <c r="G415" s="19"/>
      <c r="H415" s="16" t="s">
        <v>216</v>
      </c>
      <c r="I415" s="19" t="s">
        <v>510</v>
      </c>
      <c r="J415" s="19" t="s">
        <v>927</v>
      </c>
      <c r="K415" s="339">
        <f>35.21*5%</f>
        <v>1.7605000000000002</v>
      </c>
      <c r="L415" s="339">
        <v>2080</v>
      </c>
      <c r="M415" s="339"/>
      <c r="N415" s="339">
        <f t="shared" si="78"/>
        <v>3661.84</v>
      </c>
      <c r="O415" s="339"/>
      <c r="P415" s="339"/>
      <c r="Q415" s="339">
        <f t="shared" si="83"/>
        <v>1213.8999600000002</v>
      </c>
      <c r="R415" s="339">
        <f t="shared" si="84"/>
        <v>53.096680000000006</v>
      </c>
      <c r="S415" s="339"/>
      <c r="T415" s="339"/>
      <c r="U415" s="339"/>
      <c r="V415" s="339"/>
      <c r="W415" s="264">
        <f t="shared" si="80"/>
        <v>4928.8366400000004</v>
      </c>
      <c r="X415" s="339">
        <f t="shared" si="81"/>
        <v>0</v>
      </c>
      <c r="Y415" s="339"/>
      <c r="Z415" s="340">
        <f t="shared" si="82"/>
        <v>4928.8366400000004</v>
      </c>
      <c r="AA415" s="2">
        <f>[4]HR!$Z587-Z415</f>
        <v>16642.56984</v>
      </c>
    </row>
    <row r="416" spans="1:27" s="236" customFormat="1" ht="12.75" customHeight="1" x14ac:dyDescent="0.2">
      <c r="A416" s="16"/>
      <c r="B416" s="467">
        <v>0</v>
      </c>
      <c r="C416" s="16" t="s">
        <v>626</v>
      </c>
      <c r="D416" s="232"/>
      <c r="E416" s="16" t="s">
        <v>773</v>
      </c>
      <c r="F416" s="16"/>
      <c r="G416" s="19"/>
      <c r="H416" s="16" t="s">
        <v>216</v>
      </c>
      <c r="I416" s="19" t="s">
        <v>510</v>
      </c>
      <c r="J416" s="19" t="s">
        <v>957</v>
      </c>
      <c r="K416" s="339">
        <f>35.21*15%</f>
        <v>5.2815000000000003</v>
      </c>
      <c r="L416" s="339">
        <v>2080</v>
      </c>
      <c r="M416" s="339"/>
      <c r="N416" s="339">
        <f t="shared" si="78"/>
        <v>10985.52</v>
      </c>
      <c r="O416" s="339"/>
      <c r="P416" s="339"/>
      <c r="Q416" s="339">
        <f t="shared" si="83"/>
        <v>3641.6998800000001</v>
      </c>
      <c r="R416" s="339">
        <f t="shared" si="84"/>
        <v>159.29004</v>
      </c>
      <c r="S416" s="339"/>
      <c r="T416" s="339"/>
      <c r="U416" s="339"/>
      <c r="V416" s="339"/>
      <c r="W416" s="264">
        <f t="shared" si="80"/>
        <v>14786.50992</v>
      </c>
      <c r="X416" s="339">
        <f t="shared" si="81"/>
        <v>0</v>
      </c>
      <c r="Y416" s="339"/>
      <c r="Z416" s="340">
        <f t="shared" si="82"/>
        <v>14786.50992</v>
      </c>
      <c r="AA416" s="2">
        <f>[4]HR!$Z588-Z416</f>
        <v>-6157.9473280000002</v>
      </c>
    </row>
    <row r="417" spans="1:27" s="236" customFormat="1" ht="12.75" customHeight="1" x14ac:dyDescent="0.2">
      <c r="A417" s="16"/>
      <c r="B417" s="467">
        <v>0</v>
      </c>
      <c r="C417" s="16" t="s">
        <v>626</v>
      </c>
      <c r="D417" s="232"/>
      <c r="E417" s="16" t="s">
        <v>773</v>
      </c>
      <c r="F417" s="16"/>
      <c r="G417" s="19"/>
      <c r="H417" s="16" t="s">
        <v>216</v>
      </c>
      <c r="I417" s="19" t="s">
        <v>510</v>
      </c>
      <c r="J417" s="19" t="s">
        <v>109</v>
      </c>
      <c r="K417" s="339">
        <f>35.21*10%</f>
        <v>3.5210000000000004</v>
      </c>
      <c r="L417" s="339">
        <v>2080</v>
      </c>
      <c r="M417" s="339"/>
      <c r="N417" s="339">
        <f t="shared" si="78"/>
        <v>7323.68</v>
      </c>
      <c r="O417" s="339"/>
      <c r="P417" s="339"/>
      <c r="Q417" s="339">
        <f t="shared" si="83"/>
        <v>2427.7999200000004</v>
      </c>
      <c r="R417" s="339">
        <f t="shared" si="84"/>
        <v>106.19336000000001</v>
      </c>
      <c r="S417" s="339"/>
      <c r="T417" s="339"/>
      <c r="U417" s="339"/>
      <c r="V417" s="339"/>
      <c r="W417" s="264">
        <f t="shared" si="80"/>
        <v>9857.6732800000009</v>
      </c>
      <c r="X417" s="339">
        <f t="shared" si="81"/>
        <v>0</v>
      </c>
      <c r="Y417" s="339"/>
      <c r="Z417" s="340">
        <f t="shared" si="82"/>
        <v>9857.6732800000009</v>
      </c>
      <c r="AA417" s="2">
        <f>[4]HR!$Z589-Z417</f>
        <v>37188.118384000001</v>
      </c>
    </row>
    <row r="418" spans="1:27" s="236" customFormat="1" ht="12.75" customHeight="1" x14ac:dyDescent="0.2">
      <c r="A418" s="16"/>
      <c r="B418" s="467">
        <v>0</v>
      </c>
      <c r="C418" s="16" t="s">
        <v>626</v>
      </c>
      <c r="D418" s="232"/>
      <c r="E418" s="16" t="s">
        <v>773</v>
      </c>
      <c r="F418" s="16"/>
      <c r="G418" s="19"/>
      <c r="H418" s="16" t="s">
        <v>216</v>
      </c>
      <c r="I418" s="19" t="s">
        <v>510</v>
      </c>
      <c r="J418" s="19" t="s">
        <v>1039</v>
      </c>
      <c r="K418" s="339">
        <f>35.21*5%</f>
        <v>1.7605000000000002</v>
      </c>
      <c r="L418" s="339">
        <v>2080</v>
      </c>
      <c r="M418" s="339"/>
      <c r="N418" s="339">
        <f t="shared" si="78"/>
        <v>3661.84</v>
      </c>
      <c r="O418" s="339"/>
      <c r="P418" s="339"/>
      <c r="Q418" s="339">
        <f t="shared" si="83"/>
        <v>1213.8999600000002</v>
      </c>
      <c r="R418" s="339">
        <f t="shared" si="84"/>
        <v>53.096680000000006</v>
      </c>
      <c r="S418" s="339"/>
      <c r="T418" s="339">
        <v>9592.56</v>
      </c>
      <c r="U418" s="339"/>
      <c r="V418" s="339"/>
      <c r="W418" s="264">
        <f t="shared" si="80"/>
        <v>14521.396639999999</v>
      </c>
      <c r="X418" s="339">
        <f t="shared" si="81"/>
        <v>0</v>
      </c>
      <c r="Y418" s="339"/>
      <c r="Z418" s="340">
        <f t="shared" si="82"/>
        <v>14521.396639999999</v>
      </c>
      <c r="AA418" s="2">
        <f>[4]HR!$Z590-Z418</f>
        <v>63071.232159999992</v>
      </c>
    </row>
    <row r="419" spans="1:27" s="236" customFormat="1" ht="12.75" customHeight="1" x14ac:dyDescent="0.2">
      <c r="A419" s="16"/>
      <c r="B419" s="467">
        <v>1</v>
      </c>
      <c r="C419" s="16" t="s">
        <v>631</v>
      </c>
      <c r="D419" s="232"/>
      <c r="E419" s="16" t="s">
        <v>773</v>
      </c>
      <c r="F419" s="16"/>
      <c r="G419" s="19"/>
      <c r="H419" s="16" t="s">
        <v>216</v>
      </c>
      <c r="I419" s="19" t="s">
        <v>510</v>
      </c>
      <c r="J419" s="396" t="s">
        <v>993</v>
      </c>
      <c r="K419" s="339">
        <v>37.33</v>
      </c>
      <c r="L419" s="339">
        <v>2080</v>
      </c>
      <c r="M419" s="339"/>
      <c r="N419" s="339">
        <f t="shared" si="78"/>
        <v>77646.399999999994</v>
      </c>
      <c r="O419" s="339"/>
      <c r="P419" s="339"/>
      <c r="Q419" s="339">
        <f t="shared" si="83"/>
        <v>25739.781599999998</v>
      </c>
      <c r="R419" s="339">
        <f t="shared" si="84"/>
        <v>1125.8727999999999</v>
      </c>
      <c r="S419" s="339"/>
      <c r="T419" s="339">
        <v>15321.6</v>
      </c>
      <c r="U419" s="339">
        <v>610.08000000000004</v>
      </c>
      <c r="V419" s="339"/>
      <c r="W419" s="264">
        <f t="shared" si="80"/>
        <v>120443.7344</v>
      </c>
      <c r="X419" s="339">
        <f t="shared" si="81"/>
        <v>0</v>
      </c>
      <c r="Y419" s="339"/>
      <c r="Z419" s="340">
        <f t="shared" si="82"/>
        <v>120443.7344</v>
      </c>
      <c r="AA419" s="2">
        <f>[4]HR!$Z603-Z419</f>
        <v>-13203.865839999999</v>
      </c>
    </row>
    <row r="420" spans="1:27" s="236" customFormat="1" ht="12.75" customHeight="1" x14ac:dyDescent="0.2">
      <c r="A420" s="16"/>
      <c r="B420" s="467">
        <v>1</v>
      </c>
      <c r="C420" s="16" t="s">
        <v>583</v>
      </c>
      <c r="D420" s="232"/>
      <c r="E420" s="16" t="s">
        <v>758</v>
      </c>
      <c r="F420" s="16"/>
      <c r="G420" s="16"/>
      <c r="H420" s="16" t="s">
        <v>216</v>
      </c>
      <c r="I420" s="19" t="s">
        <v>262</v>
      </c>
      <c r="J420" s="19" t="s">
        <v>1019</v>
      </c>
      <c r="K420" s="339">
        <v>41.11</v>
      </c>
      <c r="L420" s="339">
        <v>2080</v>
      </c>
      <c r="M420" s="339"/>
      <c r="N420" s="339">
        <f t="shared" si="78"/>
        <v>85508.800000000003</v>
      </c>
      <c r="O420" s="339"/>
      <c r="P420" s="339"/>
      <c r="Q420" s="339">
        <f t="shared" si="83"/>
        <v>28346.167200000004</v>
      </c>
      <c r="R420" s="339">
        <f t="shared" si="84"/>
        <v>1239.8776</v>
      </c>
      <c r="S420" s="339"/>
      <c r="T420" s="339">
        <v>9808.56</v>
      </c>
      <c r="U420" s="339">
        <v>702.48</v>
      </c>
      <c r="V420" s="339"/>
      <c r="W420" s="264">
        <f t="shared" si="80"/>
        <v>125605.88480000001</v>
      </c>
      <c r="X420" s="339">
        <f t="shared" si="81"/>
        <v>0</v>
      </c>
      <c r="Y420" s="339"/>
      <c r="Z420" s="340">
        <f t="shared" si="82"/>
        <v>125605.88480000001</v>
      </c>
      <c r="AA420" s="2">
        <f>[4]HR!$Z607-Z420</f>
        <v>-114246.54928000001</v>
      </c>
    </row>
    <row r="421" spans="1:27" s="236" customFormat="1" ht="12.75" customHeight="1" x14ac:dyDescent="0.2">
      <c r="A421" s="16"/>
      <c r="B421" s="467">
        <v>1</v>
      </c>
      <c r="C421" s="16" t="s">
        <v>584</v>
      </c>
      <c r="D421" s="232"/>
      <c r="E421" s="16" t="s">
        <v>759</v>
      </c>
      <c r="F421" s="16"/>
      <c r="G421" s="16"/>
      <c r="H421" s="16" t="s">
        <v>216</v>
      </c>
      <c r="I421" s="19" t="s">
        <v>262</v>
      </c>
      <c r="J421" s="19" t="s">
        <v>1019</v>
      </c>
      <c r="K421" s="339">
        <v>56.86</v>
      </c>
      <c r="L421" s="339">
        <v>2080</v>
      </c>
      <c r="M421" s="339"/>
      <c r="N421" s="339">
        <f t="shared" si="78"/>
        <v>118268.8</v>
      </c>
      <c r="O421" s="339"/>
      <c r="P421" s="339"/>
      <c r="Q421" s="339">
        <f t="shared" si="83"/>
        <v>39206.107200000006</v>
      </c>
      <c r="R421" s="339">
        <f t="shared" si="84"/>
        <v>1714.8976000000002</v>
      </c>
      <c r="S421" s="339"/>
      <c r="T421" s="339">
        <v>15321.6</v>
      </c>
      <c r="U421" s="339">
        <v>983.52</v>
      </c>
      <c r="V421" s="339"/>
      <c r="W421" s="264">
        <f t="shared" si="80"/>
        <v>175494.92480000001</v>
      </c>
      <c r="X421" s="339">
        <f t="shared" si="81"/>
        <v>0</v>
      </c>
      <c r="Y421" s="339"/>
      <c r="Z421" s="340">
        <f t="shared" si="82"/>
        <v>175494.92480000001</v>
      </c>
      <c r="AA421" s="2">
        <f>[4]HR!$Z608-Z421</f>
        <v>-152776.25375999999</v>
      </c>
    </row>
    <row r="422" spans="1:27" s="236" customFormat="1" ht="12.75" customHeight="1" x14ac:dyDescent="0.2">
      <c r="A422" s="16"/>
      <c r="B422" s="467">
        <v>1</v>
      </c>
      <c r="C422" s="16" t="s">
        <v>585</v>
      </c>
      <c r="D422" s="232"/>
      <c r="E422" s="16" t="s">
        <v>758</v>
      </c>
      <c r="F422" s="16"/>
      <c r="G422" s="16"/>
      <c r="H422" s="16" t="s">
        <v>216</v>
      </c>
      <c r="I422" s="19" t="s">
        <v>262</v>
      </c>
      <c r="J422" s="19" t="s">
        <v>1019</v>
      </c>
      <c r="K422" s="339">
        <v>35.65</v>
      </c>
      <c r="L422" s="339">
        <v>2080</v>
      </c>
      <c r="M422" s="339"/>
      <c r="N422" s="339">
        <f t="shared" si="78"/>
        <v>74152</v>
      </c>
      <c r="O422" s="339"/>
      <c r="P422" s="339"/>
      <c r="Q422" s="339">
        <f t="shared" si="83"/>
        <v>24581.388000000003</v>
      </c>
      <c r="R422" s="339">
        <f t="shared" si="84"/>
        <v>1075.204</v>
      </c>
      <c r="S422" s="339"/>
      <c r="T422" s="339">
        <v>9628.56</v>
      </c>
      <c r="U422" s="339">
        <v>702.48</v>
      </c>
      <c r="V422" s="339"/>
      <c r="W422" s="264">
        <f t="shared" si="80"/>
        <v>110139.632</v>
      </c>
      <c r="X422" s="339">
        <f t="shared" si="81"/>
        <v>0</v>
      </c>
      <c r="Y422" s="339"/>
      <c r="Z422" s="340">
        <f t="shared" si="82"/>
        <v>110139.632</v>
      </c>
      <c r="AA422" s="2">
        <f>[4]HR!$Z609-Z422</f>
        <v>-87420.960959999997</v>
      </c>
    </row>
    <row r="423" spans="1:27" ht="12.75" customHeight="1" x14ac:dyDescent="0.2">
      <c r="A423" s="16"/>
      <c r="B423" s="467">
        <v>1</v>
      </c>
      <c r="C423" s="16" t="s">
        <v>586</v>
      </c>
      <c r="D423" s="232"/>
      <c r="E423" s="16" t="s">
        <v>760</v>
      </c>
      <c r="F423" s="16"/>
      <c r="G423" s="16"/>
      <c r="H423" s="16" t="s">
        <v>216</v>
      </c>
      <c r="I423" s="19" t="s">
        <v>262</v>
      </c>
      <c r="J423" s="19" t="s">
        <v>1019</v>
      </c>
      <c r="K423" s="339">
        <v>27.5</v>
      </c>
      <c r="L423" s="339">
        <v>2080</v>
      </c>
      <c r="M423" s="339"/>
      <c r="N423" s="339">
        <f t="shared" si="78"/>
        <v>57200</v>
      </c>
      <c r="O423" s="339"/>
      <c r="P423" s="339"/>
      <c r="Q423" s="339">
        <f t="shared" si="83"/>
        <v>18961.8</v>
      </c>
      <c r="R423" s="339">
        <f t="shared" si="84"/>
        <v>829.40000000000009</v>
      </c>
      <c r="S423" s="339"/>
      <c r="T423" s="339">
        <v>120</v>
      </c>
      <c r="U423" s="339">
        <v>0</v>
      </c>
      <c r="V423" s="339"/>
      <c r="W423" s="264">
        <f t="shared" si="80"/>
        <v>77111.199999999997</v>
      </c>
      <c r="X423" s="339">
        <f t="shared" si="81"/>
        <v>0</v>
      </c>
      <c r="Y423" s="339"/>
      <c r="Z423" s="340">
        <f t="shared" si="82"/>
        <v>77111.199999999997</v>
      </c>
      <c r="AA423" s="2">
        <f>[4]HR!$Z610-Z423</f>
        <v>-1775.0831999999937</v>
      </c>
    </row>
    <row r="424" spans="1:27" s="236" customFormat="1" ht="12.75" customHeight="1" x14ac:dyDescent="0.2">
      <c r="A424" s="16"/>
      <c r="B424" s="467">
        <v>1</v>
      </c>
      <c r="C424" s="16" t="s">
        <v>588</v>
      </c>
      <c r="D424" s="232"/>
      <c r="E424" s="16" t="s">
        <v>761</v>
      </c>
      <c r="F424" s="16"/>
      <c r="G424" s="19"/>
      <c r="H424" s="16" t="s">
        <v>216</v>
      </c>
      <c r="I424" s="19" t="s">
        <v>21</v>
      </c>
      <c r="J424" s="19" t="s">
        <v>1019</v>
      </c>
      <c r="K424" s="339">
        <f>41.3*25%</f>
        <v>10.324999999999999</v>
      </c>
      <c r="L424" s="339">
        <v>2080</v>
      </c>
      <c r="M424" s="339"/>
      <c r="N424" s="339">
        <f t="shared" ref="N424:N515" si="85">L424*K424</f>
        <v>21476</v>
      </c>
      <c r="O424" s="339"/>
      <c r="P424" s="339"/>
      <c r="Q424" s="339">
        <f t="shared" si="83"/>
        <v>7119.2940000000008</v>
      </c>
      <c r="R424" s="339">
        <f t="shared" ref="R424:R466" si="86">N424*0.0145</f>
        <v>311.40200000000004</v>
      </c>
      <c r="S424" s="339"/>
      <c r="T424" s="339">
        <v>9592.56</v>
      </c>
      <c r="U424" s="339">
        <v>1362.48</v>
      </c>
      <c r="V424" s="339"/>
      <c r="W424" s="264">
        <f t="shared" ref="W424:W515" si="87">SUM(N424:V424)</f>
        <v>39861.736000000004</v>
      </c>
      <c r="X424" s="339">
        <f t="shared" ref="X424:X515" si="88">IF(Q424&lt;&gt;"",W424*$X$25,0)</f>
        <v>0</v>
      </c>
      <c r="Y424" s="339"/>
      <c r="Z424" s="340">
        <f t="shared" ref="Z424:Z515" si="89">Y424+X424+W424</f>
        <v>39861.736000000004</v>
      </c>
      <c r="AA424" s="2">
        <f>[4]HR!$Z612-Z424</f>
        <v>-13347.177280000004</v>
      </c>
    </row>
    <row r="425" spans="1:27" s="236" customFormat="1" ht="12.75" customHeight="1" x14ac:dyDescent="0.2">
      <c r="A425" s="16"/>
      <c r="B425" s="467">
        <v>0</v>
      </c>
      <c r="C425" s="16" t="s">
        <v>588</v>
      </c>
      <c r="D425" s="232"/>
      <c r="E425" s="16" t="s">
        <v>761</v>
      </c>
      <c r="F425" s="16"/>
      <c r="G425" s="19"/>
      <c r="H425" s="16" t="s">
        <v>216</v>
      </c>
      <c r="I425" s="19" t="s">
        <v>21</v>
      </c>
      <c r="J425" s="19" t="s">
        <v>1003</v>
      </c>
      <c r="K425" s="339">
        <f>41.3*15%</f>
        <v>6.1949999999999994</v>
      </c>
      <c r="L425" s="339">
        <v>2080</v>
      </c>
      <c r="M425" s="339"/>
      <c r="N425" s="339">
        <f t="shared" si="85"/>
        <v>12885.599999999999</v>
      </c>
      <c r="O425" s="339"/>
      <c r="P425" s="339"/>
      <c r="Q425" s="339">
        <f t="shared" si="83"/>
        <v>4271.5763999999999</v>
      </c>
      <c r="R425" s="339">
        <f t="shared" si="86"/>
        <v>186.84119999999999</v>
      </c>
      <c r="S425" s="339"/>
      <c r="T425" s="339"/>
      <c r="U425" s="339"/>
      <c r="V425" s="339"/>
      <c r="W425" s="264">
        <f t="shared" si="87"/>
        <v>17344.017599999996</v>
      </c>
      <c r="X425" s="339">
        <f t="shared" si="88"/>
        <v>0</v>
      </c>
      <c r="Y425" s="339"/>
      <c r="Z425" s="340">
        <f t="shared" si="89"/>
        <v>17344.017599999996</v>
      </c>
      <c r="AA425" s="2">
        <f>[4]HR!$Z613-Z425</f>
        <v>9170.5411200000053</v>
      </c>
    </row>
    <row r="426" spans="1:27" s="236" customFormat="1" ht="12.75" customHeight="1" x14ac:dyDescent="0.2">
      <c r="A426" s="16"/>
      <c r="B426" s="467">
        <v>0</v>
      </c>
      <c r="C426" s="16" t="s">
        <v>588</v>
      </c>
      <c r="D426" s="232"/>
      <c r="E426" s="16" t="s">
        <v>761</v>
      </c>
      <c r="F426" s="16"/>
      <c r="G426" s="19"/>
      <c r="H426" s="16" t="s">
        <v>216</v>
      </c>
      <c r="I426" s="19" t="s">
        <v>21</v>
      </c>
      <c r="J426" s="19" t="s">
        <v>96</v>
      </c>
      <c r="K426" s="339">
        <f>41.3*15%</f>
        <v>6.1949999999999994</v>
      </c>
      <c r="L426" s="339">
        <v>2080</v>
      </c>
      <c r="M426" s="339"/>
      <c r="N426" s="339">
        <f t="shared" si="85"/>
        <v>12885.599999999999</v>
      </c>
      <c r="O426" s="339"/>
      <c r="P426" s="339"/>
      <c r="Q426" s="339">
        <f t="shared" si="83"/>
        <v>4271.5763999999999</v>
      </c>
      <c r="R426" s="339">
        <f t="shared" si="86"/>
        <v>186.84119999999999</v>
      </c>
      <c r="S426" s="339"/>
      <c r="T426" s="339"/>
      <c r="U426" s="339"/>
      <c r="V426" s="339"/>
      <c r="W426" s="264">
        <f t="shared" si="87"/>
        <v>17344.017599999996</v>
      </c>
      <c r="X426" s="339">
        <f t="shared" si="88"/>
        <v>0</v>
      </c>
      <c r="Y426" s="339"/>
      <c r="Z426" s="340">
        <f t="shared" si="89"/>
        <v>17344.017599999996</v>
      </c>
      <c r="AA426" s="2">
        <f>[4]HR!$Z614-Z426</f>
        <v>12838.449808000005</v>
      </c>
    </row>
    <row r="427" spans="1:27" s="236" customFormat="1" ht="12.75" customHeight="1" x14ac:dyDescent="0.2">
      <c r="A427" s="16"/>
      <c r="B427" s="467">
        <v>0</v>
      </c>
      <c r="C427" s="16" t="s">
        <v>588</v>
      </c>
      <c r="D427" s="232"/>
      <c r="E427" s="16" t="s">
        <v>761</v>
      </c>
      <c r="F427" s="16"/>
      <c r="G427" s="19"/>
      <c r="H427" s="16" t="s">
        <v>216</v>
      </c>
      <c r="I427" s="19" t="s">
        <v>21</v>
      </c>
      <c r="J427" s="19" t="s">
        <v>1022</v>
      </c>
      <c r="K427" s="339">
        <f>41.3*15%</f>
        <v>6.1949999999999994</v>
      </c>
      <c r="L427" s="339">
        <v>2080</v>
      </c>
      <c r="M427" s="339"/>
      <c r="N427" s="339">
        <f t="shared" si="85"/>
        <v>12885.599999999999</v>
      </c>
      <c r="O427" s="339"/>
      <c r="P427" s="339"/>
      <c r="Q427" s="339">
        <f t="shared" si="83"/>
        <v>4271.5763999999999</v>
      </c>
      <c r="R427" s="339">
        <f t="shared" si="86"/>
        <v>186.84119999999999</v>
      </c>
      <c r="S427" s="339"/>
      <c r="T427" s="339"/>
      <c r="U427" s="339"/>
      <c r="V427" s="339"/>
      <c r="W427" s="264">
        <f t="shared" si="87"/>
        <v>17344.017599999996</v>
      </c>
      <c r="X427" s="339">
        <f t="shared" si="88"/>
        <v>0</v>
      </c>
      <c r="Y427" s="339"/>
      <c r="Z427" s="340">
        <f t="shared" si="89"/>
        <v>17344.017599999996</v>
      </c>
      <c r="AA427" s="2">
        <f>[4]HR!$Z615-Z427</f>
        <v>-3149.8055159999985</v>
      </c>
    </row>
    <row r="428" spans="1:27" s="236" customFormat="1" ht="12.75" customHeight="1" x14ac:dyDescent="0.2">
      <c r="A428" s="16"/>
      <c r="B428" s="467">
        <v>0</v>
      </c>
      <c r="C428" s="16" t="s">
        <v>588</v>
      </c>
      <c r="D428" s="232"/>
      <c r="E428" s="16" t="s">
        <v>761</v>
      </c>
      <c r="F428" s="16"/>
      <c r="G428" s="19"/>
      <c r="H428" s="16" t="s">
        <v>216</v>
      </c>
      <c r="I428" s="19" t="s">
        <v>21</v>
      </c>
      <c r="J428" s="19" t="s">
        <v>99</v>
      </c>
      <c r="K428" s="339">
        <f>41.3*15%</f>
        <v>6.1949999999999994</v>
      </c>
      <c r="L428" s="339">
        <v>2080</v>
      </c>
      <c r="M428" s="339"/>
      <c r="N428" s="339">
        <f t="shared" si="85"/>
        <v>12885.599999999999</v>
      </c>
      <c r="O428" s="339"/>
      <c r="P428" s="339"/>
      <c r="Q428" s="339">
        <f t="shared" si="83"/>
        <v>4271.5763999999999</v>
      </c>
      <c r="R428" s="339">
        <f t="shared" si="86"/>
        <v>186.84119999999999</v>
      </c>
      <c r="S428" s="339"/>
      <c r="T428" s="339"/>
      <c r="U428" s="339"/>
      <c r="V428" s="339"/>
      <c r="W428" s="264">
        <f t="shared" si="87"/>
        <v>17344.017599999996</v>
      </c>
      <c r="X428" s="339">
        <f t="shared" si="88"/>
        <v>0</v>
      </c>
      <c r="Y428" s="339"/>
      <c r="Z428" s="340">
        <f t="shared" si="89"/>
        <v>17344.017599999996</v>
      </c>
      <c r="AA428" s="2"/>
    </row>
    <row r="429" spans="1:27" s="236" customFormat="1" ht="12.75" customHeight="1" x14ac:dyDescent="0.2">
      <c r="A429" s="16"/>
      <c r="B429" s="467">
        <v>0</v>
      </c>
      <c r="C429" s="16" t="s">
        <v>588</v>
      </c>
      <c r="D429" s="232"/>
      <c r="E429" s="16" t="s">
        <v>761</v>
      </c>
      <c r="F429" s="16"/>
      <c r="G429" s="19"/>
      <c r="H429" s="16" t="s">
        <v>216</v>
      </c>
      <c r="I429" s="19" t="s">
        <v>21</v>
      </c>
      <c r="J429" s="19" t="s">
        <v>932</v>
      </c>
      <c r="K429" s="339">
        <f>41.3*15%</f>
        <v>6.1949999999999994</v>
      </c>
      <c r="L429" s="339">
        <v>2080</v>
      </c>
      <c r="M429" s="339"/>
      <c r="N429" s="339">
        <f t="shared" si="85"/>
        <v>12885.599999999999</v>
      </c>
      <c r="O429" s="339"/>
      <c r="P429" s="339"/>
      <c r="Q429" s="339">
        <f t="shared" si="83"/>
        <v>4271.5763999999999</v>
      </c>
      <c r="R429" s="339">
        <f t="shared" si="86"/>
        <v>186.84119999999999</v>
      </c>
      <c r="S429" s="339"/>
      <c r="T429" s="339"/>
      <c r="U429" s="339"/>
      <c r="V429" s="339"/>
      <c r="W429" s="264">
        <f t="shared" si="87"/>
        <v>17344.017599999996</v>
      </c>
      <c r="X429" s="339">
        <f t="shared" si="88"/>
        <v>0</v>
      </c>
      <c r="Y429" s="339"/>
      <c r="Z429" s="340">
        <f t="shared" si="89"/>
        <v>17344.017599999996</v>
      </c>
      <c r="AA429" s="2"/>
    </row>
    <row r="430" spans="1:27" s="236" customFormat="1" ht="12.75" customHeight="1" x14ac:dyDescent="0.2">
      <c r="A430" s="16"/>
      <c r="B430" s="467">
        <v>1</v>
      </c>
      <c r="C430" s="16" t="s">
        <v>590</v>
      </c>
      <c r="D430" s="232"/>
      <c r="E430" s="16" t="s">
        <v>762</v>
      </c>
      <c r="F430" s="16"/>
      <c r="G430" s="19"/>
      <c r="H430" s="16" t="s">
        <v>216</v>
      </c>
      <c r="I430" s="19" t="s">
        <v>21</v>
      </c>
      <c r="J430" s="19" t="s">
        <v>1019</v>
      </c>
      <c r="K430" s="339">
        <f>45.88*10%</f>
        <v>4.5880000000000001</v>
      </c>
      <c r="L430" s="339">
        <v>2080</v>
      </c>
      <c r="M430" s="339"/>
      <c r="N430" s="339">
        <f t="shared" si="85"/>
        <v>9543.0400000000009</v>
      </c>
      <c r="O430" s="339"/>
      <c r="P430" s="339"/>
      <c r="Q430" s="339">
        <f t="shared" si="83"/>
        <v>3163.5177600000006</v>
      </c>
      <c r="R430" s="339">
        <f t="shared" si="86"/>
        <v>138.37408000000002</v>
      </c>
      <c r="S430" s="339"/>
      <c r="T430" s="339">
        <v>0</v>
      </c>
      <c r="U430" s="339"/>
      <c r="V430" s="339"/>
      <c r="W430" s="264">
        <f t="shared" si="87"/>
        <v>12844.931840000001</v>
      </c>
      <c r="X430" s="339">
        <f t="shared" si="88"/>
        <v>0</v>
      </c>
      <c r="Y430" s="339"/>
      <c r="Z430" s="340">
        <f t="shared" si="89"/>
        <v>12844.931840000001</v>
      </c>
      <c r="AA430" s="2">
        <f>[4]HR!$Z620-Z430</f>
        <v>1349.2802439999959</v>
      </c>
    </row>
    <row r="431" spans="1:27" s="236" customFormat="1" ht="12.75" customHeight="1" x14ac:dyDescent="0.2">
      <c r="A431" s="16"/>
      <c r="B431" s="467">
        <v>0</v>
      </c>
      <c r="C431" s="16" t="s">
        <v>590</v>
      </c>
      <c r="D431" s="232"/>
      <c r="E431" s="16" t="s">
        <v>762</v>
      </c>
      <c r="F431" s="16"/>
      <c r="G431" s="19"/>
      <c r="H431" s="16" t="s">
        <v>216</v>
      </c>
      <c r="I431" s="19" t="s">
        <v>21</v>
      </c>
      <c r="J431" s="19" t="s">
        <v>1022</v>
      </c>
      <c r="K431" s="339">
        <f>45.88*13%</f>
        <v>5.9644000000000004</v>
      </c>
      <c r="L431" s="339">
        <v>2080</v>
      </c>
      <c r="M431" s="339"/>
      <c r="N431" s="339">
        <f t="shared" si="85"/>
        <v>12405.952000000001</v>
      </c>
      <c r="O431" s="339"/>
      <c r="P431" s="339"/>
      <c r="Q431" s="339">
        <f t="shared" si="83"/>
        <v>4112.573088000001</v>
      </c>
      <c r="R431" s="339">
        <f t="shared" si="86"/>
        <v>179.88630400000002</v>
      </c>
      <c r="S431" s="339"/>
      <c r="T431" s="339"/>
      <c r="U431" s="339"/>
      <c r="V431" s="339"/>
      <c r="W431" s="264">
        <f t="shared" si="87"/>
        <v>16698.411392000002</v>
      </c>
      <c r="X431" s="339">
        <f t="shared" si="88"/>
        <v>0</v>
      </c>
      <c r="Y431" s="339"/>
      <c r="Z431" s="340">
        <f t="shared" si="89"/>
        <v>16698.411392000002</v>
      </c>
      <c r="AA431" s="2">
        <f>[4]HR!$Z621-Z431</f>
        <v>-2504.1993080000047</v>
      </c>
    </row>
    <row r="432" spans="1:27" s="236" customFormat="1" ht="12.75" customHeight="1" x14ac:dyDescent="0.2">
      <c r="A432" s="16"/>
      <c r="B432" s="467">
        <v>0</v>
      </c>
      <c r="C432" s="16" t="s">
        <v>590</v>
      </c>
      <c r="D432" s="232"/>
      <c r="E432" s="16" t="s">
        <v>762</v>
      </c>
      <c r="F432" s="16"/>
      <c r="G432" s="19"/>
      <c r="H432" s="16" t="s">
        <v>216</v>
      </c>
      <c r="I432" s="19" t="s">
        <v>21</v>
      </c>
      <c r="J432" s="19" t="s">
        <v>972</v>
      </c>
      <c r="K432" s="339">
        <f>45.88*13%</f>
        <v>5.9644000000000004</v>
      </c>
      <c r="L432" s="339">
        <v>2080</v>
      </c>
      <c r="M432" s="339"/>
      <c r="N432" s="339">
        <f t="shared" si="85"/>
        <v>12405.952000000001</v>
      </c>
      <c r="O432" s="339"/>
      <c r="P432" s="339"/>
      <c r="Q432" s="339">
        <f t="shared" si="83"/>
        <v>4112.573088000001</v>
      </c>
      <c r="R432" s="339">
        <f t="shared" si="86"/>
        <v>179.88630400000002</v>
      </c>
      <c r="S432" s="339"/>
      <c r="T432" s="339"/>
      <c r="U432" s="339"/>
      <c r="V432" s="339"/>
      <c r="W432" s="264">
        <f t="shared" si="87"/>
        <v>16698.411392000002</v>
      </c>
      <c r="X432" s="339">
        <f t="shared" si="88"/>
        <v>0</v>
      </c>
      <c r="Y432" s="339"/>
      <c r="Z432" s="340">
        <f t="shared" si="89"/>
        <v>16698.411392000002</v>
      </c>
      <c r="AA432" s="2">
        <f>[4]HR!$Z622-Z432</f>
        <v>-2504.1993080000047</v>
      </c>
    </row>
    <row r="433" spans="1:27" s="236" customFormat="1" ht="12.75" customHeight="1" x14ac:dyDescent="0.2">
      <c r="A433" s="16"/>
      <c r="B433" s="467">
        <v>0</v>
      </c>
      <c r="C433" s="16" t="s">
        <v>590</v>
      </c>
      <c r="D433" s="232"/>
      <c r="E433" s="16" t="s">
        <v>762</v>
      </c>
      <c r="F433" s="16"/>
      <c r="G433" s="19"/>
      <c r="H433" s="16" t="s">
        <v>216</v>
      </c>
      <c r="I433" s="19" t="s">
        <v>21</v>
      </c>
      <c r="J433" s="19" t="s">
        <v>985</v>
      </c>
      <c r="K433" s="339">
        <f>45.88*13%</f>
        <v>5.9644000000000004</v>
      </c>
      <c r="L433" s="339">
        <v>2080</v>
      </c>
      <c r="M433" s="339"/>
      <c r="N433" s="339">
        <f t="shared" si="85"/>
        <v>12405.952000000001</v>
      </c>
      <c r="O433" s="339"/>
      <c r="P433" s="339"/>
      <c r="Q433" s="339">
        <f t="shared" si="83"/>
        <v>4112.573088000001</v>
      </c>
      <c r="R433" s="339">
        <f t="shared" si="86"/>
        <v>179.88630400000002</v>
      </c>
      <c r="S433" s="339"/>
      <c r="T433" s="339"/>
      <c r="U433" s="339"/>
      <c r="V433" s="339"/>
      <c r="W433" s="264">
        <f t="shared" si="87"/>
        <v>16698.411392000002</v>
      </c>
      <c r="X433" s="339">
        <f t="shared" si="88"/>
        <v>0</v>
      </c>
      <c r="Y433" s="339"/>
      <c r="Z433" s="340">
        <f t="shared" si="89"/>
        <v>16698.411392000002</v>
      </c>
      <c r="AA433" s="2">
        <f>[4]HR!$Z623-Z433</f>
        <v>-1654.5113760000004</v>
      </c>
    </row>
    <row r="434" spans="1:27" s="236" customFormat="1" ht="12.75" customHeight="1" x14ac:dyDescent="0.2">
      <c r="A434" s="16"/>
      <c r="B434" s="467">
        <v>0</v>
      </c>
      <c r="C434" s="16" t="s">
        <v>590</v>
      </c>
      <c r="D434" s="232"/>
      <c r="E434" s="16" t="s">
        <v>762</v>
      </c>
      <c r="F434" s="16"/>
      <c r="G434" s="19"/>
      <c r="H434" s="16" t="s">
        <v>216</v>
      </c>
      <c r="I434" s="19" t="s">
        <v>21</v>
      </c>
      <c r="J434" s="19" t="s">
        <v>934</v>
      </c>
      <c r="K434" s="339">
        <f>45.88*13%</f>
        <v>5.9644000000000004</v>
      </c>
      <c r="L434" s="339">
        <v>2080</v>
      </c>
      <c r="M434" s="339"/>
      <c r="N434" s="339">
        <f t="shared" si="85"/>
        <v>12405.952000000001</v>
      </c>
      <c r="O434" s="339"/>
      <c r="P434" s="339"/>
      <c r="Q434" s="339">
        <f t="shared" si="83"/>
        <v>4112.573088000001</v>
      </c>
      <c r="R434" s="339">
        <f t="shared" si="86"/>
        <v>179.88630400000002</v>
      </c>
      <c r="S434" s="339"/>
      <c r="T434" s="339"/>
      <c r="U434" s="339"/>
      <c r="V434" s="339"/>
      <c r="W434" s="264">
        <f t="shared" si="87"/>
        <v>16698.411392000002</v>
      </c>
      <c r="X434" s="339">
        <f t="shared" si="88"/>
        <v>0</v>
      </c>
      <c r="Y434" s="339"/>
      <c r="Z434" s="340">
        <f t="shared" si="89"/>
        <v>16698.411392000002</v>
      </c>
      <c r="AA434" s="2">
        <f>[4]HR!$Z624-Z434</f>
        <v>-7909.0901240000039</v>
      </c>
    </row>
    <row r="435" spans="1:27" ht="12.75" customHeight="1" x14ac:dyDescent="0.2">
      <c r="A435" s="16"/>
      <c r="B435" s="467">
        <v>0</v>
      </c>
      <c r="C435" s="16" t="s">
        <v>590</v>
      </c>
      <c r="D435" s="232"/>
      <c r="E435" s="16" t="s">
        <v>762</v>
      </c>
      <c r="F435" s="16"/>
      <c r="G435" s="19"/>
      <c r="H435" s="16" t="s">
        <v>216</v>
      </c>
      <c r="I435" s="19" t="s">
        <v>21</v>
      </c>
      <c r="J435" s="19" t="s">
        <v>96</v>
      </c>
      <c r="K435" s="339">
        <f>45.88*5%</f>
        <v>2.294</v>
      </c>
      <c r="L435" s="339">
        <v>2080</v>
      </c>
      <c r="M435" s="339"/>
      <c r="N435" s="339">
        <f t="shared" si="85"/>
        <v>4771.5200000000004</v>
      </c>
      <c r="O435" s="339"/>
      <c r="P435" s="339"/>
      <c r="Q435" s="339">
        <f t="shared" si="83"/>
        <v>1581.7588800000003</v>
      </c>
      <c r="R435" s="339">
        <f t="shared" si="86"/>
        <v>69.18704000000001</v>
      </c>
      <c r="S435" s="339"/>
      <c r="T435" s="339"/>
      <c r="U435" s="339"/>
      <c r="V435" s="339"/>
      <c r="W435" s="264">
        <f t="shared" si="87"/>
        <v>6422.4659200000006</v>
      </c>
      <c r="X435" s="339">
        <f t="shared" si="88"/>
        <v>0</v>
      </c>
      <c r="Y435" s="339"/>
      <c r="Z435" s="340">
        <f t="shared" si="89"/>
        <v>6422.4659200000006</v>
      </c>
      <c r="AA435" s="2">
        <f>[4]HR!$Z625-Z435</f>
        <v>2366.8553479999973</v>
      </c>
    </row>
    <row r="436" spans="1:27" s="236" customFormat="1" ht="12.75" customHeight="1" x14ac:dyDescent="0.2">
      <c r="A436" s="16"/>
      <c r="B436" s="467">
        <v>0</v>
      </c>
      <c r="C436" s="16" t="s">
        <v>590</v>
      </c>
      <c r="D436" s="232"/>
      <c r="E436" s="16" t="s">
        <v>762</v>
      </c>
      <c r="F436" s="16"/>
      <c r="G436" s="19"/>
      <c r="H436" s="16" t="s">
        <v>216</v>
      </c>
      <c r="I436" s="19" t="s">
        <v>21</v>
      </c>
      <c r="J436" s="19" t="s">
        <v>932</v>
      </c>
      <c r="K436" s="339">
        <f>45.88*13%</f>
        <v>5.9644000000000004</v>
      </c>
      <c r="L436" s="339">
        <v>2080</v>
      </c>
      <c r="M436" s="339"/>
      <c r="N436" s="339">
        <f t="shared" si="85"/>
        <v>12405.952000000001</v>
      </c>
      <c r="O436" s="339"/>
      <c r="P436" s="339"/>
      <c r="Q436" s="339">
        <f t="shared" si="83"/>
        <v>4112.573088000001</v>
      </c>
      <c r="R436" s="339">
        <f t="shared" si="86"/>
        <v>179.88630400000002</v>
      </c>
      <c r="S436" s="339"/>
      <c r="T436" s="339"/>
      <c r="U436" s="339"/>
      <c r="V436" s="339"/>
      <c r="W436" s="264">
        <f t="shared" si="87"/>
        <v>16698.411392000002</v>
      </c>
      <c r="X436" s="339">
        <f t="shared" si="88"/>
        <v>0</v>
      </c>
      <c r="Y436" s="339"/>
      <c r="Z436" s="340">
        <f t="shared" si="89"/>
        <v>16698.411392000002</v>
      </c>
      <c r="AA436" s="2">
        <f>[4]HR!$Z626-Z436</f>
        <v>-7909.0901240000039</v>
      </c>
    </row>
    <row r="437" spans="1:27" s="236" customFormat="1" ht="12.75" customHeight="1" x14ac:dyDescent="0.2">
      <c r="A437" s="16"/>
      <c r="B437" s="467">
        <v>0</v>
      </c>
      <c r="C437" s="16" t="s">
        <v>590</v>
      </c>
      <c r="D437" s="232"/>
      <c r="E437" s="16" t="s">
        <v>762</v>
      </c>
      <c r="F437" s="16"/>
      <c r="G437" s="19"/>
      <c r="H437" s="16" t="s">
        <v>216</v>
      </c>
      <c r="I437" s="19" t="s">
        <v>21</v>
      </c>
      <c r="J437" s="19" t="s">
        <v>99</v>
      </c>
      <c r="K437" s="339">
        <f>45.88*5%</f>
        <v>2.294</v>
      </c>
      <c r="L437" s="339">
        <v>2080</v>
      </c>
      <c r="M437" s="339"/>
      <c r="N437" s="339">
        <f t="shared" si="85"/>
        <v>4771.5200000000004</v>
      </c>
      <c r="O437" s="339"/>
      <c r="P437" s="339"/>
      <c r="Q437" s="339">
        <f t="shared" si="83"/>
        <v>1581.7588800000003</v>
      </c>
      <c r="R437" s="339">
        <f t="shared" si="86"/>
        <v>69.18704000000001</v>
      </c>
      <c r="S437" s="339"/>
      <c r="T437" s="339"/>
      <c r="U437" s="339"/>
      <c r="V437" s="339"/>
      <c r="W437" s="264">
        <f t="shared" si="87"/>
        <v>6422.4659200000006</v>
      </c>
      <c r="X437" s="339">
        <f t="shared" si="88"/>
        <v>0</v>
      </c>
      <c r="Y437" s="339"/>
      <c r="Z437" s="340">
        <f t="shared" si="89"/>
        <v>6422.4659200000006</v>
      </c>
      <c r="AA437" s="2">
        <f>[4]HR!$Z627-Z437</f>
        <v>2366.8553479999973</v>
      </c>
    </row>
    <row r="438" spans="1:27" s="236" customFormat="1" ht="12.75" customHeight="1" x14ac:dyDescent="0.2">
      <c r="A438" s="16"/>
      <c r="B438" s="467">
        <v>0</v>
      </c>
      <c r="C438" s="16" t="s">
        <v>590</v>
      </c>
      <c r="D438" s="232"/>
      <c r="E438" s="16" t="s">
        <v>762</v>
      </c>
      <c r="F438" s="16"/>
      <c r="G438" s="19"/>
      <c r="H438" s="16" t="s">
        <v>216</v>
      </c>
      <c r="I438" s="19" t="s">
        <v>21</v>
      </c>
      <c r="J438" s="19" t="s">
        <v>98</v>
      </c>
      <c r="K438" s="339">
        <f>45.88*5%</f>
        <v>2.294</v>
      </c>
      <c r="L438" s="339">
        <v>2080</v>
      </c>
      <c r="M438" s="339"/>
      <c r="N438" s="339">
        <f t="shared" si="85"/>
        <v>4771.5200000000004</v>
      </c>
      <c r="O438" s="339"/>
      <c r="P438" s="339"/>
      <c r="Q438" s="339">
        <f t="shared" si="83"/>
        <v>1581.7588800000003</v>
      </c>
      <c r="R438" s="339">
        <f t="shared" si="86"/>
        <v>69.18704000000001</v>
      </c>
      <c r="S438" s="339"/>
      <c r="T438" s="339"/>
      <c r="U438" s="339"/>
      <c r="V438" s="339"/>
      <c r="W438" s="264">
        <f t="shared" si="87"/>
        <v>6422.4659200000006</v>
      </c>
      <c r="X438" s="339">
        <f t="shared" si="88"/>
        <v>0</v>
      </c>
      <c r="Y438" s="339"/>
      <c r="Z438" s="340">
        <f t="shared" si="89"/>
        <v>6422.4659200000006</v>
      </c>
      <c r="AA438" s="2">
        <f>[4]HR!$Z628-Z438</f>
        <v>2366.8553479999973</v>
      </c>
    </row>
    <row r="439" spans="1:27" s="236" customFormat="1" ht="12.75" customHeight="1" x14ac:dyDescent="0.2">
      <c r="A439" s="16"/>
      <c r="B439" s="467">
        <v>0</v>
      </c>
      <c r="C439" s="16" t="s">
        <v>590</v>
      </c>
      <c r="D439" s="232"/>
      <c r="E439" s="16" t="s">
        <v>762</v>
      </c>
      <c r="F439" s="16"/>
      <c r="G439" s="19"/>
      <c r="H439" s="16" t="s">
        <v>216</v>
      </c>
      <c r="I439" s="19" t="s">
        <v>21</v>
      </c>
      <c r="J439" s="19" t="s">
        <v>120</v>
      </c>
      <c r="K439" s="339">
        <f>45.88*5%</f>
        <v>2.294</v>
      </c>
      <c r="L439" s="339">
        <v>2080</v>
      </c>
      <c r="M439" s="339"/>
      <c r="N439" s="339">
        <f t="shared" si="85"/>
        <v>4771.5200000000004</v>
      </c>
      <c r="O439" s="339"/>
      <c r="P439" s="339"/>
      <c r="Q439" s="339">
        <f t="shared" si="83"/>
        <v>1581.7588800000003</v>
      </c>
      <c r="R439" s="339">
        <f t="shared" si="86"/>
        <v>69.18704000000001</v>
      </c>
      <c r="S439" s="339"/>
      <c r="T439" s="339"/>
      <c r="U439" s="339"/>
      <c r="V439" s="339"/>
      <c r="W439" s="264">
        <f t="shared" si="87"/>
        <v>6422.4659200000006</v>
      </c>
      <c r="X439" s="339">
        <f t="shared" si="88"/>
        <v>0</v>
      </c>
      <c r="Y439" s="339"/>
      <c r="Z439" s="340">
        <f t="shared" si="89"/>
        <v>6422.4659200000006</v>
      </c>
      <c r="AA439" s="2"/>
    </row>
    <row r="440" spans="1:27" s="236" customFormat="1" ht="12.75" customHeight="1" x14ac:dyDescent="0.2">
      <c r="A440" s="16"/>
      <c r="B440" s="467">
        <v>0</v>
      </c>
      <c r="C440" s="16" t="s">
        <v>590</v>
      </c>
      <c r="D440" s="232"/>
      <c r="E440" s="16" t="s">
        <v>762</v>
      </c>
      <c r="F440" s="16"/>
      <c r="G440" s="19"/>
      <c r="H440" s="16" t="s">
        <v>216</v>
      </c>
      <c r="I440" s="19" t="s">
        <v>21</v>
      </c>
      <c r="J440" s="19" t="s">
        <v>491</v>
      </c>
      <c r="K440" s="339">
        <f>45.88*5%</f>
        <v>2.294</v>
      </c>
      <c r="L440" s="339">
        <v>2080</v>
      </c>
      <c r="M440" s="339"/>
      <c r="N440" s="339">
        <f t="shared" si="85"/>
        <v>4771.5200000000004</v>
      </c>
      <c r="O440" s="339"/>
      <c r="P440" s="339"/>
      <c r="Q440" s="339">
        <f t="shared" si="83"/>
        <v>1581.7588800000003</v>
      </c>
      <c r="R440" s="339">
        <f t="shared" si="86"/>
        <v>69.18704000000001</v>
      </c>
      <c r="S440" s="339"/>
      <c r="T440" s="339"/>
      <c r="U440" s="339"/>
      <c r="V440" s="339"/>
      <c r="W440" s="264">
        <f t="shared" si="87"/>
        <v>6422.4659200000006</v>
      </c>
      <c r="X440" s="339">
        <f t="shared" si="88"/>
        <v>0</v>
      </c>
      <c r="Y440" s="339"/>
      <c r="Z440" s="340">
        <f t="shared" si="89"/>
        <v>6422.4659200000006</v>
      </c>
      <c r="AA440" s="2"/>
    </row>
    <row r="441" spans="1:27" s="236" customFormat="1" ht="12.75" customHeight="1" x14ac:dyDescent="0.2">
      <c r="A441" s="16"/>
      <c r="B441" s="467">
        <v>1</v>
      </c>
      <c r="C441" s="16" t="s">
        <v>591</v>
      </c>
      <c r="D441" s="232"/>
      <c r="E441" s="16" t="s">
        <v>763</v>
      </c>
      <c r="F441" s="16"/>
      <c r="G441" s="19"/>
      <c r="H441" s="16" t="s">
        <v>216</v>
      </c>
      <c r="I441" s="19" t="s">
        <v>21</v>
      </c>
      <c r="J441" s="19" t="s">
        <v>1019</v>
      </c>
      <c r="K441" s="339">
        <f>28.68*10%</f>
        <v>2.8680000000000003</v>
      </c>
      <c r="L441" s="339">
        <v>2080</v>
      </c>
      <c r="M441" s="339"/>
      <c r="N441" s="339">
        <f t="shared" si="85"/>
        <v>5965.4400000000005</v>
      </c>
      <c r="O441" s="339"/>
      <c r="P441" s="339"/>
      <c r="Q441" s="339">
        <f t="shared" si="83"/>
        <v>1977.5433600000003</v>
      </c>
      <c r="R441" s="339">
        <f t="shared" si="86"/>
        <v>86.498880000000014</v>
      </c>
      <c r="S441" s="339"/>
      <c r="T441" s="339">
        <v>7092.48</v>
      </c>
      <c r="U441" s="339">
        <v>323.04000000000002</v>
      </c>
      <c r="V441" s="339"/>
      <c r="W441" s="264">
        <f t="shared" si="87"/>
        <v>15445.002240000002</v>
      </c>
      <c r="X441" s="339">
        <f t="shared" si="88"/>
        <v>0</v>
      </c>
      <c r="Y441" s="339"/>
      <c r="Z441" s="340">
        <f t="shared" si="89"/>
        <v>15445.002240000002</v>
      </c>
      <c r="AA441" s="2">
        <f>[4]HR!$Z629-Z441</f>
        <v>-6655.6809720000037</v>
      </c>
    </row>
    <row r="442" spans="1:27" s="236" customFormat="1" ht="12.75" customHeight="1" x14ac:dyDescent="0.2">
      <c r="A442" s="16"/>
      <c r="B442" s="467">
        <v>0</v>
      </c>
      <c r="C442" s="16" t="s">
        <v>591</v>
      </c>
      <c r="D442" s="232"/>
      <c r="E442" s="16" t="s">
        <v>763</v>
      </c>
      <c r="F442" s="16"/>
      <c r="G442" s="19"/>
      <c r="H442" s="16" t="s">
        <v>216</v>
      </c>
      <c r="I442" s="19" t="s">
        <v>21</v>
      </c>
      <c r="J442" s="19" t="s">
        <v>1022</v>
      </c>
      <c r="K442" s="339">
        <f>28.68*13%</f>
        <v>3.7284000000000002</v>
      </c>
      <c r="L442" s="339">
        <v>2080</v>
      </c>
      <c r="M442" s="339"/>
      <c r="N442" s="339">
        <f t="shared" si="85"/>
        <v>7755.0720000000001</v>
      </c>
      <c r="O442" s="339"/>
      <c r="P442" s="339"/>
      <c r="Q442" s="339">
        <f t="shared" si="83"/>
        <v>2570.806368</v>
      </c>
      <c r="R442" s="339">
        <f t="shared" si="86"/>
        <v>112.44854400000001</v>
      </c>
      <c r="S442" s="339"/>
      <c r="T442" s="339"/>
      <c r="U442" s="339"/>
      <c r="V442" s="339"/>
      <c r="W442" s="264">
        <f t="shared" si="87"/>
        <v>10438.326912</v>
      </c>
      <c r="X442" s="339">
        <f t="shared" si="88"/>
        <v>0</v>
      </c>
      <c r="Y442" s="339"/>
      <c r="Z442" s="340">
        <f t="shared" si="89"/>
        <v>10438.326912</v>
      </c>
      <c r="AA442" s="2">
        <f>[4]HR!$Z630-Z442</f>
        <v>-1649.0056440000026</v>
      </c>
    </row>
    <row r="443" spans="1:27" s="236" customFormat="1" ht="12.75" customHeight="1" x14ac:dyDescent="0.2">
      <c r="A443" s="16"/>
      <c r="B443" s="467">
        <v>0</v>
      </c>
      <c r="C443" s="16" t="s">
        <v>591</v>
      </c>
      <c r="D443" s="232"/>
      <c r="E443" s="16" t="s">
        <v>763</v>
      </c>
      <c r="F443" s="16"/>
      <c r="G443" s="19"/>
      <c r="H443" s="16" t="s">
        <v>216</v>
      </c>
      <c r="I443" s="19" t="s">
        <v>21</v>
      </c>
      <c r="J443" s="19" t="s">
        <v>972</v>
      </c>
      <c r="K443" s="339">
        <f>28.68*13%</f>
        <v>3.7284000000000002</v>
      </c>
      <c r="L443" s="339">
        <v>2080</v>
      </c>
      <c r="M443" s="339"/>
      <c r="N443" s="339">
        <f t="shared" si="85"/>
        <v>7755.0720000000001</v>
      </c>
      <c r="O443" s="339"/>
      <c r="P443" s="339"/>
      <c r="Q443" s="339">
        <f t="shared" si="83"/>
        <v>2570.806368</v>
      </c>
      <c r="R443" s="339">
        <f t="shared" si="86"/>
        <v>112.44854400000001</v>
      </c>
      <c r="S443" s="339"/>
      <c r="T443" s="339"/>
      <c r="U443" s="339"/>
      <c r="V443" s="339"/>
      <c r="W443" s="264">
        <f t="shared" si="87"/>
        <v>10438.326912</v>
      </c>
      <c r="X443" s="339">
        <f t="shared" si="88"/>
        <v>0</v>
      </c>
      <c r="Y443" s="339"/>
      <c r="Z443" s="340">
        <f t="shared" si="89"/>
        <v>10438.326912</v>
      </c>
      <c r="AA443" s="2">
        <f>[4]HR!$Z631-Z443</f>
        <v>-1649.0056440000026</v>
      </c>
    </row>
    <row r="444" spans="1:27" s="236" customFormat="1" ht="12.75" customHeight="1" x14ac:dyDescent="0.2">
      <c r="A444" s="16"/>
      <c r="B444" s="467">
        <v>0</v>
      </c>
      <c r="C444" s="16" t="s">
        <v>591</v>
      </c>
      <c r="D444" s="232"/>
      <c r="E444" s="16" t="s">
        <v>763</v>
      </c>
      <c r="F444" s="16"/>
      <c r="G444" s="19"/>
      <c r="H444" s="16" t="s">
        <v>216</v>
      </c>
      <c r="I444" s="19" t="s">
        <v>21</v>
      </c>
      <c r="J444" s="19" t="s">
        <v>985</v>
      </c>
      <c r="K444" s="339">
        <f>28.68*13%</f>
        <v>3.7284000000000002</v>
      </c>
      <c r="L444" s="339">
        <v>2080</v>
      </c>
      <c r="M444" s="339"/>
      <c r="N444" s="339">
        <f t="shared" si="85"/>
        <v>7755.0720000000001</v>
      </c>
      <c r="O444" s="339"/>
      <c r="P444" s="339"/>
      <c r="Q444" s="339">
        <f t="shared" si="83"/>
        <v>2570.806368</v>
      </c>
      <c r="R444" s="339">
        <f t="shared" si="86"/>
        <v>112.44854400000001</v>
      </c>
      <c r="S444" s="339"/>
      <c r="T444" s="339"/>
      <c r="U444" s="339"/>
      <c r="V444" s="339"/>
      <c r="W444" s="264">
        <f t="shared" si="87"/>
        <v>10438.326912</v>
      </c>
      <c r="X444" s="339">
        <f t="shared" si="88"/>
        <v>0</v>
      </c>
      <c r="Y444" s="339"/>
      <c r="Z444" s="340">
        <f t="shared" si="89"/>
        <v>10438.326912</v>
      </c>
      <c r="AA444" s="2">
        <f>[4]HR!$Z632-Z444</f>
        <v>169080.567408</v>
      </c>
    </row>
    <row r="445" spans="1:27" s="236" customFormat="1" ht="12.75" customHeight="1" x14ac:dyDescent="0.2">
      <c r="A445" s="16"/>
      <c r="B445" s="467">
        <v>0</v>
      </c>
      <c r="C445" s="16" t="s">
        <v>591</v>
      </c>
      <c r="D445" s="232"/>
      <c r="E445" s="16" t="s">
        <v>763</v>
      </c>
      <c r="F445" s="16"/>
      <c r="G445" s="19"/>
      <c r="H445" s="16" t="s">
        <v>216</v>
      </c>
      <c r="I445" s="19" t="s">
        <v>21</v>
      </c>
      <c r="J445" s="19" t="s">
        <v>935</v>
      </c>
      <c r="K445" s="339">
        <f>28.68*13%</f>
        <v>3.7284000000000002</v>
      </c>
      <c r="L445" s="339">
        <v>2080</v>
      </c>
      <c r="M445" s="339"/>
      <c r="N445" s="339">
        <f t="shared" si="85"/>
        <v>7755.0720000000001</v>
      </c>
      <c r="O445" s="339"/>
      <c r="P445" s="339"/>
      <c r="Q445" s="339">
        <f t="shared" si="83"/>
        <v>2570.806368</v>
      </c>
      <c r="R445" s="339">
        <f t="shared" si="86"/>
        <v>112.44854400000001</v>
      </c>
      <c r="S445" s="339"/>
      <c r="T445" s="339"/>
      <c r="U445" s="339"/>
      <c r="V445" s="339"/>
      <c r="W445" s="264">
        <f t="shared" si="87"/>
        <v>10438.326912</v>
      </c>
      <c r="X445" s="339">
        <f t="shared" si="88"/>
        <v>0</v>
      </c>
      <c r="Y445" s="339"/>
      <c r="Z445" s="340">
        <f t="shared" si="89"/>
        <v>10438.326912</v>
      </c>
      <c r="AA445" s="2">
        <f>[4]HR!$Z633-Z445</f>
        <v>16061.996960000004</v>
      </c>
    </row>
    <row r="446" spans="1:27" s="236" customFormat="1" ht="12.75" customHeight="1" x14ac:dyDescent="0.2">
      <c r="A446" s="16"/>
      <c r="B446" s="467">
        <v>0</v>
      </c>
      <c r="C446" s="16" t="s">
        <v>591</v>
      </c>
      <c r="D446" s="232"/>
      <c r="E446" s="16" t="s">
        <v>763</v>
      </c>
      <c r="F446" s="16"/>
      <c r="G446" s="19"/>
      <c r="H446" s="16" t="s">
        <v>216</v>
      </c>
      <c r="I446" s="19" t="s">
        <v>21</v>
      </c>
      <c r="J446" s="19" t="s">
        <v>932</v>
      </c>
      <c r="K446" s="339">
        <f>28.68*13%</f>
        <v>3.7284000000000002</v>
      </c>
      <c r="L446" s="339">
        <v>2080</v>
      </c>
      <c r="M446" s="339"/>
      <c r="N446" s="339">
        <f t="shared" si="85"/>
        <v>7755.0720000000001</v>
      </c>
      <c r="O446" s="339"/>
      <c r="P446" s="339"/>
      <c r="Q446" s="339">
        <f t="shared" si="83"/>
        <v>2570.806368</v>
      </c>
      <c r="R446" s="339">
        <f t="shared" si="86"/>
        <v>112.44854400000001</v>
      </c>
      <c r="S446" s="339"/>
      <c r="T446" s="339"/>
      <c r="U446" s="339"/>
      <c r="V446" s="339"/>
      <c r="W446" s="264">
        <f t="shared" si="87"/>
        <v>10438.326912</v>
      </c>
      <c r="X446" s="339">
        <f t="shared" si="88"/>
        <v>0</v>
      </c>
      <c r="Y446" s="339"/>
      <c r="Z446" s="340">
        <f t="shared" si="89"/>
        <v>10438.326912</v>
      </c>
      <c r="AA446" s="2">
        <f>[4]HR!$Z634-Z446</f>
        <v>1308.3874439999981</v>
      </c>
    </row>
    <row r="447" spans="1:27" s="236" customFormat="1" ht="12.75" customHeight="1" x14ac:dyDescent="0.2">
      <c r="A447" s="16"/>
      <c r="B447" s="467">
        <v>0</v>
      </c>
      <c r="C447" s="16" t="s">
        <v>591</v>
      </c>
      <c r="D447" s="232"/>
      <c r="E447" s="16" t="s">
        <v>763</v>
      </c>
      <c r="F447" s="16"/>
      <c r="G447" s="19"/>
      <c r="H447" s="16" t="s">
        <v>216</v>
      </c>
      <c r="I447" s="19" t="s">
        <v>21</v>
      </c>
      <c r="J447" s="19" t="s">
        <v>96</v>
      </c>
      <c r="K447" s="339">
        <f>28.68*5%</f>
        <v>1.4340000000000002</v>
      </c>
      <c r="L447" s="339">
        <v>2080</v>
      </c>
      <c r="M447" s="339"/>
      <c r="N447" s="339">
        <f t="shared" si="85"/>
        <v>2982.7200000000003</v>
      </c>
      <c r="O447" s="339"/>
      <c r="P447" s="339"/>
      <c r="Q447" s="339">
        <f t="shared" si="83"/>
        <v>988.77168000000017</v>
      </c>
      <c r="R447" s="339">
        <f t="shared" si="86"/>
        <v>43.249440000000007</v>
      </c>
      <c r="S447" s="339"/>
      <c r="T447" s="339"/>
      <c r="U447" s="339"/>
      <c r="V447" s="339"/>
      <c r="W447" s="264">
        <f t="shared" si="87"/>
        <v>4014.7411200000006</v>
      </c>
      <c r="X447" s="339">
        <f t="shared" si="88"/>
        <v>0</v>
      </c>
      <c r="Y447" s="339"/>
      <c r="Z447" s="340">
        <f t="shared" si="89"/>
        <v>4014.7411200000006</v>
      </c>
      <c r="AA447" s="2">
        <f>[4]HR!$Z636-Z447</f>
        <v>7731.973235999998</v>
      </c>
    </row>
    <row r="448" spans="1:27" s="236" customFormat="1" ht="12.75" customHeight="1" x14ac:dyDescent="0.2">
      <c r="A448" s="16"/>
      <c r="B448" s="467">
        <v>0</v>
      </c>
      <c r="C448" s="16" t="s">
        <v>591</v>
      </c>
      <c r="D448" s="232"/>
      <c r="E448" s="16" t="s">
        <v>763</v>
      </c>
      <c r="F448" s="16"/>
      <c r="G448" s="19"/>
      <c r="H448" s="16" t="s">
        <v>216</v>
      </c>
      <c r="I448" s="19" t="s">
        <v>21</v>
      </c>
      <c r="J448" s="19" t="s">
        <v>99</v>
      </c>
      <c r="K448" s="339">
        <f>28.68*5%</f>
        <v>1.4340000000000002</v>
      </c>
      <c r="L448" s="339">
        <v>2080</v>
      </c>
      <c r="M448" s="339"/>
      <c r="N448" s="339">
        <f t="shared" si="85"/>
        <v>2982.7200000000003</v>
      </c>
      <c r="O448" s="339"/>
      <c r="P448" s="339"/>
      <c r="Q448" s="339">
        <f t="shared" si="83"/>
        <v>988.77168000000017</v>
      </c>
      <c r="R448" s="339">
        <f t="shared" si="86"/>
        <v>43.249440000000007</v>
      </c>
      <c r="S448" s="339"/>
      <c r="T448" s="339"/>
      <c r="U448" s="339"/>
      <c r="V448" s="339"/>
      <c r="W448" s="264">
        <f t="shared" si="87"/>
        <v>4014.7411200000006</v>
      </c>
      <c r="X448" s="339">
        <f t="shared" si="88"/>
        <v>0</v>
      </c>
      <c r="Y448" s="339"/>
      <c r="Z448" s="340">
        <f t="shared" si="89"/>
        <v>4014.7411200000006</v>
      </c>
      <c r="AA448" s="2">
        <f>[4]HR!$Z637-Z448</f>
        <v>7731.973235999998</v>
      </c>
    </row>
    <row r="449" spans="1:27" s="236" customFormat="1" ht="12.75" customHeight="1" x14ac:dyDescent="0.2">
      <c r="A449" s="16"/>
      <c r="B449" s="467">
        <v>0</v>
      </c>
      <c r="C449" s="16" t="s">
        <v>591</v>
      </c>
      <c r="D449" s="232"/>
      <c r="E449" s="16" t="s">
        <v>763</v>
      </c>
      <c r="F449" s="16"/>
      <c r="G449" s="19"/>
      <c r="H449" s="16" t="s">
        <v>216</v>
      </c>
      <c r="I449" s="19" t="s">
        <v>21</v>
      </c>
      <c r="J449" s="19" t="s">
        <v>98</v>
      </c>
      <c r="K449" s="339">
        <f t="shared" ref="K449:K451" si="90">28.68*5%</f>
        <v>1.4340000000000002</v>
      </c>
      <c r="L449" s="339">
        <v>2080</v>
      </c>
      <c r="M449" s="339"/>
      <c r="N449" s="339">
        <f t="shared" si="85"/>
        <v>2982.7200000000003</v>
      </c>
      <c r="O449" s="339"/>
      <c r="P449" s="339"/>
      <c r="Q449" s="339">
        <f t="shared" si="83"/>
        <v>988.77168000000017</v>
      </c>
      <c r="R449" s="339">
        <f t="shared" si="86"/>
        <v>43.249440000000007</v>
      </c>
      <c r="S449" s="339"/>
      <c r="T449" s="339"/>
      <c r="U449" s="339"/>
      <c r="V449" s="339"/>
      <c r="W449" s="264">
        <f t="shared" si="87"/>
        <v>4014.7411200000006</v>
      </c>
      <c r="X449" s="339">
        <f t="shared" si="88"/>
        <v>0</v>
      </c>
      <c r="Y449" s="339"/>
      <c r="Z449" s="340">
        <f t="shared" si="89"/>
        <v>4014.7411200000006</v>
      </c>
      <c r="AA449" s="2"/>
    </row>
    <row r="450" spans="1:27" s="236" customFormat="1" ht="12.75" customHeight="1" x14ac:dyDescent="0.2">
      <c r="A450" s="16"/>
      <c r="B450" s="467">
        <v>0</v>
      </c>
      <c r="C450" s="16" t="s">
        <v>591</v>
      </c>
      <c r="D450" s="232"/>
      <c r="E450" s="16" t="s">
        <v>763</v>
      </c>
      <c r="F450" s="16"/>
      <c r="G450" s="19"/>
      <c r="H450" s="16" t="s">
        <v>216</v>
      </c>
      <c r="I450" s="19" t="s">
        <v>21</v>
      </c>
      <c r="J450" s="19" t="s">
        <v>120</v>
      </c>
      <c r="K450" s="339">
        <f t="shared" si="90"/>
        <v>1.4340000000000002</v>
      </c>
      <c r="L450" s="339">
        <v>2080</v>
      </c>
      <c r="M450" s="339"/>
      <c r="N450" s="339">
        <f t="shared" si="85"/>
        <v>2982.7200000000003</v>
      </c>
      <c r="O450" s="339"/>
      <c r="P450" s="339"/>
      <c r="Q450" s="339">
        <f t="shared" si="83"/>
        <v>988.77168000000017</v>
      </c>
      <c r="R450" s="339">
        <f t="shared" si="86"/>
        <v>43.249440000000007</v>
      </c>
      <c r="S450" s="339"/>
      <c r="T450" s="339"/>
      <c r="U450" s="339"/>
      <c r="V450" s="339"/>
      <c r="W450" s="264">
        <f t="shared" si="87"/>
        <v>4014.7411200000006</v>
      </c>
      <c r="X450" s="339">
        <f t="shared" si="88"/>
        <v>0</v>
      </c>
      <c r="Y450" s="339"/>
      <c r="Z450" s="340">
        <f t="shared" si="89"/>
        <v>4014.7411200000006</v>
      </c>
      <c r="AA450" s="2"/>
    </row>
    <row r="451" spans="1:27" s="236" customFormat="1" ht="12.75" customHeight="1" x14ac:dyDescent="0.2">
      <c r="A451" s="16"/>
      <c r="B451" s="467">
        <v>0</v>
      </c>
      <c r="C451" s="16" t="s">
        <v>591</v>
      </c>
      <c r="D451" s="232"/>
      <c r="E451" s="16" t="s">
        <v>763</v>
      </c>
      <c r="F451" s="16"/>
      <c r="G451" s="19"/>
      <c r="H451" s="16" t="s">
        <v>216</v>
      </c>
      <c r="I451" s="19" t="s">
        <v>21</v>
      </c>
      <c r="J451" s="19" t="s">
        <v>491</v>
      </c>
      <c r="K451" s="339">
        <f t="shared" si="90"/>
        <v>1.4340000000000002</v>
      </c>
      <c r="L451" s="339">
        <v>2080</v>
      </c>
      <c r="M451" s="339"/>
      <c r="N451" s="339">
        <f t="shared" si="85"/>
        <v>2982.7200000000003</v>
      </c>
      <c r="O451" s="339"/>
      <c r="P451" s="339"/>
      <c r="Q451" s="339">
        <f t="shared" si="83"/>
        <v>988.77168000000017</v>
      </c>
      <c r="R451" s="339">
        <f t="shared" si="86"/>
        <v>43.249440000000007</v>
      </c>
      <c r="S451" s="339"/>
      <c r="T451" s="339"/>
      <c r="U451" s="339"/>
      <c r="V451" s="339"/>
      <c r="W451" s="264">
        <f t="shared" si="87"/>
        <v>4014.7411200000006</v>
      </c>
      <c r="X451" s="339">
        <f t="shared" si="88"/>
        <v>0</v>
      </c>
      <c r="Y451" s="339"/>
      <c r="Z451" s="340">
        <f t="shared" si="89"/>
        <v>4014.7411200000006</v>
      </c>
      <c r="AA451" s="2"/>
    </row>
    <row r="452" spans="1:27" s="236" customFormat="1" ht="12.75" customHeight="1" x14ac:dyDescent="0.2">
      <c r="A452" s="16"/>
      <c r="B452" s="467">
        <v>1</v>
      </c>
      <c r="C452" s="16" t="s">
        <v>592</v>
      </c>
      <c r="D452" s="232"/>
      <c r="E452" s="16" t="s">
        <v>764</v>
      </c>
      <c r="F452" s="16"/>
      <c r="G452" s="19"/>
      <c r="H452" s="16" t="s">
        <v>216</v>
      </c>
      <c r="I452" s="19" t="s">
        <v>21</v>
      </c>
      <c r="J452" s="19" t="s">
        <v>1019</v>
      </c>
      <c r="K452" s="339">
        <f>61.45*25%</f>
        <v>15.362500000000001</v>
      </c>
      <c r="L452" s="339">
        <v>2080</v>
      </c>
      <c r="M452" s="339"/>
      <c r="N452" s="339">
        <f t="shared" si="85"/>
        <v>31954</v>
      </c>
      <c r="O452" s="339"/>
      <c r="P452" s="339"/>
      <c r="Q452" s="339">
        <f t="shared" si="83"/>
        <v>10592.751</v>
      </c>
      <c r="R452" s="339">
        <f t="shared" si="86"/>
        <v>463.33300000000003</v>
      </c>
      <c r="S452" s="339"/>
      <c r="T452" s="339">
        <v>8487.84</v>
      </c>
      <c r="U452" s="339">
        <v>400.32</v>
      </c>
      <c r="V452" s="339"/>
      <c r="W452" s="264">
        <f t="shared" si="87"/>
        <v>51898.243999999999</v>
      </c>
      <c r="X452" s="339">
        <f t="shared" si="88"/>
        <v>0</v>
      </c>
      <c r="Y452" s="339"/>
      <c r="Z452" s="340">
        <f t="shared" si="89"/>
        <v>51898.243999999999</v>
      </c>
      <c r="AA452" s="2">
        <f>[4]HR!$Z638-Z452</f>
        <v>-40151.529644000002</v>
      </c>
    </row>
    <row r="453" spans="1:27" s="236" customFormat="1" ht="12.75" customHeight="1" x14ac:dyDescent="0.2">
      <c r="A453" s="16"/>
      <c r="B453" s="467">
        <v>0</v>
      </c>
      <c r="C453" s="16" t="s">
        <v>592</v>
      </c>
      <c r="D453" s="232"/>
      <c r="E453" s="16" t="s">
        <v>764</v>
      </c>
      <c r="F453" s="16"/>
      <c r="G453" s="19"/>
      <c r="H453" s="16" t="s">
        <v>216</v>
      </c>
      <c r="I453" s="19" t="s">
        <v>21</v>
      </c>
      <c r="J453" s="19" t="s">
        <v>96</v>
      </c>
      <c r="K453" s="339">
        <f>61.45*20%</f>
        <v>12.290000000000001</v>
      </c>
      <c r="L453" s="339">
        <v>2080</v>
      </c>
      <c r="M453" s="339"/>
      <c r="N453" s="339">
        <f t="shared" si="85"/>
        <v>25563.200000000001</v>
      </c>
      <c r="O453" s="339"/>
      <c r="P453" s="339"/>
      <c r="Q453" s="339">
        <f t="shared" si="83"/>
        <v>8474.2008000000005</v>
      </c>
      <c r="R453" s="339">
        <f t="shared" si="86"/>
        <v>370.66640000000001</v>
      </c>
      <c r="S453" s="339"/>
      <c r="T453" s="339"/>
      <c r="U453" s="339"/>
      <c r="V453" s="339"/>
      <c r="W453" s="264">
        <f t="shared" si="87"/>
        <v>34408.067200000005</v>
      </c>
      <c r="X453" s="339">
        <f t="shared" si="88"/>
        <v>0</v>
      </c>
      <c r="Y453" s="339"/>
      <c r="Z453" s="340">
        <f t="shared" si="89"/>
        <v>34408.067200000005</v>
      </c>
      <c r="AA453" s="2"/>
    </row>
    <row r="454" spans="1:27" s="236" customFormat="1" ht="12.75" customHeight="1" x14ac:dyDescent="0.2">
      <c r="A454" s="16"/>
      <c r="B454" s="467">
        <v>0</v>
      </c>
      <c r="C454" s="16" t="s">
        <v>592</v>
      </c>
      <c r="D454" s="232"/>
      <c r="E454" s="16" t="s">
        <v>764</v>
      </c>
      <c r="F454" s="16"/>
      <c r="G454" s="19"/>
      <c r="H454" s="16" t="s">
        <v>216</v>
      </c>
      <c r="I454" s="19" t="s">
        <v>21</v>
      </c>
      <c r="J454" s="19" t="s">
        <v>1023</v>
      </c>
      <c r="K454" s="339">
        <f>61.45*10%</f>
        <v>6.1450000000000005</v>
      </c>
      <c r="L454" s="339">
        <v>2080</v>
      </c>
      <c r="M454" s="339"/>
      <c r="N454" s="339">
        <f t="shared" si="85"/>
        <v>12781.6</v>
      </c>
      <c r="O454" s="339"/>
      <c r="P454" s="339"/>
      <c r="Q454" s="339">
        <f t="shared" si="83"/>
        <v>4237.1004000000003</v>
      </c>
      <c r="R454" s="339">
        <f t="shared" si="86"/>
        <v>185.33320000000001</v>
      </c>
      <c r="S454" s="339"/>
      <c r="T454" s="339"/>
      <c r="U454" s="339"/>
      <c r="V454" s="339"/>
      <c r="W454" s="264">
        <f t="shared" si="87"/>
        <v>17204.033600000002</v>
      </c>
      <c r="X454" s="339">
        <f t="shared" si="88"/>
        <v>0</v>
      </c>
      <c r="Y454" s="339"/>
      <c r="Z454" s="340">
        <f t="shared" si="89"/>
        <v>17204.033600000002</v>
      </c>
      <c r="AA454" s="2"/>
    </row>
    <row r="455" spans="1:27" s="236" customFormat="1" ht="12.75" customHeight="1" x14ac:dyDescent="0.2">
      <c r="A455" s="16"/>
      <c r="B455" s="467">
        <v>0</v>
      </c>
      <c r="C455" s="16" t="s">
        <v>592</v>
      </c>
      <c r="D455" s="232"/>
      <c r="E455" s="16" t="s">
        <v>764</v>
      </c>
      <c r="F455" s="16"/>
      <c r="G455" s="19"/>
      <c r="H455" s="16" t="s">
        <v>216</v>
      </c>
      <c r="I455" s="19" t="s">
        <v>21</v>
      </c>
      <c r="J455" s="19" t="s">
        <v>934</v>
      </c>
      <c r="K455" s="339">
        <f>61.45*10%</f>
        <v>6.1450000000000005</v>
      </c>
      <c r="L455" s="339">
        <v>2080</v>
      </c>
      <c r="M455" s="339"/>
      <c r="N455" s="339">
        <f t="shared" si="85"/>
        <v>12781.6</v>
      </c>
      <c r="O455" s="339"/>
      <c r="P455" s="339"/>
      <c r="Q455" s="339">
        <f t="shared" si="83"/>
        <v>4237.1004000000003</v>
      </c>
      <c r="R455" s="339">
        <f t="shared" si="86"/>
        <v>185.33320000000001</v>
      </c>
      <c r="S455" s="339"/>
      <c r="T455" s="339"/>
      <c r="U455" s="339"/>
      <c r="V455" s="339"/>
      <c r="W455" s="264">
        <f t="shared" si="87"/>
        <v>17204.033600000002</v>
      </c>
      <c r="X455" s="339">
        <f t="shared" si="88"/>
        <v>0</v>
      </c>
      <c r="Y455" s="339"/>
      <c r="Z455" s="340">
        <f t="shared" si="89"/>
        <v>17204.033600000002</v>
      </c>
      <c r="AA455" s="2"/>
    </row>
    <row r="456" spans="1:27" s="236" customFormat="1" ht="12.75" customHeight="1" x14ac:dyDescent="0.2">
      <c r="A456" s="16"/>
      <c r="B456" s="467">
        <v>0</v>
      </c>
      <c r="C456" s="16" t="s">
        <v>592</v>
      </c>
      <c r="D456" s="232"/>
      <c r="E456" s="16" t="s">
        <v>764</v>
      </c>
      <c r="F456" s="16"/>
      <c r="G456" s="19"/>
      <c r="H456" s="16" t="s">
        <v>216</v>
      </c>
      <c r="I456" s="19" t="s">
        <v>21</v>
      </c>
      <c r="J456" s="19" t="s">
        <v>932</v>
      </c>
      <c r="K456" s="339">
        <f>61.45*10%</f>
        <v>6.1450000000000005</v>
      </c>
      <c r="L456" s="339">
        <v>2080</v>
      </c>
      <c r="M456" s="339"/>
      <c r="N456" s="339">
        <f t="shared" si="85"/>
        <v>12781.6</v>
      </c>
      <c r="O456" s="339"/>
      <c r="P456" s="339"/>
      <c r="Q456" s="339">
        <f t="shared" si="83"/>
        <v>4237.1004000000003</v>
      </c>
      <c r="R456" s="339">
        <f t="shared" si="86"/>
        <v>185.33320000000001</v>
      </c>
      <c r="S456" s="339"/>
      <c r="T456" s="339"/>
      <c r="U456" s="339"/>
      <c r="V456" s="339"/>
      <c r="W456" s="264">
        <f t="shared" si="87"/>
        <v>17204.033600000002</v>
      </c>
      <c r="X456" s="339">
        <f t="shared" si="88"/>
        <v>0</v>
      </c>
      <c r="Y456" s="339"/>
      <c r="Z456" s="340">
        <f t="shared" si="89"/>
        <v>17204.033600000002</v>
      </c>
      <c r="AA456" s="2"/>
    </row>
    <row r="457" spans="1:27" s="236" customFormat="1" ht="12.75" customHeight="1" x14ac:dyDescent="0.2">
      <c r="A457" s="16"/>
      <c r="B457" s="467">
        <v>0</v>
      </c>
      <c r="C457" s="16" t="s">
        <v>592</v>
      </c>
      <c r="D457" s="232"/>
      <c r="E457" s="16" t="s">
        <v>764</v>
      </c>
      <c r="F457" s="16"/>
      <c r="G457" s="19"/>
      <c r="H457" s="16" t="s">
        <v>216</v>
      </c>
      <c r="I457" s="19" t="s">
        <v>21</v>
      </c>
      <c r="J457" s="19" t="s">
        <v>1003</v>
      </c>
      <c r="K457" s="339">
        <f>61.45*15%</f>
        <v>9.2174999999999994</v>
      </c>
      <c r="L457" s="339">
        <v>2080</v>
      </c>
      <c r="M457" s="339"/>
      <c r="N457" s="339">
        <f t="shared" si="85"/>
        <v>19172.399999999998</v>
      </c>
      <c r="O457" s="339"/>
      <c r="P457" s="339"/>
      <c r="Q457" s="339">
        <f t="shared" si="83"/>
        <v>6355.6505999999999</v>
      </c>
      <c r="R457" s="339">
        <f t="shared" si="86"/>
        <v>277.99979999999999</v>
      </c>
      <c r="S457" s="339"/>
      <c r="T457" s="339"/>
      <c r="U457" s="339"/>
      <c r="V457" s="339"/>
      <c r="W457" s="264">
        <f t="shared" si="87"/>
        <v>25806.0504</v>
      </c>
      <c r="X457" s="339">
        <f t="shared" si="88"/>
        <v>0</v>
      </c>
      <c r="Y457" s="339"/>
      <c r="Z457" s="340">
        <f t="shared" si="89"/>
        <v>25806.0504</v>
      </c>
      <c r="AA457" s="2"/>
    </row>
    <row r="458" spans="1:27" s="236" customFormat="1" ht="12.75" customHeight="1" x14ac:dyDescent="0.2">
      <c r="A458" s="16"/>
      <c r="B458" s="467">
        <v>0</v>
      </c>
      <c r="C458" s="16" t="s">
        <v>592</v>
      </c>
      <c r="D458" s="232"/>
      <c r="E458" s="16" t="s">
        <v>764</v>
      </c>
      <c r="F458" s="16"/>
      <c r="G458" s="19"/>
      <c r="H458" s="16" t="s">
        <v>216</v>
      </c>
      <c r="I458" s="19" t="s">
        <v>21</v>
      </c>
      <c r="J458" s="19" t="s">
        <v>99</v>
      </c>
      <c r="K458" s="339">
        <f t="shared" ref="K458" si="91">61.45*10%</f>
        <v>6.1450000000000005</v>
      </c>
      <c r="L458" s="339">
        <v>2080</v>
      </c>
      <c r="M458" s="339"/>
      <c r="N458" s="339">
        <f t="shared" si="85"/>
        <v>12781.6</v>
      </c>
      <c r="O458" s="339"/>
      <c r="P458" s="339"/>
      <c r="Q458" s="339">
        <f t="shared" si="83"/>
        <v>4237.1004000000003</v>
      </c>
      <c r="R458" s="339">
        <f t="shared" si="86"/>
        <v>185.33320000000001</v>
      </c>
      <c r="S458" s="339"/>
      <c r="T458" s="339"/>
      <c r="U458" s="339"/>
      <c r="V458" s="339"/>
      <c r="W458" s="264">
        <f t="shared" si="87"/>
        <v>17204.033600000002</v>
      </c>
      <c r="X458" s="339">
        <f t="shared" si="88"/>
        <v>0</v>
      </c>
      <c r="Y458" s="339"/>
      <c r="Z458" s="340">
        <f t="shared" si="89"/>
        <v>17204.033600000002</v>
      </c>
      <c r="AA458" s="2"/>
    </row>
    <row r="459" spans="1:27" ht="12.75" customHeight="1" x14ac:dyDescent="0.2">
      <c r="A459" s="16"/>
      <c r="B459" s="467">
        <v>0</v>
      </c>
      <c r="C459" s="16" t="s">
        <v>1649</v>
      </c>
      <c r="D459" s="232"/>
      <c r="E459" s="16" t="s">
        <v>182</v>
      </c>
      <c r="F459" s="16"/>
      <c r="G459" s="19"/>
      <c r="H459" s="16" t="s">
        <v>216</v>
      </c>
      <c r="I459" s="19" t="s">
        <v>1172</v>
      </c>
      <c r="J459" s="19" t="s">
        <v>954</v>
      </c>
      <c r="K459" s="339">
        <f>9.55*100%</f>
        <v>9.5500000000000007</v>
      </c>
      <c r="L459" s="339">
        <v>2080</v>
      </c>
      <c r="M459" s="339"/>
      <c r="N459" s="339">
        <f>L459*K459</f>
        <v>19864</v>
      </c>
      <c r="O459" s="339"/>
      <c r="P459" s="339"/>
      <c r="Q459" s="339">
        <f>N459*6.2%</f>
        <v>1231.568</v>
      </c>
      <c r="R459" s="339">
        <f t="shared" si="86"/>
        <v>288.02800000000002</v>
      </c>
      <c r="S459" s="339"/>
      <c r="T459" s="339"/>
      <c r="U459" s="339"/>
      <c r="V459" s="339"/>
      <c r="W459" s="264">
        <f t="shared" si="87"/>
        <v>21383.595999999998</v>
      </c>
      <c r="X459" s="339">
        <f t="shared" si="88"/>
        <v>0</v>
      </c>
      <c r="Y459" s="339"/>
      <c r="Z459" s="340">
        <f t="shared" si="89"/>
        <v>21383.595999999998</v>
      </c>
      <c r="AA459" s="2">
        <f>[4]HR!$Z668-Z459</f>
        <v>30957.775200000004</v>
      </c>
    </row>
    <row r="460" spans="1:27" s="236" customFormat="1" ht="12.75" customHeight="1" x14ac:dyDescent="0.2">
      <c r="A460" s="16"/>
      <c r="B460" s="103">
        <v>1</v>
      </c>
      <c r="C460" s="16" t="s">
        <v>559</v>
      </c>
      <c r="D460" s="232" t="s">
        <v>1215</v>
      </c>
      <c r="E460" s="19" t="s">
        <v>738</v>
      </c>
      <c r="F460" s="19"/>
      <c r="G460" s="19" t="s">
        <v>209</v>
      </c>
      <c r="H460" s="341" t="s">
        <v>216</v>
      </c>
      <c r="I460" s="396" t="s">
        <v>1172</v>
      </c>
      <c r="J460" s="19" t="s">
        <v>954</v>
      </c>
      <c r="K460" s="464">
        <f>29.52*85%</f>
        <v>25.091999999999999</v>
      </c>
      <c r="L460" s="339">
        <v>2080</v>
      </c>
      <c r="M460" s="339">
        <v>0</v>
      </c>
      <c r="N460" s="339">
        <f t="shared" si="85"/>
        <v>52191.360000000001</v>
      </c>
      <c r="O460" s="339"/>
      <c r="P460" s="339"/>
      <c r="Q460" s="339">
        <f t="shared" ref="Q460:Q480" si="92">N460*0.3315</f>
        <v>17301.435840000002</v>
      </c>
      <c r="R460" s="339">
        <f t="shared" si="86"/>
        <v>756.77472</v>
      </c>
      <c r="S460" s="339"/>
      <c r="T460" s="339">
        <v>12</v>
      </c>
      <c r="U460" s="339">
        <v>610.08000000000004</v>
      </c>
      <c r="V460" s="339"/>
      <c r="W460" s="264">
        <f t="shared" si="87"/>
        <v>70871.650560000009</v>
      </c>
      <c r="X460" s="339">
        <f t="shared" si="88"/>
        <v>0</v>
      </c>
      <c r="Y460" s="339"/>
      <c r="Z460" s="726">
        <f t="shared" si="89"/>
        <v>70871.650560000009</v>
      </c>
      <c r="AA460" s="2"/>
    </row>
    <row r="461" spans="1:27" s="236" customFormat="1" ht="12.75" customHeight="1" x14ac:dyDescent="0.2">
      <c r="A461" s="16"/>
      <c r="B461" s="103">
        <v>0</v>
      </c>
      <c r="C461" s="16" t="s">
        <v>559</v>
      </c>
      <c r="D461" s="232" t="s">
        <v>1215</v>
      </c>
      <c r="E461" s="19" t="s">
        <v>738</v>
      </c>
      <c r="F461" s="19"/>
      <c r="G461" s="19" t="s">
        <v>209</v>
      </c>
      <c r="H461" s="341" t="s">
        <v>216</v>
      </c>
      <c r="I461" s="396" t="s">
        <v>1172</v>
      </c>
      <c r="J461" s="19" t="s">
        <v>958</v>
      </c>
      <c r="K461" s="464">
        <f>29.52*10%</f>
        <v>2.952</v>
      </c>
      <c r="L461" s="339">
        <v>2080</v>
      </c>
      <c r="M461" s="339">
        <v>0</v>
      </c>
      <c r="N461" s="339">
        <f t="shared" si="85"/>
        <v>6140.16</v>
      </c>
      <c r="O461" s="339"/>
      <c r="P461" s="339"/>
      <c r="Q461" s="339">
        <f t="shared" si="92"/>
        <v>2035.4630400000001</v>
      </c>
      <c r="R461" s="339">
        <f t="shared" si="86"/>
        <v>89.032319999999999</v>
      </c>
      <c r="S461" s="339"/>
      <c r="T461" s="339"/>
      <c r="U461" s="339"/>
      <c r="V461" s="339"/>
      <c r="W461" s="264">
        <f t="shared" si="87"/>
        <v>8264.6553600000007</v>
      </c>
      <c r="X461" s="339">
        <f t="shared" si="88"/>
        <v>0</v>
      </c>
      <c r="Y461" s="339"/>
      <c r="Z461" s="340">
        <f t="shared" si="89"/>
        <v>8264.6553600000007</v>
      </c>
      <c r="AA461" s="2"/>
    </row>
    <row r="462" spans="1:27" s="236" customFormat="1" ht="12.75" customHeight="1" x14ac:dyDescent="0.2">
      <c r="A462" s="16"/>
      <c r="B462" s="103">
        <v>0</v>
      </c>
      <c r="C462" s="16" t="s">
        <v>559</v>
      </c>
      <c r="D462" s="232" t="s">
        <v>1215</v>
      </c>
      <c r="E462" s="19" t="s">
        <v>738</v>
      </c>
      <c r="F462" s="19"/>
      <c r="G462" s="19" t="s">
        <v>209</v>
      </c>
      <c r="H462" s="341" t="s">
        <v>216</v>
      </c>
      <c r="I462" s="396" t="s">
        <v>1172</v>
      </c>
      <c r="J462" s="19" t="s">
        <v>1044</v>
      </c>
      <c r="K462" s="464">
        <f>29.52*5%</f>
        <v>1.476</v>
      </c>
      <c r="L462" s="339">
        <v>2080</v>
      </c>
      <c r="M462" s="339">
        <v>0</v>
      </c>
      <c r="N462" s="339">
        <f t="shared" si="85"/>
        <v>3070.08</v>
      </c>
      <c r="O462" s="339"/>
      <c r="P462" s="339"/>
      <c r="Q462" s="339">
        <f t="shared" si="92"/>
        <v>1017.73152</v>
      </c>
      <c r="R462" s="339">
        <f t="shared" si="86"/>
        <v>44.516159999999999</v>
      </c>
      <c r="S462" s="339"/>
      <c r="T462" s="339"/>
      <c r="U462" s="339"/>
      <c r="V462" s="339"/>
      <c r="W462" s="264">
        <f t="shared" si="87"/>
        <v>4132.3276800000003</v>
      </c>
      <c r="X462" s="339">
        <f t="shared" si="88"/>
        <v>0</v>
      </c>
      <c r="Y462" s="339"/>
      <c r="Z462" s="340">
        <f t="shared" si="89"/>
        <v>4132.3276800000003</v>
      </c>
      <c r="AA462" s="2"/>
    </row>
    <row r="463" spans="1:27" s="236" customFormat="1" ht="12.75" customHeight="1" x14ac:dyDescent="0.2">
      <c r="A463" s="16"/>
      <c r="B463" s="467">
        <v>1</v>
      </c>
      <c r="C463" s="16" t="s">
        <v>668</v>
      </c>
      <c r="D463" s="232"/>
      <c r="E463" s="16" t="s">
        <v>768</v>
      </c>
      <c r="F463" s="16"/>
      <c r="G463" s="19"/>
      <c r="H463" s="16" t="s">
        <v>216</v>
      </c>
      <c r="I463" s="19" t="s">
        <v>1172</v>
      </c>
      <c r="J463" s="19" t="s">
        <v>954</v>
      </c>
      <c r="K463" s="339">
        <v>35.96</v>
      </c>
      <c r="L463" s="339">
        <v>2080</v>
      </c>
      <c r="M463" s="339"/>
      <c r="N463" s="339">
        <f>L463*K463</f>
        <v>74796.800000000003</v>
      </c>
      <c r="O463" s="339"/>
      <c r="P463" s="339"/>
      <c r="Q463" s="339">
        <f t="shared" si="92"/>
        <v>24795.139200000001</v>
      </c>
      <c r="R463" s="339">
        <f t="shared" si="86"/>
        <v>1084.5536000000002</v>
      </c>
      <c r="S463" s="339"/>
      <c r="T463" s="339">
        <v>120</v>
      </c>
      <c r="U463" s="339"/>
      <c r="V463" s="339"/>
      <c r="W463" s="264">
        <f t="shared" si="87"/>
        <v>100796.49280000001</v>
      </c>
      <c r="X463" s="339">
        <f t="shared" si="88"/>
        <v>0</v>
      </c>
      <c r="Y463" s="339"/>
      <c r="Z463" s="726">
        <f t="shared" si="89"/>
        <v>100796.49280000001</v>
      </c>
      <c r="AA463" s="2">
        <f>[4]HR!$Z657-Z463</f>
        <v>-2002.8374400000175</v>
      </c>
    </row>
    <row r="464" spans="1:27" s="236" customFormat="1" ht="12.75" customHeight="1" x14ac:dyDescent="0.2">
      <c r="A464" s="16"/>
      <c r="B464" s="467">
        <v>1</v>
      </c>
      <c r="C464" s="16" t="s">
        <v>670</v>
      </c>
      <c r="D464" s="232"/>
      <c r="E464" s="16" t="s">
        <v>771</v>
      </c>
      <c r="F464" s="16"/>
      <c r="G464" s="19"/>
      <c r="H464" s="16" t="s">
        <v>216</v>
      </c>
      <c r="I464" s="19" t="s">
        <v>1172</v>
      </c>
      <c r="J464" s="19" t="s">
        <v>954</v>
      </c>
      <c r="K464" s="339">
        <v>23.16</v>
      </c>
      <c r="L464" s="339">
        <v>2080</v>
      </c>
      <c r="M464" s="339"/>
      <c r="N464" s="339">
        <f t="shared" si="85"/>
        <v>48172.800000000003</v>
      </c>
      <c r="O464" s="339"/>
      <c r="P464" s="339"/>
      <c r="Q464" s="339">
        <f t="shared" si="92"/>
        <v>15969.283200000002</v>
      </c>
      <c r="R464" s="339">
        <f t="shared" si="86"/>
        <v>698.50560000000007</v>
      </c>
      <c r="S464" s="339"/>
      <c r="T464" s="339">
        <v>9592.56</v>
      </c>
      <c r="U464" s="339">
        <v>935.28</v>
      </c>
      <c r="V464" s="339"/>
      <c r="W464" s="264">
        <f t="shared" si="87"/>
        <v>75368.428800000009</v>
      </c>
      <c r="X464" s="339">
        <f t="shared" si="88"/>
        <v>0</v>
      </c>
      <c r="Y464" s="339"/>
      <c r="Z464" s="726">
        <f t="shared" si="89"/>
        <v>75368.428800000009</v>
      </c>
      <c r="AA464" s="2">
        <f>[4]HR!$Z659-Z464</f>
        <v>2078.3822399999772</v>
      </c>
    </row>
    <row r="465" spans="1:27" s="236" customFormat="1" ht="12.75" customHeight="1" x14ac:dyDescent="0.2">
      <c r="A465" s="16"/>
      <c r="B465" s="467">
        <v>1</v>
      </c>
      <c r="C465" s="16" t="s">
        <v>672</v>
      </c>
      <c r="D465" s="232"/>
      <c r="E465" s="16" t="s">
        <v>773</v>
      </c>
      <c r="F465" s="16"/>
      <c r="G465" s="19"/>
      <c r="H465" s="16" t="s">
        <v>216</v>
      </c>
      <c r="I465" s="19" t="s">
        <v>1172</v>
      </c>
      <c r="J465" s="19" t="s">
        <v>954</v>
      </c>
      <c r="K465" s="339">
        <v>36.340000000000003</v>
      </c>
      <c r="L465" s="339">
        <v>2080</v>
      </c>
      <c r="M465" s="339"/>
      <c r="N465" s="339">
        <f t="shared" si="85"/>
        <v>75587.200000000012</v>
      </c>
      <c r="O465" s="339"/>
      <c r="P465" s="339"/>
      <c r="Q465" s="339">
        <f t="shared" si="92"/>
        <v>25057.156800000004</v>
      </c>
      <c r="R465" s="339">
        <f t="shared" si="86"/>
        <v>1096.0144000000003</v>
      </c>
      <c r="S465" s="339"/>
      <c r="T465" s="339">
        <v>9664.56</v>
      </c>
      <c r="U465" s="339">
        <v>935.28</v>
      </c>
      <c r="V465" s="339"/>
      <c r="W465" s="264">
        <f t="shared" si="87"/>
        <v>112340.21120000001</v>
      </c>
      <c r="X465" s="339">
        <f t="shared" si="88"/>
        <v>0</v>
      </c>
      <c r="Y465" s="339"/>
      <c r="Z465" s="726">
        <f t="shared" si="89"/>
        <v>112340.21120000001</v>
      </c>
      <c r="AA465" s="2">
        <f>[4]HR!$Z661-Z465</f>
        <v>-55899.994080000011</v>
      </c>
    </row>
    <row r="466" spans="1:27" s="236" customFormat="1" ht="12.75" customHeight="1" x14ac:dyDescent="0.2">
      <c r="A466" s="16"/>
      <c r="B466" s="467">
        <v>1</v>
      </c>
      <c r="C466" s="16" t="s">
        <v>579</v>
      </c>
      <c r="D466" s="232"/>
      <c r="E466" s="16" t="s">
        <v>753</v>
      </c>
      <c r="F466" s="16"/>
      <c r="G466" s="16"/>
      <c r="H466" s="16" t="s">
        <v>216</v>
      </c>
      <c r="I466" s="19" t="s">
        <v>1172</v>
      </c>
      <c r="J466" s="19" t="s">
        <v>1019</v>
      </c>
      <c r="K466" s="339">
        <v>25.29</v>
      </c>
      <c r="L466" s="339">
        <v>2080</v>
      </c>
      <c r="M466" s="339"/>
      <c r="N466" s="339">
        <f t="shared" si="85"/>
        <v>52603.199999999997</v>
      </c>
      <c r="O466" s="339"/>
      <c r="P466" s="339"/>
      <c r="Q466" s="339">
        <f t="shared" si="92"/>
        <v>17437.960800000001</v>
      </c>
      <c r="R466" s="339">
        <f t="shared" si="86"/>
        <v>762.74639999999999</v>
      </c>
      <c r="S466" s="339"/>
      <c r="T466" s="339">
        <v>8583.84</v>
      </c>
      <c r="U466" s="339">
        <v>400.32</v>
      </c>
      <c r="V466" s="339"/>
      <c r="W466" s="264">
        <f t="shared" si="87"/>
        <v>79788.067200000005</v>
      </c>
      <c r="X466" s="339">
        <f t="shared" si="88"/>
        <v>0</v>
      </c>
      <c r="Y466" s="339"/>
      <c r="Z466" s="726">
        <f t="shared" si="89"/>
        <v>79788.067200000005</v>
      </c>
      <c r="AA466" s="2">
        <f>[4]HR!$Z504-Z466</f>
        <v>-5696.8770400000212</v>
      </c>
    </row>
    <row r="467" spans="1:27" s="236" customFormat="1" ht="12.75" customHeight="1" x14ac:dyDescent="0.2">
      <c r="A467" s="16"/>
      <c r="B467" s="467">
        <v>1</v>
      </c>
      <c r="C467" s="16" t="s">
        <v>627</v>
      </c>
      <c r="D467" s="232"/>
      <c r="E467" s="16" t="s">
        <v>779</v>
      </c>
      <c r="F467" s="16"/>
      <c r="G467" s="19"/>
      <c r="H467" s="16" t="s">
        <v>216</v>
      </c>
      <c r="I467" s="19" t="s">
        <v>1172</v>
      </c>
      <c r="J467" s="19" t="s">
        <v>954</v>
      </c>
      <c r="K467" s="339">
        <f>28.8*100%</f>
        <v>28.8</v>
      </c>
      <c r="L467" s="339">
        <v>2080</v>
      </c>
      <c r="M467" s="339"/>
      <c r="N467" s="339">
        <f t="shared" si="85"/>
        <v>59904</v>
      </c>
      <c r="O467" s="339"/>
      <c r="P467" s="339"/>
      <c r="Q467" s="339">
        <f t="shared" si="92"/>
        <v>19858.175999999999</v>
      </c>
      <c r="R467" s="339">
        <f t="shared" ref="R467:R515" si="93">N467*0.0145</f>
        <v>868.60800000000006</v>
      </c>
      <c r="S467" s="339"/>
      <c r="T467" s="339">
        <v>8473.44</v>
      </c>
      <c r="U467" s="339">
        <v>323.04000000000002</v>
      </c>
      <c r="V467" s="339"/>
      <c r="W467" s="264">
        <f t="shared" si="87"/>
        <v>89427.263999999996</v>
      </c>
      <c r="X467" s="339">
        <f t="shared" si="88"/>
        <v>0</v>
      </c>
      <c r="Y467" s="339"/>
      <c r="Z467" s="726">
        <f t="shared" si="89"/>
        <v>89427.263999999996</v>
      </c>
      <c r="AA467" s="2">
        <f>[4]HR!$Z591-Z467</f>
        <v>-56725.346999999994</v>
      </c>
    </row>
    <row r="468" spans="1:27" s="236" customFormat="1" ht="12.75" customHeight="1" x14ac:dyDescent="0.2">
      <c r="A468" s="16"/>
      <c r="B468" s="467">
        <v>1</v>
      </c>
      <c r="C468" s="16" t="s">
        <v>676</v>
      </c>
      <c r="D468" s="232"/>
      <c r="E468" s="16" t="s">
        <v>767</v>
      </c>
      <c r="F468" s="16"/>
      <c r="G468" s="19"/>
      <c r="H468" s="16" t="s">
        <v>216</v>
      </c>
      <c r="I468" s="19" t="s">
        <v>1172</v>
      </c>
      <c r="J468" s="19" t="s">
        <v>958</v>
      </c>
      <c r="K468" s="339">
        <f>26.54*50%</f>
        <v>13.27</v>
      </c>
      <c r="L468" s="339">
        <v>2080</v>
      </c>
      <c r="M468" s="339"/>
      <c r="N468" s="339">
        <f t="shared" si="85"/>
        <v>27601.599999999999</v>
      </c>
      <c r="O468" s="339"/>
      <c r="P468" s="339"/>
      <c r="Q468" s="339">
        <f t="shared" si="92"/>
        <v>9149.9303999999993</v>
      </c>
      <c r="R468" s="339">
        <f t="shared" si="93"/>
        <v>400.22320000000002</v>
      </c>
      <c r="S468" s="339"/>
      <c r="T468" s="339">
        <v>5252.4</v>
      </c>
      <c r="U468" s="339"/>
      <c r="V468" s="339"/>
      <c r="W468" s="264">
        <f t="shared" si="87"/>
        <v>42404.153599999998</v>
      </c>
      <c r="X468" s="339">
        <f t="shared" si="88"/>
        <v>0</v>
      </c>
      <c r="Y468" s="339"/>
      <c r="Z468" s="340">
        <f t="shared" si="89"/>
        <v>42404.153599999998</v>
      </c>
      <c r="AA468" s="2">
        <f>[4]HR!$Z665-Z468</f>
        <v>29953.558960000002</v>
      </c>
    </row>
    <row r="469" spans="1:27" s="236" customFormat="1" ht="12.75" customHeight="1" x14ac:dyDescent="0.2">
      <c r="A469" s="16"/>
      <c r="B469" s="467">
        <v>0</v>
      </c>
      <c r="C469" s="16" t="s">
        <v>676</v>
      </c>
      <c r="D469" s="232"/>
      <c r="E469" s="16" t="s">
        <v>767</v>
      </c>
      <c r="F469" s="16"/>
      <c r="G469" s="19"/>
      <c r="H469" s="16" t="s">
        <v>216</v>
      </c>
      <c r="I469" s="19" t="s">
        <v>1172</v>
      </c>
      <c r="J469" s="19" t="s">
        <v>954</v>
      </c>
      <c r="K469" s="339">
        <f>26.54*50%</f>
        <v>13.27</v>
      </c>
      <c r="L469" s="339">
        <v>2080</v>
      </c>
      <c r="M469" s="339"/>
      <c r="N469" s="339">
        <f t="shared" si="85"/>
        <v>27601.599999999999</v>
      </c>
      <c r="O469" s="339"/>
      <c r="P469" s="339"/>
      <c r="Q469" s="339">
        <f t="shared" si="92"/>
        <v>9149.9303999999993</v>
      </c>
      <c r="R469" s="339">
        <f t="shared" si="93"/>
        <v>400.22320000000002</v>
      </c>
      <c r="S469" s="339"/>
      <c r="T469" s="339"/>
      <c r="U469" s="339"/>
      <c r="V469" s="339"/>
      <c r="W469" s="264">
        <f t="shared" si="87"/>
        <v>37151.753599999996</v>
      </c>
      <c r="X469" s="339"/>
      <c r="Y469" s="339"/>
      <c r="Z469" s="340">
        <f t="shared" si="89"/>
        <v>37151.753599999996</v>
      </c>
      <c r="AA469" s="2"/>
    </row>
    <row r="470" spans="1:27" s="236" customFormat="1" ht="12.75" customHeight="1" x14ac:dyDescent="0.2">
      <c r="A470" s="16"/>
      <c r="B470" s="467">
        <v>1</v>
      </c>
      <c r="C470" s="16" t="s">
        <v>677</v>
      </c>
      <c r="D470" s="232"/>
      <c r="E470" s="16" t="s">
        <v>778</v>
      </c>
      <c r="F470" s="16"/>
      <c r="G470" s="19"/>
      <c r="H470" s="16" t="s">
        <v>216</v>
      </c>
      <c r="I470" s="19" t="s">
        <v>1172</v>
      </c>
      <c r="J470" s="19" t="s">
        <v>954</v>
      </c>
      <c r="K470" s="339">
        <f>52.44*85%</f>
        <v>44.573999999999998</v>
      </c>
      <c r="L470" s="339">
        <v>2080</v>
      </c>
      <c r="M470" s="339"/>
      <c r="N470" s="339">
        <f t="shared" si="85"/>
        <v>92713.919999999998</v>
      </c>
      <c r="O470" s="339"/>
      <c r="P470" s="339"/>
      <c r="Q470" s="339">
        <f t="shared" si="92"/>
        <v>30734.664479999999</v>
      </c>
      <c r="R470" s="339">
        <f t="shared" si="93"/>
        <v>1344.35184</v>
      </c>
      <c r="S470" s="339"/>
      <c r="T470" s="339">
        <v>9640.56</v>
      </c>
      <c r="U470" s="339">
        <v>702.48</v>
      </c>
      <c r="V470" s="339"/>
      <c r="W470" s="264">
        <f t="shared" si="87"/>
        <v>135135.97632000002</v>
      </c>
      <c r="X470" s="339">
        <f t="shared" si="88"/>
        <v>0</v>
      </c>
      <c r="Y470" s="339"/>
      <c r="Z470" s="340">
        <f t="shared" si="89"/>
        <v>135135.97632000002</v>
      </c>
      <c r="AA470" s="2">
        <f>[4]HR!$Z666-Z470</f>
        <v>-82728.867344000028</v>
      </c>
    </row>
    <row r="471" spans="1:27" s="236" customFormat="1" ht="12.75" customHeight="1" x14ac:dyDescent="0.2">
      <c r="A471" s="16"/>
      <c r="B471" s="467">
        <v>0</v>
      </c>
      <c r="C471" s="16" t="s">
        <v>677</v>
      </c>
      <c r="D471" s="232"/>
      <c r="E471" s="16" t="s">
        <v>778</v>
      </c>
      <c r="F471" s="16"/>
      <c r="G471" s="19"/>
      <c r="H471" s="16" t="s">
        <v>216</v>
      </c>
      <c r="I471" s="19" t="s">
        <v>1172</v>
      </c>
      <c r="J471" s="19" t="s">
        <v>958</v>
      </c>
      <c r="K471" s="339">
        <f>52.44*10%</f>
        <v>5.2439999999999998</v>
      </c>
      <c r="L471" s="339">
        <v>2080</v>
      </c>
      <c r="M471" s="339"/>
      <c r="N471" s="339">
        <f t="shared" ref="N471:N472" si="94">L471*K471</f>
        <v>10907.52</v>
      </c>
      <c r="O471" s="339"/>
      <c r="P471" s="339"/>
      <c r="Q471" s="339">
        <f t="shared" ref="Q471:Q472" si="95">N471*0.3315</f>
        <v>3615.8428800000002</v>
      </c>
      <c r="R471" s="339">
        <f t="shared" ref="R471:R472" si="96">N471*0.0145</f>
        <v>158.15904</v>
      </c>
      <c r="S471" s="339"/>
      <c r="T471" s="339"/>
      <c r="U471" s="339"/>
      <c r="V471" s="339"/>
      <c r="W471" s="264">
        <f t="shared" si="87"/>
        <v>14681.521920000001</v>
      </c>
      <c r="X471" s="339"/>
      <c r="Y471" s="339"/>
      <c r="Z471" s="340">
        <f t="shared" si="89"/>
        <v>14681.521920000001</v>
      </c>
      <c r="AA471" s="2"/>
    </row>
    <row r="472" spans="1:27" s="236" customFormat="1" ht="12.75" customHeight="1" x14ac:dyDescent="0.2">
      <c r="A472" s="16"/>
      <c r="B472" s="467">
        <v>0</v>
      </c>
      <c r="C472" s="16" t="s">
        <v>677</v>
      </c>
      <c r="D472" s="232"/>
      <c r="E472" s="16" t="s">
        <v>778</v>
      </c>
      <c r="F472" s="16"/>
      <c r="G472" s="19"/>
      <c r="H472" s="16" t="s">
        <v>216</v>
      </c>
      <c r="I472" s="19" t="s">
        <v>1172</v>
      </c>
      <c r="J472" s="19" t="s">
        <v>1044</v>
      </c>
      <c r="K472" s="339">
        <f>52.44*5%</f>
        <v>2.6219999999999999</v>
      </c>
      <c r="L472" s="339">
        <v>2080</v>
      </c>
      <c r="M472" s="339"/>
      <c r="N472" s="339">
        <f t="shared" si="94"/>
        <v>5453.76</v>
      </c>
      <c r="O472" s="339"/>
      <c r="P472" s="339"/>
      <c r="Q472" s="339">
        <f t="shared" si="95"/>
        <v>1807.9214400000001</v>
      </c>
      <c r="R472" s="339">
        <f t="shared" si="96"/>
        <v>79.079520000000002</v>
      </c>
      <c r="S472" s="339"/>
      <c r="T472" s="339"/>
      <c r="U472" s="339"/>
      <c r="V472" s="339"/>
      <c r="W472" s="264">
        <f t="shared" si="87"/>
        <v>7340.7609600000005</v>
      </c>
      <c r="X472" s="339"/>
      <c r="Y472" s="339"/>
      <c r="Z472" s="340">
        <f t="shared" si="89"/>
        <v>7340.7609600000005</v>
      </c>
      <c r="AA472" s="2"/>
    </row>
    <row r="473" spans="1:27" s="236" customFormat="1" ht="12.75" customHeight="1" x14ac:dyDescent="0.2">
      <c r="A473" s="16"/>
      <c r="B473" s="467">
        <v>1</v>
      </c>
      <c r="C473" s="16" t="s">
        <v>679</v>
      </c>
      <c r="D473" s="232"/>
      <c r="E473" s="16" t="s">
        <v>771</v>
      </c>
      <c r="F473" s="16"/>
      <c r="G473" s="19"/>
      <c r="H473" s="16" t="s">
        <v>216</v>
      </c>
      <c r="I473" s="19" t="s">
        <v>1172</v>
      </c>
      <c r="J473" s="19" t="s">
        <v>954</v>
      </c>
      <c r="K473" s="339">
        <v>24.44</v>
      </c>
      <c r="L473" s="339">
        <v>2080</v>
      </c>
      <c r="M473" s="339"/>
      <c r="N473" s="339">
        <f t="shared" si="85"/>
        <v>50835.200000000004</v>
      </c>
      <c r="O473" s="339"/>
      <c r="P473" s="339"/>
      <c r="Q473" s="339">
        <f t="shared" si="92"/>
        <v>16851.868800000004</v>
      </c>
      <c r="R473" s="339">
        <f t="shared" si="93"/>
        <v>737.11040000000014</v>
      </c>
      <c r="S473" s="339"/>
      <c r="T473" s="339">
        <v>3348</v>
      </c>
      <c r="U473" s="339">
        <v>323.04000000000002</v>
      </c>
      <c r="V473" s="339"/>
      <c r="W473" s="264">
        <f t="shared" si="87"/>
        <v>72095.219200000007</v>
      </c>
      <c r="X473" s="339">
        <f t="shared" si="88"/>
        <v>0</v>
      </c>
      <c r="Y473" s="339"/>
      <c r="Z473" s="340">
        <f t="shared" si="89"/>
        <v>72095.219200000007</v>
      </c>
      <c r="AA473" s="2">
        <f>[4]HR!$Z669-Z473</f>
        <v>-14793.835500000008</v>
      </c>
    </row>
    <row r="474" spans="1:27" s="236" customFormat="1" ht="12.75" customHeight="1" x14ac:dyDescent="0.2">
      <c r="A474" s="16"/>
      <c r="B474" s="467">
        <v>1</v>
      </c>
      <c r="C474" s="16" t="s">
        <v>680</v>
      </c>
      <c r="D474" s="232"/>
      <c r="E474" s="16" t="s">
        <v>795</v>
      </c>
      <c r="F474" s="16"/>
      <c r="G474" s="19"/>
      <c r="H474" s="16" t="s">
        <v>216</v>
      </c>
      <c r="I474" s="19" t="s">
        <v>1172</v>
      </c>
      <c r="J474" s="19" t="s">
        <v>954</v>
      </c>
      <c r="K474" s="339">
        <v>23.43</v>
      </c>
      <c r="L474" s="339">
        <v>2080</v>
      </c>
      <c r="M474" s="339"/>
      <c r="N474" s="339">
        <f t="shared" si="85"/>
        <v>48734.400000000001</v>
      </c>
      <c r="O474" s="339"/>
      <c r="P474" s="339"/>
      <c r="Q474" s="339">
        <f t="shared" si="92"/>
        <v>16155.453600000001</v>
      </c>
      <c r="R474" s="339">
        <f t="shared" si="93"/>
        <v>706.64880000000005</v>
      </c>
      <c r="S474" s="339"/>
      <c r="T474" s="339">
        <v>8391.84</v>
      </c>
      <c r="U474" s="339">
        <v>323.04000000000002</v>
      </c>
      <c r="V474" s="339"/>
      <c r="W474" s="264">
        <f t="shared" si="87"/>
        <v>74311.382399999988</v>
      </c>
      <c r="X474" s="339">
        <f t="shared" si="88"/>
        <v>0</v>
      </c>
      <c r="Y474" s="339"/>
      <c r="Z474" s="340">
        <f t="shared" si="89"/>
        <v>74311.382399999988</v>
      </c>
      <c r="AA474" s="2">
        <f>[4]HR!$Z671-Z474</f>
        <v>-4310.29163040001</v>
      </c>
    </row>
    <row r="475" spans="1:27" s="236" customFormat="1" ht="12.75" customHeight="1" x14ac:dyDescent="0.2">
      <c r="A475" s="16"/>
      <c r="B475" s="467">
        <v>1</v>
      </c>
      <c r="C475" s="16" t="s">
        <v>640</v>
      </c>
      <c r="D475" s="232"/>
      <c r="E475" s="16" t="s">
        <v>785</v>
      </c>
      <c r="F475" s="16"/>
      <c r="G475" s="19"/>
      <c r="H475" s="16" t="s">
        <v>216</v>
      </c>
      <c r="I475" s="19" t="s">
        <v>1211</v>
      </c>
      <c r="J475" s="19" t="s">
        <v>1019</v>
      </c>
      <c r="K475" s="339">
        <v>27.81</v>
      </c>
      <c r="L475" s="339">
        <v>2080</v>
      </c>
      <c r="M475" s="339"/>
      <c r="N475" s="339">
        <f t="shared" si="85"/>
        <v>57844.799999999996</v>
      </c>
      <c r="O475" s="339"/>
      <c r="P475" s="339"/>
      <c r="Q475" s="339">
        <f t="shared" si="92"/>
        <v>19175.551199999998</v>
      </c>
      <c r="R475" s="339">
        <f t="shared" si="93"/>
        <v>838.74959999999999</v>
      </c>
      <c r="S475" s="339"/>
      <c r="T475" s="339">
        <v>8367.84</v>
      </c>
      <c r="U475" s="339">
        <v>323.04000000000002</v>
      </c>
      <c r="V475" s="339"/>
      <c r="W475" s="264">
        <f t="shared" si="87"/>
        <v>86549.980799999976</v>
      </c>
      <c r="X475" s="339">
        <f t="shared" si="88"/>
        <v>0</v>
      </c>
      <c r="Y475" s="339"/>
      <c r="Z475" s="340">
        <f t="shared" si="89"/>
        <v>86549.980799999976</v>
      </c>
      <c r="AA475" s="2">
        <f>[4]HR!$Z673-Z475</f>
        <v>1393.2420000000275</v>
      </c>
    </row>
    <row r="476" spans="1:27" s="236" customFormat="1" ht="12.75" customHeight="1" x14ac:dyDescent="0.2">
      <c r="A476" s="16"/>
      <c r="B476" s="467">
        <v>1</v>
      </c>
      <c r="C476" s="16" t="s">
        <v>641</v>
      </c>
      <c r="D476" s="232"/>
      <c r="E476" s="16" t="s">
        <v>786</v>
      </c>
      <c r="F476" s="16"/>
      <c r="G476" s="19"/>
      <c r="H476" s="16" t="s">
        <v>216</v>
      </c>
      <c r="I476" s="19" t="s">
        <v>1211</v>
      </c>
      <c r="J476" s="19" t="s">
        <v>1019</v>
      </c>
      <c r="K476" s="339">
        <v>16.22</v>
      </c>
      <c r="L476" s="339">
        <v>2080</v>
      </c>
      <c r="M476" s="339"/>
      <c r="N476" s="339">
        <f t="shared" si="85"/>
        <v>33737.599999999999</v>
      </c>
      <c r="O476" s="339"/>
      <c r="P476" s="339"/>
      <c r="Q476" s="339">
        <f t="shared" si="92"/>
        <v>11184.0144</v>
      </c>
      <c r="R476" s="339">
        <f t="shared" si="93"/>
        <v>489.1952</v>
      </c>
      <c r="S476" s="339"/>
      <c r="T476" s="339">
        <v>8367.84</v>
      </c>
      <c r="U476" s="339"/>
      <c r="V476" s="339"/>
      <c r="W476" s="264">
        <f t="shared" si="87"/>
        <v>53778.649600000004</v>
      </c>
      <c r="X476" s="339">
        <f t="shared" si="88"/>
        <v>0</v>
      </c>
      <c r="Y476" s="339"/>
      <c r="Z476" s="340">
        <f t="shared" si="89"/>
        <v>53778.649600000004</v>
      </c>
      <c r="AA476" s="2">
        <f>[4]HR!$Z674-Z476</f>
        <v>5048.6684400000013</v>
      </c>
    </row>
    <row r="477" spans="1:27" s="236" customFormat="1" ht="12.75" customHeight="1" x14ac:dyDescent="0.2">
      <c r="A477" s="16"/>
      <c r="B477" s="467">
        <v>1</v>
      </c>
      <c r="C477" s="16" t="s">
        <v>4</v>
      </c>
      <c r="D477" s="232"/>
      <c r="E477" s="16" t="s">
        <v>784</v>
      </c>
      <c r="F477" s="16"/>
      <c r="G477" s="19"/>
      <c r="H477" s="16" t="s">
        <v>216</v>
      </c>
      <c r="I477" s="19" t="s">
        <v>1211</v>
      </c>
      <c r="J477" s="19" t="s">
        <v>1019</v>
      </c>
      <c r="K477" s="339">
        <v>16.22</v>
      </c>
      <c r="L477" s="339">
        <v>2080</v>
      </c>
      <c r="M477" s="339"/>
      <c r="N477" s="339">
        <f t="shared" si="85"/>
        <v>33737.599999999999</v>
      </c>
      <c r="O477" s="339"/>
      <c r="P477" s="339"/>
      <c r="Q477" s="339">
        <f t="shared" si="92"/>
        <v>11184.0144</v>
      </c>
      <c r="R477" s="339">
        <f t="shared" si="93"/>
        <v>489.1952</v>
      </c>
      <c r="S477" s="339"/>
      <c r="T477" s="339">
        <v>8391.36</v>
      </c>
      <c r="U477" s="339">
        <v>400.32</v>
      </c>
      <c r="V477" s="339"/>
      <c r="W477" s="264">
        <f t="shared" si="87"/>
        <v>54202.489600000001</v>
      </c>
      <c r="X477" s="339">
        <f t="shared" si="88"/>
        <v>0</v>
      </c>
      <c r="Y477" s="339"/>
      <c r="Z477" s="340">
        <f t="shared" si="89"/>
        <v>54202.489600000001</v>
      </c>
      <c r="AA477" s="2">
        <f>[4]HR!$Z672-Z477</f>
        <v>6969.0530399999989</v>
      </c>
    </row>
    <row r="478" spans="1:27" s="236" customFormat="1" ht="12.75" customHeight="1" x14ac:dyDescent="0.2">
      <c r="A478" s="16"/>
      <c r="B478" s="467">
        <v>1</v>
      </c>
      <c r="C478" s="16" t="s">
        <v>661</v>
      </c>
      <c r="D478" s="232"/>
      <c r="E478" s="16" t="s">
        <v>774</v>
      </c>
      <c r="F478" s="16"/>
      <c r="G478" s="16"/>
      <c r="H478" s="16" t="s">
        <v>216</v>
      </c>
      <c r="I478" s="19" t="s">
        <v>811</v>
      </c>
      <c r="J478" s="19" t="s">
        <v>108</v>
      </c>
      <c r="K478" s="339">
        <v>22.17</v>
      </c>
      <c r="L478" s="339">
        <v>2080</v>
      </c>
      <c r="M478" s="339"/>
      <c r="N478" s="339">
        <f t="shared" si="85"/>
        <v>46113.600000000006</v>
      </c>
      <c r="O478" s="339"/>
      <c r="P478" s="339"/>
      <c r="Q478" s="339">
        <f t="shared" si="92"/>
        <v>15286.658400000002</v>
      </c>
      <c r="R478" s="339">
        <f t="shared" si="93"/>
        <v>668.64720000000011</v>
      </c>
      <c r="S478" s="339"/>
      <c r="T478" s="339">
        <v>8391.84</v>
      </c>
      <c r="U478" s="339">
        <v>702.48</v>
      </c>
      <c r="V478" s="339"/>
      <c r="W478" s="264">
        <f t="shared" si="87"/>
        <v>71163.225600000005</v>
      </c>
      <c r="X478" s="339">
        <f t="shared" si="88"/>
        <v>0</v>
      </c>
      <c r="Y478" s="339"/>
      <c r="Z478" s="340">
        <f t="shared" si="89"/>
        <v>71163.225600000005</v>
      </c>
      <c r="AA478" s="2">
        <f>[4]HR!$Z678-Z478</f>
        <v>-11944.545040000005</v>
      </c>
    </row>
    <row r="479" spans="1:27" s="236" customFormat="1" ht="12.75" customHeight="1" x14ac:dyDescent="0.2">
      <c r="A479" s="16"/>
      <c r="B479" s="467">
        <v>1</v>
      </c>
      <c r="C479" s="16" t="s">
        <v>1640</v>
      </c>
      <c r="D479" s="232" t="s">
        <v>720</v>
      </c>
      <c r="E479" s="16" t="s">
        <v>1642</v>
      </c>
      <c r="F479" s="16"/>
      <c r="G479" s="16"/>
      <c r="H479" s="341" t="s">
        <v>216</v>
      </c>
      <c r="I479" s="19" t="s">
        <v>811</v>
      </c>
      <c r="J479" s="19" t="s">
        <v>108</v>
      </c>
      <c r="K479" s="339">
        <v>23.15</v>
      </c>
      <c r="L479" s="339">
        <v>2080</v>
      </c>
      <c r="M479" s="339"/>
      <c r="N479" s="339">
        <f t="shared" si="85"/>
        <v>48152</v>
      </c>
      <c r="O479" s="339"/>
      <c r="P479" s="339"/>
      <c r="Q479" s="339">
        <f t="shared" si="92"/>
        <v>15962.388000000001</v>
      </c>
      <c r="R479" s="339">
        <f t="shared" si="93"/>
        <v>698.20400000000006</v>
      </c>
      <c r="S479" s="339"/>
      <c r="T479" s="339">
        <v>8367.84</v>
      </c>
      <c r="U479" s="339">
        <v>323.04000000000002</v>
      </c>
      <c r="V479" s="339"/>
      <c r="W479" s="264">
        <f t="shared" si="87"/>
        <v>73503.471999999994</v>
      </c>
      <c r="X479" s="339">
        <f t="shared" si="88"/>
        <v>0</v>
      </c>
      <c r="Y479" s="339"/>
      <c r="Z479" s="340">
        <f t="shared" si="89"/>
        <v>73503.471999999994</v>
      </c>
      <c r="AA479" s="2">
        <f>[4]HR!$Z679-Z479</f>
        <v>3094.1420800000051</v>
      </c>
    </row>
    <row r="480" spans="1:27" s="236" customFormat="1" ht="12.75" customHeight="1" x14ac:dyDescent="0.2">
      <c r="A480" s="16"/>
      <c r="B480" s="467">
        <v>1</v>
      </c>
      <c r="C480" s="16" t="s">
        <v>597</v>
      </c>
      <c r="D480" s="232" t="s">
        <v>719</v>
      </c>
      <c r="E480" s="16" t="s">
        <v>768</v>
      </c>
      <c r="F480" s="16"/>
      <c r="G480" s="16"/>
      <c r="H480" s="341" t="s">
        <v>216</v>
      </c>
      <c r="I480" s="19" t="s">
        <v>811</v>
      </c>
      <c r="J480" s="19" t="s">
        <v>108</v>
      </c>
      <c r="K480" s="339">
        <v>36.33</v>
      </c>
      <c r="L480" s="339">
        <v>2080</v>
      </c>
      <c r="M480" s="339"/>
      <c r="N480" s="339">
        <f t="shared" si="85"/>
        <v>75566.399999999994</v>
      </c>
      <c r="O480" s="339"/>
      <c r="P480" s="339"/>
      <c r="Q480" s="339">
        <f t="shared" si="92"/>
        <v>25050.261599999998</v>
      </c>
      <c r="R480" s="339">
        <f t="shared" si="93"/>
        <v>1095.7128</v>
      </c>
      <c r="S480" s="339"/>
      <c r="T480" s="339">
        <v>8415.84</v>
      </c>
      <c r="U480" s="339">
        <v>400.32</v>
      </c>
      <c r="V480" s="339"/>
      <c r="W480" s="264">
        <f t="shared" si="87"/>
        <v>110528.53439999999</v>
      </c>
      <c r="X480" s="339">
        <f t="shared" si="88"/>
        <v>0</v>
      </c>
      <c r="Y480" s="339"/>
      <c r="Z480" s="340">
        <f t="shared" si="89"/>
        <v>110528.53439999999</v>
      </c>
      <c r="AA480" s="2">
        <f>[4]HR!$Z681-Z480</f>
        <v>-109112.15839999999</v>
      </c>
    </row>
    <row r="481" spans="1:27" s="236" customFormat="1" ht="12.75" customHeight="1" x14ac:dyDescent="0.2">
      <c r="A481" s="16"/>
      <c r="B481" s="467">
        <v>0</v>
      </c>
      <c r="C481" s="16" t="s">
        <v>634</v>
      </c>
      <c r="D481" s="232"/>
      <c r="E481" s="16" t="s">
        <v>182</v>
      </c>
      <c r="F481" s="16"/>
      <c r="G481" s="19"/>
      <c r="H481" s="16" t="s">
        <v>216</v>
      </c>
      <c r="I481" s="19" t="s">
        <v>23</v>
      </c>
      <c r="J481" s="19" t="s">
        <v>1019</v>
      </c>
      <c r="K481" s="339">
        <f>11.75*50%</f>
        <v>5.875</v>
      </c>
      <c r="L481" s="339">
        <v>2080</v>
      </c>
      <c r="M481" s="339"/>
      <c r="N481" s="339">
        <f t="shared" si="85"/>
        <v>12220</v>
      </c>
      <c r="O481" s="339"/>
      <c r="P481" s="339"/>
      <c r="Q481" s="339">
        <f>N481*6.2%</f>
        <v>757.64</v>
      </c>
      <c r="R481" s="339">
        <f t="shared" si="93"/>
        <v>177.19</v>
      </c>
      <c r="S481" s="339"/>
      <c r="T481" s="339"/>
      <c r="U481" s="339"/>
      <c r="V481" s="339"/>
      <c r="W481" s="264">
        <f t="shared" si="87"/>
        <v>13154.83</v>
      </c>
      <c r="X481" s="339">
        <f t="shared" si="88"/>
        <v>0</v>
      </c>
      <c r="Y481" s="339"/>
      <c r="Z481" s="340">
        <f t="shared" si="89"/>
        <v>13154.83</v>
      </c>
      <c r="AA481" s="2">
        <f>[4]HR!$Z682-Z481</f>
        <v>132544.35035200001</v>
      </c>
    </row>
    <row r="482" spans="1:27" s="236" customFormat="1" ht="12.75" customHeight="1" x14ac:dyDescent="0.2">
      <c r="A482" s="16"/>
      <c r="B482" s="467">
        <v>0</v>
      </c>
      <c r="C482" s="16" t="s">
        <v>634</v>
      </c>
      <c r="D482" s="232"/>
      <c r="E482" s="16" t="s">
        <v>182</v>
      </c>
      <c r="F482" s="16"/>
      <c r="G482" s="19"/>
      <c r="H482" s="16" t="s">
        <v>216</v>
      </c>
      <c r="I482" s="19" t="s">
        <v>23</v>
      </c>
      <c r="J482" s="19" t="s">
        <v>99</v>
      </c>
      <c r="K482" s="339">
        <f>11.75*10%</f>
        <v>1.175</v>
      </c>
      <c r="L482" s="339">
        <v>2080</v>
      </c>
      <c r="M482" s="339"/>
      <c r="N482" s="339">
        <f t="shared" si="85"/>
        <v>2444</v>
      </c>
      <c r="O482" s="339"/>
      <c r="P482" s="339"/>
      <c r="Q482" s="339">
        <f t="shared" ref="Q482:Q484" si="97">N482*6.2%</f>
        <v>151.52799999999999</v>
      </c>
      <c r="R482" s="339">
        <f t="shared" ref="R482:R484" si="98">N482*0.0145</f>
        <v>35.438000000000002</v>
      </c>
      <c r="S482" s="339"/>
      <c r="T482" s="339"/>
      <c r="U482" s="339"/>
      <c r="V482" s="339"/>
      <c r="W482" s="264">
        <f t="shared" si="87"/>
        <v>2630.9659999999999</v>
      </c>
      <c r="X482" s="339"/>
      <c r="Y482" s="339"/>
      <c r="Z482" s="340">
        <f t="shared" si="89"/>
        <v>2630.9659999999999</v>
      </c>
      <c r="AA482" s="2"/>
    </row>
    <row r="483" spans="1:27" s="236" customFormat="1" ht="12.75" customHeight="1" x14ac:dyDescent="0.2">
      <c r="A483" s="16"/>
      <c r="B483" s="467">
        <v>0</v>
      </c>
      <c r="C483" s="16" t="s">
        <v>634</v>
      </c>
      <c r="D483" s="232"/>
      <c r="E483" s="16" t="s">
        <v>182</v>
      </c>
      <c r="F483" s="16"/>
      <c r="G483" s="19"/>
      <c r="H483" s="16" t="s">
        <v>216</v>
      </c>
      <c r="I483" s="19" t="s">
        <v>23</v>
      </c>
      <c r="J483" s="19" t="s">
        <v>96</v>
      </c>
      <c r="K483" s="339">
        <f>11.75*20%</f>
        <v>2.35</v>
      </c>
      <c r="L483" s="339">
        <v>2080</v>
      </c>
      <c r="M483" s="339"/>
      <c r="N483" s="339">
        <f t="shared" si="85"/>
        <v>4888</v>
      </c>
      <c r="O483" s="339"/>
      <c r="P483" s="339"/>
      <c r="Q483" s="339">
        <f t="shared" si="97"/>
        <v>303.05599999999998</v>
      </c>
      <c r="R483" s="339">
        <f t="shared" si="98"/>
        <v>70.876000000000005</v>
      </c>
      <c r="S483" s="339"/>
      <c r="T483" s="339"/>
      <c r="U483" s="339"/>
      <c r="V483" s="339"/>
      <c r="W483" s="264">
        <f t="shared" si="87"/>
        <v>5261.9319999999998</v>
      </c>
      <c r="X483" s="339"/>
      <c r="Y483" s="339"/>
      <c r="Z483" s="340">
        <f t="shared" si="89"/>
        <v>5261.9319999999998</v>
      </c>
      <c r="AA483" s="2"/>
    </row>
    <row r="484" spans="1:27" s="236" customFormat="1" ht="12.75" customHeight="1" x14ac:dyDescent="0.2">
      <c r="A484" s="16"/>
      <c r="B484" s="467">
        <v>0</v>
      </c>
      <c r="C484" s="16" t="s">
        <v>634</v>
      </c>
      <c r="D484" s="232"/>
      <c r="E484" s="16" t="s">
        <v>182</v>
      </c>
      <c r="F484" s="16"/>
      <c r="G484" s="19"/>
      <c r="H484" s="16" t="s">
        <v>216</v>
      </c>
      <c r="I484" s="19" t="s">
        <v>23</v>
      </c>
      <c r="J484" s="19" t="s">
        <v>983</v>
      </c>
      <c r="K484" s="339">
        <f>11.75*20%</f>
        <v>2.35</v>
      </c>
      <c r="L484" s="339">
        <v>2080</v>
      </c>
      <c r="M484" s="339"/>
      <c r="N484" s="339">
        <f t="shared" si="85"/>
        <v>4888</v>
      </c>
      <c r="O484" s="339"/>
      <c r="P484" s="339"/>
      <c r="Q484" s="339">
        <f t="shared" si="97"/>
        <v>303.05599999999998</v>
      </c>
      <c r="R484" s="339">
        <f t="shared" si="98"/>
        <v>70.876000000000005</v>
      </c>
      <c r="S484" s="339"/>
      <c r="T484" s="339"/>
      <c r="U484" s="339"/>
      <c r="V484" s="339"/>
      <c r="W484" s="264">
        <f t="shared" si="87"/>
        <v>5261.9319999999998</v>
      </c>
      <c r="X484" s="339"/>
      <c r="Y484" s="339"/>
      <c r="Z484" s="340">
        <f t="shared" si="89"/>
        <v>5261.9319999999998</v>
      </c>
      <c r="AA484" s="2"/>
    </row>
    <row r="485" spans="1:27" s="236" customFormat="1" ht="12.75" customHeight="1" x14ac:dyDescent="0.2">
      <c r="A485" s="16"/>
      <c r="B485" s="467">
        <v>1</v>
      </c>
      <c r="C485" s="16" t="s">
        <v>636</v>
      </c>
      <c r="D485" s="232"/>
      <c r="E485" s="16" t="s">
        <v>783</v>
      </c>
      <c r="F485" s="16"/>
      <c r="G485" s="19"/>
      <c r="H485" s="16" t="s">
        <v>216</v>
      </c>
      <c r="I485" s="19" t="s">
        <v>23</v>
      </c>
      <c r="J485" s="19" t="s">
        <v>1019</v>
      </c>
      <c r="K485" s="339">
        <f>26*30%</f>
        <v>7.8</v>
      </c>
      <c r="L485" s="339">
        <v>2080</v>
      </c>
      <c r="M485" s="339"/>
      <c r="N485" s="339">
        <f t="shared" si="85"/>
        <v>16224</v>
      </c>
      <c r="O485" s="339"/>
      <c r="P485" s="339"/>
      <c r="Q485" s="339">
        <f t="shared" ref="Q485:Q533" si="99">N485*0.3315</f>
        <v>5378.2560000000003</v>
      </c>
      <c r="R485" s="339">
        <f t="shared" si="93"/>
        <v>235.24800000000002</v>
      </c>
      <c r="S485" s="339"/>
      <c r="T485" s="339">
        <v>3326.4</v>
      </c>
      <c r="U485" s="339">
        <v>400.32</v>
      </c>
      <c r="V485" s="339"/>
      <c r="W485" s="264">
        <f t="shared" si="87"/>
        <v>25564.224000000002</v>
      </c>
      <c r="X485" s="339">
        <f t="shared" si="88"/>
        <v>0</v>
      </c>
      <c r="Y485" s="339"/>
      <c r="Z485" s="340">
        <f t="shared" si="89"/>
        <v>25564.224000000002</v>
      </c>
      <c r="AA485" s="2">
        <f>[4]HR!$Z686-Z485</f>
        <v>19540.269720000004</v>
      </c>
    </row>
    <row r="486" spans="1:27" s="236" customFormat="1" ht="12.75" customHeight="1" x14ac:dyDescent="0.2">
      <c r="A486" s="16"/>
      <c r="B486" s="467">
        <v>0</v>
      </c>
      <c r="C486" s="16" t="s">
        <v>636</v>
      </c>
      <c r="D486" s="232"/>
      <c r="E486" s="16" t="s">
        <v>783</v>
      </c>
      <c r="F486" s="16"/>
      <c r="G486" s="19"/>
      <c r="H486" s="16" t="s">
        <v>216</v>
      </c>
      <c r="I486" s="19" t="s">
        <v>23</v>
      </c>
      <c r="J486" s="19" t="s">
        <v>99</v>
      </c>
      <c r="K486" s="339">
        <f>26*20%</f>
        <v>5.2</v>
      </c>
      <c r="L486" s="339">
        <v>2080</v>
      </c>
      <c r="M486" s="339"/>
      <c r="N486" s="339">
        <f t="shared" si="85"/>
        <v>10816</v>
      </c>
      <c r="O486" s="339"/>
      <c r="P486" s="339"/>
      <c r="Q486" s="339">
        <f t="shared" si="99"/>
        <v>3585.5040000000004</v>
      </c>
      <c r="R486" s="339">
        <f t="shared" si="93"/>
        <v>156.83200000000002</v>
      </c>
      <c r="S486" s="339"/>
      <c r="T486" s="339"/>
      <c r="U486" s="339"/>
      <c r="V486" s="339"/>
      <c r="W486" s="264">
        <f t="shared" si="87"/>
        <v>14558.336000000001</v>
      </c>
      <c r="X486" s="339">
        <f t="shared" si="88"/>
        <v>0</v>
      </c>
      <c r="Y486" s="339"/>
      <c r="Z486" s="340">
        <f t="shared" si="89"/>
        <v>14558.336000000001</v>
      </c>
      <c r="AA486" s="2">
        <f>[4]HR!$Z687-Z486</f>
        <v>29179.354879999999</v>
      </c>
    </row>
    <row r="487" spans="1:27" s="236" customFormat="1" ht="12.75" customHeight="1" x14ac:dyDescent="0.2">
      <c r="A487" s="16"/>
      <c r="B487" s="467">
        <v>0</v>
      </c>
      <c r="C487" s="16" t="s">
        <v>636</v>
      </c>
      <c r="D487" s="232"/>
      <c r="E487" s="16" t="s">
        <v>783</v>
      </c>
      <c r="F487" s="16"/>
      <c r="G487" s="19"/>
      <c r="H487" s="16" t="s">
        <v>216</v>
      </c>
      <c r="I487" s="19" t="s">
        <v>23</v>
      </c>
      <c r="J487" s="19" t="s">
        <v>491</v>
      </c>
      <c r="K487" s="339">
        <f t="shared" ref="K487" si="100">26*20%</f>
        <v>5.2</v>
      </c>
      <c r="L487" s="339">
        <v>2080</v>
      </c>
      <c r="M487" s="339"/>
      <c r="N487" s="339">
        <f t="shared" si="85"/>
        <v>10816</v>
      </c>
      <c r="O487" s="339"/>
      <c r="P487" s="339"/>
      <c r="Q487" s="339">
        <f t="shared" si="99"/>
        <v>3585.5040000000004</v>
      </c>
      <c r="R487" s="339">
        <f t="shared" si="93"/>
        <v>156.83200000000002</v>
      </c>
      <c r="S487" s="339"/>
      <c r="T487" s="339"/>
      <c r="U487" s="339"/>
      <c r="V487" s="339"/>
      <c r="W487" s="264">
        <f t="shared" si="87"/>
        <v>14558.336000000001</v>
      </c>
      <c r="X487" s="339">
        <f t="shared" si="88"/>
        <v>0</v>
      </c>
      <c r="Y487" s="339"/>
      <c r="Z487" s="340">
        <f t="shared" si="89"/>
        <v>14558.336000000001</v>
      </c>
      <c r="AA487" s="2"/>
    </row>
    <row r="488" spans="1:27" s="236" customFormat="1" ht="12.75" customHeight="1" x14ac:dyDescent="0.2">
      <c r="A488" s="16"/>
      <c r="B488" s="467">
        <v>0</v>
      </c>
      <c r="C488" s="16" t="s">
        <v>636</v>
      </c>
      <c r="D488" s="232"/>
      <c r="E488" s="16" t="s">
        <v>783</v>
      </c>
      <c r="F488" s="16"/>
      <c r="G488" s="19"/>
      <c r="H488" s="16" t="s">
        <v>216</v>
      </c>
      <c r="I488" s="19" t="s">
        <v>23</v>
      </c>
      <c r="J488" s="19" t="s">
        <v>96</v>
      </c>
      <c r="K488" s="339">
        <f>26*30%</f>
        <v>7.8</v>
      </c>
      <c r="L488" s="339">
        <v>2080</v>
      </c>
      <c r="M488" s="339"/>
      <c r="N488" s="339">
        <f t="shared" si="85"/>
        <v>16224</v>
      </c>
      <c r="O488" s="339"/>
      <c r="P488" s="339"/>
      <c r="Q488" s="339">
        <f t="shared" si="99"/>
        <v>5378.2560000000003</v>
      </c>
      <c r="R488" s="339">
        <f t="shared" si="93"/>
        <v>235.24800000000002</v>
      </c>
      <c r="S488" s="339"/>
      <c r="T488" s="339"/>
      <c r="U488" s="339"/>
      <c r="V488" s="339"/>
      <c r="W488" s="264">
        <f t="shared" si="87"/>
        <v>21837.504000000001</v>
      </c>
      <c r="X488" s="339">
        <f t="shared" si="88"/>
        <v>0</v>
      </c>
      <c r="Y488" s="339"/>
      <c r="Z488" s="340">
        <f t="shared" si="89"/>
        <v>21837.504000000001</v>
      </c>
      <c r="AA488" s="2"/>
    </row>
    <row r="489" spans="1:27" s="236" customFormat="1" ht="12.75" customHeight="1" x14ac:dyDescent="0.2">
      <c r="A489" s="16"/>
      <c r="B489" s="467">
        <v>1</v>
      </c>
      <c r="C489" s="16" t="s">
        <v>637</v>
      </c>
      <c r="D489" s="232"/>
      <c r="E489" s="16" t="s">
        <v>751</v>
      </c>
      <c r="F489" s="16"/>
      <c r="G489" s="19"/>
      <c r="H489" s="16" t="s">
        <v>216</v>
      </c>
      <c r="I489" s="19" t="s">
        <v>23</v>
      </c>
      <c r="J489" s="19" t="s">
        <v>1019</v>
      </c>
      <c r="K489" s="339">
        <f>48.077*15%</f>
        <v>7.211549999999999</v>
      </c>
      <c r="L489" s="339">
        <v>2080</v>
      </c>
      <c r="M489" s="339"/>
      <c r="N489" s="339">
        <f t="shared" si="85"/>
        <v>15000.023999999998</v>
      </c>
      <c r="O489" s="339"/>
      <c r="P489" s="339"/>
      <c r="Q489" s="339">
        <f t="shared" si="99"/>
        <v>4972.5079559999995</v>
      </c>
      <c r="R489" s="339">
        <f t="shared" si="93"/>
        <v>217.50034799999997</v>
      </c>
      <c r="S489" s="339"/>
      <c r="T489" s="339">
        <v>15333.6</v>
      </c>
      <c r="U489" s="339">
        <v>1362.48</v>
      </c>
      <c r="V489" s="339"/>
      <c r="W489" s="264">
        <f t="shared" si="87"/>
        <v>36886.112304000002</v>
      </c>
      <c r="X489" s="339">
        <f t="shared" si="88"/>
        <v>0</v>
      </c>
      <c r="Y489" s="339"/>
      <c r="Z489" s="340">
        <f t="shared" si="89"/>
        <v>36886.112304000002</v>
      </c>
      <c r="AA489" s="2">
        <f>[4]HR!$Z688-Z489</f>
        <v>-28138.574128</v>
      </c>
    </row>
    <row r="490" spans="1:27" s="236" customFormat="1" ht="12.75" customHeight="1" x14ac:dyDescent="0.2">
      <c r="A490" s="16"/>
      <c r="B490" s="467">
        <v>0</v>
      </c>
      <c r="C490" s="16" t="s">
        <v>637</v>
      </c>
      <c r="D490" s="232"/>
      <c r="E490" s="16" t="s">
        <v>751</v>
      </c>
      <c r="F490" s="16"/>
      <c r="G490" s="19"/>
      <c r="H490" s="16" t="s">
        <v>216</v>
      </c>
      <c r="I490" s="19" t="s">
        <v>23</v>
      </c>
      <c r="J490" s="19" t="s">
        <v>1655</v>
      </c>
      <c r="K490" s="339">
        <f>48.077*35%</f>
        <v>16.826949999999997</v>
      </c>
      <c r="L490" s="339">
        <v>2080</v>
      </c>
      <c r="M490" s="339"/>
      <c r="N490" s="339">
        <f t="shared" si="85"/>
        <v>35000.05599999999</v>
      </c>
      <c r="O490" s="339"/>
      <c r="P490" s="339"/>
      <c r="Q490" s="339">
        <f t="shared" si="99"/>
        <v>11602.518563999996</v>
      </c>
      <c r="R490" s="339">
        <f t="shared" si="93"/>
        <v>507.50081199999988</v>
      </c>
      <c r="S490" s="339"/>
      <c r="T490" s="339"/>
      <c r="U490" s="339"/>
      <c r="V490" s="339"/>
      <c r="W490" s="264">
        <f t="shared" si="87"/>
        <v>47110.075375999986</v>
      </c>
      <c r="X490" s="339">
        <f t="shared" si="88"/>
        <v>0</v>
      </c>
      <c r="Y490" s="339"/>
      <c r="Z490" s="340">
        <f t="shared" si="89"/>
        <v>47110.075375999986</v>
      </c>
      <c r="AA490" s="2">
        <f>[4]HR!$Z689-Z490</f>
        <v>-38362.537199999984</v>
      </c>
    </row>
    <row r="491" spans="1:27" s="236" customFormat="1" ht="12.75" customHeight="1" x14ac:dyDescent="0.2">
      <c r="A491" s="16"/>
      <c r="B491" s="467">
        <v>0</v>
      </c>
      <c r="C491" s="16" t="s">
        <v>637</v>
      </c>
      <c r="D491" s="232"/>
      <c r="E491" s="16" t="s">
        <v>751</v>
      </c>
      <c r="F491" s="16"/>
      <c r="G491" s="19"/>
      <c r="H491" s="16" t="s">
        <v>216</v>
      </c>
      <c r="I491" s="19" t="s">
        <v>23</v>
      </c>
      <c r="J491" s="19" t="s">
        <v>99</v>
      </c>
      <c r="K491" s="339">
        <f>48.077*25%</f>
        <v>12.01925</v>
      </c>
      <c r="L491" s="339">
        <v>2080</v>
      </c>
      <c r="M491" s="339"/>
      <c r="N491" s="339">
        <f t="shared" si="85"/>
        <v>25000.04</v>
      </c>
      <c r="O491" s="339"/>
      <c r="P491" s="339"/>
      <c r="Q491" s="339">
        <f t="shared" si="99"/>
        <v>8287.5132600000015</v>
      </c>
      <c r="R491" s="339">
        <f t="shared" si="93"/>
        <v>362.50058000000001</v>
      </c>
      <c r="S491" s="339"/>
      <c r="T491" s="339"/>
      <c r="U491" s="339"/>
      <c r="V491" s="339"/>
      <c r="W491" s="264">
        <f t="shared" si="87"/>
        <v>33650.05384</v>
      </c>
      <c r="X491" s="339">
        <f t="shared" si="88"/>
        <v>0</v>
      </c>
      <c r="Y491" s="339"/>
      <c r="Z491" s="340">
        <f t="shared" si="89"/>
        <v>33650.05384</v>
      </c>
      <c r="AA491" s="2">
        <f>[4]HR!$Z690-Z491</f>
        <v>-24902.515663999999</v>
      </c>
    </row>
    <row r="492" spans="1:27" s="236" customFormat="1" ht="12.75" customHeight="1" x14ac:dyDescent="0.2">
      <c r="A492" s="16"/>
      <c r="B492" s="467">
        <v>0</v>
      </c>
      <c r="C492" s="16" t="s">
        <v>637</v>
      </c>
      <c r="D492" s="232"/>
      <c r="E492" s="16" t="s">
        <v>751</v>
      </c>
      <c r="F492" s="16"/>
      <c r="G492" s="19"/>
      <c r="H492" s="16" t="s">
        <v>216</v>
      </c>
      <c r="I492" s="19" t="s">
        <v>23</v>
      </c>
      <c r="J492" s="19" t="s">
        <v>983</v>
      </c>
      <c r="K492" s="339">
        <f>48.077*5%</f>
        <v>2.4038500000000003</v>
      </c>
      <c r="L492" s="339">
        <v>2080</v>
      </c>
      <c r="M492" s="339"/>
      <c r="N492" s="339">
        <f t="shared" si="85"/>
        <v>5000.0080000000007</v>
      </c>
      <c r="O492" s="339"/>
      <c r="P492" s="339"/>
      <c r="Q492" s="339">
        <f t="shared" ref="Q492:Q499" si="101">N492*0.3315</f>
        <v>1657.5026520000004</v>
      </c>
      <c r="R492" s="339">
        <f t="shared" ref="R492:R499" si="102">N492*0.0145</f>
        <v>72.50011600000002</v>
      </c>
      <c r="S492" s="339"/>
      <c r="T492" s="339"/>
      <c r="U492" s="339"/>
      <c r="V492" s="339"/>
      <c r="W492" s="264">
        <f t="shared" si="87"/>
        <v>6730.010768000001</v>
      </c>
      <c r="X492" s="339">
        <f t="shared" si="88"/>
        <v>0</v>
      </c>
      <c r="Y492" s="339"/>
      <c r="Z492" s="340">
        <f t="shared" si="89"/>
        <v>6730.010768000001</v>
      </c>
      <c r="AA492" s="2"/>
    </row>
    <row r="493" spans="1:27" s="236" customFormat="1" ht="12.75" customHeight="1" x14ac:dyDescent="0.2">
      <c r="A493" s="16"/>
      <c r="B493" s="467">
        <v>0</v>
      </c>
      <c r="C493" s="16" t="s">
        <v>637</v>
      </c>
      <c r="D493" s="232"/>
      <c r="E493" s="16" t="s">
        <v>751</v>
      </c>
      <c r="F493" s="16"/>
      <c r="G493" s="19"/>
      <c r="H493" s="16" t="s">
        <v>216</v>
      </c>
      <c r="I493" s="19" t="s">
        <v>23</v>
      </c>
      <c r="J493" s="19" t="s">
        <v>491</v>
      </c>
      <c r="K493" s="339">
        <f>48.077*5%</f>
        <v>2.4038500000000003</v>
      </c>
      <c r="L493" s="339">
        <v>2080</v>
      </c>
      <c r="M493" s="339"/>
      <c r="N493" s="339">
        <f t="shared" si="85"/>
        <v>5000.0080000000007</v>
      </c>
      <c r="O493" s="339"/>
      <c r="P493" s="339"/>
      <c r="Q493" s="339">
        <f t="shared" si="101"/>
        <v>1657.5026520000004</v>
      </c>
      <c r="R493" s="339">
        <f t="shared" si="102"/>
        <v>72.50011600000002</v>
      </c>
      <c r="S493" s="339"/>
      <c r="T493" s="339"/>
      <c r="U493" s="339"/>
      <c r="V493" s="339"/>
      <c r="W493" s="264">
        <f t="shared" si="87"/>
        <v>6730.010768000001</v>
      </c>
      <c r="X493" s="339">
        <f t="shared" si="88"/>
        <v>0</v>
      </c>
      <c r="Y493" s="339"/>
      <c r="Z493" s="340">
        <f t="shared" si="89"/>
        <v>6730.010768000001</v>
      </c>
      <c r="AA493" s="2"/>
    </row>
    <row r="494" spans="1:27" s="236" customFormat="1" ht="12.75" customHeight="1" x14ac:dyDescent="0.2">
      <c r="A494" s="16"/>
      <c r="B494" s="467">
        <v>0</v>
      </c>
      <c r="C494" s="16" t="s">
        <v>637</v>
      </c>
      <c r="D494" s="232"/>
      <c r="E494" s="16" t="s">
        <v>751</v>
      </c>
      <c r="F494" s="16"/>
      <c r="G494" s="19"/>
      <c r="H494" s="16" t="s">
        <v>216</v>
      </c>
      <c r="I494" s="19" t="s">
        <v>23</v>
      </c>
      <c r="J494" s="19" t="s">
        <v>124</v>
      </c>
      <c r="K494" s="339">
        <f>48.077*4%</f>
        <v>1.9230799999999999</v>
      </c>
      <c r="L494" s="339">
        <v>2080</v>
      </c>
      <c r="M494" s="339"/>
      <c r="N494" s="339">
        <f t="shared" si="85"/>
        <v>4000.0063999999998</v>
      </c>
      <c r="O494" s="339"/>
      <c r="P494" s="339"/>
      <c r="Q494" s="339">
        <f t="shared" si="101"/>
        <v>1326.0021216</v>
      </c>
      <c r="R494" s="339">
        <f t="shared" si="102"/>
        <v>58.000092799999997</v>
      </c>
      <c r="S494" s="339"/>
      <c r="T494" s="339"/>
      <c r="U494" s="339"/>
      <c r="V494" s="339"/>
      <c r="W494" s="264">
        <f t="shared" si="87"/>
        <v>5384.0086143999997</v>
      </c>
      <c r="X494" s="339">
        <f t="shared" si="88"/>
        <v>0</v>
      </c>
      <c r="Y494" s="339"/>
      <c r="Z494" s="340">
        <f t="shared" si="89"/>
        <v>5384.0086143999997</v>
      </c>
      <c r="AA494" s="2"/>
    </row>
    <row r="495" spans="1:27" s="236" customFormat="1" ht="12.75" customHeight="1" x14ac:dyDescent="0.2">
      <c r="A495" s="16"/>
      <c r="B495" s="467">
        <v>0</v>
      </c>
      <c r="C495" s="16" t="s">
        <v>637</v>
      </c>
      <c r="D495" s="232"/>
      <c r="E495" s="16" t="s">
        <v>751</v>
      </c>
      <c r="F495" s="16"/>
      <c r="G495" s="19"/>
      <c r="H495" s="16" t="s">
        <v>216</v>
      </c>
      <c r="I495" s="19" t="s">
        <v>23</v>
      </c>
      <c r="J495" s="19" t="s">
        <v>48</v>
      </c>
      <c r="K495" s="339">
        <f>48.077*3%</f>
        <v>1.44231</v>
      </c>
      <c r="L495" s="339">
        <v>2080</v>
      </c>
      <c r="M495" s="339"/>
      <c r="N495" s="339">
        <f t="shared" si="85"/>
        <v>3000.0048000000002</v>
      </c>
      <c r="O495" s="339"/>
      <c r="P495" s="339"/>
      <c r="Q495" s="339">
        <f t="shared" si="101"/>
        <v>994.50159120000012</v>
      </c>
      <c r="R495" s="339">
        <f t="shared" si="102"/>
        <v>43.500069600000003</v>
      </c>
      <c r="S495" s="339"/>
      <c r="T495" s="339"/>
      <c r="U495" s="339"/>
      <c r="V495" s="339"/>
      <c r="W495" s="264">
        <f t="shared" si="87"/>
        <v>4038.0064608000007</v>
      </c>
      <c r="X495" s="339">
        <f t="shared" si="88"/>
        <v>0</v>
      </c>
      <c r="Y495" s="339"/>
      <c r="Z495" s="340">
        <f t="shared" si="89"/>
        <v>4038.0064608000007</v>
      </c>
      <c r="AA495" s="2"/>
    </row>
    <row r="496" spans="1:27" s="236" customFormat="1" ht="12.75" customHeight="1" x14ac:dyDescent="0.2">
      <c r="A496" s="16"/>
      <c r="B496" s="467">
        <v>0</v>
      </c>
      <c r="C496" s="16" t="s">
        <v>637</v>
      </c>
      <c r="D496" s="232"/>
      <c r="E496" s="16" t="s">
        <v>751</v>
      </c>
      <c r="F496" s="16"/>
      <c r="G496" s="19"/>
      <c r="H496" s="16" t="s">
        <v>216</v>
      </c>
      <c r="I496" s="19" t="s">
        <v>23</v>
      </c>
      <c r="J496" s="19" t="s">
        <v>47</v>
      </c>
      <c r="K496" s="339">
        <f t="shared" ref="K496" si="103">48.077*3%</f>
        <v>1.44231</v>
      </c>
      <c r="L496" s="339">
        <v>2080</v>
      </c>
      <c r="M496" s="339"/>
      <c r="N496" s="339">
        <f t="shared" si="85"/>
        <v>3000.0048000000002</v>
      </c>
      <c r="O496" s="339"/>
      <c r="P496" s="339"/>
      <c r="Q496" s="339">
        <f t="shared" si="101"/>
        <v>994.50159120000012</v>
      </c>
      <c r="R496" s="339">
        <f t="shared" si="102"/>
        <v>43.500069600000003</v>
      </c>
      <c r="S496" s="339"/>
      <c r="T496" s="339"/>
      <c r="U496" s="339"/>
      <c r="V496" s="339"/>
      <c r="W496" s="264">
        <f t="shared" si="87"/>
        <v>4038.0064608000007</v>
      </c>
      <c r="X496" s="339">
        <f t="shared" si="88"/>
        <v>0</v>
      </c>
      <c r="Y496" s="339"/>
      <c r="Z496" s="340">
        <f t="shared" si="89"/>
        <v>4038.0064608000007</v>
      </c>
      <c r="AA496" s="2"/>
    </row>
    <row r="497" spans="1:27" s="236" customFormat="1" ht="12.75" customHeight="1" x14ac:dyDescent="0.2">
      <c r="A497" s="16"/>
      <c r="B497" s="467">
        <v>0</v>
      </c>
      <c r="C497" s="16" t="s">
        <v>637</v>
      </c>
      <c r="D497" s="232"/>
      <c r="E497" s="16" t="s">
        <v>751</v>
      </c>
      <c r="F497" s="16"/>
      <c r="G497" s="19"/>
      <c r="H497" s="16" t="s">
        <v>216</v>
      </c>
      <c r="I497" s="19" t="s">
        <v>23</v>
      </c>
      <c r="J497" s="19" t="s">
        <v>932</v>
      </c>
      <c r="K497" s="339">
        <f>48.077*5%</f>
        <v>2.4038500000000003</v>
      </c>
      <c r="L497" s="339">
        <v>2080</v>
      </c>
      <c r="M497" s="339"/>
      <c r="N497" s="339">
        <f t="shared" si="85"/>
        <v>5000.0080000000007</v>
      </c>
      <c r="O497" s="339"/>
      <c r="P497" s="339"/>
      <c r="Q497" s="339">
        <f t="shared" si="101"/>
        <v>1657.5026520000004</v>
      </c>
      <c r="R497" s="339">
        <f t="shared" si="102"/>
        <v>72.50011600000002</v>
      </c>
      <c r="S497" s="339"/>
      <c r="T497" s="339"/>
      <c r="U497" s="339"/>
      <c r="V497" s="339"/>
      <c r="W497" s="264">
        <f t="shared" si="87"/>
        <v>6730.010768000001</v>
      </c>
      <c r="X497" s="339">
        <f t="shared" si="88"/>
        <v>0</v>
      </c>
      <c r="Y497" s="339"/>
      <c r="Z497" s="340">
        <f t="shared" si="89"/>
        <v>6730.010768000001</v>
      </c>
      <c r="AA497" s="2"/>
    </row>
    <row r="498" spans="1:27" s="236" customFormat="1" ht="12.75" customHeight="1" x14ac:dyDescent="0.2">
      <c r="A498" s="16"/>
      <c r="B498" s="467">
        <v>1</v>
      </c>
      <c r="C498" s="16" t="s">
        <v>687</v>
      </c>
      <c r="D498" s="232"/>
      <c r="E498" s="16" t="s">
        <v>774</v>
      </c>
      <c r="F498" s="19"/>
      <c r="G498" s="16"/>
      <c r="H498" s="16" t="s">
        <v>216</v>
      </c>
      <c r="I498" s="19" t="s">
        <v>268</v>
      </c>
      <c r="J498" s="19" t="s">
        <v>99</v>
      </c>
      <c r="K498" s="339">
        <f>23.11*20%</f>
        <v>4.6219999999999999</v>
      </c>
      <c r="L498" s="339">
        <v>2080</v>
      </c>
      <c r="M498" s="339"/>
      <c r="N498" s="339">
        <f t="shared" si="85"/>
        <v>9613.76</v>
      </c>
      <c r="O498" s="339"/>
      <c r="P498" s="339"/>
      <c r="Q498" s="339">
        <f t="shared" si="101"/>
        <v>3186.96144</v>
      </c>
      <c r="R498" s="339">
        <f t="shared" si="102"/>
        <v>139.39952000000002</v>
      </c>
      <c r="S498" s="339"/>
      <c r="T498" s="339">
        <v>0</v>
      </c>
      <c r="U498" s="339">
        <v>0</v>
      </c>
      <c r="V498" s="339"/>
      <c r="W498" s="264">
        <f t="shared" si="87"/>
        <v>12940.120960000002</v>
      </c>
      <c r="X498" s="339">
        <f t="shared" si="88"/>
        <v>0</v>
      </c>
      <c r="Y498" s="339"/>
      <c r="Z498" s="340">
        <f t="shared" si="89"/>
        <v>12940.120960000002</v>
      </c>
      <c r="AA498" s="2">
        <f>[4]HR!$Z698-Z498</f>
        <v>6611.5333439999977</v>
      </c>
    </row>
    <row r="499" spans="1:27" s="236" customFormat="1" ht="12.75" customHeight="1" x14ac:dyDescent="0.2">
      <c r="A499" s="16"/>
      <c r="B499" s="467">
        <v>0</v>
      </c>
      <c r="C499" s="16" t="s">
        <v>687</v>
      </c>
      <c r="D499" s="232"/>
      <c r="E499" s="16" t="s">
        <v>774</v>
      </c>
      <c r="F499" s="19"/>
      <c r="G499" s="16"/>
      <c r="H499" s="16" t="s">
        <v>216</v>
      </c>
      <c r="I499" s="19" t="s">
        <v>268</v>
      </c>
      <c r="J499" s="19" t="s">
        <v>491</v>
      </c>
      <c r="K499" s="339">
        <f>23.11*80%</f>
        <v>18.488</v>
      </c>
      <c r="L499" s="339">
        <v>2080</v>
      </c>
      <c r="M499" s="339"/>
      <c r="N499" s="339">
        <f t="shared" si="85"/>
        <v>38455.040000000001</v>
      </c>
      <c r="O499" s="339"/>
      <c r="P499" s="339"/>
      <c r="Q499" s="339">
        <f t="shared" si="101"/>
        <v>12747.84576</v>
      </c>
      <c r="R499" s="339">
        <f t="shared" si="102"/>
        <v>557.5980800000001</v>
      </c>
      <c r="S499" s="339"/>
      <c r="T499" s="339"/>
      <c r="U499" s="339"/>
      <c r="V499" s="339"/>
      <c r="W499" s="264">
        <f t="shared" si="87"/>
        <v>51760.483840000008</v>
      </c>
      <c r="X499" s="339"/>
      <c r="Y499" s="339"/>
      <c r="Z499" s="340">
        <f t="shared" si="89"/>
        <v>51760.483840000008</v>
      </c>
      <c r="AA499" s="2"/>
    </row>
    <row r="500" spans="1:27" s="236" customFormat="1" ht="12.75" customHeight="1" x14ac:dyDescent="0.2">
      <c r="A500" s="16"/>
      <c r="B500" s="467">
        <v>1</v>
      </c>
      <c r="C500" s="16" t="s">
        <v>684</v>
      </c>
      <c r="D500" s="232"/>
      <c r="E500" s="16" t="s">
        <v>767</v>
      </c>
      <c r="F500" s="16"/>
      <c r="G500" s="16"/>
      <c r="H500" s="16" t="s">
        <v>216</v>
      </c>
      <c r="I500" s="19" t="s">
        <v>268</v>
      </c>
      <c r="J500" s="19" t="s">
        <v>96</v>
      </c>
      <c r="K500" s="339">
        <f>36.26*90%</f>
        <v>32.634</v>
      </c>
      <c r="L500" s="339">
        <v>2080</v>
      </c>
      <c r="M500" s="339"/>
      <c r="N500" s="339">
        <f t="shared" si="85"/>
        <v>67878.720000000001</v>
      </c>
      <c r="O500" s="339"/>
      <c r="P500" s="339"/>
      <c r="Q500" s="339">
        <f t="shared" si="99"/>
        <v>22501.795680000003</v>
      </c>
      <c r="R500" s="339">
        <f t="shared" si="93"/>
        <v>984.24144000000001</v>
      </c>
      <c r="S500" s="339"/>
      <c r="T500" s="339">
        <v>8367.84</v>
      </c>
      <c r="U500" s="339">
        <v>400.32</v>
      </c>
      <c r="V500" s="339"/>
      <c r="W500" s="264">
        <f t="shared" si="87"/>
        <v>100132.91712000001</v>
      </c>
      <c r="X500" s="339">
        <f t="shared" si="88"/>
        <v>0</v>
      </c>
      <c r="Y500" s="339"/>
      <c r="Z500" s="340">
        <f t="shared" si="89"/>
        <v>100132.91712000001</v>
      </c>
      <c r="AA500" s="2">
        <f>[4]HR!$Z699-Z500</f>
        <v>-18362.450960000016</v>
      </c>
    </row>
    <row r="501" spans="1:27" s="236" customFormat="1" ht="12.75" customHeight="1" x14ac:dyDescent="0.2">
      <c r="A501" s="16"/>
      <c r="B501" s="467">
        <v>0</v>
      </c>
      <c r="C501" s="16" t="s">
        <v>684</v>
      </c>
      <c r="D501" s="232"/>
      <c r="E501" s="16" t="s">
        <v>767</v>
      </c>
      <c r="F501" s="16"/>
      <c r="G501" s="16"/>
      <c r="H501" s="16" t="s">
        <v>216</v>
      </c>
      <c r="I501" s="19" t="s">
        <v>268</v>
      </c>
      <c r="J501" s="16" t="s">
        <v>491</v>
      </c>
      <c r="K501" s="339">
        <f>36.26*10%</f>
        <v>3.6259999999999999</v>
      </c>
      <c r="L501" s="339">
        <v>2080</v>
      </c>
      <c r="M501" s="339"/>
      <c r="N501" s="339">
        <f t="shared" si="85"/>
        <v>7542.08</v>
      </c>
      <c r="O501" s="339"/>
      <c r="P501" s="339"/>
      <c r="Q501" s="339">
        <f t="shared" si="99"/>
        <v>2500.1995200000001</v>
      </c>
      <c r="R501" s="339">
        <f t="shared" si="93"/>
        <v>109.36016000000001</v>
      </c>
      <c r="S501" s="339"/>
      <c r="T501" s="339"/>
      <c r="U501" s="339"/>
      <c r="V501" s="339"/>
      <c r="W501" s="264">
        <f t="shared" si="87"/>
        <v>10151.63968</v>
      </c>
      <c r="X501" s="339">
        <f t="shared" si="88"/>
        <v>0</v>
      </c>
      <c r="Y501" s="339"/>
      <c r="Z501" s="340">
        <f t="shared" si="89"/>
        <v>10151.63968</v>
      </c>
      <c r="AA501" s="2">
        <f>[4]HR!$Z700-Z501</f>
        <v>14590.010751999998</v>
      </c>
    </row>
    <row r="502" spans="1:27" s="236" customFormat="1" ht="12.75" customHeight="1" x14ac:dyDescent="0.2">
      <c r="A502" s="16"/>
      <c r="B502" s="467">
        <v>1</v>
      </c>
      <c r="C502" s="16" t="s">
        <v>688</v>
      </c>
      <c r="D502" s="232"/>
      <c r="E502" s="16" t="s">
        <v>767</v>
      </c>
      <c r="F502" s="16"/>
      <c r="G502" s="16"/>
      <c r="H502" s="16" t="s">
        <v>216</v>
      </c>
      <c r="I502" s="19" t="s">
        <v>268</v>
      </c>
      <c r="J502" s="19" t="s">
        <v>99</v>
      </c>
      <c r="K502" s="339">
        <f>31.9*80%</f>
        <v>25.52</v>
      </c>
      <c r="L502" s="339">
        <v>1040</v>
      </c>
      <c r="M502" s="339"/>
      <c r="N502" s="339">
        <f t="shared" si="85"/>
        <v>26540.799999999999</v>
      </c>
      <c r="O502" s="339"/>
      <c r="P502" s="339"/>
      <c r="Q502" s="339">
        <f t="shared" si="99"/>
        <v>8798.2752</v>
      </c>
      <c r="R502" s="339">
        <f t="shared" si="93"/>
        <v>384.84160000000003</v>
      </c>
      <c r="S502" s="339"/>
      <c r="T502" s="339">
        <v>0</v>
      </c>
      <c r="U502" s="339">
        <v>0</v>
      </c>
      <c r="V502" s="339"/>
      <c r="W502" s="264">
        <f t="shared" si="87"/>
        <v>35723.916799999999</v>
      </c>
      <c r="X502" s="339">
        <f t="shared" si="88"/>
        <v>0</v>
      </c>
      <c r="Y502" s="339"/>
      <c r="Z502" s="340">
        <f t="shared" si="89"/>
        <v>35723.916799999999</v>
      </c>
      <c r="AA502" s="2">
        <f>[4]HR!$Z701-Z502</f>
        <v>-14091.606152</v>
      </c>
    </row>
    <row r="503" spans="1:27" s="236" customFormat="1" ht="12.75" customHeight="1" x14ac:dyDescent="0.2">
      <c r="A503" s="16"/>
      <c r="B503" s="467">
        <v>0</v>
      </c>
      <c r="C503" s="16" t="s">
        <v>688</v>
      </c>
      <c r="D503" s="232"/>
      <c r="E503" s="16" t="s">
        <v>767</v>
      </c>
      <c r="F503" s="16" t="s">
        <v>216</v>
      </c>
      <c r="G503" s="19" t="s">
        <v>268</v>
      </c>
      <c r="H503" s="16" t="s">
        <v>216</v>
      </c>
      <c r="I503" s="396" t="s">
        <v>268</v>
      </c>
      <c r="J503" s="396" t="s">
        <v>1019</v>
      </c>
      <c r="K503" s="339"/>
      <c r="L503" s="339"/>
      <c r="M503" s="339"/>
      <c r="N503" s="339"/>
      <c r="O503" s="339"/>
      <c r="P503" s="339">
        <v>9570</v>
      </c>
      <c r="Q503" s="339">
        <f t="shared" si="99"/>
        <v>0</v>
      </c>
      <c r="R503" s="339">
        <f>(N503+P503)*0.0145</f>
        <v>138.76500000000001</v>
      </c>
      <c r="S503" s="339"/>
      <c r="T503" s="339"/>
      <c r="U503" s="339"/>
      <c r="V503" s="339"/>
      <c r="W503" s="264">
        <f t="shared" si="87"/>
        <v>9708.7649999999994</v>
      </c>
      <c r="X503" s="339"/>
      <c r="Y503" s="339"/>
      <c r="Z503" s="340">
        <f t="shared" si="89"/>
        <v>9708.7649999999994</v>
      </c>
      <c r="AA503" s="2"/>
    </row>
    <row r="504" spans="1:27" s="236" customFormat="1" ht="12.75" customHeight="1" x14ac:dyDescent="0.2">
      <c r="A504" s="16"/>
      <c r="B504" s="467">
        <v>0</v>
      </c>
      <c r="C504" s="16" t="s">
        <v>688</v>
      </c>
      <c r="D504" s="232"/>
      <c r="E504" s="16" t="s">
        <v>767</v>
      </c>
      <c r="F504" s="16"/>
      <c r="G504" s="16"/>
      <c r="H504" s="16" t="s">
        <v>216</v>
      </c>
      <c r="I504" s="19" t="s">
        <v>268</v>
      </c>
      <c r="J504" s="19" t="s">
        <v>491</v>
      </c>
      <c r="K504" s="339">
        <f>31.9*20%</f>
        <v>6.38</v>
      </c>
      <c r="L504" s="339">
        <v>1040</v>
      </c>
      <c r="M504" s="339"/>
      <c r="N504" s="339">
        <f t="shared" si="85"/>
        <v>6635.2</v>
      </c>
      <c r="O504" s="339"/>
      <c r="P504" s="339"/>
      <c r="Q504" s="339">
        <f t="shared" si="99"/>
        <v>2199.5688</v>
      </c>
      <c r="R504" s="339">
        <f t="shared" si="93"/>
        <v>96.210400000000007</v>
      </c>
      <c r="S504" s="339"/>
      <c r="T504" s="339"/>
      <c r="U504" s="339"/>
      <c r="V504" s="339"/>
      <c r="W504" s="264">
        <f t="shared" si="87"/>
        <v>8930.9791999999998</v>
      </c>
      <c r="X504" s="339"/>
      <c r="Y504" s="339"/>
      <c r="Z504" s="340">
        <f t="shared" si="89"/>
        <v>8930.9791999999998</v>
      </c>
      <c r="AA504" s="2"/>
    </row>
    <row r="505" spans="1:27" s="236" customFormat="1" ht="12.75" customHeight="1" x14ac:dyDescent="0.2">
      <c r="A505" s="16"/>
      <c r="B505" s="467">
        <v>1</v>
      </c>
      <c r="C505" s="396" t="s">
        <v>689</v>
      </c>
      <c r="D505" s="232"/>
      <c r="E505" s="16" t="s">
        <v>779</v>
      </c>
      <c r="F505" s="19"/>
      <c r="G505" s="19"/>
      <c r="H505" s="16" t="s">
        <v>216</v>
      </c>
      <c r="I505" s="19" t="s">
        <v>268</v>
      </c>
      <c r="J505" s="19" t="s">
        <v>99</v>
      </c>
      <c r="K505" s="339">
        <f>35.89*65%</f>
        <v>23.328500000000002</v>
      </c>
      <c r="L505" s="339">
        <v>2080</v>
      </c>
      <c r="M505" s="339"/>
      <c r="N505" s="339">
        <f t="shared" si="85"/>
        <v>48523.280000000006</v>
      </c>
      <c r="O505" s="339"/>
      <c r="P505" s="339"/>
      <c r="Q505" s="339">
        <f t="shared" si="99"/>
        <v>16085.467320000003</v>
      </c>
      <c r="R505" s="339">
        <f t="shared" si="93"/>
        <v>703.58756000000017</v>
      </c>
      <c r="S505" s="339"/>
      <c r="T505" s="339"/>
      <c r="U505" s="339"/>
      <c r="V505" s="339"/>
      <c r="W505" s="264">
        <f t="shared" si="87"/>
        <v>65312.334880000009</v>
      </c>
      <c r="X505" s="339">
        <f t="shared" si="88"/>
        <v>0</v>
      </c>
      <c r="Y505" s="339"/>
      <c r="Z505" s="340">
        <f t="shared" si="89"/>
        <v>65312.334880000009</v>
      </c>
      <c r="AA505" s="2">
        <f>[4]HR!$Z702-Z505</f>
        <v>-58101.564664000005</v>
      </c>
    </row>
    <row r="506" spans="1:27" s="236" customFormat="1" ht="12.75" customHeight="1" x14ac:dyDescent="0.2">
      <c r="A506" s="16"/>
      <c r="B506" s="467">
        <v>0</v>
      </c>
      <c r="C506" s="396" t="s">
        <v>689</v>
      </c>
      <c r="D506" s="232"/>
      <c r="E506" s="16" t="s">
        <v>779</v>
      </c>
      <c r="F506" s="19"/>
      <c r="G506" s="19"/>
      <c r="H506" s="16" t="s">
        <v>216</v>
      </c>
      <c r="I506" s="19" t="s">
        <v>268</v>
      </c>
      <c r="J506" s="19" t="s">
        <v>96</v>
      </c>
      <c r="K506" s="339">
        <f>35.89*10%</f>
        <v>3.5890000000000004</v>
      </c>
      <c r="L506" s="339">
        <v>2080</v>
      </c>
      <c r="M506" s="339"/>
      <c r="N506" s="339">
        <f t="shared" si="85"/>
        <v>7465.1200000000008</v>
      </c>
      <c r="O506" s="339"/>
      <c r="P506" s="339"/>
      <c r="Q506" s="339">
        <f t="shared" si="99"/>
        <v>2474.6872800000006</v>
      </c>
      <c r="R506" s="339">
        <f t="shared" si="93"/>
        <v>108.24424000000002</v>
      </c>
      <c r="S506" s="339"/>
      <c r="T506" s="339"/>
      <c r="U506" s="339"/>
      <c r="V506" s="339"/>
      <c r="W506" s="264">
        <f t="shared" si="87"/>
        <v>10048.051520000001</v>
      </c>
      <c r="X506" s="339">
        <f t="shared" si="88"/>
        <v>0</v>
      </c>
      <c r="Y506" s="339"/>
      <c r="Z506" s="340">
        <f t="shared" si="89"/>
        <v>10048.051520000001</v>
      </c>
      <c r="AA506" s="2">
        <f>[4]HR!$Z703-Z506</f>
        <v>4373.4889120000007</v>
      </c>
    </row>
    <row r="507" spans="1:27" s="236" customFormat="1" ht="12.75" customHeight="1" x14ac:dyDescent="0.2">
      <c r="A507" s="16"/>
      <c r="B507" s="467">
        <v>0</v>
      </c>
      <c r="C507" s="396" t="s">
        <v>689</v>
      </c>
      <c r="D507" s="232"/>
      <c r="E507" s="16" t="s">
        <v>779</v>
      </c>
      <c r="F507" s="19"/>
      <c r="G507" s="19"/>
      <c r="H507" s="16" t="s">
        <v>216</v>
      </c>
      <c r="I507" s="19" t="s">
        <v>268</v>
      </c>
      <c r="J507" s="16" t="s">
        <v>491</v>
      </c>
      <c r="K507" s="339">
        <f>35.89*25%</f>
        <v>8.9725000000000001</v>
      </c>
      <c r="L507" s="339">
        <v>2080</v>
      </c>
      <c r="M507" s="339"/>
      <c r="N507" s="339">
        <f t="shared" si="85"/>
        <v>18662.8</v>
      </c>
      <c r="O507" s="339"/>
      <c r="P507" s="339"/>
      <c r="Q507" s="339">
        <f t="shared" si="99"/>
        <v>6186.7182000000003</v>
      </c>
      <c r="R507" s="339">
        <f t="shared" si="93"/>
        <v>270.61059999999998</v>
      </c>
      <c r="S507" s="339"/>
      <c r="T507" s="339"/>
      <c r="U507" s="339"/>
      <c r="V507" s="339"/>
      <c r="W507" s="264">
        <f t="shared" si="87"/>
        <v>25120.128799999999</v>
      </c>
      <c r="X507" s="339">
        <f t="shared" si="88"/>
        <v>0</v>
      </c>
      <c r="Y507" s="339"/>
      <c r="Z507" s="340">
        <f t="shared" si="89"/>
        <v>25120.128799999999</v>
      </c>
      <c r="AA507" s="2">
        <f>[4]HR!$Z704-Z507</f>
        <v>3722.9520640000046</v>
      </c>
    </row>
    <row r="508" spans="1:27" s="236" customFormat="1" ht="12.75" customHeight="1" x14ac:dyDescent="0.2">
      <c r="A508" s="16"/>
      <c r="B508" s="467">
        <v>0</v>
      </c>
      <c r="C508" s="396" t="s">
        <v>689</v>
      </c>
      <c r="D508" s="232"/>
      <c r="E508" s="16" t="s">
        <v>779</v>
      </c>
      <c r="F508" s="16" t="s">
        <v>216</v>
      </c>
      <c r="G508" s="19" t="s">
        <v>268</v>
      </c>
      <c r="H508" s="16" t="s">
        <v>216</v>
      </c>
      <c r="I508" s="396" t="s">
        <v>268</v>
      </c>
      <c r="J508" s="396" t="s">
        <v>1019</v>
      </c>
      <c r="K508" s="339"/>
      <c r="L508" s="339"/>
      <c r="M508" s="339"/>
      <c r="N508" s="339">
        <f t="shared" si="85"/>
        <v>0</v>
      </c>
      <c r="O508" s="339"/>
      <c r="P508" s="339"/>
      <c r="Q508" s="339">
        <f t="shared" ref="Q508" si="104">N508*0.3315</f>
        <v>0</v>
      </c>
      <c r="R508" s="339">
        <f t="shared" ref="R508" si="105">N508*0.0145</f>
        <v>0</v>
      </c>
      <c r="S508" s="339"/>
      <c r="T508" s="339">
        <v>5232</v>
      </c>
      <c r="U508" s="339"/>
      <c r="V508" s="339"/>
      <c r="W508" s="264">
        <f t="shared" si="87"/>
        <v>5232</v>
      </c>
      <c r="X508" s="339"/>
      <c r="Y508" s="339"/>
      <c r="Z508" s="340">
        <f t="shared" si="89"/>
        <v>5232</v>
      </c>
      <c r="AA508" s="2"/>
    </row>
    <row r="509" spans="1:27" s="236" customFormat="1" ht="12.75" customHeight="1" x14ac:dyDescent="0.2">
      <c r="A509" s="16"/>
      <c r="B509" s="467">
        <v>1</v>
      </c>
      <c r="C509" s="16" t="s">
        <v>690</v>
      </c>
      <c r="D509" s="232"/>
      <c r="E509" s="19" t="s">
        <v>767</v>
      </c>
      <c r="F509" s="19"/>
      <c r="G509" s="19"/>
      <c r="H509" s="16" t="s">
        <v>216</v>
      </c>
      <c r="I509" s="19" t="s">
        <v>268</v>
      </c>
      <c r="J509" s="19" t="s">
        <v>99</v>
      </c>
      <c r="K509" s="339">
        <f>26.6*20%</f>
        <v>5.32</v>
      </c>
      <c r="L509" s="339">
        <v>2080</v>
      </c>
      <c r="M509" s="339"/>
      <c r="N509" s="339">
        <f t="shared" si="85"/>
        <v>11065.6</v>
      </c>
      <c r="O509" s="339"/>
      <c r="P509" s="339"/>
      <c r="Q509" s="339">
        <f t="shared" si="99"/>
        <v>3668.2464000000004</v>
      </c>
      <c r="R509" s="339">
        <f t="shared" si="93"/>
        <v>160.4512</v>
      </c>
      <c r="S509" s="339"/>
      <c r="T509" s="339"/>
      <c r="U509" s="339"/>
      <c r="V509" s="339"/>
      <c r="W509" s="264">
        <f t="shared" si="87"/>
        <v>14894.2976</v>
      </c>
      <c r="X509" s="339">
        <f t="shared" si="88"/>
        <v>0</v>
      </c>
      <c r="Y509" s="339"/>
      <c r="Z509" s="340">
        <f t="shared" si="89"/>
        <v>14894.2976</v>
      </c>
      <c r="AA509" s="2">
        <f>[4]HR!$Z705-Z509</f>
        <v>-472.75716799999827</v>
      </c>
    </row>
    <row r="510" spans="1:27" s="236" customFormat="1" ht="12.75" customHeight="1" x14ac:dyDescent="0.2">
      <c r="A510" s="16"/>
      <c r="B510" s="467">
        <v>0</v>
      </c>
      <c r="C510" s="16" t="s">
        <v>690</v>
      </c>
      <c r="D510" s="232"/>
      <c r="E510" s="19" t="s">
        <v>767</v>
      </c>
      <c r="F510" s="19"/>
      <c r="G510" s="19"/>
      <c r="H510" s="16" t="s">
        <v>216</v>
      </c>
      <c r="I510" s="19" t="s">
        <v>268</v>
      </c>
      <c r="J510" s="19" t="s">
        <v>1019</v>
      </c>
      <c r="K510" s="339"/>
      <c r="L510" s="339"/>
      <c r="M510" s="339"/>
      <c r="N510" s="339">
        <f t="shared" si="85"/>
        <v>0</v>
      </c>
      <c r="O510" s="339"/>
      <c r="P510" s="339"/>
      <c r="Q510" s="339">
        <f t="shared" si="99"/>
        <v>0</v>
      </c>
      <c r="R510" s="339">
        <f t="shared" si="93"/>
        <v>0</v>
      </c>
      <c r="S510" s="339"/>
      <c r="T510" s="339">
        <v>8532</v>
      </c>
      <c r="U510" s="339">
        <v>323.04000000000002</v>
      </c>
      <c r="V510" s="339"/>
      <c r="W510" s="264">
        <f t="shared" si="87"/>
        <v>8855.0400000000009</v>
      </c>
      <c r="X510" s="339"/>
      <c r="Y510" s="339"/>
      <c r="Z510" s="340">
        <f t="shared" si="89"/>
        <v>8855.0400000000009</v>
      </c>
      <c r="AA510" s="2"/>
    </row>
    <row r="511" spans="1:27" s="236" customFormat="1" ht="12.75" customHeight="1" x14ac:dyDescent="0.2">
      <c r="A511" s="16"/>
      <c r="B511" s="467">
        <v>0</v>
      </c>
      <c r="C511" s="16" t="s">
        <v>690</v>
      </c>
      <c r="D511" s="232"/>
      <c r="E511" s="19" t="s">
        <v>767</v>
      </c>
      <c r="F511" s="19"/>
      <c r="G511" s="19"/>
      <c r="H511" s="16" t="s">
        <v>216</v>
      </c>
      <c r="I511" s="19" t="s">
        <v>268</v>
      </c>
      <c r="J511" s="19" t="s">
        <v>491</v>
      </c>
      <c r="K511" s="339">
        <f>26.6*80%</f>
        <v>21.28</v>
      </c>
      <c r="L511" s="339">
        <v>2080</v>
      </c>
      <c r="M511" s="339"/>
      <c r="N511" s="339">
        <f t="shared" si="85"/>
        <v>44262.400000000001</v>
      </c>
      <c r="O511" s="339"/>
      <c r="P511" s="339"/>
      <c r="Q511" s="339">
        <f t="shared" si="99"/>
        <v>14672.985600000002</v>
      </c>
      <c r="R511" s="339">
        <f t="shared" si="93"/>
        <v>641.8048</v>
      </c>
      <c r="S511" s="339"/>
      <c r="T511" s="339"/>
      <c r="U511" s="339"/>
      <c r="V511" s="339"/>
      <c r="W511" s="264">
        <f t="shared" si="87"/>
        <v>59577.190399999999</v>
      </c>
      <c r="X511" s="339"/>
      <c r="Y511" s="339"/>
      <c r="Z511" s="340">
        <f t="shared" si="89"/>
        <v>59577.190399999999</v>
      </c>
      <c r="AA511" s="2"/>
    </row>
    <row r="512" spans="1:27" s="236" customFormat="1" ht="12.75" customHeight="1" x14ac:dyDescent="0.2">
      <c r="A512" s="16"/>
      <c r="B512" s="467">
        <v>1</v>
      </c>
      <c r="C512" s="16" t="s">
        <v>681</v>
      </c>
      <c r="D512" s="232"/>
      <c r="E512" s="16" t="s">
        <v>796</v>
      </c>
      <c r="F512" s="16"/>
      <c r="G512" s="16"/>
      <c r="H512" s="16" t="s">
        <v>216</v>
      </c>
      <c r="I512" s="19" t="s">
        <v>268</v>
      </c>
      <c r="J512" s="19" t="s">
        <v>99</v>
      </c>
      <c r="K512" s="339">
        <f>52.44*40%</f>
        <v>20.975999999999999</v>
      </c>
      <c r="L512" s="339">
        <v>2080</v>
      </c>
      <c r="M512" s="339"/>
      <c r="N512" s="339">
        <f t="shared" si="85"/>
        <v>43630.080000000002</v>
      </c>
      <c r="O512" s="339"/>
      <c r="P512" s="339"/>
      <c r="Q512" s="339">
        <f t="shared" si="99"/>
        <v>14463.371520000001</v>
      </c>
      <c r="R512" s="339">
        <f t="shared" si="93"/>
        <v>632.63616000000002</v>
      </c>
      <c r="S512" s="339"/>
      <c r="T512" s="339"/>
      <c r="U512" s="339"/>
      <c r="V512" s="339"/>
      <c r="W512" s="264">
        <f t="shared" si="87"/>
        <v>58726.087680000004</v>
      </c>
      <c r="X512" s="339">
        <f t="shared" si="88"/>
        <v>0</v>
      </c>
      <c r="Y512" s="339"/>
      <c r="Z512" s="340">
        <f t="shared" si="89"/>
        <v>58726.087680000004</v>
      </c>
      <c r="AA512" s="2">
        <f>[4]HR!$Z706-Z512</f>
        <v>-29883.006816000001</v>
      </c>
    </row>
    <row r="513" spans="1:27" s="236" customFormat="1" ht="12.75" customHeight="1" x14ac:dyDescent="0.2">
      <c r="A513" s="16"/>
      <c r="B513" s="467">
        <v>0</v>
      </c>
      <c r="C513" s="16" t="s">
        <v>681</v>
      </c>
      <c r="D513" s="232"/>
      <c r="E513" s="16" t="s">
        <v>796</v>
      </c>
      <c r="F513" s="16"/>
      <c r="G513" s="16"/>
      <c r="H513" s="16" t="s">
        <v>216</v>
      </c>
      <c r="I513" s="19" t="s">
        <v>268</v>
      </c>
      <c r="J513" s="19" t="s">
        <v>1019</v>
      </c>
      <c r="K513" s="339">
        <v>0</v>
      </c>
      <c r="L513" s="339">
        <v>0</v>
      </c>
      <c r="M513" s="339"/>
      <c r="N513" s="339">
        <f t="shared" si="85"/>
        <v>0</v>
      </c>
      <c r="O513" s="339"/>
      <c r="P513" s="339"/>
      <c r="Q513" s="339">
        <f t="shared" ref="Q513" si="106">N513*0.3315</f>
        <v>0</v>
      </c>
      <c r="R513" s="339">
        <f t="shared" ref="R513" si="107">N513*0.0145</f>
        <v>0</v>
      </c>
      <c r="S513" s="339"/>
      <c r="T513" s="339">
        <v>9712.56</v>
      </c>
      <c r="U513" s="339">
        <v>702.48</v>
      </c>
      <c r="V513" s="339"/>
      <c r="W513" s="264">
        <f t="shared" si="87"/>
        <v>10415.039999999999</v>
      </c>
      <c r="X513" s="339"/>
      <c r="Y513" s="339"/>
      <c r="Z513" s="340">
        <f t="shared" si="89"/>
        <v>10415.039999999999</v>
      </c>
      <c r="AA513" s="2"/>
    </row>
    <row r="514" spans="1:27" s="236" customFormat="1" ht="12.75" customHeight="1" x14ac:dyDescent="0.2">
      <c r="A514" s="16"/>
      <c r="B514" s="467">
        <v>0</v>
      </c>
      <c r="C514" s="16" t="s">
        <v>681</v>
      </c>
      <c r="D514" s="232"/>
      <c r="E514" s="16" t="s">
        <v>796</v>
      </c>
      <c r="F514" s="16"/>
      <c r="G514" s="16"/>
      <c r="H514" s="16" t="s">
        <v>216</v>
      </c>
      <c r="I514" s="19" t="s">
        <v>268</v>
      </c>
      <c r="J514" s="19" t="s">
        <v>103</v>
      </c>
      <c r="K514" s="339">
        <f>52.44*10%</f>
        <v>5.2439999999999998</v>
      </c>
      <c r="L514" s="339">
        <v>2080</v>
      </c>
      <c r="M514" s="339"/>
      <c r="N514" s="339">
        <f t="shared" si="85"/>
        <v>10907.52</v>
      </c>
      <c r="O514" s="339"/>
      <c r="P514" s="339"/>
      <c r="Q514" s="339">
        <f t="shared" si="99"/>
        <v>3615.8428800000002</v>
      </c>
      <c r="R514" s="339">
        <f t="shared" si="93"/>
        <v>158.15904</v>
      </c>
      <c r="S514" s="339"/>
      <c r="T514" s="339"/>
      <c r="U514" s="339"/>
      <c r="V514" s="339"/>
      <c r="W514" s="264">
        <f t="shared" si="87"/>
        <v>14681.521920000001</v>
      </c>
      <c r="X514" s="339">
        <f t="shared" si="88"/>
        <v>0</v>
      </c>
      <c r="Y514" s="339"/>
      <c r="Z514" s="340">
        <f t="shared" si="89"/>
        <v>14681.521920000001</v>
      </c>
      <c r="AA514" s="2">
        <f>[4]HR!$Z707-Z514</f>
        <v>-7470.7517040000002</v>
      </c>
    </row>
    <row r="515" spans="1:27" s="236" customFormat="1" ht="12.75" customHeight="1" x14ac:dyDescent="0.2">
      <c r="A515" s="16"/>
      <c r="B515" s="467">
        <v>0</v>
      </c>
      <c r="C515" s="16" t="s">
        <v>681</v>
      </c>
      <c r="D515" s="232"/>
      <c r="E515" s="16" t="s">
        <v>796</v>
      </c>
      <c r="F515" s="16"/>
      <c r="G515" s="16"/>
      <c r="H515" s="16" t="s">
        <v>216</v>
      </c>
      <c r="I515" s="19" t="s">
        <v>268</v>
      </c>
      <c r="J515" s="19" t="s">
        <v>1023</v>
      </c>
      <c r="K515" s="339">
        <f>52.44*5.71%</f>
        <v>2.9943239999999998</v>
      </c>
      <c r="L515" s="339">
        <v>2080</v>
      </c>
      <c r="M515" s="339"/>
      <c r="N515" s="339">
        <f t="shared" si="85"/>
        <v>6228.1939199999997</v>
      </c>
      <c r="O515" s="340"/>
      <c r="P515" s="339"/>
      <c r="Q515" s="339">
        <f t="shared" si="99"/>
        <v>2064.6462844799998</v>
      </c>
      <c r="R515" s="339">
        <f t="shared" si="93"/>
        <v>90.308811840000004</v>
      </c>
      <c r="S515" s="339"/>
      <c r="T515" s="339"/>
      <c r="U515" s="339"/>
      <c r="V515" s="339"/>
      <c r="W515" s="264">
        <f t="shared" si="87"/>
        <v>8383.1490163199978</v>
      </c>
      <c r="X515" s="339">
        <f t="shared" si="88"/>
        <v>0</v>
      </c>
      <c r="Y515" s="339"/>
      <c r="Z515" s="340">
        <f t="shared" si="89"/>
        <v>8383.1490163199978</v>
      </c>
      <c r="AA515" s="2">
        <f>[4]HR!$Z708-Z515</f>
        <v>-1172.378800319997</v>
      </c>
    </row>
    <row r="516" spans="1:27" s="236" customFormat="1" ht="12.75" customHeight="1" x14ac:dyDescent="0.2">
      <c r="A516" s="16"/>
      <c r="B516" s="467">
        <v>0</v>
      </c>
      <c r="C516" s="16" t="s">
        <v>681</v>
      </c>
      <c r="D516" s="232"/>
      <c r="E516" s="16" t="s">
        <v>796</v>
      </c>
      <c r="F516" s="16"/>
      <c r="G516" s="16"/>
      <c r="H516" s="16" t="s">
        <v>216</v>
      </c>
      <c r="I516" s="19" t="s">
        <v>268</v>
      </c>
      <c r="J516" s="19" t="s">
        <v>96</v>
      </c>
      <c r="K516" s="339">
        <f>52.44*5%</f>
        <v>2.6219999999999999</v>
      </c>
      <c r="L516" s="339">
        <v>2080</v>
      </c>
      <c r="M516" s="339"/>
      <c r="N516" s="339">
        <f t="shared" ref="N516:N570" si="108">L516*K516</f>
        <v>5453.76</v>
      </c>
      <c r="O516" s="339"/>
      <c r="P516" s="339"/>
      <c r="Q516" s="339">
        <f t="shared" si="99"/>
        <v>1807.9214400000001</v>
      </c>
      <c r="R516" s="339">
        <f t="shared" ref="R516:R554" si="109">N516*0.0145</f>
        <v>79.079520000000002</v>
      </c>
      <c r="S516" s="339"/>
      <c r="T516" s="339"/>
      <c r="U516" s="339"/>
      <c r="V516" s="339"/>
      <c r="W516" s="264">
        <f t="shared" ref="W516:W571" si="110">SUM(N516:V516)</f>
        <v>7340.7609600000005</v>
      </c>
      <c r="X516" s="339">
        <f t="shared" ref="X516:X524" si="111">IF(Q516&lt;&gt;"",W516*$X$25,0)</f>
        <v>0</v>
      </c>
      <c r="Y516" s="339"/>
      <c r="Z516" s="340">
        <f t="shared" ref="Z516:Z570" si="112">Y516+X516+W516</f>
        <v>7340.7609600000005</v>
      </c>
      <c r="AA516" s="2">
        <f>[4]HR!$Z709-Z516</f>
        <v>64535.374303999983</v>
      </c>
    </row>
    <row r="517" spans="1:27" s="236" customFormat="1" ht="12.75" customHeight="1" x14ac:dyDescent="0.2">
      <c r="A517" s="16"/>
      <c r="B517" s="467">
        <v>0</v>
      </c>
      <c r="C517" s="16" t="s">
        <v>681</v>
      </c>
      <c r="D517" s="232"/>
      <c r="E517" s="16" t="s">
        <v>796</v>
      </c>
      <c r="F517" s="16"/>
      <c r="G517" s="16"/>
      <c r="H517" s="16" t="s">
        <v>216</v>
      </c>
      <c r="I517" s="19" t="s">
        <v>268</v>
      </c>
      <c r="J517" s="19" t="s">
        <v>491</v>
      </c>
      <c r="K517" s="339">
        <f>52.44*5%</f>
        <v>2.6219999999999999</v>
      </c>
      <c r="L517" s="339">
        <v>2080</v>
      </c>
      <c r="M517" s="339"/>
      <c r="N517" s="339">
        <f t="shared" si="108"/>
        <v>5453.76</v>
      </c>
      <c r="O517" s="339"/>
      <c r="P517" s="339"/>
      <c r="Q517" s="339">
        <f t="shared" si="99"/>
        <v>1807.9214400000001</v>
      </c>
      <c r="R517" s="339">
        <f t="shared" si="109"/>
        <v>79.079520000000002</v>
      </c>
      <c r="S517" s="339"/>
      <c r="T517" s="339"/>
      <c r="U517" s="339"/>
      <c r="V517" s="339"/>
      <c r="W517" s="264">
        <f t="shared" si="110"/>
        <v>7340.7609600000005</v>
      </c>
      <c r="X517" s="339">
        <f t="shared" si="111"/>
        <v>0</v>
      </c>
      <c r="Y517" s="339"/>
      <c r="Z517" s="340">
        <f t="shared" si="112"/>
        <v>7340.7609600000005</v>
      </c>
      <c r="AA517" s="2">
        <f>[4]HR!$Z710-Z517</f>
        <v>-4003.7791040000011</v>
      </c>
    </row>
    <row r="518" spans="1:27" s="236" customFormat="1" ht="12.75" customHeight="1" x14ac:dyDescent="0.2">
      <c r="A518" s="16"/>
      <c r="B518" s="467">
        <v>0</v>
      </c>
      <c r="C518" s="16" t="s">
        <v>681</v>
      </c>
      <c r="D518" s="232"/>
      <c r="E518" s="16" t="s">
        <v>796</v>
      </c>
      <c r="F518" s="16"/>
      <c r="G518" s="16"/>
      <c r="H518" s="16" t="s">
        <v>216</v>
      </c>
      <c r="I518" s="19" t="s">
        <v>268</v>
      </c>
      <c r="J518" s="19" t="s">
        <v>973</v>
      </c>
      <c r="K518" s="339">
        <f>52.44*5.71%</f>
        <v>2.9943239999999998</v>
      </c>
      <c r="L518" s="339">
        <v>2080</v>
      </c>
      <c r="M518" s="339"/>
      <c r="N518" s="339">
        <f t="shared" si="108"/>
        <v>6228.1939199999997</v>
      </c>
      <c r="O518" s="339"/>
      <c r="P518" s="339"/>
      <c r="Q518" s="339">
        <f t="shared" si="99"/>
        <v>2064.6462844799998</v>
      </c>
      <c r="R518" s="339">
        <f t="shared" si="109"/>
        <v>90.308811840000004</v>
      </c>
      <c r="S518" s="339"/>
      <c r="T518" s="339"/>
      <c r="U518" s="339"/>
      <c r="V518" s="339"/>
      <c r="W518" s="264">
        <f t="shared" si="110"/>
        <v>8383.1490163199978</v>
      </c>
      <c r="X518" s="339">
        <f t="shared" si="111"/>
        <v>0</v>
      </c>
      <c r="Y518" s="339"/>
      <c r="Z518" s="340">
        <f t="shared" si="112"/>
        <v>8383.1490163199978</v>
      </c>
      <c r="AA518" s="2">
        <f>[4]HR!$Z711-Z518</f>
        <v>78082.356655680007</v>
      </c>
    </row>
    <row r="519" spans="1:27" s="236" customFormat="1" ht="12.75" customHeight="1" x14ac:dyDescent="0.2">
      <c r="A519" s="16"/>
      <c r="B519" s="467">
        <v>0</v>
      </c>
      <c r="C519" s="16" t="s">
        <v>681</v>
      </c>
      <c r="D519" s="232"/>
      <c r="E519" s="16" t="s">
        <v>796</v>
      </c>
      <c r="F519" s="16"/>
      <c r="G519" s="16"/>
      <c r="H519" s="16" t="s">
        <v>216</v>
      </c>
      <c r="I519" s="19" t="s">
        <v>268</v>
      </c>
      <c r="J519" s="19" t="s">
        <v>933</v>
      </c>
      <c r="K519" s="339">
        <f>52.44*5.71%</f>
        <v>2.9943239999999998</v>
      </c>
      <c r="L519" s="339">
        <v>2080</v>
      </c>
      <c r="M519" s="339"/>
      <c r="N519" s="339">
        <f t="shared" si="108"/>
        <v>6228.1939199999997</v>
      </c>
      <c r="O519" s="339"/>
      <c r="P519" s="339"/>
      <c r="Q519" s="339">
        <f t="shared" si="99"/>
        <v>2064.6462844799998</v>
      </c>
      <c r="R519" s="339">
        <f t="shared" si="109"/>
        <v>90.308811840000004</v>
      </c>
      <c r="S519" s="339"/>
      <c r="T519" s="339"/>
      <c r="U519" s="339"/>
      <c r="V519" s="339"/>
      <c r="W519" s="264">
        <f t="shared" si="110"/>
        <v>8383.1490163199978</v>
      </c>
      <c r="X519" s="339">
        <f t="shared" si="111"/>
        <v>0</v>
      </c>
      <c r="Y519" s="339"/>
      <c r="Z519" s="340">
        <f t="shared" si="112"/>
        <v>8383.1490163199978</v>
      </c>
      <c r="AA519" s="2">
        <f>[4]HR!$Z712-Z519</f>
        <v>-3832.3329283199973</v>
      </c>
    </row>
    <row r="520" spans="1:27" s="236" customFormat="1" ht="12.75" customHeight="1" x14ac:dyDescent="0.2">
      <c r="A520" s="16"/>
      <c r="B520" s="467">
        <v>0</v>
      </c>
      <c r="C520" s="16" t="s">
        <v>681</v>
      </c>
      <c r="D520" s="232"/>
      <c r="E520" s="16" t="s">
        <v>796</v>
      </c>
      <c r="F520" s="16"/>
      <c r="G520" s="16"/>
      <c r="H520" s="16" t="s">
        <v>216</v>
      </c>
      <c r="I520" s="19" t="s">
        <v>268</v>
      </c>
      <c r="J520" s="19" t="s">
        <v>1324</v>
      </c>
      <c r="K520" s="339">
        <f>52.44*5.71%</f>
        <v>2.9943239999999998</v>
      </c>
      <c r="L520" s="339">
        <v>2080</v>
      </c>
      <c r="M520" s="339"/>
      <c r="N520" s="339">
        <f t="shared" si="108"/>
        <v>6228.1939199999997</v>
      </c>
      <c r="O520" s="339"/>
      <c r="P520" s="339"/>
      <c r="Q520" s="339">
        <f t="shared" si="99"/>
        <v>2064.6462844799998</v>
      </c>
      <c r="R520" s="339">
        <f t="shared" si="109"/>
        <v>90.308811840000004</v>
      </c>
      <c r="S520" s="339"/>
      <c r="T520" s="339"/>
      <c r="U520" s="339"/>
      <c r="V520" s="339"/>
      <c r="W520" s="264">
        <f t="shared" si="110"/>
        <v>8383.1490163199978</v>
      </c>
      <c r="X520" s="339">
        <f t="shared" si="111"/>
        <v>0</v>
      </c>
      <c r="Y520" s="339"/>
      <c r="Z520" s="340">
        <f t="shared" si="112"/>
        <v>8383.1490163199978</v>
      </c>
      <c r="AA520" s="2">
        <f>[4]HR!$Z713-Z520</f>
        <v>124046.59060767999</v>
      </c>
    </row>
    <row r="521" spans="1:27" s="236" customFormat="1" ht="12.75" customHeight="1" x14ac:dyDescent="0.2">
      <c r="A521" s="16"/>
      <c r="B521" s="467">
        <v>0</v>
      </c>
      <c r="C521" s="16" t="s">
        <v>681</v>
      </c>
      <c r="D521" s="232"/>
      <c r="E521" s="16" t="s">
        <v>796</v>
      </c>
      <c r="F521" s="16"/>
      <c r="G521" s="16"/>
      <c r="H521" s="16" t="s">
        <v>216</v>
      </c>
      <c r="I521" s="19" t="s">
        <v>268</v>
      </c>
      <c r="J521" s="19" t="s">
        <v>1046</v>
      </c>
      <c r="K521" s="339">
        <f>52.44*5.71%</f>
        <v>2.9943239999999998</v>
      </c>
      <c r="L521" s="339">
        <v>2080</v>
      </c>
      <c r="M521" s="339"/>
      <c r="N521" s="339">
        <f t="shared" si="108"/>
        <v>6228.1939199999997</v>
      </c>
      <c r="O521" s="339"/>
      <c r="P521" s="339"/>
      <c r="Q521" s="339">
        <f t="shared" si="99"/>
        <v>2064.6462844799998</v>
      </c>
      <c r="R521" s="339">
        <f t="shared" si="109"/>
        <v>90.308811840000004</v>
      </c>
      <c r="S521" s="339"/>
      <c r="T521" s="339"/>
      <c r="U521" s="339"/>
      <c r="V521" s="339"/>
      <c r="W521" s="264">
        <f t="shared" si="110"/>
        <v>8383.1490163199978</v>
      </c>
      <c r="X521" s="339">
        <f t="shared" si="111"/>
        <v>0</v>
      </c>
      <c r="Y521" s="339"/>
      <c r="Z521" s="340">
        <f t="shared" si="112"/>
        <v>8383.1490163199978</v>
      </c>
      <c r="AA521" s="2">
        <f>[4]HR!$Z714-Z521</f>
        <v>-1413.1627203199978</v>
      </c>
    </row>
    <row r="522" spans="1:27" s="236" customFormat="1" ht="12.75" customHeight="1" x14ac:dyDescent="0.2">
      <c r="A522" s="16"/>
      <c r="B522" s="467">
        <v>0</v>
      </c>
      <c r="C522" s="16" t="s">
        <v>681</v>
      </c>
      <c r="D522" s="232"/>
      <c r="E522" s="16" t="s">
        <v>796</v>
      </c>
      <c r="F522" s="16"/>
      <c r="G522" s="16"/>
      <c r="H522" s="16" t="s">
        <v>216</v>
      </c>
      <c r="I522" s="19" t="s">
        <v>268</v>
      </c>
      <c r="J522" s="19" t="s">
        <v>1661</v>
      </c>
      <c r="K522" s="339">
        <f>52.44*5.74%</f>
        <v>3.0100560000000001</v>
      </c>
      <c r="L522" s="339">
        <v>2080</v>
      </c>
      <c r="M522" s="339"/>
      <c r="N522" s="339">
        <f t="shared" si="108"/>
        <v>6260.9164799999999</v>
      </c>
      <c r="O522" s="339"/>
      <c r="P522" s="339"/>
      <c r="Q522" s="339">
        <f t="shared" si="99"/>
        <v>2075.4938131200001</v>
      </c>
      <c r="R522" s="339">
        <f t="shared" si="109"/>
        <v>90.783288960000007</v>
      </c>
      <c r="S522" s="339"/>
      <c r="T522" s="339"/>
      <c r="U522" s="339"/>
      <c r="V522" s="339"/>
      <c r="W522" s="264">
        <f t="shared" si="110"/>
        <v>8427.193582079999</v>
      </c>
      <c r="X522" s="339">
        <f t="shared" si="111"/>
        <v>0</v>
      </c>
      <c r="Y522" s="339"/>
      <c r="Z522" s="340">
        <f t="shared" si="112"/>
        <v>8427.193582079999</v>
      </c>
      <c r="AA522" s="2"/>
    </row>
    <row r="523" spans="1:27" s="236" customFormat="1" ht="12.75" customHeight="1" x14ac:dyDescent="0.2">
      <c r="A523" s="16"/>
      <c r="B523" s="467">
        <v>0</v>
      </c>
      <c r="C523" s="16" t="s">
        <v>681</v>
      </c>
      <c r="D523" s="232"/>
      <c r="E523" s="16" t="s">
        <v>796</v>
      </c>
      <c r="F523" s="16"/>
      <c r="G523" s="16"/>
      <c r="H523" s="16" t="s">
        <v>216</v>
      </c>
      <c r="I523" s="19" t="s">
        <v>268</v>
      </c>
      <c r="J523" s="19" t="s">
        <v>941</v>
      </c>
      <c r="K523" s="339">
        <f>52.44*5.71%</f>
        <v>2.9943239999999998</v>
      </c>
      <c r="L523" s="339">
        <v>2080</v>
      </c>
      <c r="M523" s="339"/>
      <c r="N523" s="339">
        <f t="shared" si="108"/>
        <v>6228.1939199999997</v>
      </c>
      <c r="O523" s="339"/>
      <c r="P523" s="339"/>
      <c r="Q523" s="339">
        <f t="shared" si="99"/>
        <v>2064.6462844799998</v>
      </c>
      <c r="R523" s="339">
        <f t="shared" si="109"/>
        <v>90.308811840000004</v>
      </c>
      <c r="S523" s="339"/>
      <c r="T523" s="339"/>
      <c r="U523" s="339"/>
      <c r="V523" s="339"/>
      <c r="W523" s="264">
        <f t="shared" si="110"/>
        <v>8383.1490163199978</v>
      </c>
      <c r="X523" s="339">
        <f t="shared" si="111"/>
        <v>0</v>
      </c>
      <c r="Y523" s="339"/>
      <c r="Z523" s="340">
        <f t="shared" si="112"/>
        <v>8383.1490163199978</v>
      </c>
      <c r="AA523" s="2"/>
    </row>
    <row r="524" spans="1:27" s="236" customFormat="1" ht="12.75" customHeight="1" x14ac:dyDescent="0.2">
      <c r="A524" s="16"/>
      <c r="B524" s="467">
        <v>1</v>
      </c>
      <c r="C524" s="16" t="s">
        <v>691</v>
      </c>
      <c r="D524" s="232"/>
      <c r="E524" s="19" t="s">
        <v>767</v>
      </c>
      <c r="F524" s="19"/>
      <c r="G524" s="19"/>
      <c r="H524" s="16" t="s">
        <v>216</v>
      </c>
      <c r="I524" s="19" t="s">
        <v>268</v>
      </c>
      <c r="J524" s="19" t="s">
        <v>96</v>
      </c>
      <c r="K524" s="339">
        <f>33.09*90%</f>
        <v>29.781000000000002</v>
      </c>
      <c r="L524" s="339">
        <v>2080</v>
      </c>
      <c r="M524" s="339"/>
      <c r="N524" s="339">
        <f t="shared" si="108"/>
        <v>61944.480000000003</v>
      </c>
      <c r="O524" s="339"/>
      <c r="P524" s="339"/>
      <c r="Q524" s="339">
        <f t="shared" si="99"/>
        <v>20534.595120000002</v>
      </c>
      <c r="R524" s="339">
        <f t="shared" si="109"/>
        <v>898.19496000000004</v>
      </c>
      <c r="S524" s="339"/>
      <c r="T524" s="339">
        <v>0</v>
      </c>
      <c r="U524" s="339">
        <v>0</v>
      </c>
      <c r="V524" s="339"/>
      <c r="W524" s="264">
        <f t="shared" si="110"/>
        <v>83377.270080000002</v>
      </c>
      <c r="X524" s="339">
        <f t="shared" si="111"/>
        <v>0</v>
      </c>
      <c r="Y524" s="339"/>
      <c r="Z524" s="340">
        <f t="shared" si="112"/>
        <v>83377.270080000002</v>
      </c>
      <c r="AA524" s="2">
        <f>[4]HR!$Z717-Z524</f>
        <v>-56777.728799999997</v>
      </c>
    </row>
    <row r="525" spans="1:27" ht="12.75" customHeight="1" x14ac:dyDescent="0.2">
      <c r="A525" s="16"/>
      <c r="B525" s="467">
        <v>0</v>
      </c>
      <c r="C525" s="16" t="s">
        <v>691</v>
      </c>
      <c r="D525" s="232"/>
      <c r="E525" s="19" t="s">
        <v>767</v>
      </c>
      <c r="F525" s="19"/>
      <c r="G525" s="19"/>
      <c r="H525" s="16" t="s">
        <v>216</v>
      </c>
      <c r="I525" s="19" t="s">
        <v>268</v>
      </c>
      <c r="J525" s="16" t="s">
        <v>491</v>
      </c>
      <c r="K525" s="339">
        <f>33.09*10%</f>
        <v>3.3090000000000006</v>
      </c>
      <c r="L525" s="339">
        <v>2080</v>
      </c>
      <c r="M525" s="339"/>
      <c r="N525" s="339">
        <f t="shared" si="108"/>
        <v>6882.7200000000012</v>
      </c>
      <c r="O525" s="339"/>
      <c r="P525" s="339"/>
      <c r="Q525" s="339">
        <f t="shared" si="99"/>
        <v>2281.6216800000007</v>
      </c>
      <c r="R525" s="339">
        <f t="shared" si="109"/>
        <v>99.799440000000018</v>
      </c>
      <c r="S525" s="339"/>
      <c r="T525" s="339"/>
      <c r="U525" s="339"/>
      <c r="V525" s="339"/>
      <c r="W525" s="264">
        <f t="shared" si="110"/>
        <v>9264.141120000002</v>
      </c>
      <c r="X525" s="339"/>
      <c r="Y525" s="339"/>
      <c r="Z525" s="340">
        <f t="shared" si="112"/>
        <v>9264.141120000002</v>
      </c>
      <c r="AA525" s="2">
        <f>[4]HR!$Z718-Z525</f>
        <v>1375.6753919999992</v>
      </c>
    </row>
    <row r="526" spans="1:27" s="236" customFormat="1" ht="12.75" customHeight="1" x14ac:dyDescent="0.2">
      <c r="A526" s="16"/>
      <c r="B526" s="467">
        <v>1</v>
      </c>
      <c r="C526" s="16" t="s">
        <v>686</v>
      </c>
      <c r="D526" s="232"/>
      <c r="E526" s="16" t="s">
        <v>773</v>
      </c>
      <c r="F526" s="16"/>
      <c r="G526" s="16"/>
      <c r="H526" s="16" t="s">
        <v>216</v>
      </c>
      <c r="I526" s="19" t="s">
        <v>268</v>
      </c>
      <c r="J526" s="19" t="s">
        <v>96</v>
      </c>
      <c r="K526" s="339">
        <f>50.69*90%</f>
        <v>45.621000000000002</v>
      </c>
      <c r="L526" s="339">
        <v>2080</v>
      </c>
      <c r="M526" s="339"/>
      <c r="N526" s="339">
        <f t="shared" si="108"/>
        <v>94891.680000000008</v>
      </c>
      <c r="O526" s="339"/>
      <c r="P526" s="339"/>
      <c r="Q526" s="339">
        <f t="shared" si="99"/>
        <v>31456.591920000003</v>
      </c>
      <c r="R526" s="339">
        <f t="shared" si="109"/>
        <v>1375.9293600000001</v>
      </c>
      <c r="S526" s="339"/>
      <c r="T526" s="339">
        <v>0</v>
      </c>
      <c r="U526" s="339">
        <v>0</v>
      </c>
      <c r="V526" s="339"/>
      <c r="W526" s="264">
        <f t="shared" si="110"/>
        <v>127724.20128000001</v>
      </c>
      <c r="X526" s="339">
        <f t="shared" ref="X526:X570" si="113">IF(Q526&lt;&gt;"",W526*$X$25,0)</f>
        <v>0</v>
      </c>
      <c r="Y526" s="339"/>
      <c r="Z526" s="340">
        <f t="shared" si="112"/>
        <v>127724.20128000001</v>
      </c>
      <c r="AA526" s="2">
        <f>[4]HR!$Z719-Z526</f>
        <v>-95804.751744000008</v>
      </c>
    </row>
    <row r="527" spans="1:27" s="236" customFormat="1" ht="12.75" customHeight="1" x14ac:dyDescent="0.2">
      <c r="A527" s="16"/>
      <c r="B527" s="467">
        <v>0</v>
      </c>
      <c r="C527" s="16" t="s">
        <v>686</v>
      </c>
      <c r="D527" s="232"/>
      <c r="E527" s="16" t="s">
        <v>773</v>
      </c>
      <c r="F527" s="16"/>
      <c r="G527" s="16"/>
      <c r="H527" s="16" t="s">
        <v>216</v>
      </c>
      <c r="I527" s="19" t="s">
        <v>268</v>
      </c>
      <c r="J527" s="16" t="s">
        <v>491</v>
      </c>
      <c r="K527" s="339">
        <f>50.69*10%</f>
        <v>5.069</v>
      </c>
      <c r="L527" s="339">
        <v>2080</v>
      </c>
      <c r="M527" s="339"/>
      <c r="N527" s="339">
        <f t="shared" si="108"/>
        <v>10543.52</v>
      </c>
      <c r="O527" s="339"/>
      <c r="P527" s="339"/>
      <c r="Q527" s="339">
        <f t="shared" si="99"/>
        <v>3495.1768800000004</v>
      </c>
      <c r="R527" s="339">
        <f t="shared" si="109"/>
        <v>152.88104000000001</v>
      </c>
      <c r="S527" s="339"/>
      <c r="T527" s="339">
        <v>0</v>
      </c>
      <c r="U527" s="339">
        <v>0</v>
      </c>
      <c r="V527" s="339"/>
      <c r="W527" s="264">
        <f t="shared" si="110"/>
        <v>14191.577920000002</v>
      </c>
      <c r="X527" s="339">
        <f t="shared" si="113"/>
        <v>0</v>
      </c>
      <c r="Y527" s="339"/>
      <c r="Z527" s="340">
        <f t="shared" si="112"/>
        <v>14191.577920000002</v>
      </c>
      <c r="AA527" s="2">
        <f>[4]HR!$Z720-Z527</f>
        <v>-6211.7155360000006</v>
      </c>
    </row>
    <row r="528" spans="1:27" s="236" customFormat="1" ht="12.75" customHeight="1" x14ac:dyDescent="0.2">
      <c r="A528" s="16"/>
      <c r="B528" s="467">
        <v>1</v>
      </c>
      <c r="C528" s="19" t="s">
        <v>682</v>
      </c>
      <c r="D528" s="343"/>
      <c r="E528" s="16" t="s">
        <v>769</v>
      </c>
      <c r="F528" s="19"/>
      <c r="G528" s="19"/>
      <c r="H528" s="16" t="s">
        <v>216</v>
      </c>
      <c r="I528" s="19" t="s">
        <v>268</v>
      </c>
      <c r="J528" s="19" t="s">
        <v>973</v>
      </c>
      <c r="K528" s="339">
        <f>35.35*14.25%</f>
        <v>5.0373749999999999</v>
      </c>
      <c r="L528" s="339">
        <v>2080</v>
      </c>
      <c r="M528" s="339"/>
      <c r="N528" s="339">
        <f t="shared" si="108"/>
        <v>10477.74</v>
      </c>
      <c r="O528" s="339"/>
      <c r="P528" s="339"/>
      <c r="Q528" s="339">
        <f t="shared" si="99"/>
        <v>3473.3708099999999</v>
      </c>
      <c r="R528" s="339">
        <f t="shared" si="109"/>
        <v>151.92723000000001</v>
      </c>
      <c r="S528" s="339"/>
      <c r="T528" s="339"/>
      <c r="U528" s="339"/>
      <c r="V528" s="339"/>
      <c r="W528" s="264">
        <f t="shared" si="110"/>
        <v>14103.038039999999</v>
      </c>
      <c r="X528" s="339">
        <f t="shared" si="113"/>
        <v>0</v>
      </c>
      <c r="Y528" s="339"/>
      <c r="Z528" s="340">
        <f t="shared" si="112"/>
        <v>14103.038039999999</v>
      </c>
      <c r="AA528" s="2">
        <f>[4]HR!$Z721-Z528</f>
        <v>-3463.2215279999982</v>
      </c>
    </row>
    <row r="529" spans="1:27" s="236" customFormat="1" ht="12.75" customHeight="1" x14ac:dyDescent="0.2">
      <c r="A529" s="16"/>
      <c r="B529" s="467">
        <v>0</v>
      </c>
      <c r="C529" s="19" t="s">
        <v>682</v>
      </c>
      <c r="D529" s="343"/>
      <c r="E529" s="16" t="s">
        <v>769</v>
      </c>
      <c r="F529" s="19"/>
      <c r="G529" s="19"/>
      <c r="H529" s="16" t="s">
        <v>216</v>
      </c>
      <c r="I529" s="19" t="s">
        <v>268</v>
      </c>
      <c r="J529" s="19" t="s">
        <v>1324</v>
      </c>
      <c r="K529" s="339">
        <f>35.35*14.25%</f>
        <v>5.0373749999999999</v>
      </c>
      <c r="L529" s="339">
        <v>2080</v>
      </c>
      <c r="M529" s="339"/>
      <c r="N529" s="339">
        <f t="shared" si="108"/>
        <v>10477.74</v>
      </c>
      <c r="O529" s="339"/>
      <c r="P529" s="339"/>
      <c r="Q529" s="339">
        <f t="shared" si="99"/>
        <v>3473.3708099999999</v>
      </c>
      <c r="R529" s="339">
        <f t="shared" si="109"/>
        <v>151.92723000000001</v>
      </c>
      <c r="S529" s="339"/>
      <c r="T529" s="339"/>
      <c r="U529" s="339"/>
      <c r="V529" s="339"/>
      <c r="W529" s="264">
        <f t="shared" si="110"/>
        <v>14103.038039999999</v>
      </c>
      <c r="X529" s="339">
        <f t="shared" si="113"/>
        <v>0</v>
      </c>
      <c r="Y529" s="339"/>
      <c r="Z529" s="340">
        <f t="shared" si="112"/>
        <v>14103.038039999999</v>
      </c>
      <c r="AA529" s="2">
        <f>[4]HR!$Z722-Z529</f>
        <v>29779.892350300004</v>
      </c>
    </row>
    <row r="530" spans="1:27" s="236" customFormat="1" ht="12.75" customHeight="1" x14ac:dyDescent="0.2">
      <c r="A530" s="16"/>
      <c r="B530" s="467">
        <v>0</v>
      </c>
      <c r="C530" s="19" t="s">
        <v>682</v>
      </c>
      <c r="D530" s="343"/>
      <c r="E530" s="16" t="s">
        <v>769</v>
      </c>
      <c r="F530" s="19"/>
      <c r="G530" s="19"/>
      <c r="H530" s="16" t="s">
        <v>216</v>
      </c>
      <c r="I530" s="19" t="s">
        <v>268</v>
      </c>
      <c r="J530" s="19" t="s">
        <v>1023</v>
      </c>
      <c r="K530" s="339">
        <f>35.35*14.5%</f>
        <v>5.12575</v>
      </c>
      <c r="L530" s="339">
        <v>2080</v>
      </c>
      <c r="M530" s="339"/>
      <c r="N530" s="339">
        <f t="shared" si="108"/>
        <v>10661.56</v>
      </c>
      <c r="O530" s="339"/>
      <c r="P530" s="339"/>
      <c r="Q530" s="339">
        <f t="shared" si="99"/>
        <v>3534.3071399999999</v>
      </c>
      <c r="R530" s="339">
        <f t="shared" si="109"/>
        <v>154.59262000000001</v>
      </c>
      <c r="S530" s="339"/>
      <c r="T530" s="339"/>
      <c r="U530" s="339"/>
      <c r="V530" s="339"/>
      <c r="W530" s="264">
        <f t="shared" si="110"/>
        <v>14350.459759999998</v>
      </c>
      <c r="X530" s="339">
        <f t="shared" si="113"/>
        <v>0</v>
      </c>
      <c r="Y530" s="339"/>
      <c r="Z530" s="340">
        <f t="shared" si="112"/>
        <v>14350.459759999998</v>
      </c>
      <c r="AA530" s="2">
        <f>[4]HR!$Z723-Z530</f>
        <v>67165.530559999999</v>
      </c>
    </row>
    <row r="531" spans="1:27" s="236" customFormat="1" ht="12.75" customHeight="1" x14ac:dyDescent="0.2">
      <c r="A531" s="16"/>
      <c r="B531" s="467">
        <v>0</v>
      </c>
      <c r="C531" s="19" t="s">
        <v>682</v>
      </c>
      <c r="D531" s="343"/>
      <c r="E531" s="16" t="s">
        <v>769</v>
      </c>
      <c r="F531" s="19"/>
      <c r="G531" s="19"/>
      <c r="H531" s="16" t="s">
        <v>216</v>
      </c>
      <c r="I531" s="19" t="s">
        <v>268</v>
      </c>
      <c r="J531" s="19" t="s">
        <v>1661</v>
      </c>
      <c r="K531" s="339">
        <f>35.35*14.5%</f>
        <v>5.12575</v>
      </c>
      <c r="L531" s="339">
        <v>2080</v>
      </c>
      <c r="M531" s="339"/>
      <c r="N531" s="339">
        <f t="shared" si="108"/>
        <v>10661.56</v>
      </c>
      <c r="O531" s="339"/>
      <c r="P531" s="339"/>
      <c r="Q531" s="339">
        <f t="shared" si="99"/>
        <v>3534.3071399999999</v>
      </c>
      <c r="R531" s="339">
        <f t="shared" si="109"/>
        <v>154.59262000000001</v>
      </c>
      <c r="S531" s="339"/>
      <c r="T531" s="339"/>
      <c r="U531" s="339"/>
      <c r="V531" s="339"/>
      <c r="W531" s="264">
        <f t="shared" si="110"/>
        <v>14350.459759999998</v>
      </c>
      <c r="X531" s="339">
        <f t="shared" si="113"/>
        <v>0</v>
      </c>
      <c r="Y531" s="339"/>
      <c r="Z531" s="340">
        <f t="shared" si="112"/>
        <v>14350.459759999998</v>
      </c>
      <c r="AA531" s="2">
        <f>[4]HR!$Z724-Z531</f>
        <v>-6234.6252799999966</v>
      </c>
    </row>
    <row r="532" spans="1:27" s="236" customFormat="1" ht="12.75" customHeight="1" x14ac:dyDescent="0.2">
      <c r="A532" s="16"/>
      <c r="B532" s="467">
        <v>0</v>
      </c>
      <c r="C532" s="19" t="s">
        <v>682</v>
      </c>
      <c r="D532" s="343"/>
      <c r="E532" s="16" t="s">
        <v>769</v>
      </c>
      <c r="F532" s="19"/>
      <c r="G532" s="19"/>
      <c r="H532" s="16" t="s">
        <v>216</v>
      </c>
      <c r="I532" s="19" t="s">
        <v>268</v>
      </c>
      <c r="J532" s="19" t="s">
        <v>941</v>
      </c>
      <c r="K532" s="339">
        <f>35.35*14.25%</f>
        <v>5.0373749999999999</v>
      </c>
      <c r="L532" s="339">
        <v>2080</v>
      </c>
      <c r="M532" s="339"/>
      <c r="N532" s="339">
        <f t="shared" si="108"/>
        <v>10477.74</v>
      </c>
      <c r="O532" s="339"/>
      <c r="P532" s="339"/>
      <c r="Q532" s="339">
        <f t="shared" si="99"/>
        <v>3473.3708099999999</v>
      </c>
      <c r="R532" s="339">
        <f t="shared" si="109"/>
        <v>151.92723000000001</v>
      </c>
      <c r="S532" s="339"/>
      <c r="T532" s="339"/>
      <c r="U532" s="339"/>
      <c r="V532" s="339"/>
      <c r="W532" s="264">
        <f t="shared" si="110"/>
        <v>14103.038039999999</v>
      </c>
      <c r="X532" s="339">
        <f t="shared" si="113"/>
        <v>0</v>
      </c>
      <c r="Y532" s="339"/>
      <c r="Z532" s="340">
        <f t="shared" si="112"/>
        <v>14103.038039999999</v>
      </c>
      <c r="AA532" s="2">
        <f>[4]HR!$Z725-Z532</f>
        <v>559.29689200000212</v>
      </c>
    </row>
    <row r="533" spans="1:27" s="236" customFormat="1" ht="12.75" customHeight="1" x14ac:dyDescent="0.2">
      <c r="A533" s="16"/>
      <c r="B533" s="467">
        <v>0</v>
      </c>
      <c r="C533" s="19" t="s">
        <v>682</v>
      </c>
      <c r="D533" s="343"/>
      <c r="E533" s="16" t="s">
        <v>769</v>
      </c>
      <c r="F533" s="19"/>
      <c r="G533" s="19"/>
      <c r="H533" s="16" t="s">
        <v>216</v>
      </c>
      <c r="I533" s="19" t="s">
        <v>268</v>
      </c>
      <c r="J533" s="19" t="s">
        <v>933</v>
      </c>
      <c r="K533" s="339">
        <f>35.35*14.25%</f>
        <v>5.0373749999999999</v>
      </c>
      <c r="L533" s="339">
        <v>2080</v>
      </c>
      <c r="M533" s="339"/>
      <c r="N533" s="339">
        <f t="shared" si="108"/>
        <v>10477.74</v>
      </c>
      <c r="O533" s="339"/>
      <c r="P533" s="339"/>
      <c r="Q533" s="339">
        <f t="shared" si="99"/>
        <v>3473.3708099999999</v>
      </c>
      <c r="R533" s="339">
        <f t="shared" si="109"/>
        <v>151.92723000000001</v>
      </c>
      <c r="S533" s="339"/>
      <c r="T533" s="339"/>
      <c r="U533" s="339"/>
      <c r="V533" s="339"/>
      <c r="W533" s="264">
        <f t="shared" si="110"/>
        <v>14103.038039999999</v>
      </c>
      <c r="X533" s="339">
        <f t="shared" si="113"/>
        <v>0</v>
      </c>
      <c r="Y533" s="339"/>
      <c r="Z533" s="340">
        <f t="shared" si="112"/>
        <v>14103.038039999999</v>
      </c>
      <c r="AA533" s="2">
        <f>[4]HR!$Z726-Z533</f>
        <v>-5851.2314639999986</v>
      </c>
    </row>
    <row r="534" spans="1:27" ht="12.75" customHeight="1" x14ac:dyDescent="0.2">
      <c r="A534" s="16"/>
      <c r="B534" s="467">
        <v>0</v>
      </c>
      <c r="C534" s="19" t="s">
        <v>682</v>
      </c>
      <c r="D534" s="343"/>
      <c r="E534" s="16" t="s">
        <v>769</v>
      </c>
      <c r="F534" s="19"/>
      <c r="G534" s="19"/>
      <c r="H534" s="16" t="s">
        <v>216</v>
      </c>
      <c r="I534" s="19" t="s">
        <v>268</v>
      </c>
      <c r="J534" s="19" t="s">
        <v>1046</v>
      </c>
      <c r="K534" s="339">
        <f>35.35*14%</f>
        <v>4.9490000000000007</v>
      </c>
      <c r="L534" s="339">
        <v>2080</v>
      </c>
      <c r="M534" s="339"/>
      <c r="N534" s="339">
        <f t="shared" si="108"/>
        <v>10293.920000000002</v>
      </c>
      <c r="O534" s="339"/>
      <c r="P534" s="339"/>
      <c r="Q534" s="339">
        <f t="shared" ref="Q534:Q570" si="114">N534*0.3315</f>
        <v>3412.4344800000008</v>
      </c>
      <c r="R534" s="339">
        <f t="shared" si="109"/>
        <v>149.26184000000003</v>
      </c>
      <c r="S534" s="339"/>
      <c r="T534" s="339"/>
      <c r="U534" s="339"/>
      <c r="V534" s="339"/>
      <c r="W534" s="264">
        <f t="shared" si="110"/>
        <v>13855.616320000001</v>
      </c>
      <c r="X534" s="339">
        <f t="shared" si="113"/>
        <v>0</v>
      </c>
      <c r="Y534" s="339"/>
      <c r="Z534" s="340">
        <f t="shared" si="112"/>
        <v>13855.616320000001</v>
      </c>
      <c r="AA534" s="2">
        <f>[4]HR!$Z727-Z534</f>
        <v>6773.9001200000021</v>
      </c>
    </row>
    <row r="535" spans="1:27" s="236" customFormat="1" ht="12.75" customHeight="1" x14ac:dyDescent="0.2">
      <c r="A535" s="16"/>
      <c r="B535" s="467">
        <v>0</v>
      </c>
      <c r="C535" s="19" t="s">
        <v>682</v>
      </c>
      <c r="D535" s="343"/>
      <c r="E535" s="16" t="s">
        <v>769</v>
      </c>
      <c r="F535" s="19"/>
      <c r="G535" s="19"/>
      <c r="H535" s="16" t="s">
        <v>216</v>
      </c>
      <c r="I535" s="19" t="s">
        <v>268</v>
      </c>
      <c r="J535" s="19" t="s">
        <v>1019</v>
      </c>
      <c r="K535" s="339"/>
      <c r="L535" s="339"/>
      <c r="M535" s="339"/>
      <c r="N535" s="339">
        <f t="shared" si="108"/>
        <v>0</v>
      </c>
      <c r="O535" s="339"/>
      <c r="P535" s="339"/>
      <c r="Q535" s="339">
        <f t="shared" ref="Q535" si="115">N535*0.3315</f>
        <v>0</v>
      </c>
      <c r="R535" s="339">
        <f t="shared" ref="R535" si="116">N535*0.0145</f>
        <v>0</v>
      </c>
      <c r="S535" s="339"/>
      <c r="T535" s="339">
        <v>8487.84</v>
      </c>
      <c r="U535" s="339">
        <v>323.04000000000002</v>
      </c>
      <c r="V535" s="339"/>
      <c r="W535" s="264">
        <f t="shared" si="110"/>
        <v>8810.880000000001</v>
      </c>
      <c r="X535" s="339"/>
      <c r="Y535" s="339"/>
      <c r="Z535" s="340">
        <f t="shared" si="112"/>
        <v>8810.880000000001</v>
      </c>
      <c r="AA535" s="2"/>
    </row>
    <row r="536" spans="1:27" s="236" customFormat="1" ht="12.75" customHeight="1" x14ac:dyDescent="0.2">
      <c r="A536" s="16"/>
      <c r="B536" s="467">
        <v>1</v>
      </c>
      <c r="C536" s="16" t="s">
        <v>576</v>
      </c>
      <c r="D536" s="232" t="s">
        <v>723</v>
      </c>
      <c r="E536" s="16" t="s">
        <v>778</v>
      </c>
      <c r="F536" s="16"/>
      <c r="G536" s="16"/>
      <c r="H536" s="16" t="s">
        <v>216</v>
      </c>
      <c r="I536" s="396" t="s">
        <v>268</v>
      </c>
      <c r="J536" s="19" t="s">
        <v>96</v>
      </c>
      <c r="K536" s="339">
        <f>54.19*50%</f>
        <v>27.094999999999999</v>
      </c>
      <c r="L536" s="339">
        <v>2080</v>
      </c>
      <c r="M536" s="339"/>
      <c r="N536" s="339">
        <f t="shared" si="108"/>
        <v>56357.599999999999</v>
      </c>
      <c r="O536" s="339"/>
      <c r="P536" s="339"/>
      <c r="Q536" s="339">
        <f t="shared" si="114"/>
        <v>18682.544399999999</v>
      </c>
      <c r="R536" s="339">
        <f t="shared" si="109"/>
        <v>817.18520000000001</v>
      </c>
      <c r="S536" s="339"/>
      <c r="T536" s="339"/>
      <c r="U536" s="339">
        <v>0</v>
      </c>
      <c r="V536" s="339"/>
      <c r="W536" s="264">
        <f t="shared" si="110"/>
        <v>75857.329599999997</v>
      </c>
      <c r="X536" s="339">
        <f t="shared" si="113"/>
        <v>0</v>
      </c>
      <c r="Y536" s="339"/>
      <c r="Z536" s="340">
        <f t="shared" si="112"/>
        <v>75857.329599999997</v>
      </c>
      <c r="AA536" s="2">
        <f>[4]HR!$Z529-Z536</f>
        <v>-37983.435360000003</v>
      </c>
    </row>
    <row r="537" spans="1:27" s="236" customFormat="1" ht="12.75" customHeight="1" x14ac:dyDescent="0.2">
      <c r="A537" s="16"/>
      <c r="B537" s="467">
        <v>0</v>
      </c>
      <c r="C537" s="16" t="s">
        <v>576</v>
      </c>
      <c r="D537" s="232"/>
      <c r="E537" s="16" t="s">
        <v>778</v>
      </c>
      <c r="F537" s="16"/>
      <c r="G537" s="16"/>
      <c r="H537" s="16" t="s">
        <v>216</v>
      </c>
      <c r="I537" s="396" t="s">
        <v>268</v>
      </c>
      <c r="J537" s="396" t="s">
        <v>1019</v>
      </c>
      <c r="K537" s="339"/>
      <c r="L537" s="339"/>
      <c r="M537" s="339"/>
      <c r="N537" s="339">
        <f t="shared" si="108"/>
        <v>0</v>
      </c>
      <c r="O537" s="339"/>
      <c r="P537" s="339"/>
      <c r="Q537" s="339">
        <f t="shared" ref="Q537" si="117">N537*0.3315</f>
        <v>0</v>
      </c>
      <c r="R537" s="339">
        <f t="shared" ref="R537" si="118">N537*0.0145</f>
        <v>0</v>
      </c>
      <c r="S537" s="339"/>
      <c r="T537" s="339">
        <v>8487.84</v>
      </c>
      <c r="U537" s="339"/>
      <c r="V537" s="339"/>
      <c r="W537" s="264">
        <f t="shared" si="110"/>
        <v>8487.84</v>
      </c>
      <c r="X537" s="339"/>
      <c r="Y537" s="339"/>
      <c r="Z537" s="340">
        <f t="shared" si="112"/>
        <v>8487.84</v>
      </c>
      <c r="AA537" s="2"/>
    </row>
    <row r="538" spans="1:27" s="236" customFormat="1" ht="12.75" customHeight="1" x14ac:dyDescent="0.2">
      <c r="A538" s="16"/>
      <c r="B538" s="467">
        <v>0</v>
      </c>
      <c r="C538" s="16" t="s">
        <v>576</v>
      </c>
      <c r="D538" s="232"/>
      <c r="E538" s="16" t="s">
        <v>778</v>
      </c>
      <c r="F538" s="16"/>
      <c r="G538" s="16"/>
      <c r="H538" s="16" t="s">
        <v>216</v>
      </c>
      <c r="I538" s="396" t="s">
        <v>268</v>
      </c>
      <c r="J538" s="396" t="s">
        <v>99</v>
      </c>
      <c r="K538" s="339">
        <f>54.19*50%</f>
        <v>27.094999999999999</v>
      </c>
      <c r="L538" s="339">
        <v>2080</v>
      </c>
      <c r="M538" s="339"/>
      <c r="N538" s="339">
        <f t="shared" si="108"/>
        <v>56357.599999999999</v>
      </c>
      <c r="O538" s="339"/>
      <c r="P538" s="339"/>
      <c r="Q538" s="339">
        <f t="shared" si="114"/>
        <v>18682.544399999999</v>
      </c>
      <c r="R538" s="339">
        <f t="shared" si="109"/>
        <v>817.18520000000001</v>
      </c>
      <c r="S538" s="339"/>
      <c r="T538" s="339"/>
      <c r="U538" s="339"/>
      <c r="V538" s="339"/>
      <c r="W538" s="264">
        <f t="shared" si="110"/>
        <v>75857.329599999997</v>
      </c>
      <c r="X538" s="339"/>
      <c r="Y538" s="339"/>
      <c r="Z538" s="340">
        <f t="shared" si="112"/>
        <v>75857.329599999997</v>
      </c>
      <c r="AA538" s="2"/>
    </row>
    <row r="539" spans="1:27" s="236" customFormat="1" ht="12.75" customHeight="1" x14ac:dyDescent="0.2">
      <c r="A539" s="16"/>
      <c r="B539" s="467">
        <v>1</v>
      </c>
      <c r="C539" s="16" t="s">
        <v>599</v>
      </c>
      <c r="D539" s="232"/>
      <c r="E539" s="16" t="s">
        <v>770</v>
      </c>
      <c r="F539" s="16"/>
      <c r="G539" s="19"/>
      <c r="H539" s="16" t="s">
        <v>216</v>
      </c>
      <c r="I539" s="19" t="s">
        <v>267</v>
      </c>
      <c r="J539" s="19" t="s">
        <v>103</v>
      </c>
      <c r="K539" s="339">
        <f>28.6*80%</f>
        <v>22.880000000000003</v>
      </c>
      <c r="L539" s="339">
        <v>2080</v>
      </c>
      <c r="M539" s="339"/>
      <c r="N539" s="339">
        <f t="shared" si="108"/>
        <v>47590.400000000009</v>
      </c>
      <c r="O539" s="339"/>
      <c r="P539" s="339"/>
      <c r="Q539" s="339">
        <f t="shared" si="114"/>
        <v>15776.217600000004</v>
      </c>
      <c r="R539" s="339">
        <f t="shared" si="109"/>
        <v>690.0608000000002</v>
      </c>
      <c r="S539" s="339"/>
      <c r="T539" s="339">
        <v>8367.84</v>
      </c>
      <c r="U539" s="339">
        <v>323.04000000000002</v>
      </c>
      <c r="V539" s="339"/>
      <c r="W539" s="264">
        <f t="shared" si="110"/>
        <v>72747.558400000009</v>
      </c>
      <c r="X539" s="339">
        <f t="shared" si="113"/>
        <v>0</v>
      </c>
      <c r="Y539" s="339"/>
      <c r="Z539" s="340">
        <f t="shared" si="112"/>
        <v>72747.558400000009</v>
      </c>
      <c r="AA539" s="2">
        <f>[4]HR!$Z739-Z539</f>
        <v>-49947.824707200009</v>
      </c>
    </row>
    <row r="540" spans="1:27" s="236" customFormat="1" ht="12.75" customHeight="1" x14ac:dyDescent="0.2">
      <c r="A540" s="16"/>
      <c r="B540" s="467">
        <v>0</v>
      </c>
      <c r="C540" s="16" t="s">
        <v>599</v>
      </c>
      <c r="D540" s="232"/>
      <c r="E540" s="16" t="s">
        <v>770</v>
      </c>
      <c r="F540" s="16"/>
      <c r="G540" s="19"/>
      <c r="H540" s="16" t="s">
        <v>216</v>
      </c>
      <c r="I540" s="19" t="s">
        <v>267</v>
      </c>
      <c r="J540" s="19" t="s">
        <v>1474</v>
      </c>
      <c r="K540" s="339">
        <f>28.6*20%</f>
        <v>5.7200000000000006</v>
      </c>
      <c r="L540" s="339">
        <v>2080</v>
      </c>
      <c r="M540" s="339"/>
      <c r="N540" s="339">
        <f t="shared" si="108"/>
        <v>11897.600000000002</v>
      </c>
      <c r="O540" s="339"/>
      <c r="P540" s="339"/>
      <c r="Q540" s="339">
        <f t="shared" si="114"/>
        <v>3944.0544000000009</v>
      </c>
      <c r="R540" s="339">
        <f t="shared" si="109"/>
        <v>172.51520000000005</v>
      </c>
      <c r="S540" s="339"/>
      <c r="T540" s="339"/>
      <c r="U540" s="339"/>
      <c r="V540" s="339"/>
      <c r="W540" s="264">
        <f t="shared" si="110"/>
        <v>16014.169600000003</v>
      </c>
      <c r="X540" s="339">
        <f t="shared" si="113"/>
        <v>0</v>
      </c>
      <c r="Y540" s="339"/>
      <c r="Z540" s="340">
        <f t="shared" si="112"/>
        <v>16014.169600000003</v>
      </c>
      <c r="AA540" s="2">
        <f>[4]HR!$Z740-Z540</f>
        <v>70554.731520000001</v>
      </c>
    </row>
    <row r="541" spans="1:27" s="236" customFormat="1" ht="12.75" customHeight="1" x14ac:dyDescent="0.2">
      <c r="A541" s="16"/>
      <c r="B541" s="467">
        <v>1</v>
      </c>
      <c r="C541" s="16" t="s">
        <v>600</v>
      </c>
      <c r="D541" s="232"/>
      <c r="E541" s="16" t="s">
        <v>767</v>
      </c>
      <c r="F541" s="16"/>
      <c r="G541" s="19"/>
      <c r="H541" s="16" t="s">
        <v>216</v>
      </c>
      <c r="I541" s="19" t="s">
        <v>267</v>
      </c>
      <c r="J541" s="19" t="s">
        <v>983</v>
      </c>
      <c r="K541" s="339">
        <v>34.17</v>
      </c>
      <c r="L541" s="339">
        <v>2080</v>
      </c>
      <c r="M541" s="339"/>
      <c r="N541" s="339">
        <f t="shared" si="108"/>
        <v>71073.600000000006</v>
      </c>
      <c r="O541" s="339"/>
      <c r="P541" s="339"/>
      <c r="Q541" s="339">
        <f t="shared" si="114"/>
        <v>23560.898400000002</v>
      </c>
      <c r="R541" s="339">
        <f t="shared" si="109"/>
        <v>1030.5672000000002</v>
      </c>
      <c r="S541" s="339"/>
      <c r="T541" s="339">
        <v>8367.84</v>
      </c>
      <c r="U541" s="339">
        <v>935.28</v>
      </c>
      <c r="V541" s="339"/>
      <c r="W541" s="264">
        <f t="shared" si="110"/>
        <v>104968.18560000001</v>
      </c>
      <c r="X541" s="339">
        <f t="shared" si="113"/>
        <v>0</v>
      </c>
      <c r="Y541" s="339"/>
      <c r="Z541" s="340">
        <f t="shared" si="112"/>
        <v>104968.18560000001</v>
      </c>
      <c r="AA541" s="2">
        <f>[4]HR!$Z741-Z541</f>
        <v>-74529.870320000016</v>
      </c>
    </row>
    <row r="542" spans="1:27" s="236" customFormat="1" ht="12.75" customHeight="1" x14ac:dyDescent="0.2">
      <c r="A542" s="16"/>
      <c r="B542" s="467">
        <v>1</v>
      </c>
      <c r="C542" s="16" t="s">
        <v>602</v>
      </c>
      <c r="D542" s="232"/>
      <c r="E542" s="16" t="s">
        <v>772</v>
      </c>
      <c r="F542" s="16"/>
      <c r="G542" s="19"/>
      <c r="H542" s="16" t="s">
        <v>216</v>
      </c>
      <c r="I542" s="19" t="s">
        <v>267</v>
      </c>
      <c r="J542" s="19" t="s">
        <v>103</v>
      </c>
      <c r="K542" s="339">
        <f>39.35*80%</f>
        <v>31.480000000000004</v>
      </c>
      <c r="L542" s="339">
        <v>2080</v>
      </c>
      <c r="M542" s="339"/>
      <c r="N542" s="339">
        <f t="shared" si="108"/>
        <v>65478.400000000009</v>
      </c>
      <c r="O542" s="339"/>
      <c r="P542" s="339"/>
      <c r="Q542" s="339">
        <f t="shared" si="114"/>
        <v>21706.089600000003</v>
      </c>
      <c r="R542" s="339">
        <f t="shared" si="109"/>
        <v>949.43680000000018</v>
      </c>
      <c r="S542" s="339"/>
      <c r="T542" s="339"/>
      <c r="U542" s="339"/>
      <c r="V542" s="339"/>
      <c r="W542" s="264">
        <f t="shared" si="110"/>
        <v>88133.926400000011</v>
      </c>
      <c r="X542" s="339">
        <f t="shared" si="113"/>
        <v>0</v>
      </c>
      <c r="Y542" s="339"/>
      <c r="Z542" s="340">
        <f t="shared" si="112"/>
        <v>88133.926400000011</v>
      </c>
      <c r="AA542" s="2">
        <f>[4]HR!$Z746-Z542</f>
        <v>-76573.465488000016</v>
      </c>
    </row>
    <row r="543" spans="1:27" s="236" customFormat="1" ht="12.75" customHeight="1" x14ac:dyDescent="0.2">
      <c r="A543" s="16"/>
      <c r="B543" s="467">
        <v>0</v>
      </c>
      <c r="C543" s="16" t="s">
        <v>602</v>
      </c>
      <c r="D543" s="232"/>
      <c r="E543" s="16" t="s">
        <v>772</v>
      </c>
      <c r="F543" s="16"/>
      <c r="G543" s="19"/>
      <c r="H543" s="16" t="s">
        <v>216</v>
      </c>
      <c r="I543" s="19" t="s">
        <v>267</v>
      </c>
      <c r="J543" s="19" t="s">
        <v>1474</v>
      </c>
      <c r="K543" s="339">
        <f>39.35*20%</f>
        <v>7.870000000000001</v>
      </c>
      <c r="L543" s="339">
        <v>2080</v>
      </c>
      <c r="M543" s="339"/>
      <c r="N543" s="339">
        <f t="shared" si="108"/>
        <v>16369.600000000002</v>
      </c>
      <c r="O543" s="339"/>
      <c r="P543" s="339"/>
      <c r="Q543" s="339">
        <f t="shared" si="114"/>
        <v>5426.5224000000007</v>
      </c>
      <c r="R543" s="339">
        <f t="shared" si="109"/>
        <v>237.35920000000004</v>
      </c>
      <c r="S543" s="339"/>
      <c r="T543" s="339">
        <v>8699.0400000000009</v>
      </c>
      <c r="U543" s="339">
        <v>323.04000000000002</v>
      </c>
      <c r="V543" s="339"/>
      <c r="W543" s="264">
        <f t="shared" si="110"/>
        <v>31055.561600000005</v>
      </c>
      <c r="X543" s="339">
        <f t="shared" si="113"/>
        <v>0</v>
      </c>
      <c r="Y543" s="339"/>
      <c r="Z543" s="340">
        <f t="shared" si="112"/>
        <v>31055.561600000005</v>
      </c>
      <c r="AA543" s="2">
        <f>[4]HR!$Z747-Z543</f>
        <v>19497.631135999993</v>
      </c>
    </row>
    <row r="544" spans="1:27" s="236" customFormat="1" ht="12.75" customHeight="1" x14ac:dyDescent="0.2">
      <c r="A544" s="16"/>
      <c r="B544" s="467">
        <v>1</v>
      </c>
      <c r="C544" s="16" t="s">
        <v>604</v>
      </c>
      <c r="D544" s="232"/>
      <c r="E544" s="16" t="s">
        <v>773</v>
      </c>
      <c r="F544" s="16"/>
      <c r="G544" s="19"/>
      <c r="H544" s="16" t="s">
        <v>216</v>
      </c>
      <c r="I544" s="19" t="s">
        <v>267</v>
      </c>
      <c r="J544" s="19" t="s">
        <v>103</v>
      </c>
      <c r="K544" s="339">
        <f>42.03*35%</f>
        <v>14.7105</v>
      </c>
      <c r="L544" s="339">
        <v>2080</v>
      </c>
      <c r="M544" s="339"/>
      <c r="N544" s="339">
        <f t="shared" si="108"/>
        <v>30597.84</v>
      </c>
      <c r="O544" s="339"/>
      <c r="P544" s="339"/>
      <c r="Q544" s="339">
        <f t="shared" si="114"/>
        <v>10143.18396</v>
      </c>
      <c r="R544" s="339">
        <f t="shared" si="109"/>
        <v>443.66868000000005</v>
      </c>
      <c r="S544" s="339"/>
      <c r="T544" s="339"/>
      <c r="U544" s="339"/>
      <c r="V544" s="339"/>
      <c r="W544" s="264">
        <f t="shared" si="110"/>
        <v>41184.692640000001</v>
      </c>
      <c r="X544" s="339">
        <f t="shared" si="113"/>
        <v>0</v>
      </c>
      <c r="Y544" s="339"/>
      <c r="Z544" s="340">
        <f t="shared" si="112"/>
        <v>41184.692640000001</v>
      </c>
      <c r="AA544" s="2">
        <f>[4]HR!$Z750-Z544</f>
        <v>-8653.3686719999969</v>
      </c>
    </row>
    <row r="545" spans="1:27" s="236" customFormat="1" ht="12.75" customHeight="1" x14ac:dyDescent="0.2">
      <c r="A545" s="16"/>
      <c r="B545" s="467">
        <v>0</v>
      </c>
      <c r="C545" s="16" t="s">
        <v>604</v>
      </c>
      <c r="D545" s="232"/>
      <c r="E545" s="16" t="s">
        <v>773</v>
      </c>
      <c r="F545" s="16"/>
      <c r="G545" s="19"/>
      <c r="H545" s="16" t="s">
        <v>216</v>
      </c>
      <c r="I545" s="19" t="s">
        <v>267</v>
      </c>
      <c r="J545" s="19" t="s">
        <v>1474</v>
      </c>
      <c r="K545" s="339">
        <f>42.03*25%</f>
        <v>10.5075</v>
      </c>
      <c r="L545" s="339">
        <v>2080</v>
      </c>
      <c r="M545" s="339"/>
      <c r="N545" s="339">
        <f t="shared" si="108"/>
        <v>21855.600000000002</v>
      </c>
      <c r="O545" s="339"/>
      <c r="P545" s="339"/>
      <c r="Q545" s="339">
        <f t="shared" si="114"/>
        <v>7245.1314000000011</v>
      </c>
      <c r="R545" s="339">
        <f t="shared" si="109"/>
        <v>316.90620000000007</v>
      </c>
      <c r="S545" s="339"/>
      <c r="T545" s="339"/>
      <c r="U545" s="339"/>
      <c r="V545" s="339"/>
      <c r="W545" s="264">
        <f t="shared" si="110"/>
        <v>29417.637600000005</v>
      </c>
      <c r="X545" s="339">
        <f t="shared" si="113"/>
        <v>0</v>
      </c>
      <c r="Y545" s="339"/>
      <c r="Z545" s="340">
        <f t="shared" si="112"/>
        <v>29417.637600000005</v>
      </c>
      <c r="AA545" s="2">
        <f>[4]HR!$Z751-Z545</f>
        <v>3113.6863679999988</v>
      </c>
    </row>
    <row r="546" spans="1:27" ht="12.75" customHeight="1" x14ac:dyDescent="0.2">
      <c r="A546" s="16"/>
      <c r="B546" s="467">
        <v>0</v>
      </c>
      <c r="C546" s="16" t="s">
        <v>604</v>
      </c>
      <c r="D546" s="232"/>
      <c r="E546" s="16" t="s">
        <v>773</v>
      </c>
      <c r="F546" s="16"/>
      <c r="G546" s="19"/>
      <c r="H546" s="16" t="s">
        <v>216</v>
      </c>
      <c r="I546" s="19" t="s">
        <v>267</v>
      </c>
      <c r="J546" s="19" t="s">
        <v>928</v>
      </c>
      <c r="K546" s="339">
        <f>42.03*10%</f>
        <v>4.2030000000000003</v>
      </c>
      <c r="L546" s="339">
        <v>2080</v>
      </c>
      <c r="M546" s="339"/>
      <c r="N546" s="339">
        <f t="shared" si="108"/>
        <v>8742.24</v>
      </c>
      <c r="O546" s="339"/>
      <c r="P546" s="339"/>
      <c r="Q546" s="339">
        <f t="shared" si="114"/>
        <v>2898.0525600000001</v>
      </c>
      <c r="R546" s="339">
        <f t="shared" si="109"/>
        <v>126.76248</v>
      </c>
      <c r="S546" s="339"/>
      <c r="T546" s="339"/>
      <c r="U546" s="339"/>
      <c r="V546" s="339"/>
      <c r="W546" s="264">
        <f t="shared" si="110"/>
        <v>11767.055039999999</v>
      </c>
      <c r="X546" s="339">
        <f t="shared" si="113"/>
        <v>0</v>
      </c>
      <c r="Y546" s="339"/>
      <c r="Z546" s="340">
        <f t="shared" si="112"/>
        <v>11767.055039999999</v>
      </c>
      <c r="AA546" s="2">
        <f>[4]HR!$Z752-Z546</f>
        <v>13308.246944000002</v>
      </c>
    </row>
    <row r="547" spans="1:27" s="236" customFormat="1" ht="12.75" customHeight="1" x14ac:dyDescent="0.2">
      <c r="A547" s="16"/>
      <c r="B547" s="467">
        <v>0</v>
      </c>
      <c r="C547" s="16" t="s">
        <v>604</v>
      </c>
      <c r="D547" s="232"/>
      <c r="E547" s="16" t="s">
        <v>773</v>
      </c>
      <c r="F547" s="16"/>
      <c r="G547" s="19"/>
      <c r="H547" s="16" t="s">
        <v>216</v>
      </c>
      <c r="I547" s="19" t="s">
        <v>267</v>
      </c>
      <c r="J547" s="19" t="s">
        <v>96</v>
      </c>
      <c r="K547" s="339">
        <f>42.03*30%</f>
        <v>12.609</v>
      </c>
      <c r="L547" s="339">
        <v>2080</v>
      </c>
      <c r="M547" s="339"/>
      <c r="N547" s="339">
        <f t="shared" si="108"/>
        <v>26226.720000000001</v>
      </c>
      <c r="O547" s="339"/>
      <c r="P547" s="339"/>
      <c r="Q547" s="339">
        <f t="shared" si="114"/>
        <v>8694.1576800000003</v>
      </c>
      <c r="R547" s="339">
        <f t="shared" si="109"/>
        <v>380.28744000000006</v>
      </c>
      <c r="S547" s="339"/>
      <c r="T547" s="339">
        <v>15321.6</v>
      </c>
      <c r="U547" s="339">
        <v>983.52</v>
      </c>
      <c r="V547" s="339"/>
      <c r="W547" s="264">
        <f t="shared" si="110"/>
        <v>51606.28512</v>
      </c>
      <c r="X547" s="339">
        <f t="shared" si="113"/>
        <v>0</v>
      </c>
      <c r="Y547" s="339"/>
      <c r="Z547" s="340">
        <f t="shared" si="112"/>
        <v>51606.28512</v>
      </c>
      <c r="AA547" s="2">
        <f>[4]HR!$Z753-Z547</f>
        <v>-41000.461631999999</v>
      </c>
    </row>
    <row r="548" spans="1:27" ht="12.75" customHeight="1" x14ac:dyDescent="0.2">
      <c r="A548" s="16"/>
      <c r="B548" s="467">
        <v>1</v>
      </c>
      <c r="C548" s="16" t="s">
        <v>605</v>
      </c>
      <c r="D548" s="232"/>
      <c r="E548" s="16" t="s">
        <v>767</v>
      </c>
      <c r="F548" s="16"/>
      <c r="G548" s="19"/>
      <c r="H548" s="16" t="s">
        <v>216</v>
      </c>
      <c r="I548" s="19" t="s">
        <v>267</v>
      </c>
      <c r="J548" s="396" t="s">
        <v>103</v>
      </c>
      <c r="K548" s="339">
        <f>30.64*50%</f>
        <v>15.32</v>
      </c>
      <c r="L548" s="339">
        <v>2080</v>
      </c>
      <c r="M548" s="339"/>
      <c r="N548" s="339">
        <f t="shared" si="108"/>
        <v>31865.600000000002</v>
      </c>
      <c r="O548" s="339"/>
      <c r="P548" s="339"/>
      <c r="Q548" s="339">
        <f t="shared" si="114"/>
        <v>10563.446400000001</v>
      </c>
      <c r="R548" s="339">
        <f t="shared" si="109"/>
        <v>462.05120000000005</v>
      </c>
      <c r="S548" s="339"/>
      <c r="T548" s="339"/>
      <c r="U548" s="339"/>
      <c r="V548" s="339"/>
      <c r="W548" s="264">
        <f t="shared" si="110"/>
        <v>42891.097600000008</v>
      </c>
      <c r="X548" s="339">
        <f t="shared" si="113"/>
        <v>0</v>
      </c>
      <c r="Y548" s="339"/>
      <c r="Z548" s="340">
        <f t="shared" si="112"/>
        <v>42891.097600000008</v>
      </c>
      <c r="AA548" s="2">
        <f>[4]HR!$Z754-Z548</f>
        <v>-32285.274112000006</v>
      </c>
    </row>
    <row r="549" spans="1:27" s="236" customFormat="1" ht="12.75" customHeight="1" x14ac:dyDescent="0.2">
      <c r="A549" s="16"/>
      <c r="B549" s="467">
        <v>0</v>
      </c>
      <c r="C549" s="16" t="s">
        <v>605</v>
      </c>
      <c r="D549" s="232"/>
      <c r="E549" s="16" t="s">
        <v>767</v>
      </c>
      <c r="F549" s="16"/>
      <c r="G549" s="19"/>
      <c r="H549" s="16" t="s">
        <v>216</v>
      </c>
      <c r="I549" s="19" t="s">
        <v>267</v>
      </c>
      <c r="J549" s="19" t="s">
        <v>1474</v>
      </c>
      <c r="K549" s="339">
        <f>30.64*50%</f>
        <v>15.32</v>
      </c>
      <c r="L549" s="339">
        <v>2080</v>
      </c>
      <c r="M549" s="339"/>
      <c r="N549" s="339">
        <f t="shared" si="108"/>
        <v>31865.600000000002</v>
      </c>
      <c r="O549" s="339"/>
      <c r="P549" s="339"/>
      <c r="Q549" s="339">
        <f t="shared" si="114"/>
        <v>10563.446400000001</v>
      </c>
      <c r="R549" s="339">
        <f t="shared" si="109"/>
        <v>462.05120000000005</v>
      </c>
      <c r="S549" s="339"/>
      <c r="T549" s="339"/>
      <c r="U549" s="339"/>
      <c r="V549" s="339"/>
      <c r="W549" s="264">
        <f t="shared" si="110"/>
        <v>42891.097600000008</v>
      </c>
      <c r="X549" s="339">
        <f t="shared" si="113"/>
        <v>0</v>
      </c>
      <c r="Y549" s="339"/>
      <c r="Z549" s="340">
        <f t="shared" si="112"/>
        <v>42891.097600000008</v>
      </c>
      <c r="AA549" s="2">
        <f>[4]HR!$Z755-Z549</f>
        <v>-32285.274112000006</v>
      </c>
    </row>
    <row r="550" spans="1:27" s="236" customFormat="1" ht="12.75" customHeight="1" x14ac:dyDescent="0.2">
      <c r="A550" s="16"/>
      <c r="B550" s="467">
        <v>0</v>
      </c>
      <c r="C550" s="16" t="s">
        <v>605</v>
      </c>
      <c r="D550" s="232"/>
      <c r="E550" s="16" t="s">
        <v>767</v>
      </c>
      <c r="F550" s="16"/>
      <c r="G550" s="19"/>
      <c r="H550" s="16" t="s">
        <v>216</v>
      </c>
      <c r="I550" s="19" t="s">
        <v>267</v>
      </c>
      <c r="J550" s="19" t="s">
        <v>1019</v>
      </c>
      <c r="K550" s="339"/>
      <c r="L550" s="339"/>
      <c r="M550" s="339"/>
      <c r="N550" s="339">
        <f t="shared" si="108"/>
        <v>0</v>
      </c>
      <c r="O550" s="339"/>
      <c r="P550" s="339"/>
      <c r="Q550" s="339">
        <f t="shared" ref="Q550" si="119">N550*0.3315</f>
        <v>0</v>
      </c>
      <c r="R550" s="339">
        <f t="shared" ref="R550" si="120">N550*0.0145</f>
        <v>0</v>
      </c>
      <c r="S550" s="339"/>
      <c r="T550" s="339">
        <v>8439.84</v>
      </c>
      <c r="U550" s="339">
        <v>400.32</v>
      </c>
      <c r="V550" s="339"/>
      <c r="W550" s="264">
        <f t="shared" si="110"/>
        <v>8840.16</v>
      </c>
      <c r="X550" s="339"/>
      <c r="Y550" s="339"/>
      <c r="Z550" s="340">
        <f t="shared" si="112"/>
        <v>8840.16</v>
      </c>
      <c r="AA550" s="2"/>
    </row>
    <row r="551" spans="1:27" ht="12.75" customHeight="1" x14ac:dyDescent="0.2">
      <c r="A551" s="16"/>
      <c r="B551" s="467">
        <v>1</v>
      </c>
      <c r="C551" s="16" t="s">
        <v>635</v>
      </c>
      <c r="D551" s="232"/>
      <c r="E551" s="16" t="s">
        <v>767</v>
      </c>
      <c r="F551" s="16"/>
      <c r="G551" s="19"/>
      <c r="H551" s="16" t="s">
        <v>216</v>
      </c>
      <c r="I551" s="19" t="s">
        <v>267</v>
      </c>
      <c r="J551" s="19" t="s">
        <v>1019</v>
      </c>
      <c r="K551" s="339">
        <v>28.12</v>
      </c>
      <c r="L551" s="339">
        <v>2080</v>
      </c>
      <c r="M551" s="339"/>
      <c r="N551" s="339">
        <f t="shared" si="108"/>
        <v>58489.599999999999</v>
      </c>
      <c r="O551" s="339"/>
      <c r="P551" s="339"/>
      <c r="Q551" s="339">
        <f t="shared" si="114"/>
        <v>19389.3024</v>
      </c>
      <c r="R551" s="339">
        <f t="shared" si="109"/>
        <v>848.0992</v>
      </c>
      <c r="S551" s="339"/>
      <c r="T551" s="339"/>
      <c r="U551" s="339"/>
      <c r="V551" s="339"/>
      <c r="W551" s="264">
        <f t="shared" si="110"/>
        <v>78727.001599999989</v>
      </c>
      <c r="X551" s="339">
        <f t="shared" si="113"/>
        <v>0</v>
      </c>
      <c r="Y551" s="339"/>
      <c r="Z551" s="340">
        <f t="shared" si="112"/>
        <v>78727.001599999989</v>
      </c>
      <c r="AA551" s="2">
        <f>[4]HR!$Z685-Z551</f>
        <v>-20568.792199999989</v>
      </c>
    </row>
    <row r="552" spans="1:27" s="236" customFormat="1" ht="12.75" customHeight="1" x14ac:dyDescent="0.2">
      <c r="A552" s="16"/>
      <c r="B552" s="467">
        <v>1</v>
      </c>
      <c r="C552" s="16" t="s">
        <v>606</v>
      </c>
      <c r="D552" s="232"/>
      <c r="E552" s="16" t="s">
        <v>767</v>
      </c>
      <c r="F552" s="16"/>
      <c r="G552" s="19"/>
      <c r="H552" s="16" t="s">
        <v>216</v>
      </c>
      <c r="I552" s="19" t="s">
        <v>267</v>
      </c>
      <c r="J552" s="396" t="s">
        <v>103</v>
      </c>
      <c r="K552" s="339">
        <f>29.86*40%</f>
        <v>11.944000000000001</v>
      </c>
      <c r="L552" s="339">
        <v>2080</v>
      </c>
      <c r="M552" s="339"/>
      <c r="N552" s="339">
        <f t="shared" si="108"/>
        <v>24843.52</v>
      </c>
      <c r="O552" s="339"/>
      <c r="P552" s="339"/>
      <c r="Q552" s="339">
        <f t="shared" si="114"/>
        <v>8235.6268799999998</v>
      </c>
      <c r="R552" s="339">
        <f t="shared" si="109"/>
        <v>360.23104000000001</v>
      </c>
      <c r="S552" s="339"/>
      <c r="T552" s="339"/>
      <c r="U552" s="339"/>
      <c r="V552" s="339"/>
      <c r="W552" s="264">
        <f t="shared" si="110"/>
        <v>33439.377919999999</v>
      </c>
      <c r="X552" s="339">
        <f t="shared" si="113"/>
        <v>0</v>
      </c>
      <c r="Y552" s="339"/>
      <c r="Z552" s="340">
        <f t="shared" si="112"/>
        <v>33439.377919999999</v>
      </c>
      <c r="AA552" s="2">
        <f>[4]HR!$Z756-Z552</f>
        <v>-28136.466175999998</v>
      </c>
    </row>
    <row r="553" spans="1:27" s="236" customFormat="1" ht="12.75" customHeight="1" x14ac:dyDescent="0.2">
      <c r="A553" s="16"/>
      <c r="B553" s="467">
        <v>0</v>
      </c>
      <c r="C553" s="16" t="s">
        <v>606</v>
      </c>
      <c r="D553" s="232"/>
      <c r="E553" s="16" t="s">
        <v>767</v>
      </c>
      <c r="F553" s="16"/>
      <c r="G553" s="19"/>
      <c r="H553" s="16" t="s">
        <v>216</v>
      </c>
      <c r="I553" s="19" t="s">
        <v>267</v>
      </c>
      <c r="J553" s="396" t="s">
        <v>1019</v>
      </c>
      <c r="K553" s="339"/>
      <c r="L553" s="339"/>
      <c r="M553" s="339"/>
      <c r="N553" s="339">
        <f t="shared" si="108"/>
        <v>0</v>
      </c>
      <c r="O553" s="339"/>
      <c r="P553" s="339"/>
      <c r="Q553" s="339">
        <f t="shared" si="114"/>
        <v>0</v>
      </c>
      <c r="R553" s="339">
        <f t="shared" si="109"/>
        <v>0</v>
      </c>
      <c r="S553" s="339"/>
      <c r="T553" s="339">
        <v>8439.84</v>
      </c>
      <c r="U553" s="339">
        <v>400.32</v>
      </c>
      <c r="V553" s="339"/>
      <c r="W553" s="264">
        <f t="shared" si="110"/>
        <v>8840.16</v>
      </c>
      <c r="X553" s="339">
        <f t="shared" si="113"/>
        <v>0</v>
      </c>
      <c r="Y553" s="339"/>
      <c r="Z553" s="340">
        <f t="shared" si="112"/>
        <v>8840.16</v>
      </c>
      <c r="AA553" s="2"/>
    </row>
    <row r="554" spans="1:27" ht="12.75" customHeight="1" x14ac:dyDescent="0.2">
      <c r="A554" s="16"/>
      <c r="B554" s="467">
        <v>0</v>
      </c>
      <c r="C554" s="16" t="s">
        <v>606</v>
      </c>
      <c r="D554" s="232"/>
      <c r="E554" s="16" t="s">
        <v>767</v>
      </c>
      <c r="F554" s="16"/>
      <c r="G554" s="19"/>
      <c r="H554" s="16" t="s">
        <v>216</v>
      </c>
      <c r="I554" s="19" t="s">
        <v>267</v>
      </c>
      <c r="J554" s="19" t="s">
        <v>96</v>
      </c>
      <c r="K554" s="339">
        <f>29.86*40%</f>
        <v>11.944000000000001</v>
      </c>
      <c r="L554" s="339">
        <v>2080</v>
      </c>
      <c r="M554" s="339"/>
      <c r="N554" s="339">
        <f t="shared" si="108"/>
        <v>24843.52</v>
      </c>
      <c r="O554" s="339"/>
      <c r="P554" s="339"/>
      <c r="Q554" s="339">
        <f t="shared" si="114"/>
        <v>8235.6268799999998</v>
      </c>
      <c r="R554" s="339">
        <f t="shared" si="109"/>
        <v>360.23104000000001</v>
      </c>
      <c r="S554" s="339"/>
      <c r="T554" s="339"/>
      <c r="U554" s="339"/>
      <c r="V554" s="339"/>
      <c r="W554" s="264">
        <f t="shared" si="110"/>
        <v>33439.377919999999</v>
      </c>
      <c r="X554" s="339">
        <f t="shared" si="113"/>
        <v>0</v>
      </c>
      <c r="Y554" s="339"/>
      <c r="Z554" s="340">
        <f t="shared" si="112"/>
        <v>33439.377919999999</v>
      </c>
      <c r="AA554" s="2">
        <f>[4]HR!$Z757-Z554</f>
        <v>-8721.0026880000005</v>
      </c>
    </row>
    <row r="555" spans="1:27" s="236" customFormat="1" ht="12.75" customHeight="1" x14ac:dyDescent="0.2">
      <c r="A555" s="16"/>
      <c r="B555" s="467">
        <v>0</v>
      </c>
      <c r="C555" s="16" t="s">
        <v>606</v>
      </c>
      <c r="D555" s="232"/>
      <c r="E555" s="16" t="s">
        <v>767</v>
      </c>
      <c r="F555" s="16"/>
      <c r="G555" s="19"/>
      <c r="H555" s="16" t="s">
        <v>216</v>
      </c>
      <c r="I555" s="19" t="s">
        <v>267</v>
      </c>
      <c r="J555" s="19" t="s">
        <v>1474</v>
      </c>
      <c r="K555" s="339">
        <f>29.86*20%</f>
        <v>5.9720000000000004</v>
      </c>
      <c r="L555" s="339">
        <v>2080</v>
      </c>
      <c r="M555" s="339"/>
      <c r="N555" s="339">
        <f t="shared" si="108"/>
        <v>12421.76</v>
      </c>
      <c r="O555" s="339"/>
      <c r="P555" s="339"/>
      <c r="Q555" s="339">
        <f t="shared" si="114"/>
        <v>4117.8134399999999</v>
      </c>
      <c r="R555" s="339">
        <f t="shared" ref="R555:R570" si="121">N555*0.0145</f>
        <v>180.11552</v>
      </c>
      <c r="S555" s="339"/>
      <c r="T555" s="339"/>
      <c r="U555" s="339"/>
      <c r="V555" s="339"/>
      <c r="W555" s="264">
        <f t="shared" si="110"/>
        <v>16719.688959999999</v>
      </c>
      <c r="X555" s="339">
        <f t="shared" si="113"/>
        <v>0</v>
      </c>
      <c r="Y555" s="339"/>
      <c r="Z555" s="340">
        <f t="shared" si="112"/>
        <v>16719.688959999999</v>
      </c>
      <c r="AA555" s="2">
        <f>[4]HR!$Z758-Z555</f>
        <v>32366.237696000004</v>
      </c>
    </row>
    <row r="556" spans="1:27" ht="12.75" customHeight="1" x14ac:dyDescent="0.2">
      <c r="A556" s="16"/>
      <c r="B556" s="467">
        <v>1</v>
      </c>
      <c r="C556" s="16" t="s">
        <v>607</v>
      </c>
      <c r="D556" s="232"/>
      <c r="E556" s="16" t="s">
        <v>774</v>
      </c>
      <c r="F556" s="16"/>
      <c r="G556" s="19"/>
      <c r="H556" s="16" t="s">
        <v>216</v>
      </c>
      <c r="I556" s="19" t="s">
        <v>267</v>
      </c>
      <c r="J556" s="19" t="s">
        <v>1474</v>
      </c>
      <c r="K556" s="339">
        <f>19.47*20%</f>
        <v>3.8940000000000001</v>
      </c>
      <c r="L556" s="339">
        <v>2080</v>
      </c>
      <c r="M556" s="339"/>
      <c r="N556" s="339">
        <f t="shared" si="108"/>
        <v>8099.52</v>
      </c>
      <c r="O556" s="339"/>
      <c r="P556" s="339"/>
      <c r="Q556" s="339">
        <f t="shared" si="114"/>
        <v>2684.9908800000003</v>
      </c>
      <c r="R556" s="339">
        <f t="shared" si="121"/>
        <v>117.44304000000001</v>
      </c>
      <c r="S556" s="339"/>
      <c r="T556" s="339"/>
      <c r="U556" s="339"/>
      <c r="V556" s="339"/>
      <c r="W556" s="264">
        <f t="shared" si="110"/>
        <v>10901.953920000002</v>
      </c>
      <c r="X556" s="339">
        <f t="shared" si="113"/>
        <v>0</v>
      </c>
      <c r="Y556" s="339"/>
      <c r="Z556" s="340">
        <f t="shared" si="112"/>
        <v>10901.953920000002</v>
      </c>
      <c r="AA556" s="2">
        <f>[4]HR!$Z759-Z556</f>
        <v>9992.1877440000007</v>
      </c>
    </row>
    <row r="557" spans="1:27" ht="12.75" customHeight="1" x14ac:dyDescent="0.2">
      <c r="A557" s="16"/>
      <c r="B557" s="467">
        <v>0</v>
      </c>
      <c r="C557" s="16" t="s">
        <v>607</v>
      </c>
      <c r="D557" s="232"/>
      <c r="E557" s="16" t="s">
        <v>774</v>
      </c>
      <c r="F557" s="16"/>
      <c r="G557" s="19"/>
      <c r="H557" s="16" t="s">
        <v>216</v>
      </c>
      <c r="I557" s="19" t="s">
        <v>267</v>
      </c>
      <c r="J557" s="396" t="s">
        <v>103</v>
      </c>
      <c r="K557" s="339">
        <f>19.47*20%</f>
        <v>3.8940000000000001</v>
      </c>
      <c r="L557" s="339">
        <v>2080</v>
      </c>
      <c r="M557" s="339"/>
      <c r="N557" s="339">
        <f t="shared" si="108"/>
        <v>8099.52</v>
      </c>
      <c r="O557" s="339"/>
      <c r="P557" s="339"/>
      <c r="Q557" s="339">
        <f t="shared" si="114"/>
        <v>2684.9908800000003</v>
      </c>
      <c r="R557" s="339">
        <f t="shared" si="121"/>
        <v>117.44304000000001</v>
      </c>
      <c r="S557" s="339"/>
      <c r="T557" s="339"/>
      <c r="U557" s="339"/>
      <c r="V557" s="339"/>
      <c r="W557" s="264">
        <f t="shared" si="110"/>
        <v>10901.953920000002</v>
      </c>
      <c r="X557" s="339">
        <f t="shared" si="113"/>
        <v>0</v>
      </c>
      <c r="Y557" s="339"/>
      <c r="Z557" s="340">
        <f t="shared" si="112"/>
        <v>10901.953920000002</v>
      </c>
      <c r="AA557" s="2">
        <f>[4]HR!$Z760-Z557</f>
        <v>34393.750559999993</v>
      </c>
    </row>
    <row r="558" spans="1:27" ht="12.75" customHeight="1" x14ac:dyDescent="0.2">
      <c r="A558" s="16"/>
      <c r="B558" s="467">
        <v>0</v>
      </c>
      <c r="C558" s="16" t="s">
        <v>607</v>
      </c>
      <c r="D558" s="232"/>
      <c r="E558" s="16" t="s">
        <v>774</v>
      </c>
      <c r="F558" s="16"/>
      <c r="G558" s="19"/>
      <c r="H558" s="16" t="s">
        <v>216</v>
      </c>
      <c r="I558" s="19" t="s">
        <v>267</v>
      </c>
      <c r="J558" s="19" t="s">
        <v>928</v>
      </c>
      <c r="K558" s="339">
        <f>19.47*20%</f>
        <v>3.8940000000000001</v>
      </c>
      <c r="L558" s="339">
        <v>2080</v>
      </c>
      <c r="M558" s="339"/>
      <c r="N558" s="339">
        <f t="shared" si="108"/>
        <v>8099.52</v>
      </c>
      <c r="O558" s="339"/>
      <c r="P558" s="339"/>
      <c r="Q558" s="339">
        <f t="shared" si="114"/>
        <v>2684.9908800000003</v>
      </c>
      <c r="R558" s="339">
        <f t="shared" si="121"/>
        <v>117.44304000000001</v>
      </c>
      <c r="S558" s="339"/>
      <c r="T558" s="339"/>
      <c r="U558" s="339"/>
      <c r="V558" s="339"/>
      <c r="W558" s="264">
        <f t="shared" si="110"/>
        <v>10901.953920000002</v>
      </c>
      <c r="X558" s="339">
        <f t="shared" si="113"/>
        <v>0</v>
      </c>
      <c r="Y558" s="339"/>
      <c r="Z558" s="340">
        <f t="shared" si="112"/>
        <v>10901.953920000002</v>
      </c>
      <c r="AA558" s="2">
        <f>[4]HR!$Z761-Z558</f>
        <v>13148.035334999999</v>
      </c>
    </row>
    <row r="559" spans="1:27" s="236" customFormat="1" ht="12.75" customHeight="1" x14ac:dyDescent="0.2">
      <c r="A559" s="16"/>
      <c r="B559" s="467">
        <v>0</v>
      </c>
      <c r="C559" s="16" t="s">
        <v>607</v>
      </c>
      <c r="D559" s="232"/>
      <c r="E559" s="16" t="s">
        <v>774</v>
      </c>
      <c r="F559" s="16"/>
      <c r="G559" s="19"/>
      <c r="H559" s="16" t="s">
        <v>216</v>
      </c>
      <c r="I559" s="19" t="s">
        <v>267</v>
      </c>
      <c r="J559" s="396" t="s">
        <v>979</v>
      </c>
      <c r="K559" s="339">
        <f>19.47*10%</f>
        <v>1.9470000000000001</v>
      </c>
      <c r="L559" s="339">
        <v>2080</v>
      </c>
      <c r="M559" s="339"/>
      <c r="N559" s="339">
        <f t="shared" si="108"/>
        <v>4049.76</v>
      </c>
      <c r="O559" s="339"/>
      <c r="P559" s="339"/>
      <c r="Q559" s="339">
        <f t="shared" si="114"/>
        <v>1342.4954400000001</v>
      </c>
      <c r="R559" s="339">
        <f t="shared" si="121"/>
        <v>58.721520000000005</v>
      </c>
      <c r="S559" s="339"/>
      <c r="T559" s="339"/>
      <c r="U559" s="339"/>
      <c r="V559" s="339"/>
      <c r="W559" s="264">
        <f t="shared" si="110"/>
        <v>5450.9769600000009</v>
      </c>
      <c r="X559" s="339">
        <f t="shared" si="113"/>
        <v>0</v>
      </c>
      <c r="Y559" s="339"/>
      <c r="Z559" s="340">
        <f t="shared" si="112"/>
        <v>5450.9769600000009</v>
      </c>
      <c r="AA559" s="2">
        <f>[4]HR!$Z762-Z559</f>
        <v>56527.522815999997</v>
      </c>
    </row>
    <row r="560" spans="1:27" ht="12.75" customHeight="1" x14ac:dyDescent="0.2">
      <c r="A560" s="16"/>
      <c r="B560" s="467">
        <v>0</v>
      </c>
      <c r="C560" s="16" t="s">
        <v>607</v>
      </c>
      <c r="D560" s="232"/>
      <c r="E560" s="16" t="s">
        <v>774</v>
      </c>
      <c r="F560" s="16"/>
      <c r="G560" s="19"/>
      <c r="H560" s="16" t="s">
        <v>216</v>
      </c>
      <c r="I560" s="19" t="s">
        <v>267</v>
      </c>
      <c r="J560" s="396" t="s">
        <v>1019</v>
      </c>
      <c r="K560" s="339">
        <f>19.47*30%</f>
        <v>5.8409999999999993</v>
      </c>
      <c r="L560" s="339">
        <v>2080</v>
      </c>
      <c r="M560" s="339"/>
      <c r="N560" s="339">
        <f t="shared" si="108"/>
        <v>12149.279999999999</v>
      </c>
      <c r="O560" s="339"/>
      <c r="P560" s="339"/>
      <c r="Q560" s="339">
        <f t="shared" si="114"/>
        <v>4027.48632</v>
      </c>
      <c r="R560" s="339">
        <f t="shared" si="121"/>
        <v>176.16455999999999</v>
      </c>
      <c r="S560" s="339"/>
      <c r="T560" s="339">
        <v>8487.84</v>
      </c>
      <c r="U560" s="339">
        <v>400.32</v>
      </c>
      <c r="V560" s="339"/>
      <c r="W560" s="264">
        <f t="shared" si="110"/>
        <v>25241.090879999996</v>
      </c>
      <c r="X560" s="339">
        <f t="shared" si="113"/>
        <v>0</v>
      </c>
      <c r="Y560" s="339"/>
      <c r="Z560" s="340">
        <f t="shared" si="112"/>
        <v>25241.090879999996</v>
      </c>
      <c r="AA560" s="2">
        <f>[4]HR!$Z763-Z560</f>
        <v>-7406.0842879999946</v>
      </c>
    </row>
    <row r="561" spans="1:27" ht="12.75" customHeight="1" x14ac:dyDescent="0.2">
      <c r="A561" s="16"/>
      <c r="B561" s="467">
        <v>1</v>
      </c>
      <c r="C561" s="16" t="s">
        <v>609</v>
      </c>
      <c r="D561" s="232"/>
      <c r="E561" s="16" t="s">
        <v>767</v>
      </c>
      <c r="F561" s="16"/>
      <c r="G561" s="19"/>
      <c r="H561" s="16" t="s">
        <v>216</v>
      </c>
      <c r="I561" s="19" t="s">
        <v>267</v>
      </c>
      <c r="J561" s="19" t="s">
        <v>103</v>
      </c>
      <c r="K561" s="339">
        <f>32.42*60%</f>
        <v>19.452000000000002</v>
      </c>
      <c r="L561" s="339">
        <v>2080</v>
      </c>
      <c r="M561" s="339"/>
      <c r="N561" s="339">
        <f t="shared" si="108"/>
        <v>40460.160000000003</v>
      </c>
      <c r="O561" s="339"/>
      <c r="P561" s="339"/>
      <c r="Q561" s="339">
        <f t="shared" si="114"/>
        <v>13412.543040000002</v>
      </c>
      <c r="R561" s="339">
        <f t="shared" si="121"/>
        <v>586.67232000000013</v>
      </c>
      <c r="S561" s="339"/>
      <c r="T561" s="339"/>
      <c r="U561" s="339"/>
      <c r="V561" s="339"/>
      <c r="W561" s="264">
        <f t="shared" si="110"/>
        <v>54459.375360000005</v>
      </c>
      <c r="X561" s="339">
        <f t="shared" si="113"/>
        <v>0</v>
      </c>
      <c r="Y561" s="339"/>
      <c r="Z561" s="340">
        <f t="shared" si="112"/>
        <v>54459.375360000005</v>
      </c>
      <c r="AA561" s="2">
        <f>[4]HR!$Z768-Z561</f>
        <v>76284.022879999975</v>
      </c>
    </row>
    <row r="562" spans="1:27" s="236" customFormat="1" ht="12.75" customHeight="1" x14ac:dyDescent="0.2">
      <c r="A562" s="16"/>
      <c r="B562" s="467">
        <v>0</v>
      </c>
      <c r="C562" s="16" t="s">
        <v>609</v>
      </c>
      <c r="D562" s="232"/>
      <c r="E562" s="16" t="s">
        <v>767</v>
      </c>
      <c r="F562" s="16"/>
      <c r="G562" s="19"/>
      <c r="H562" s="16" t="s">
        <v>216</v>
      </c>
      <c r="I562" s="19" t="s">
        <v>267</v>
      </c>
      <c r="J562" s="19" t="s">
        <v>1474</v>
      </c>
      <c r="K562" s="339">
        <f>32.42*20%</f>
        <v>6.4840000000000009</v>
      </c>
      <c r="L562" s="339">
        <v>2080</v>
      </c>
      <c r="M562" s="339"/>
      <c r="N562" s="339">
        <f t="shared" si="108"/>
        <v>13486.720000000001</v>
      </c>
      <c r="O562" s="339"/>
      <c r="P562" s="339"/>
      <c r="Q562" s="339">
        <f t="shared" si="114"/>
        <v>4470.8476800000008</v>
      </c>
      <c r="R562" s="339">
        <f t="shared" si="121"/>
        <v>195.55744000000001</v>
      </c>
      <c r="S562" s="339"/>
      <c r="T562" s="339"/>
      <c r="U562" s="339"/>
      <c r="V562" s="339"/>
      <c r="W562" s="264">
        <f t="shared" si="110"/>
        <v>18153.125120000001</v>
      </c>
      <c r="X562" s="339">
        <f t="shared" si="113"/>
        <v>0</v>
      </c>
      <c r="Y562" s="339"/>
      <c r="Z562" s="340">
        <f t="shared" si="112"/>
        <v>18153.125120000001</v>
      </c>
      <c r="AA562" s="2">
        <f>[4]HR!$Z769-Z562</f>
        <v>111220.66016</v>
      </c>
    </row>
    <row r="563" spans="1:27" s="236" customFormat="1" ht="12.75" customHeight="1" x14ac:dyDescent="0.2">
      <c r="A563" s="16"/>
      <c r="B563" s="467">
        <v>0</v>
      </c>
      <c r="C563" s="16" t="s">
        <v>609</v>
      </c>
      <c r="D563" s="232"/>
      <c r="E563" s="16" t="s">
        <v>767</v>
      </c>
      <c r="F563" s="16"/>
      <c r="G563" s="19"/>
      <c r="H563" s="16" t="s">
        <v>216</v>
      </c>
      <c r="I563" s="19" t="s">
        <v>267</v>
      </c>
      <c r="J563" s="19" t="s">
        <v>96</v>
      </c>
      <c r="K563" s="339">
        <f>32.42*20%</f>
        <v>6.4840000000000009</v>
      </c>
      <c r="L563" s="339">
        <v>2080</v>
      </c>
      <c r="M563" s="339"/>
      <c r="N563" s="339">
        <f t="shared" si="108"/>
        <v>13486.720000000001</v>
      </c>
      <c r="O563" s="339"/>
      <c r="P563" s="339"/>
      <c r="Q563" s="339">
        <f t="shared" si="114"/>
        <v>4470.8476800000008</v>
      </c>
      <c r="R563" s="339">
        <f t="shared" si="121"/>
        <v>195.55744000000001</v>
      </c>
      <c r="S563" s="339"/>
      <c r="T563" s="339"/>
      <c r="U563" s="339"/>
      <c r="V563" s="339"/>
      <c r="W563" s="264">
        <f t="shared" si="110"/>
        <v>18153.125120000001</v>
      </c>
      <c r="X563" s="339">
        <f t="shared" si="113"/>
        <v>0</v>
      </c>
      <c r="Y563" s="339"/>
      <c r="Z563" s="340">
        <f t="shared" si="112"/>
        <v>18153.125120000001</v>
      </c>
      <c r="AA563" s="2">
        <f>[4]HR!$Z770-Z563</f>
        <v>84463.323199999984</v>
      </c>
    </row>
    <row r="564" spans="1:27" s="236" customFormat="1" ht="12.75" customHeight="1" x14ac:dyDescent="0.2">
      <c r="A564" s="16"/>
      <c r="B564" s="467">
        <v>0</v>
      </c>
      <c r="C564" s="16" t="s">
        <v>609</v>
      </c>
      <c r="D564" s="232"/>
      <c r="E564" s="16" t="s">
        <v>767</v>
      </c>
      <c r="F564" s="16"/>
      <c r="G564" s="19"/>
      <c r="H564" s="16" t="s">
        <v>216</v>
      </c>
      <c r="I564" s="19" t="s">
        <v>267</v>
      </c>
      <c r="J564" s="19" t="s">
        <v>1019</v>
      </c>
      <c r="K564" s="339"/>
      <c r="L564" s="339"/>
      <c r="M564" s="339"/>
      <c r="N564" s="339">
        <f t="shared" si="108"/>
        <v>0</v>
      </c>
      <c r="O564" s="339"/>
      <c r="P564" s="339"/>
      <c r="Q564" s="339">
        <f t="shared" ref="Q564" si="122">N564*0.3315</f>
        <v>0</v>
      </c>
      <c r="R564" s="339">
        <f t="shared" ref="R564" si="123">N564*0.0145</f>
        <v>0</v>
      </c>
      <c r="S564" s="339"/>
      <c r="T564" s="339">
        <v>8367.84</v>
      </c>
      <c r="U564" s="339">
        <v>323.04000000000002</v>
      </c>
      <c r="V564" s="339"/>
      <c r="W564" s="264">
        <f t="shared" si="110"/>
        <v>8690.880000000001</v>
      </c>
      <c r="X564" s="339"/>
      <c r="Y564" s="339"/>
      <c r="Z564" s="340">
        <f t="shared" si="112"/>
        <v>8690.880000000001</v>
      </c>
      <c r="AA564" s="2"/>
    </row>
    <row r="565" spans="1:27" s="236" customFormat="1" ht="12.75" customHeight="1" x14ac:dyDescent="0.2">
      <c r="A565" s="16"/>
      <c r="B565" s="467">
        <v>1</v>
      </c>
      <c r="C565" s="16" t="s">
        <v>642</v>
      </c>
      <c r="D565" s="232"/>
      <c r="E565" s="16" t="s">
        <v>788</v>
      </c>
      <c r="F565" s="16"/>
      <c r="G565" s="16"/>
      <c r="H565" s="16" t="s">
        <v>216</v>
      </c>
      <c r="I565" s="19" t="s">
        <v>920</v>
      </c>
      <c r="J565" s="19" t="s">
        <v>1019</v>
      </c>
      <c r="K565" s="339">
        <v>59.94</v>
      </c>
      <c r="L565" s="339">
        <v>2080</v>
      </c>
      <c r="M565" s="339"/>
      <c r="N565" s="339">
        <f t="shared" si="108"/>
        <v>124675.2</v>
      </c>
      <c r="O565" s="339"/>
      <c r="P565" s="339"/>
      <c r="Q565" s="339">
        <f t="shared" si="114"/>
        <v>41329.828800000003</v>
      </c>
      <c r="R565" s="339">
        <f t="shared" si="121"/>
        <v>1807.7904000000001</v>
      </c>
      <c r="S565" s="339"/>
      <c r="T565" s="339">
        <v>8487.84</v>
      </c>
      <c r="U565" s="339">
        <v>323.04000000000002</v>
      </c>
      <c r="V565" s="339"/>
      <c r="W565" s="264">
        <f t="shared" si="110"/>
        <v>176623.6992</v>
      </c>
      <c r="X565" s="339">
        <f t="shared" si="113"/>
        <v>0</v>
      </c>
      <c r="Y565" s="339"/>
      <c r="Z565" s="340">
        <f t="shared" si="112"/>
        <v>176623.6992</v>
      </c>
      <c r="AA565" s="2">
        <f>[4]HR!$Z771-Z565</f>
        <v>-86601.051439999996</v>
      </c>
    </row>
    <row r="566" spans="1:27" s="236" customFormat="1" ht="12.75" customHeight="1" x14ac:dyDescent="0.2">
      <c r="A566" s="467"/>
      <c r="B566" s="467">
        <v>1</v>
      </c>
      <c r="C566" s="16" t="s">
        <v>644</v>
      </c>
      <c r="D566" s="232"/>
      <c r="E566" s="16" t="s">
        <v>790</v>
      </c>
      <c r="F566" s="16"/>
      <c r="G566" s="16"/>
      <c r="H566" s="16" t="s">
        <v>216</v>
      </c>
      <c r="I566" s="19" t="s">
        <v>920</v>
      </c>
      <c r="J566" s="19" t="s">
        <v>1019</v>
      </c>
      <c r="K566" s="339">
        <v>41.98</v>
      </c>
      <c r="L566" s="339">
        <v>2080</v>
      </c>
      <c r="M566" s="339"/>
      <c r="N566" s="339">
        <f t="shared" si="108"/>
        <v>87318.399999999994</v>
      </c>
      <c r="O566" s="339"/>
      <c r="P566" s="339"/>
      <c r="Q566" s="339">
        <f t="shared" si="114"/>
        <v>28946.049599999998</v>
      </c>
      <c r="R566" s="339">
        <f t="shared" si="121"/>
        <v>1266.1168</v>
      </c>
      <c r="S566" s="339"/>
      <c r="T566" s="339">
        <v>15333.6</v>
      </c>
      <c r="U566" s="339">
        <v>1362.48</v>
      </c>
      <c r="V566" s="339"/>
      <c r="W566" s="264">
        <f t="shared" si="110"/>
        <v>134226.6464</v>
      </c>
      <c r="X566" s="339">
        <f t="shared" si="113"/>
        <v>0</v>
      </c>
      <c r="Y566" s="339"/>
      <c r="Z566" s="340">
        <f t="shared" si="112"/>
        <v>134226.6464</v>
      </c>
      <c r="AA566" s="2">
        <f>[4]HR!$Z774-Z566</f>
        <v>-134226.6464</v>
      </c>
    </row>
    <row r="567" spans="1:27" s="236" customFormat="1" ht="12.75" customHeight="1" x14ac:dyDescent="0.2">
      <c r="A567" s="16"/>
      <c r="B567" s="467">
        <v>1</v>
      </c>
      <c r="C567" s="16" t="s">
        <v>645</v>
      </c>
      <c r="D567" s="232"/>
      <c r="E567" s="16" t="s">
        <v>790</v>
      </c>
      <c r="F567" s="16"/>
      <c r="G567" s="16"/>
      <c r="H567" s="16" t="s">
        <v>216</v>
      </c>
      <c r="I567" s="19" t="s">
        <v>920</v>
      </c>
      <c r="J567" s="19" t="s">
        <v>1019</v>
      </c>
      <c r="K567" s="339">
        <v>44.35</v>
      </c>
      <c r="L567" s="339">
        <v>2080</v>
      </c>
      <c r="M567" s="339"/>
      <c r="N567" s="339">
        <f t="shared" si="108"/>
        <v>92248</v>
      </c>
      <c r="O567" s="339"/>
      <c r="P567" s="339"/>
      <c r="Q567" s="339">
        <f t="shared" si="114"/>
        <v>30580.212000000003</v>
      </c>
      <c r="R567" s="339">
        <f t="shared" si="121"/>
        <v>1337.596</v>
      </c>
      <c r="S567" s="339"/>
      <c r="T567" s="339">
        <v>8735.0400000000009</v>
      </c>
      <c r="U567" s="339">
        <v>0</v>
      </c>
      <c r="V567" s="339"/>
      <c r="W567" s="264">
        <f t="shared" si="110"/>
        <v>132900.848</v>
      </c>
      <c r="X567" s="339">
        <f t="shared" si="113"/>
        <v>0</v>
      </c>
      <c r="Y567" s="339"/>
      <c r="Z567" s="340">
        <f t="shared" si="112"/>
        <v>132900.848</v>
      </c>
      <c r="AA567" s="2">
        <f>[4]HR!$Z775-Z567</f>
        <v>-132900.848</v>
      </c>
    </row>
    <row r="568" spans="1:27" s="236" customFormat="1" ht="12.75" customHeight="1" x14ac:dyDescent="0.2">
      <c r="A568" s="16"/>
      <c r="B568" s="467">
        <v>1</v>
      </c>
      <c r="C568" s="16" t="s">
        <v>647</v>
      </c>
      <c r="D568" s="232"/>
      <c r="E568" s="16" t="s">
        <v>791</v>
      </c>
      <c r="F568" s="16"/>
      <c r="G568" s="19"/>
      <c r="H568" s="16" t="s">
        <v>216</v>
      </c>
      <c r="I568" s="19" t="s">
        <v>920</v>
      </c>
      <c r="J568" s="19" t="s">
        <v>1019</v>
      </c>
      <c r="K568" s="339">
        <v>30.04</v>
      </c>
      <c r="L568" s="339">
        <v>2080</v>
      </c>
      <c r="M568" s="339"/>
      <c r="N568" s="339">
        <f t="shared" si="108"/>
        <v>62483.199999999997</v>
      </c>
      <c r="O568" s="339"/>
      <c r="P568" s="339"/>
      <c r="Q568" s="339">
        <f t="shared" si="114"/>
        <v>20713.180800000002</v>
      </c>
      <c r="R568" s="339">
        <f t="shared" si="121"/>
        <v>906.00639999999999</v>
      </c>
      <c r="S568" s="339"/>
      <c r="T568" s="339">
        <v>8391.84</v>
      </c>
      <c r="U568" s="339">
        <v>0</v>
      </c>
      <c r="V568" s="339"/>
      <c r="W568" s="264">
        <f t="shared" si="110"/>
        <v>92494.227199999994</v>
      </c>
      <c r="X568" s="339">
        <f t="shared" si="113"/>
        <v>0</v>
      </c>
      <c r="Y568" s="339"/>
      <c r="Z568" s="340">
        <f t="shared" si="112"/>
        <v>92494.227199999994</v>
      </c>
      <c r="AA568" s="2">
        <f>[4]HR!$Z777-Z568</f>
        <v>-92494.227199999994</v>
      </c>
    </row>
    <row r="569" spans="1:27" s="236" customFormat="1" ht="12.75" customHeight="1" x14ac:dyDescent="0.2">
      <c r="A569" s="16"/>
      <c r="B569" s="467">
        <v>1</v>
      </c>
      <c r="C569" s="16" t="s">
        <v>648</v>
      </c>
      <c r="D569" s="232"/>
      <c r="E569" s="16" t="s">
        <v>789</v>
      </c>
      <c r="F569" s="16"/>
      <c r="G569" s="19"/>
      <c r="H569" s="16" t="s">
        <v>216</v>
      </c>
      <c r="I569" s="19" t="s">
        <v>920</v>
      </c>
      <c r="J569" s="19" t="s">
        <v>1019</v>
      </c>
      <c r="K569" s="339">
        <v>37.53</v>
      </c>
      <c r="L569" s="339">
        <v>2080</v>
      </c>
      <c r="M569" s="339"/>
      <c r="N569" s="339">
        <f t="shared" si="108"/>
        <v>78062.400000000009</v>
      </c>
      <c r="O569" s="339"/>
      <c r="P569" s="339"/>
      <c r="Q569" s="339">
        <f t="shared" si="114"/>
        <v>25877.685600000004</v>
      </c>
      <c r="R569" s="339">
        <f t="shared" si="121"/>
        <v>1131.9048000000003</v>
      </c>
      <c r="S569" s="339"/>
      <c r="T569" s="339">
        <v>9371.0400000000009</v>
      </c>
      <c r="U569" s="339">
        <v>323.04000000000002</v>
      </c>
      <c r="V569" s="339"/>
      <c r="W569" s="264">
        <f t="shared" si="110"/>
        <v>114766.07040000001</v>
      </c>
      <c r="X569" s="339">
        <f t="shared" si="113"/>
        <v>0</v>
      </c>
      <c r="Y569" s="339"/>
      <c r="Z569" s="340">
        <f t="shared" si="112"/>
        <v>114766.07040000001</v>
      </c>
      <c r="AA569" s="2">
        <f>[4]HR!$Z778-Z569</f>
        <v>-114766.07040000001</v>
      </c>
    </row>
    <row r="570" spans="1:27" s="236" customFormat="1" ht="12.75" customHeight="1" x14ac:dyDescent="0.2">
      <c r="A570" s="16"/>
      <c r="B570" s="467">
        <v>1</v>
      </c>
      <c r="C570" s="467" t="s">
        <v>649</v>
      </c>
      <c r="D570" s="468"/>
      <c r="E570" s="467" t="s">
        <v>791</v>
      </c>
      <c r="F570" s="467"/>
      <c r="G570" s="469"/>
      <c r="H570" s="467" t="s">
        <v>216</v>
      </c>
      <c r="I570" s="469" t="s">
        <v>920</v>
      </c>
      <c r="J570" s="469" t="s">
        <v>1019</v>
      </c>
      <c r="K570" s="472">
        <v>36.26</v>
      </c>
      <c r="L570" s="472">
        <v>2080</v>
      </c>
      <c r="M570" s="472"/>
      <c r="N570" s="339">
        <f t="shared" si="108"/>
        <v>75420.800000000003</v>
      </c>
      <c r="O570" s="472"/>
      <c r="P570" s="472"/>
      <c r="Q570" s="472">
        <f t="shared" si="114"/>
        <v>25001.995200000001</v>
      </c>
      <c r="R570" s="472">
        <f t="shared" si="121"/>
        <v>1093.6016000000002</v>
      </c>
      <c r="S570" s="472"/>
      <c r="T570" s="472">
        <v>9361.92</v>
      </c>
      <c r="U570" s="472">
        <v>806.4</v>
      </c>
      <c r="V570" s="472"/>
      <c r="W570" s="473">
        <f t="shared" si="110"/>
        <v>111684.71679999999</v>
      </c>
      <c r="X570" s="472">
        <f t="shared" si="113"/>
        <v>0</v>
      </c>
      <c r="Y570" s="472"/>
      <c r="Z570" s="474">
        <f t="shared" si="112"/>
        <v>111684.71679999999</v>
      </c>
      <c r="AA570" s="2">
        <f>[4]HR!$Z779-Z570</f>
        <v>-111684.71679999999</v>
      </c>
    </row>
    <row r="571" spans="1:27" ht="12.75" customHeight="1" x14ac:dyDescent="0.2">
      <c r="A571" s="16"/>
      <c r="B571" s="16"/>
      <c r="C571" s="16"/>
      <c r="D571" s="232"/>
      <c r="E571" s="16"/>
      <c r="F571" s="19"/>
      <c r="G571" s="19"/>
      <c r="H571" s="16"/>
      <c r="I571" s="19"/>
      <c r="J571" s="19"/>
      <c r="K571" s="339"/>
      <c r="L571" s="339"/>
      <c r="M571" s="339"/>
      <c r="N571" s="339"/>
      <c r="O571" s="339"/>
      <c r="P571" s="339"/>
      <c r="Q571" s="339"/>
      <c r="R571" s="339"/>
      <c r="S571" s="339"/>
      <c r="T571" s="339"/>
      <c r="U571" s="339"/>
      <c r="V571" s="339"/>
      <c r="W571" s="264">
        <f t="shared" si="110"/>
        <v>0</v>
      </c>
      <c r="X571" s="339">
        <f t="shared" ref="X571" si="124">IF(Q571&lt;&gt;"",W571*$X$25,0)</f>
        <v>0</v>
      </c>
      <c r="Y571" s="339"/>
      <c r="Z571" s="340">
        <f t="shared" ref="Z571" si="125">Y571+X571+W571</f>
        <v>0</v>
      </c>
      <c r="AA571" s="236"/>
    </row>
    <row r="572" spans="1:27" s="236" customFormat="1" ht="12.75" customHeight="1" x14ac:dyDescent="0.2">
      <c r="A572" s="16"/>
      <c r="B572" s="16"/>
      <c r="C572" s="16"/>
      <c r="D572" s="232"/>
      <c r="E572" s="16"/>
      <c r="F572" s="19"/>
      <c r="G572" s="19"/>
      <c r="H572" s="16"/>
      <c r="I572" s="19"/>
      <c r="J572" s="19"/>
      <c r="K572" s="339"/>
      <c r="L572" s="339"/>
      <c r="M572" s="339"/>
      <c r="N572" s="339"/>
      <c r="O572" s="339"/>
      <c r="P572" s="339"/>
      <c r="Q572" s="339"/>
      <c r="R572" s="339"/>
      <c r="S572" s="339"/>
      <c r="T572" s="339"/>
      <c r="U572" s="339"/>
      <c r="V572" s="339"/>
      <c r="W572" s="264">
        <f t="shared" ref="W572:W590" si="126">SUM(N572:V572)</f>
        <v>0</v>
      </c>
      <c r="X572" s="339">
        <f t="shared" ref="X572:X615" si="127">IF(Q572&lt;&gt;"",W572*$X$25,0)</f>
        <v>0</v>
      </c>
      <c r="Y572" s="339"/>
      <c r="Z572" s="340">
        <f t="shared" ref="Z572:Z615" si="128">Y572+X572+W572</f>
        <v>0</v>
      </c>
    </row>
    <row r="573" spans="1:27" s="236" customFormat="1" ht="12.75" customHeight="1" x14ac:dyDescent="0.2">
      <c r="A573" s="16"/>
      <c r="B573" s="16"/>
      <c r="C573" s="16"/>
      <c r="D573" s="232"/>
      <c r="E573" s="16"/>
      <c r="F573" s="19"/>
      <c r="G573" s="19"/>
      <c r="H573" s="16"/>
      <c r="I573" s="19"/>
      <c r="J573" s="19"/>
      <c r="K573" s="339"/>
      <c r="L573" s="339"/>
      <c r="M573" s="339"/>
      <c r="N573" s="339"/>
      <c r="O573" s="339"/>
      <c r="P573" s="339"/>
      <c r="Q573" s="339"/>
      <c r="R573" s="339"/>
      <c r="S573" s="339"/>
      <c r="T573" s="339"/>
      <c r="U573" s="339"/>
      <c r="V573" s="339"/>
      <c r="W573" s="264">
        <f t="shared" si="126"/>
        <v>0</v>
      </c>
      <c r="X573" s="339">
        <f t="shared" si="127"/>
        <v>0</v>
      </c>
      <c r="Y573" s="339"/>
      <c r="Z573" s="340">
        <f t="shared" si="128"/>
        <v>0</v>
      </c>
    </row>
    <row r="574" spans="1:27" ht="12.75" customHeight="1" x14ac:dyDescent="0.2">
      <c r="A574" s="16"/>
      <c r="B574" s="16"/>
      <c r="C574" s="16"/>
      <c r="D574" s="232"/>
      <c r="E574" s="16"/>
      <c r="F574" s="19"/>
      <c r="G574" s="19"/>
      <c r="H574" s="16"/>
      <c r="I574" s="19"/>
      <c r="J574" s="19"/>
      <c r="K574" s="339"/>
      <c r="L574" s="339"/>
      <c r="M574" s="339"/>
      <c r="N574" s="339"/>
      <c r="O574" s="339"/>
      <c r="P574" s="339"/>
      <c r="Q574" s="339"/>
      <c r="R574" s="339"/>
      <c r="S574" s="339"/>
      <c r="T574" s="339"/>
      <c r="U574" s="339"/>
      <c r="V574" s="339"/>
      <c r="W574" s="264">
        <f t="shared" si="126"/>
        <v>0</v>
      </c>
      <c r="X574" s="339">
        <f t="shared" si="127"/>
        <v>0</v>
      </c>
      <c r="Y574" s="339"/>
      <c r="Z574" s="340">
        <f t="shared" si="128"/>
        <v>0</v>
      </c>
      <c r="AA574" s="236"/>
    </row>
    <row r="575" spans="1:27" s="236" customFormat="1" ht="12.75" customHeight="1" x14ac:dyDescent="0.2">
      <c r="A575" s="16"/>
      <c r="B575" s="16"/>
      <c r="C575" s="16"/>
      <c r="D575" s="232"/>
      <c r="E575" s="16"/>
      <c r="F575" s="19"/>
      <c r="G575" s="19"/>
      <c r="H575" s="16"/>
      <c r="I575" s="19"/>
      <c r="J575" s="19"/>
      <c r="K575" s="339"/>
      <c r="L575" s="339"/>
      <c r="M575" s="339"/>
      <c r="N575" s="339"/>
      <c r="O575" s="339"/>
      <c r="P575" s="339"/>
      <c r="Q575" s="339"/>
      <c r="R575" s="339"/>
      <c r="S575" s="339"/>
      <c r="T575" s="339"/>
      <c r="U575" s="339"/>
      <c r="V575" s="339"/>
      <c r="W575" s="264">
        <f t="shared" si="126"/>
        <v>0</v>
      </c>
      <c r="X575" s="339">
        <f t="shared" si="127"/>
        <v>0</v>
      </c>
      <c r="Y575" s="339"/>
      <c r="Z575" s="340">
        <f t="shared" si="128"/>
        <v>0</v>
      </c>
    </row>
    <row r="576" spans="1:27" s="236" customFormat="1" ht="12.75" customHeight="1" x14ac:dyDescent="0.2">
      <c r="A576" s="16"/>
      <c r="B576" s="16"/>
      <c r="C576" s="16"/>
      <c r="D576" s="232"/>
      <c r="E576" s="16"/>
      <c r="F576" s="19"/>
      <c r="G576" s="19"/>
      <c r="H576" s="16"/>
      <c r="I576" s="19"/>
      <c r="J576" s="19"/>
      <c r="K576" s="339"/>
      <c r="L576" s="339"/>
      <c r="M576" s="339"/>
      <c r="N576" s="339"/>
      <c r="O576" s="339"/>
      <c r="P576" s="339"/>
      <c r="Q576" s="339"/>
      <c r="R576" s="339"/>
      <c r="S576" s="339"/>
      <c r="T576" s="339"/>
      <c r="U576" s="339"/>
      <c r="V576" s="339"/>
      <c r="W576" s="264">
        <f t="shared" si="126"/>
        <v>0</v>
      </c>
      <c r="X576" s="339">
        <f t="shared" si="127"/>
        <v>0</v>
      </c>
      <c r="Y576" s="339"/>
      <c r="Z576" s="340">
        <f t="shared" si="128"/>
        <v>0</v>
      </c>
    </row>
    <row r="577" spans="1:27" s="236" customFormat="1" ht="12.75" customHeight="1" x14ac:dyDescent="0.2">
      <c r="A577" s="16"/>
      <c r="B577" s="16"/>
      <c r="C577" s="16"/>
      <c r="D577" s="232"/>
      <c r="E577" s="16"/>
      <c r="F577" s="19"/>
      <c r="G577" s="19"/>
      <c r="H577" s="16"/>
      <c r="I577" s="19"/>
      <c r="J577" s="19"/>
      <c r="K577" s="339"/>
      <c r="L577" s="339"/>
      <c r="M577" s="339"/>
      <c r="N577" s="339"/>
      <c r="O577" s="339"/>
      <c r="P577" s="339"/>
      <c r="Q577" s="339"/>
      <c r="R577" s="339"/>
      <c r="S577" s="339"/>
      <c r="T577" s="339"/>
      <c r="U577" s="339"/>
      <c r="V577" s="339"/>
      <c r="W577" s="264">
        <f t="shared" si="126"/>
        <v>0</v>
      </c>
      <c r="X577" s="339">
        <f t="shared" si="127"/>
        <v>0</v>
      </c>
      <c r="Y577" s="339"/>
      <c r="Z577" s="340">
        <f t="shared" si="128"/>
        <v>0</v>
      </c>
    </row>
    <row r="578" spans="1:27" s="236" customFormat="1" ht="12.75" customHeight="1" x14ac:dyDescent="0.2">
      <c r="A578" s="16"/>
      <c r="B578" s="16"/>
      <c r="C578" s="16"/>
      <c r="D578" s="232"/>
      <c r="E578" s="16"/>
      <c r="F578" s="19"/>
      <c r="G578" s="19"/>
      <c r="H578" s="16"/>
      <c r="I578" s="19"/>
      <c r="J578" s="19"/>
      <c r="K578" s="339"/>
      <c r="L578" s="339"/>
      <c r="M578" s="339"/>
      <c r="N578" s="339"/>
      <c r="O578" s="339"/>
      <c r="P578" s="339"/>
      <c r="Q578" s="339"/>
      <c r="R578" s="339"/>
      <c r="S578" s="339"/>
      <c r="T578" s="339"/>
      <c r="U578" s="339"/>
      <c r="V578" s="339"/>
      <c r="W578" s="264">
        <f t="shared" si="126"/>
        <v>0</v>
      </c>
      <c r="X578" s="339">
        <f t="shared" si="127"/>
        <v>0</v>
      </c>
      <c r="Y578" s="339"/>
      <c r="Z578" s="340">
        <f t="shared" si="128"/>
        <v>0</v>
      </c>
    </row>
    <row r="579" spans="1:27" s="236" customFormat="1" ht="12.75" customHeight="1" x14ac:dyDescent="0.2">
      <c r="A579" s="16"/>
      <c r="B579" s="16"/>
      <c r="C579" s="16"/>
      <c r="D579" s="232"/>
      <c r="E579" s="16"/>
      <c r="F579" s="19"/>
      <c r="G579" s="19"/>
      <c r="H579" s="16"/>
      <c r="I579" s="19"/>
      <c r="J579" s="19"/>
      <c r="K579" s="339"/>
      <c r="L579" s="339"/>
      <c r="M579" s="339"/>
      <c r="N579" s="339"/>
      <c r="O579" s="339"/>
      <c r="P579" s="339"/>
      <c r="Q579" s="339"/>
      <c r="R579" s="339"/>
      <c r="S579" s="339"/>
      <c r="T579" s="339"/>
      <c r="U579" s="339"/>
      <c r="V579" s="339"/>
      <c r="W579" s="264">
        <f t="shared" si="126"/>
        <v>0</v>
      </c>
      <c r="X579" s="339">
        <f t="shared" si="127"/>
        <v>0</v>
      </c>
      <c r="Y579" s="339"/>
      <c r="Z579" s="340">
        <f t="shared" si="128"/>
        <v>0</v>
      </c>
    </row>
    <row r="580" spans="1:27" ht="12.75" customHeight="1" x14ac:dyDescent="0.2">
      <c r="A580" s="16"/>
      <c r="B580" s="16"/>
      <c r="C580" s="16"/>
      <c r="D580" s="232"/>
      <c r="E580" s="16"/>
      <c r="F580" s="19"/>
      <c r="G580" s="19"/>
      <c r="H580" s="16"/>
      <c r="I580" s="19"/>
      <c r="J580" s="19"/>
      <c r="K580" s="339"/>
      <c r="L580" s="339"/>
      <c r="M580" s="339"/>
      <c r="N580" s="339"/>
      <c r="O580" s="339"/>
      <c r="P580" s="339"/>
      <c r="Q580" s="339"/>
      <c r="R580" s="339"/>
      <c r="S580" s="339"/>
      <c r="T580" s="339"/>
      <c r="U580" s="339"/>
      <c r="V580" s="339"/>
      <c r="W580" s="264">
        <f t="shared" si="126"/>
        <v>0</v>
      </c>
      <c r="X580" s="339">
        <f t="shared" si="127"/>
        <v>0</v>
      </c>
      <c r="Y580" s="339"/>
      <c r="Z580" s="340">
        <f t="shared" si="128"/>
        <v>0</v>
      </c>
      <c r="AA580" s="236"/>
    </row>
    <row r="581" spans="1:27" s="236" customFormat="1" ht="12.75" customHeight="1" x14ac:dyDescent="0.2">
      <c r="A581" s="16"/>
      <c r="B581" s="16"/>
      <c r="C581" s="16"/>
      <c r="D581" s="232"/>
      <c r="E581" s="16"/>
      <c r="F581" s="19"/>
      <c r="G581" s="16"/>
      <c r="H581" s="16"/>
      <c r="I581" s="19"/>
      <c r="J581" s="19"/>
      <c r="K581" s="339"/>
      <c r="L581" s="339"/>
      <c r="M581" s="339"/>
      <c r="N581" s="339"/>
      <c r="O581" s="339"/>
      <c r="P581" s="339"/>
      <c r="Q581" s="339"/>
      <c r="R581" s="339"/>
      <c r="S581" s="339"/>
      <c r="T581" s="339"/>
      <c r="U581" s="339"/>
      <c r="V581" s="339"/>
      <c r="W581" s="264">
        <f t="shared" si="126"/>
        <v>0</v>
      </c>
      <c r="X581" s="339">
        <f t="shared" si="127"/>
        <v>0</v>
      </c>
      <c r="Y581" s="339"/>
      <c r="Z581" s="340">
        <f t="shared" si="128"/>
        <v>0</v>
      </c>
    </row>
    <row r="582" spans="1:27" s="236" customFormat="1" ht="12.75" customHeight="1" x14ac:dyDescent="0.2">
      <c r="A582" s="16"/>
      <c r="B582" s="16"/>
      <c r="C582" s="16"/>
      <c r="D582" s="232"/>
      <c r="E582" s="16"/>
      <c r="F582" s="19"/>
      <c r="G582" s="16"/>
      <c r="H582" s="16"/>
      <c r="I582" s="19"/>
      <c r="J582" s="19"/>
      <c r="K582" s="339"/>
      <c r="L582" s="339"/>
      <c r="M582" s="339"/>
      <c r="N582" s="339"/>
      <c r="O582" s="339"/>
      <c r="P582" s="339"/>
      <c r="Q582" s="339"/>
      <c r="R582" s="339"/>
      <c r="S582" s="339"/>
      <c r="T582" s="339"/>
      <c r="U582" s="339"/>
      <c r="V582" s="339"/>
      <c r="W582" s="264">
        <f t="shared" si="126"/>
        <v>0</v>
      </c>
      <c r="X582" s="339">
        <f t="shared" si="127"/>
        <v>0</v>
      </c>
      <c r="Y582" s="339"/>
      <c r="Z582" s="340">
        <f t="shared" si="128"/>
        <v>0</v>
      </c>
    </row>
    <row r="583" spans="1:27" ht="12.75" customHeight="1" x14ac:dyDescent="0.2">
      <c r="A583" s="16"/>
      <c r="B583" s="16"/>
      <c r="C583" s="16"/>
      <c r="D583" s="232"/>
      <c r="E583" s="16"/>
      <c r="F583" s="19"/>
      <c r="G583" s="16"/>
      <c r="H583" s="16"/>
      <c r="I583" s="19"/>
      <c r="J583" s="19"/>
      <c r="K583" s="339"/>
      <c r="L583" s="339"/>
      <c r="M583" s="339"/>
      <c r="N583" s="339"/>
      <c r="O583" s="339"/>
      <c r="P583" s="339"/>
      <c r="Q583" s="339"/>
      <c r="R583" s="339"/>
      <c r="S583" s="339"/>
      <c r="T583" s="339"/>
      <c r="U583" s="339"/>
      <c r="V583" s="339"/>
      <c r="W583" s="264">
        <f t="shared" si="126"/>
        <v>0</v>
      </c>
      <c r="X583" s="339">
        <f t="shared" si="127"/>
        <v>0</v>
      </c>
      <c r="Y583" s="339"/>
      <c r="Z583" s="340">
        <f t="shared" si="128"/>
        <v>0</v>
      </c>
      <c r="AA583" s="236"/>
    </row>
    <row r="584" spans="1:27" ht="12.75" customHeight="1" x14ac:dyDescent="0.2">
      <c r="A584" s="16"/>
      <c r="B584" s="16"/>
      <c r="C584" s="16"/>
      <c r="D584" s="232"/>
      <c r="E584" s="16"/>
      <c r="F584" s="19"/>
      <c r="G584" s="16"/>
      <c r="H584" s="16"/>
      <c r="I584" s="19"/>
      <c r="J584" s="19"/>
      <c r="K584" s="339"/>
      <c r="L584" s="339"/>
      <c r="M584" s="339"/>
      <c r="N584" s="339"/>
      <c r="O584" s="339"/>
      <c r="P584" s="339"/>
      <c r="Q584" s="339"/>
      <c r="R584" s="339"/>
      <c r="S584" s="339"/>
      <c r="T584" s="339"/>
      <c r="U584" s="339"/>
      <c r="V584" s="339"/>
      <c r="W584" s="264">
        <f t="shared" si="126"/>
        <v>0</v>
      </c>
      <c r="X584" s="339">
        <f t="shared" si="127"/>
        <v>0</v>
      </c>
      <c r="Y584" s="339"/>
      <c r="Z584" s="340">
        <f t="shared" si="128"/>
        <v>0</v>
      </c>
      <c r="AA584" s="236"/>
    </row>
    <row r="585" spans="1:27" s="236" customFormat="1" ht="12.75" customHeight="1" x14ac:dyDescent="0.2">
      <c r="A585" s="16"/>
      <c r="B585" s="16"/>
      <c r="C585" s="16"/>
      <c r="D585" s="232"/>
      <c r="E585" s="16"/>
      <c r="F585" s="19"/>
      <c r="G585" s="16"/>
      <c r="H585" s="16"/>
      <c r="I585" s="19"/>
      <c r="J585" s="19"/>
      <c r="K585" s="339"/>
      <c r="L585" s="339"/>
      <c r="M585" s="339"/>
      <c r="N585" s="339"/>
      <c r="O585" s="339"/>
      <c r="P585" s="339"/>
      <c r="Q585" s="339"/>
      <c r="R585" s="339"/>
      <c r="S585" s="339"/>
      <c r="T585" s="339"/>
      <c r="U585" s="339"/>
      <c r="V585" s="339"/>
      <c r="W585" s="264">
        <f t="shared" si="126"/>
        <v>0</v>
      </c>
      <c r="X585" s="339">
        <f t="shared" si="127"/>
        <v>0</v>
      </c>
      <c r="Y585" s="339"/>
      <c r="Z585" s="340">
        <f t="shared" si="128"/>
        <v>0</v>
      </c>
    </row>
    <row r="586" spans="1:27" s="236" customFormat="1" ht="12.75" customHeight="1" x14ac:dyDescent="0.2">
      <c r="A586" s="16"/>
      <c r="B586" s="16"/>
      <c r="C586" s="16"/>
      <c r="D586" s="232"/>
      <c r="E586" s="16"/>
      <c r="F586" s="19"/>
      <c r="G586" s="16"/>
      <c r="H586" s="16"/>
      <c r="I586" s="19"/>
      <c r="J586" s="19"/>
      <c r="K586" s="339"/>
      <c r="L586" s="339"/>
      <c r="M586" s="339"/>
      <c r="N586" s="339"/>
      <c r="O586" s="339"/>
      <c r="P586" s="339"/>
      <c r="Q586" s="339"/>
      <c r="R586" s="339"/>
      <c r="S586" s="339"/>
      <c r="T586" s="339"/>
      <c r="U586" s="339"/>
      <c r="V586" s="339"/>
      <c r="W586" s="264">
        <f t="shared" si="126"/>
        <v>0</v>
      </c>
      <c r="X586" s="339">
        <f t="shared" si="127"/>
        <v>0</v>
      </c>
      <c r="Y586" s="339"/>
      <c r="Z586" s="340">
        <f t="shared" si="128"/>
        <v>0</v>
      </c>
    </row>
    <row r="587" spans="1:27" s="236" customFormat="1" ht="12.75" customHeight="1" x14ac:dyDescent="0.2">
      <c r="A587" s="16"/>
      <c r="B587" s="16"/>
      <c r="C587" s="16"/>
      <c r="D587" s="232"/>
      <c r="E587" s="16"/>
      <c r="F587" s="19"/>
      <c r="G587" s="19"/>
      <c r="H587" s="16"/>
      <c r="I587" s="16"/>
      <c r="J587" s="19"/>
      <c r="K587" s="339"/>
      <c r="L587" s="339"/>
      <c r="M587" s="339"/>
      <c r="N587" s="339"/>
      <c r="O587" s="339"/>
      <c r="P587" s="339"/>
      <c r="Q587" s="339"/>
      <c r="R587" s="339"/>
      <c r="S587" s="339"/>
      <c r="T587" s="339"/>
      <c r="U587" s="339"/>
      <c r="V587" s="339"/>
      <c r="W587" s="264">
        <f t="shared" si="126"/>
        <v>0</v>
      </c>
      <c r="X587" s="339">
        <f t="shared" si="127"/>
        <v>0</v>
      </c>
      <c r="Y587" s="339"/>
      <c r="Z587" s="340">
        <f t="shared" si="128"/>
        <v>0</v>
      </c>
    </row>
    <row r="588" spans="1:27" ht="12.75" customHeight="1" x14ac:dyDescent="0.2">
      <c r="A588" s="16"/>
      <c r="B588" s="16"/>
      <c r="C588" s="16"/>
      <c r="D588" s="232"/>
      <c r="E588" s="16"/>
      <c r="F588" s="19"/>
      <c r="G588" s="19"/>
      <c r="H588" s="16"/>
      <c r="I588" s="16"/>
      <c r="J588" s="19"/>
      <c r="K588" s="339"/>
      <c r="L588" s="339"/>
      <c r="M588" s="339"/>
      <c r="N588" s="339"/>
      <c r="O588" s="339"/>
      <c r="P588" s="339"/>
      <c r="Q588" s="339"/>
      <c r="R588" s="339"/>
      <c r="S588" s="339"/>
      <c r="T588" s="339"/>
      <c r="U588" s="339"/>
      <c r="V588" s="339"/>
      <c r="W588" s="264">
        <f t="shared" si="126"/>
        <v>0</v>
      </c>
      <c r="X588" s="339">
        <f t="shared" si="127"/>
        <v>0</v>
      </c>
      <c r="Y588" s="339"/>
      <c r="Z588" s="340">
        <f t="shared" si="128"/>
        <v>0</v>
      </c>
      <c r="AA588" s="236"/>
    </row>
    <row r="589" spans="1:27" s="236" customFormat="1" ht="12.75" customHeight="1" x14ac:dyDescent="0.2">
      <c r="A589" s="16"/>
      <c r="B589" s="16"/>
      <c r="C589" s="16"/>
      <c r="D589" s="232"/>
      <c r="E589" s="16"/>
      <c r="F589" s="19"/>
      <c r="G589" s="19"/>
      <c r="H589" s="16"/>
      <c r="I589" s="16"/>
      <c r="J589" s="19"/>
      <c r="K589" s="339"/>
      <c r="L589" s="339"/>
      <c r="M589" s="339"/>
      <c r="N589" s="339"/>
      <c r="O589" s="339"/>
      <c r="P589" s="339"/>
      <c r="Q589" s="339"/>
      <c r="R589" s="339"/>
      <c r="S589" s="339"/>
      <c r="T589" s="339"/>
      <c r="U589" s="339"/>
      <c r="V589" s="339"/>
      <c r="W589" s="264">
        <f t="shared" si="126"/>
        <v>0</v>
      </c>
      <c r="X589" s="339">
        <f t="shared" si="127"/>
        <v>0</v>
      </c>
      <c r="Y589" s="339"/>
      <c r="Z589" s="340">
        <f t="shared" si="128"/>
        <v>0</v>
      </c>
    </row>
    <row r="590" spans="1:27" s="236" customFormat="1" ht="12.75" customHeight="1" x14ac:dyDescent="0.2">
      <c r="A590" s="16"/>
      <c r="B590" s="16"/>
      <c r="C590" s="16"/>
      <c r="D590" s="232"/>
      <c r="E590" s="16"/>
      <c r="F590" s="19"/>
      <c r="G590" s="19"/>
      <c r="H590" s="16"/>
      <c r="I590" s="19"/>
      <c r="J590" s="19"/>
      <c r="K590" s="339"/>
      <c r="L590" s="339"/>
      <c r="M590" s="339"/>
      <c r="N590" s="339"/>
      <c r="O590" s="339"/>
      <c r="P590" s="339"/>
      <c r="Q590" s="339"/>
      <c r="R590" s="339"/>
      <c r="S590" s="339"/>
      <c r="T590" s="339"/>
      <c r="U590" s="339"/>
      <c r="V590" s="339"/>
      <c r="W590" s="264">
        <f t="shared" si="126"/>
        <v>0</v>
      </c>
      <c r="X590" s="339">
        <f t="shared" si="127"/>
        <v>0</v>
      </c>
      <c r="Y590" s="339"/>
      <c r="Z590" s="340">
        <f t="shared" si="128"/>
        <v>0</v>
      </c>
    </row>
    <row r="591" spans="1:27" s="236" customFormat="1" ht="12.75" customHeight="1" x14ac:dyDescent="0.2">
      <c r="A591" s="16"/>
      <c r="B591" s="16"/>
      <c r="C591" s="16"/>
      <c r="D591" s="232"/>
      <c r="E591" s="16"/>
      <c r="F591" s="19"/>
      <c r="G591" s="19"/>
      <c r="H591" s="16"/>
      <c r="I591" s="16"/>
      <c r="J591" s="19"/>
      <c r="K591" s="339"/>
      <c r="L591" s="339"/>
      <c r="M591" s="339"/>
      <c r="N591" s="339"/>
      <c r="O591" s="339"/>
      <c r="P591" s="339"/>
      <c r="Q591" s="339"/>
      <c r="R591" s="339"/>
      <c r="S591" s="339"/>
      <c r="T591" s="339"/>
      <c r="U591" s="339"/>
      <c r="V591" s="339"/>
      <c r="W591" s="264">
        <f t="shared" ref="W591:W614" si="129">SUM(N591:V591)</f>
        <v>0</v>
      </c>
      <c r="X591" s="339">
        <f t="shared" si="127"/>
        <v>0</v>
      </c>
      <c r="Y591" s="339"/>
      <c r="Z591" s="340">
        <f t="shared" si="128"/>
        <v>0</v>
      </c>
    </row>
    <row r="592" spans="1:27" s="236" customFormat="1" ht="12.75" customHeight="1" x14ac:dyDescent="0.2">
      <c r="A592" s="16"/>
      <c r="B592" s="16"/>
      <c r="C592" s="16"/>
      <c r="D592" s="232"/>
      <c r="E592" s="16"/>
      <c r="F592" s="19"/>
      <c r="G592" s="19"/>
      <c r="H592" s="16"/>
      <c r="I592" s="16"/>
      <c r="J592" s="19"/>
      <c r="K592" s="339"/>
      <c r="L592" s="339"/>
      <c r="M592" s="339"/>
      <c r="N592" s="339"/>
      <c r="O592" s="339"/>
      <c r="P592" s="339"/>
      <c r="Q592" s="339"/>
      <c r="R592" s="339"/>
      <c r="S592" s="339"/>
      <c r="T592" s="339"/>
      <c r="U592" s="339"/>
      <c r="V592" s="339"/>
      <c r="W592" s="264">
        <f t="shared" si="129"/>
        <v>0</v>
      </c>
      <c r="X592" s="339">
        <f t="shared" si="127"/>
        <v>0</v>
      </c>
      <c r="Y592" s="339"/>
      <c r="Z592" s="340">
        <f t="shared" si="128"/>
        <v>0</v>
      </c>
    </row>
    <row r="593" spans="1:27" ht="12.75" customHeight="1" x14ac:dyDescent="0.2">
      <c r="A593" s="16"/>
      <c r="B593" s="16"/>
      <c r="C593" s="16"/>
      <c r="D593" s="232"/>
      <c r="E593" s="16"/>
      <c r="F593" s="19"/>
      <c r="G593" s="19"/>
      <c r="H593" s="16"/>
      <c r="I593" s="16"/>
      <c r="J593" s="19"/>
      <c r="K593" s="339"/>
      <c r="L593" s="339"/>
      <c r="M593" s="339"/>
      <c r="N593" s="339"/>
      <c r="O593" s="339"/>
      <c r="P593" s="339"/>
      <c r="Q593" s="339"/>
      <c r="R593" s="339"/>
      <c r="S593" s="339"/>
      <c r="T593" s="339"/>
      <c r="U593" s="339"/>
      <c r="V593" s="339"/>
      <c r="W593" s="264">
        <f t="shared" si="129"/>
        <v>0</v>
      </c>
      <c r="X593" s="339">
        <f t="shared" si="127"/>
        <v>0</v>
      </c>
      <c r="Y593" s="339"/>
      <c r="Z593" s="340">
        <f t="shared" si="128"/>
        <v>0</v>
      </c>
      <c r="AA593" s="236"/>
    </row>
    <row r="594" spans="1:27" ht="12.75" customHeight="1" x14ac:dyDescent="0.2">
      <c r="A594" s="16"/>
      <c r="B594" s="16"/>
      <c r="C594" s="16"/>
      <c r="D594" s="232"/>
      <c r="E594" s="16"/>
      <c r="F594" s="19"/>
      <c r="G594" s="19"/>
      <c r="H594" s="16"/>
      <c r="I594" s="19"/>
      <c r="J594" s="19"/>
      <c r="K594" s="339"/>
      <c r="L594" s="339"/>
      <c r="M594" s="339"/>
      <c r="N594" s="339"/>
      <c r="O594" s="339"/>
      <c r="P594" s="339"/>
      <c r="Q594" s="339"/>
      <c r="R594" s="339"/>
      <c r="S594" s="339"/>
      <c r="T594" s="339"/>
      <c r="U594" s="339"/>
      <c r="V594" s="339"/>
      <c r="W594" s="264">
        <f t="shared" si="129"/>
        <v>0</v>
      </c>
      <c r="X594" s="339">
        <f t="shared" si="127"/>
        <v>0</v>
      </c>
      <c r="Y594" s="339"/>
      <c r="Z594" s="340">
        <f t="shared" si="128"/>
        <v>0</v>
      </c>
      <c r="AA594" s="236"/>
    </row>
    <row r="595" spans="1:27" s="236" customFormat="1" ht="12.75" customHeight="1" x14ac:dyDescent="0.2">
      <c r="A595" s="16"/>
      <c r="B595" s="16"/>
      <c r="C595" s="16"/>
      <c r="D595" s="232"/>
      <c r="E595" s="16"/>
      <c r="F595" s="19"/>
      <c r="G595" s="19"/>
      <c r="H595" s="16"/>
      <c r="I595" s="19"/>
      <c r="J595" s="19"/>
      <c r="K595" s="339"/>
      <c r="L595" s="339"/>
      <c r="M595" s="339"/>
      <c r="N595" s="339"/>
      <c r="O595" s="339"/>
      <c r="P595" s="339"/>
      <c r="Q595" s="339"/>
      <c r="R595" s="339"/>
      <c r="S595" s="339"/>
      <c r="T595" s="339"/>
      <c r="U595" s="339"/>
      <c r="V595" s="339"/>
      <c r="W595" s="264">
        <f t="shared" si="129"/>
        <v>0</v>
      </c>
      <c r="X595" s="339">
        <f t="shared" si="127"/>
        <v>0</v>
      </c>
      <c r="Y595" s="339"/>
      <c r="Z595" s="340">
        <f t="shared" si="128"/>
        <v>0</v>
      </c>
    </row>
    <row r="596" spans="1:27" s="236" customFormat="1" ht="12.75" customHeight="1" x14ac:dyDescent="0.2">
      <c r="A596" s="16"/>
      <c r="B596" s="16"/>
      <c r="C596" s="16"/>
      <c r="D596" s="232"/>
      <c r="E596" s="16"/>
      <c r="F596" s="19"/>
      <c r="G596" s="19"/>
      <c r="H596" s="16"/>
      <c r="I596" s="19"/>
      <c r="J596" s="19"/>
      <c r="K596" s="339"/>
      <c r="L596" s="339"/>
      <c r="M596" s="339"/>
      <c r="N596" s="339"/>
      <c r="O596" s="339"/>
      <c r="P596" s="339"/>
      <c r="Q596" s="339"/>
      <c r="R596" s="339"/>
      <c r="S596" s="339"/>
      <c r="T596" s="339"/>
      <c r="U596" s="339"/>
      <c r="V596" s="339"/>
      <c r="W596" s="264">
        <f t="shared" si="129"/>
        <v>0</v>
      </c>
      <c r="X596" s="339">
        <f t="shared" si="127"/>
        <v>0</v>
      </c>
      <c r="Y596" s="339"/>
      <c r="Z596" s="340">
        <f t="shared" si="128"/>
        <v>0</v>
      </c>
    </row>
    <row r="597" spans="1:27" s="236" customFormat="1" ht="12.75" customHeight="1" x14ac:dyDescent="0.2">
      <c r="A597" s="16"/>
      <c r="B597" s="16"/>
      <c r="C597" s="16"/>
      <c r="D597" s="232"/>
      <c r="E597" s="16"/>
      <c r="F597" s="19"/>
      <c r="G597" s="19"/>
      <c r="H597" s="16"/>
      <c r="I597" s="19"/>
      <c r="J597" s="19"/>
      <c r="K597" s="339"/>
      <c r="L597" s="339"/>
      <c r="M597" s="339"/>
      <c r="N597" s="339"/>
      <c r="O597" s="339"/>
      <c r="P597" s="339"/>
      <c r="Q597" s="339"/>
      <c r="R597" s="339"/>
      <c r="S597" s="339"/>
      <c r="T597" s="339"/>
      <c r="U597" s="339"/>
      <c r="V597" s="339"/>
      <c r="W597" s="264">
        <f t="shared" si="129"/>
        <v>0</v>
      </c>
      <c r="X597" s="339">
        <f t="shared" si="127"/>
        <v>0</v>
      </c>
      <c r="Y597" s="339"/>
      <c r="Z597" s="340">
        <f t="shared" si="128"/>
        <v>0</v>
      </c>
    </row>
    <row r="598" spans="1:27" s="236" customFormat="1" ht="12.75" customHeight="1" x14ac:dyDescent="0.2">
      <c r="A598" s="16"/>
      <c r="B598" s="16"/>
      <c r="C598" s="16"/>
      <c r="D598" s="232"/>
      <c r="E598" s="16"/>
      <c r="F598" s="19"/>
      <c r="G598" s="19"/>
      <c r="H598" s="16"/>
      <c r="I598" s="19"/>
      <c r="J598" s="19"/>
      <c r="K598" s="339"/>
      <c r="L598" s="339"/>
      <c r="M598" s="339"/>
      <c r="N598" s="339"/>
      <c r="O598" s="339"/>
      <c r="P598" s="339"/>
      <c r="Q598" s="339"/>
      <c r="R598" s="339"/>
      <c r="S598" s="339"/>
      <c r="T598" s="339"/>
      <c r="U598" s="339"/>
      <c r="V598" s="339"/>
      <c r="W598" s="264">
        <f t="shared" si="129"/>
        <v>0</v>
      </c>
      <c r="X598" s="339">
        <f t="shared" si="127"/>
        <v>0</v>
      </c>
      <c r="Y598" s="339"/>
      <c r="Z598" s="340">
        <f t="shared" si="128"/>
        <v>0</v>
      </c>
    </row>
    <row r="599" spans="1:27" s="236" customFormat="1" ht="12.75" customHeight="1" x14ac:dyDescent="0.2">
      <c r="A599" s="16"/>
      <c r="B599" s="16"/>
      <c r="C599" s="16"/>
      <c r="D599" s="232"/>
      <c r="E599" s="16"/>
      <c r="F599" s="19"/>
      <c r="G599" s="19"/>
      <c r="H599" s="16"/>
      <c r="I599" s="19"/>
      <c r="J599" s="19"/>
      <c r="K599" s="339"/>
      <c r="L599" s="339"/>
      <c r="M599" s="339"/>
      <c r="N599" s="339"/>
      <c r="O599" s="339"/>
      <c r="P599" s="339"/>
      <c r="Q599" s="339"/>
      <c r="R599" s="339"/>
      <c r="S599" s="339"/>
      <c r="T599" s="339"/>
      <c r="U599" s="339"/>
      <c r="V599" s="339"/>
      <c r="W599" s="264">
        <f t="shared" si="129"/>
        <v>0</v>
      </c>
      <c r="X599" s="339">
        <f t="shared" si="127"/>
        <v>0</v>
      </c>
      <c r="Y599" s="339"/>
      <c r="Z599" s="340">
        <f t="shared" si="128"/>
        <v>0</v>
      </c>
    </row>
    <row r="600" spans="1:27" s="236" customFormat="1" ht="12.75" customHeight="1" x14ac:dyDescent="0.2">
      <c r="A600" s="16"/>
      <c r="B600" s="16"/>
      <c r="C600" s="16"/>
      <c r="D600" s="232"/>
      <c r="E600" s="16"/>
      <c r="F600" s="19"/>
      <c r="G600" s="19"/>
      <c r="H600" s="16"/>
      <c r="I600" s="19"/>
      <c r="J600" s="19"/>
      <c r="K600" s="339"/>
      <c r="L600" s="339"/>
      <c r="M600" s="339"/>
      <c r="N600" s="339"/>
      <c r="O600" s="339"/>
      <c r="P600" s="339"/>
      <c r="Q600" s="339"/>
      <c r="R600" s="339"/>
      <c r="S600" s="339"/>
      <c r="T600" s="339"/>
      <c r="U600" s="339"/>
      <c r="V600" s="339"/>
      <c r="W600" s="264">
        <f t="shared" si="129"/>
        <v>0</v>
      </c>
      <c r="X600" s="339">
        <f t="shared" si="127"/>
        <v>0</v>
      </c>
      <c r="Y600" s="339"/>
      <c r="Z600" s="340">
        <f t="shared" si="128"/>
        <v>0</v>
      </c>
    </row>
    <row r="601" spans="1:27" s="236" customFormat="1" ht="12.75" customHeight="1" x14ac:dyDescent="0.2">
      <c r="A601" s="16"/>
      <c r="B601" s="16"/>
      <c r="C601" s="16"/>
      <c r="D601" s="232"/>
      <c r="E601" s="16"/>
      <c r="F601" s="19"/>
      <c r="G601" s="19"/>
      <c r="H601" s="16"/>
      <c r="I601" s="19"/>
      <c r="J601" s="19"/>
      <c r="K601" s="339"/>
      <c r="L601" s="339"/>
      <c r="M601" s="339"/>
      <c r="N601" s="339"/>
      <c r="O601" s="339"/>
      <c r="P601" s="339"/>
      <c r="Q601" s="339"/>
      <c r="R601" s="339"/>
      <c r="S601" s="339"/>
      <c r="T601" s="339"/>
      <c r="U601" s="339"/>
      <c r="V601" s="339"/>
      <c r="W601" s="264">
        <f t="shared" si="129"/>
        <v>0</v>
      </c>
      <c r="X601" s="339">
        <f t="shared" si="127"/>
        <v>0</v>
      </c>
      <c r="Y601" s="339"/>
      <c r="Z601" s="340">
        <f t="shared" si="128"/>
        <v>0</v>
      </c>
    </row>
    <row r="602" spans="1:27" s="236" customFormat="1" ht="12.75" customHeight="1" x14ac:dyDescent="0.2">
      <c r="A602" s="16"/>
      <c r="B602" s="16"/>
      <c r="C602" s="16"/>
      <c r="D602" s="232"/>
      <c r="E602" s="16"/>
      <c r="F602" s="19"/>
      <c r="G602" s="19"/>
      <c r="H602" s="16"/>
      <c r="I602" s="19"/>
      <c r="J602" s="19"/>
      <c r="K602" s="339"/>
      <c r="L602" s="339"/>
      <c r="M602" s="339"/>
      <c r="N602" s="339"/>
      <c r="O602" s="339"/>
      <c r="P602" s="339"/>
      <c r="Q602" s="339"/>
      <c r="R602" s="339"/>
      <c r="S602" s="339"/>
      <c r="T602" s="339"/>
      <c r="U602" s="339"/>
      <c r="V602" s="339"/>
      <c r="W602" s="264">
        <f t="shared" si="129"/>
        <v>0</v>
      </c>
      <c r="X602" s="339">
        <f t="shared" si="127"/>
        <v>0</v>
      </c>
      <c r="Y602" s="339"/>
      <c r="Z602" s="340">
        <f t="shared" si="128"/>
        <v>0</v>
      </c>
    </row>
    <row r="603" spans="1:27" s="236" customFormat="1" ht="12.75" customHeight="1" x14ac:dyDescent="0.2">
      <c r="A603" s="16"/>
      <c r="B603" s="16"/>
      <c r="C603" s="16"/>
      <c r="D603" s="232"/>
      <c r="E603" s="16"/>
      <c r="F603" s="19"/>
      <c r="G603" s="19"/>
      <c r="H603" s="342"/>
      <c r="I603" s="19"/>
      <c r="J603" s="19"/>
      <c r="K603" s="339"/>
      <c r="L603" s="339"/>
      <c r="M603" s="339"/>
      <c r="N603" s="339"/>
      <c r="O603" s="339"/>
      <c r="P603" s="339"/>
      <c r="Q603" s="339"/>
      <c r="R603" s="339"/>
      <c r="S603" s="339"/>
      <c r="T603" s="339"/>
      <c r="U603" s="339"/>
      <c r="V603" s="339"/>
      <c r="W603" s="264">
        <f t="shared" si="129"/>
        <v>0</v>
      </c>
      <c r="X603" s="339">
        <f t="shared" si="127"/>
        <v>0</v>
      </c>
      <c r="Y603" s="339"/>
      <c r="Z603" s="340">
        <f t="shared" si="128"/>
        <v>0</v>
      </c>
    </row>
    <row r="604" spans="1:27" s="236" customFormat="1" ht="12.75" customHeight="1" x14ac:dyDescent="0.2">
      <c r="A604" s="16"/>
      <c r="B604" s="16"/>
      <c r="C604" s="16"/>
      <c r="D604" s="232"/>
      <c r="E604" s="16"/>
      <c r="F604" s="19"/>
      <c r="G604" s="19"/>
      <c r="H604" s="342"/>
      <c r="I604" s="19"/>
      <c r="J604" s="19"/>
      <c r="K604" s="339"/>
      <c r="L604" s="339"/>
      <c r="M604" s="339"/>
      <c r="N604" s="339"/>
      <c r="O604" s="339"/>
      <c r="P604" s="339"/>
      <c r="Q604" s="339"/>
      <c r="R604" s="339"/>
      <c r="S604" s="339"/>
      <c r="T604" s="339"/>
      <c r="U604" s="339"/>
      <c r="V604" s="339"/>
      <c r="W604" s="264">
        <f t="shared" si="129"/>
        <v>0</v>
      </c>
      <c r="X604" s="339">
        <f t="shared" si="127"/>
        <v>0</v>
      </c>
      <c r="Y604" s="339"/>
      <c r="Z604" s="340">
        <f t="shared" si="128"/>
        <v>0</v>
      </c>
    </row>
    <row r="605" spans="1:27" s="236" customFormat="1" ht="12.75" customHeight="1" x14ac:dyDescent="0.2">
      <c r="A605" s="16"/>
      <c r="B605" s="16"/>
      <c r="C605" s="16"/>
      <c r="D605" s="232"/>
      <c r="E605" s="16"/>
      <c r="F605" s="19"/>
      <c r="G605" s="19"/>
      <c r="H605" s="342"/>
      <c r="I605" s="19"/>
      <c r="J605" s="19"/>
      <c r="K605" s="339"/>
      <c r="L605" s="339"/>
      <c r="M605" s="339"/>
      <c r="N605" s="339"/>
      <c r="O605" s="339"/>
      <c r="P605" s="339"/>
      <c r="Q605" s="339"/>
      <c r="R605" s="339"/>
      <c r="S605" s="339"/>
      <c r="T605" s="339"/>
      <c r="U605" s="339"/>
      <c r="V605" s="339"/>
      <c r="W605" s="264">
        <f t="shared" si="129"/>
        <v>0</v>
      </c>
      <c r="X605" s="339">
        <f t="shared" si="127"/>
        <v>0</v>
      </c>
      <c r="Y605" s="339"/>
      <c r="Z605" s="340">
        <f t="shared" si="128"/>
        <v>0</v>
      </c>
    </row>
    <row r="606" spans="1:27" s="236" customFormat="1" ht="12.75" customHeight="1" x14ac:dyDescent="0.2">
      <c r="A606" s="16"/>
      <c r="B606" s="16"/>
      <c r="C606" s="16"/>
      <c r="D606" s="232"/>
      <c r="E606" s="16"/>
      <c r="F606" s="19"/>
      <c r="G606" s="19"/>
      <c r="H606" s="342"/>
      <c r="I606" s="19"/>
      <c r="J606" s="19"/>
      <c r="K606" s="339"/>
      <c r="L606" s="339"/>
      <c r="M606" s="339"/>
      <c r="N606" s="339"/>
      <c r="O606" s="339"/>
      <c r="P606" s="339"/>
      <c r="Q606" s="339"/>
      <c r="R606" s="339"/>
      <c r="S606" s="339"/>
      <c r="T606" s="339"/>
      <c r="U606" s="339"/>
      <c r="V606" s="339"/>
      <c r="W606" s="264">
        <f t="shared" si="129"/>
        <v>0</v>
      </c>
      <c r="X606" s="339">
        <f t="shared" si="127"/>
        <v>0</v>
      </c>
      <c r="Y606" s="339"/>
      <c r="Z606" s="340">
        <f t="shared" si="128"/>
        <v>0</v>
      </c>
    </row>
    <row r="607" spans="1:27" s="236" customFormat="1" ht="12.75" customHeight="1" x14ac:dyDescent="0.2">
      <c r="A607" s="16"/>
      <c r="B607" s="16"/>
      <c r="C607" s="16"/>
      <c r="D607" s="232"/>
      <c r="E607" s="16"/>
      <c r="F607" s="19"/>
      <c r="G607" s="19"/>
      <c r="H607" s="342"/>
      <c r="I607" s="19"/>
      <c r="J607" s="19"/>
      <c r="K607" s="339"/>
      <c r="L607" s="339"/>
      <c r="M607" s="339"/>
      <c r="N607" s="339"/>
      <c r="O607" s="339"/>
      <c r="P607" s="339"/>
      <c r="Q607" s="339"/>
      <c r="R607" s="339"/>
      <c r="S607" s="339"/>
      <c r="T607" s="339"/>
      <c r="U607" s="339"/>
      <c r="V607" s="339"/>
      <c r="W607" s="264">
        <f t="shared" si="129"/>
        <v>0</v>
      </c>
      <c r="X607" s="339">
        <f t="shared" si="127"/>
        <v>0</v>
      </c>
      <c r="Y607" s="339"/>
      <c r="Z607" s="340">
        <f t="shared" si="128"/>
        <v>0</v>
      </c>
    </row>
    <row r="608" spans="1:27" s="236" customFormat="1" ht="12.75" customHeight="1" x14ac:dyDescent="0.2">
      <c r="A608" s="16"/>
      <c r="B608" s="16"/>
      <c r="C608" s="16"/>
      <c r="D608" s="232"/>
      <c r="E608" s="16"/>
      <c r="F608" s="19"/>
      <c r="G608" s="19"/>
      <c r="H608" s="342"/>
      <c r="I608" s="19"/>
      <c r="J608" s="19"/>
      <c r="K608" s="339"/>
      <c r="L608" s="339"/>
      <c r="M608" s="339"/>
      <c r="N608" s="339"/>
      <c r="O608" s="339"/>
      <c r="P608" s="339"/>
      <c r="Q608" s="339"/>
      <c r="R608" s="339"/>
      <c r="S608" s="339"/>
      <c r="T608" s="339"/>
      <c r="U608" s="339"/>
      <c r="V608" s="339"/>
      <c r="W608" s="264">
        <f t="shared" si="129"/>
        <v>0</v>
      </c>
      <c r="X608" s="339">
        <f t="shared" si="127"/>
        <v>0</v>
      </c>
      <c r="Y608" s="339"/>
      <c r="Z608" s="340">
        <f t="shared" si="128"/>
        <v>0</v>
      </c>
    </row>
    <row r="609" spans="1:27" s="236" customFormat="1" ht="12.75" customHeight="1" x14ac:dyDescent="0.2">
      <c r="A609" s="16"/>
      <c r="B609" s="16"/>
      <c r="C609" s="16"/>
      <c r="D609" s="232"/>
      <c r="E609" s="16"/>
      <c r="F609" s="19"/>
      <c r="G609" s="19"/>
      <c r="H609" s="342"/>
      <c r="I609" s="19"/>
      <c r="J609" s="19"/>
      <c r="K609" s="339"/>
      <c r="L609" s="339"/>
      <c r="M609" s="339"/>
      <c r="N609" s="339"/>
      <c r="O609" s="339"/>
      <c r="P609" s="339"/>
      <c r="Q609" s="339"/>
      <c r="R609" s="339"/>
      <c r="S609" s="339"/>
      <c r="T609" s="339"/>
      <c r="U609" s="339"/>
      <c r="V609" s="339"/>
      <c r="W609" s="264">
        <f t="shared" si="129"/>
        <v>0</v>
      </c>
      <c r="X609" s="339">
        <f t="shared" si="127"/>
        <v>0</v>
      </c>
      <c r="Y609" s="339"/>
      <c r="Z609" s="340">
        <f t="shared" si="128"/>
        <v>0</v>
      </c>
    </row>
    <row r="610" spans="1:27" s="236" customFormat="1" ht="12.75" customHeight="1" x14ac:dyDescent="0.2">
      <c r="A610" s="16"/>
      <c r="B610" s="16"/>
      <c r="C610" s="16"/>
      <c r="D610" s="232"/>
      <c r="E610" s="16"/>
      <c r="F610" s="19"/>
      <c r="G610" s="19"/>
      <c r="H610" s="342"/>
      <c r="I610" s="19"/>
      <c r="J610" s="19"/>
      <c r="K610" s="339"/>
      <c r="L610" s="339"/>
      <c r="M610" s="339"/>
      <c r="N610" s="339"/>
      <c r="O610" s="339"/>
      <c r="P610" s="339"/>
      <c r="Q610" s="339"/>
      <c r="R610" s="339"/>
      <c r="S610" s="339"/>
      <c r="T610" s="339"/>
      <c r="U610" s="339"/>
      <c r="V610" s="339"/>
      <c r="W610" s="264">
        <f t="shared" si="129"/>
        <v>0</v>
      </c>
      <c r="X610" s="339">
        <f t="shared" si="127"/>
        <v>0</v>
      </c>
      <c r="Y610" s="339"/>
      <c r="Z610" s="340">
        <f t="shared" si="128"/>
        <v>0</v>
      </c>
    </row>
    <row r="611" spans="1:27" s="236" customFormat="1" ht="12.75" customHeight="1" x14ac:dyDescent="0.2">
      <c r="A611" s="16"/>
      <c r="B611" s="16"/>
      <c r="C611" s="16"/>
      <c r="D611" s="232"/>
      <c r="E611" s="16"/>
      <c r="F611" s="19"/>
      <c r="G611" s="19"/>
      <c r="H611" s="342"/>
      <c r="I611" s="19"/>
      <c r="J611" s="19"/>
      <c r="K611" s="339"/>
      <c r="L611" s="339"/>
      <c r="M611" s="339"/>
      <c r="N611" s="339"/>
      <c r="O611" s="339"/>
      <c r="P611" s="339"/>
      <c r="Q611" s="339"/>
      <c r="R611" s="339"/>
      <c r="S611" s="339"/>
      <c r="T611" s="339"/>
      <c r="U611" s="339"/>
      <c r="V611" s="339"/>
      <c r="W611" s="264">
        <f t="shared" si="129"/>
        <v>0</v>
      </c>
      <c r="X611" s="339">
        <f t="shared" si="127"/>
        <v>0</v>
      </c>
      <c r="Y611" s="339"/>
      <c r="Z611" s="340">
        <f t="shared" si="128"/>
        <v>0</v>
      </c>
    </row>
    <row r="612" spans="1:27" ht="12.75" customHeight="1" x14ac:dyDescent="0.2">
      <c r="A612" s="16"/>
      <c r="B612" s="16"/>
      <c r="C612" s="16"/>
      <c r="D612" s="232"/>
      <c r="E612" s="16"/>
      <c r="F612" s="19"/>
      <c r="G612" s="19"/>
      <c r="H612" s="342"/>
      <c r="I612" s="19"/>
      <c r="J612" s="19"/>
      <c r="K612" s="339"/>
      <c r="L612" s="339"/>
      <c r="M612" s="339"/>
      <c r="N612" s="339"/>
      <c r="O612" s="339"/>
      <c r="P612" s="339"/>
      <c r="Q612" s="339"/>
      <c r="R612" s="339"/>
      <c r="S612" s="339"/>
      <c r="T612" s="339"/>
      <c r="U612" s="339"/>
      <c r="V612" s="339"/>
      <c r="W612" s="264">
        <f t="shared" si="129"/>
        <v>0</v>
      </c>
      <c r="X612" s="339">
        <f t="shared" si="127"/>
        <v>0</v>
      </c>
      <c r="Y612" s="339"/>
      <c r="Z612" s="340">
        <f t="shared" si="128"/>
        <v>0</v>
      </c>
      <c r="AA612" s="236"/>
    </row>
    <row r="613" spans="1:27" ht="12.75" customHeight="1" x14ac:dyDescent="0.2">
      <c r="A613" s="16"/>
      <c r="B613" s="16"/>
      <c r="C613" s="16"/>
      <c r="D613" s="232"/>
      <c r="E613" s="16"/>
      <c r="F613" s="19"/>
      <c r="G613" s="19"/>
      <c r="H613" s="342"/>
      <c r="I613" s="19"/>
      <c r="J613" s="19"/>
      <c r="K613" s="339"/>
      <c r="L613" s="339"/>
      <c r="M613" s="339"/>
      <c r="N613" s="339"/>
      <c r="O613" s="339"/>
      <c r="P613" s="339"/>
      <c r="Q613" s="339"/>
      <c r="R613" s="339"/>
      <c r="S613" s="339"/>
      <c r="T613" s="339"/>
      <c r="U613" s="339"/>
      <c r="V613" s="339"/>
      <c r="W613" s="264">
        <f t="shared" si="129"/>
        <v>0</v>
      </c>
      <c r="X613" s="339">
        <f t="shared" si="127"/>
        <v>0</v>
      </c>
      <c r="Y613" s="339"/>
      <c r="Z613" s="340">
        <f t="shared" si="128"/>
        <v>0</v>
      </c>
      <c r="AA613" s="236"/>
    </row>
    <row r="614" spans="1:27" ht="12.75" customHeight="1" x14ac:dyDescent="0.2">
      <c r="A614" s="16"/>
      <c r="B614" s="16"/>
      <c r="C614" s="16"/>
      <c r="D614" s="232"/>
      <c r="E614" s="16"/>
      <c r="F614" s="19"/>
      <c r="G614" s="19"/>
      <c r="H614" s="342"/>
      <c r="I614" s="19"/>
      <c r="J614" s="19"/>
      <c r="K614" s="339"/>
      <c r="L614" s="339"/>
      <c r="M614" s="339"/>
      <c r="N614" s="339"/>
      <c r="O614" s="339"/>
      <c r="P614" s="339"/>
      <c r="Q614" s="339"/>
      <c r="R614" s="339"/>
      <c r="S614" s="339"/>
      <c r="T614" s="339"/>
      <c r="U614" s="339"/>
      <c r="V614" s="339"/>
      <c r="W614" s="264">
        <f t="shared" si="129"/>
        <v>0</v>
      </c>
      <c r="X614" s="339">
        <f t="shared" si="127"/>
        <v>0</v>
      </c>
      <c r="Y614" s="339"/>
      <c r="Z614" s="340">
        <f t="shared" si="128"/>
        <v>0</v>
      </c>
      <c r="AA614" s="236"/>
    </row>
    <row r="615" spans="1:27" ht="13.5" customHeight="1" thickBot="1" x14ac:dyDescent="0.25">
      <c r="A615" s="16"/>
      <c r="B615" s="16"/>
      <c r="C615" s="16"/>
      <c r="D615" s="16"/>
      <c r="E615" s="16"/>
      <c r="F615" s="16"/>
      <c r="G615" s="16"/>
      <c r="H615" s="16"/>
      <c r="I615" s="16"/>
      <c r="J615" s="16"/>
      <c r="K615" s="339"/>
      <c r="L615" s="339"/>
      <c r="M615" s="339"/>
      <c r="N615" s="339"/>
      <c r="O615" s="339"/>
      <c r="P615" s="339"/>
      <c r="Q615" s="339"/>
      <c r="R615" s="339"/>
      <c r="S615" s="339"/>
      <c r="T615" s="339"/>
      <c r="U615" s="339"/>
      <c r="V615" s="339"/>
      <c r="W615" s="264">
        <f>SUM(N615:V615)</f>
        <v>0</v>
      </c>
      <c r="X615" s="339">
        <f t="shared" si="127"/>
        <v>0</v>
      </c>
      <c r="Y615" s="339"/>
      <c r="Z615" s="340">
        <f t="shared" si="128"/>
        <v>0</v>
      </c>
      <c r="AA615" s="236"/>
    </row>
    <row r="616" spans="1:27" ht="13.5" customHeight="1" thickBot="1" x14ac:dyDescent="0.25">
      <c r="A616" s="66"/>
      <c r="B616" s="67"/>
      <c r="C616" s="68">
        <f>COUNTA(C27:C615)</f>
        <v>544</v>
      </c>
      <c r="D616" s="67"/>
      <c r="E616" s="67"/>
      <c r="F616" s="67"/>
      <c r="G616" s="67"/>
      <c r="H616" s="67"/>
      <c r="I616" s="67"/>
      <c r="J616" s="67"/>
      <c r="K616" s="69">
        <f>SUM(K27:K615)</f>
        <v>5072.1060400000069</v>
      </c>
      <c r="L616" s="69">
        <f>SUM(L27:L615)</f>
        <v>1079862</v>
      </c>
      <c r="M616" s="69">
        <f>SUM(M27:M615)</f>
        <v>0</v>
      </c>
      <c r="N616" s="69">
        <f>SUM(N27:N615)</f>
        <v>9325214.5631999876</v>
      </c>
      <c r="O616" s="69"/>
      <c r="P616" s="69">
        <f t="shared" ref="P616:Z616" si="130">SUM(P27:P615)</f>
        <v>21836.87</v>
      </c>
      <c r="Q616" s="69">
        <f t="shared" si="130"/>
        <v>3067650.174700805</v>
      </c>
      <c r="R616" s="69">
        <f t="shared" si="130"/>
        <v>135954.67616639991</v>
      </c>
      <c r="S616" s="69">
        <f t="shared" si="130"/>
        <v>2191.6999999999998</v>
      </c>
      <c r="T616" s="69">
        <f t="shared" si="130"/>
        <v>1075574.7999999998</v>
      </c>
      <c r="U616" s="69">
        <f t="shared" si="130"/>
        <v>53978.400000000045</v>
      </c>
      <c r="V616" s="69">
        <f t="shared" si="130"/>
        <v>0</v>
      </c>
      <c r="W616" s="70">
        <f t="shared" si="130"/>
        <v>13723801.184067188</v>
      </c>
      <c r="X616" s="71">
        <f t="shared" si="130"/>
        <v>0</v>
      </c>
      <c r="Y616" s="69">
        <f t="shared" si="130"/>
        <v>0</v>
      </c>
      <c r="Z616" s="72">
        <f t="shared" si="130"/>
        <v>13723801.184067188</v>
      </c>
    </row>
    <row r="617" spans="1:27" ht="12.75" customHeight="1" x14ac:dyDescent="0.2">
      <c r="A617" s="63"/>
      <c r="B617" s="64"/>
      <c r="C617" s="64">
        <f t="shared" ref="C617:C636" si="131">COUNTIFS($I$27:$I$615,$I617,$H$27:$H$615,"1")</f>
        <v>132</v>
      </c>
      <c r="D617" s="64"/>
      <c r="E617" s="64"/>
      <c r="F617" s="64"/>
      <c r="G617" s="64"/>
      <c r="H617" s="64"/>
      <c r="I617" s="41" t="s">
        <v>19</v>
      </c>
      <c r="J617" s="64"/>
      <c r="K617" s="65"/>
      <c r="L617" s="65">
        <f t="shared" ref="L617:N636" si="132">SUMIFS(L$27:L$615,$I$27:$I$615,$I617,$H$27:$H$615,"1")</f>
        <v>273730</v>
      </c>
      <c r="M617" s="65">
        <f t="shared" si="132"/>
        <v>0</v>
      </c>
      <c r="N617" s="65">
        <f t="shared" si="132"/>
        <v>832117.22959999985</v>
      </c>
      <c r="O617" s="65"/>
      <c r="P617" s="65">
        <f t="shared" ref="P617:Z626" si="133">SUMIFS(P$27:P$615,$I$27:$I$615,$I617,$H$27:$H$615,"1")</f>
        <v>0</v>
      </c>
      <c r="Q617" s="65">
        <f t="shared" si="133"/>
        <v>266316.23661239998</v>
      </c>
      <c r="R617" s="65">
        <f t="shared" si="133"/>
        <v>12337.13982920001</v>
      </c>
      <c r="S617" s="65">
        <f t="shared" si="133"/>
        <v>1782.5</v>
      </c>
      <c r="T617" s="65">
        <f t="shared" si="133"/>
        <v>79035.360000000001</v>
      </c>
      <c r="U617" s="65">
        <f t="shared" si="133"/>
        <v>6491.76</v>
      </c>
      <c r="V617" s="65">
        <f t="shared" si="133"/>
        <v>0</v>
      </c>
      <c r="W617" s="65">
        <f t="shared" si="133"/>
        <v>1216800.2260415996</v>
      </c>
      <c r="X617" s="65">
        <f t="shared" si="133"/>
        <v>0</v>
      </c>
      <c r="Y617" s="65">
        <f t="shared" si="133"/>
        <v>0</v>
      </c>
      <c r="Z617" s="739">
        <f t="shared" si="133"/>
        <v>1216800.2260415996</v>
      </c>
    </row>
    <row r="618" spans="1:27" ht="12.75" customHeight="1" x14ac:dyDescent="0.2">
      <c r="A618" s="50"/>
      <c r="B618" s="51"/>
      <c r="C618" s="51">
        <f t="shared" si="131"/>
        <v>11</v>
      </c>
      <c r="D618" s="51"/>
      <c r="E618" s="51"/>
      <c r="F618" s="51"/>
      <c r="G618" s="51"/>
      <c r="H618" s="51"/>
      <c r="I618" s="73" t="s">
        <v>18</v>
      </c>
      <c r="J618" s="51"/>
      <c r="K618" s="52"/>
      <c r="L618" s="52">
        <f t="shared" si="132"/>
        <v>132</v>
      </c>
      <c r="M618" s="52">
        <f t="shared" si="132"/>
        <v>0</v>
      </c>
      <c r="N618" s="52">
        <f t="shared" si="132"/>
        <v>6600</v>
      </c>
      <c r="O618" s="52"/>
      <c r="P618" s="52">
        <f t="shared" si="133"/>
        <v>0</v>
      </c>
      <c r="Q618" s="52">
        <f t="shared" si="133"/>
        <v>0</v>
      </c>
      <c r="R618" s="52">
        <f t="shared" si="133"/>
        <v>95.700000000000017</v>
      </c>
      <c r="S618" s="52">
        <f t="shared" si="133"/>
        <v>409.19999999999993</v>
      </c>
      <c r="T618" s="52">
        <f t="shared" si="133"/>
        <v>0</v>
      </c>
      <c r="U618" s="52">
        <f t="shared" si="133"/>
        <v>0</v>
      </c>
      <c r="V618" s="52">
        <f t="shared" si="133"/>
        <v>0</v>
      </c>
      <c r="W618" s="52">
        <f t="shared" si="133"/>
        <v>7104.9</v>
      </c>
      <c r="X618" s="52">
        <f t="shared" si="133"/>
        <v>0</v>
      </c>
      <c r="Y618" s="52">
        <f t="shared" si="133"/>
        <v>0</v>
      </c>
      <c r="Z618" s="740">
        <f t="shared" si="133"/>
        <v>7104.9</v>
      </c>
    </row>
    <row r="619" spans="1:27" ht="12.75" customHeight="1" x14ac:dyDescent="0.2">
      <c r="A619" s="50"/>
      <c r="B619" s="51"/>
      <c r="C619" s="51">
        <f t="shared" si="131"/>
        <v>4</v>
      </c>
      <c r="D619" s="51"/>
      <c r="E619" s="51"/>
      <c r="F619" s="51"/>
      <c r="G619" s="51"/>
      <c r="H619" s="51"/>
      <c r="I619" s="73" t="s">
        <v>22</v>
      </c>
      <c r="J619" s="51"/>
      <c r="K619" s="52"/>
      <c r="L619" s="52">
        <f t="shared" si="132"/>
        <v>8320</v>
      </c>
      <c r="M619" s="52">
        <f t="shared" si="132"/>
        <v>0</v>
      </c>
      <c r="N619" s="52">
        <f t="shared" si="132"/>
        <v>63585.599999999999</v>
      </c>
      <c r="O619" s="52"/>
      <c r="P619" s="52">
        <f t="shared" si="133"/>
        <v>0</v>
      </c>
      <c r="Q619" s="52">
        <f t="shared" si="133"/>
        <v>21078.626400000001</v>
      </c>
      <c r="R619" s="52">
        <f t="shared" si="133"/>
        <v>921.99120000000005</v>
      </c>
      <c r="S619" s="52">
        <f t="shared" si="133"/>
        <v>0</v>
      </c>
      <c r="T619" s="52">
        <f t="shared" si="133"/>
        <v>8723.0400000000009</v>
      </c>
      <c r="U619" s="52">
        <f t="shared" si="133"/>
        <v>323.04000000000002</v>
      </c>
      <c r="V619" s="52">
        <f t="shared" si="133"/>
        <v>0</v>
      </c>
      <c r="W619" s="52">
        <f t="shared" si="133"/>
        <v>94632.297600000005</v>
      </c>
      <c r="X619" s="52">
        <f t="shared" si="133"/>
        <v>0</v>
      </c>
      <c r="Y619" s="52">
        <f t="shared" si="133"/>
        <v>0</v>
      </c>
      <c r="Z619" s="740">
        <f t="shared" si="133"/>
        <v>94632.297600000005</v>
      </c>
    </row>
    <row r="620" spans="1:27" s="236" customFormat="1" ht="12.75" customHeight="1" x14ac:dyDescent="0.2">
      <c r="A620" s="50"/>
      <c r="B620" s="51"/>
      <c r="C620" s="51">
        <f t="shared" si="131"/>
        <v>68</v>
      </c>
      <c r="D620" s="51"/>
      <c r="E620" s="51"/>
      <c r="F620" s="51"/>
      <c r="G620" s="51"/>
      <c r="H620" s="51"/>
      <c r="I620" s="73" t="s">
        <v>24</v>
      </c>
      <c r="J620" s="51"/>
      <c r="K620" s="52"/>
      <c r="L620" s="52">
        <f t="shared" si="132"/>
        <v>136240</v>
      </c>
      <c r="M620" s="52">
        <f t="shared" si="132"/>
        <v>0</v>
      </c>
      <c r="N620" s="52">
        <f t="shared" si="132"/>
        <v>870837.47920000029</v>
      </c>
      <c r="O620" s="52"/>
      <c r="P620" s="52">
        <f t="shared" si="133"/>
        <v>10125</v>
      </c>
      <c r="Q620" s="52">
        <f t="shared" si="133"/>
        <v>288682.62435480009</v>
      </c>
      <c r="R620" s="52">
        <f t="shared" si="133"/>
        <v>12868.423448400003</v>
      </c>
      <c r="S620" s="52">
        <f t="shared" si="133"/>
        <v>0</v>
      </c>
      <c r="T620" s="52">
        <f t="shared" si="133"/>
        <v>101751.35999999997</v>
      </c>
      <c r="U620" s="52">
        <f t="shared" si="133"/>
        <v>5261.5199999999995</v>
      </c>
      <c r="V620" s="52">
        <f t="shared" si="133"/>
        <v>0</v>
      </c>
      <c r="W620" s="52">
        <f t="shared" si="133"/>
        <v>1306166.4070032004</v>
      </c>
      <c r="X620" s="52">
        <f t="shared" si="133"/>
        <v>0</v>
      </c>
      <c r="Y620" s="52">
        <f t="shared" si="133"/>
        <v>0</v>
      </c>
      <c r="Z620" s="740">
        <f t="shared" si="133"/>
        <v>1306166.4070032004</v>
      </c>
      <c r="AA620"/>
    </row>
    <row r="621" spans="1:27" ht="12.75" customHeight="1" x14ac:dyDescent="0.2">
      <c r="A621" s="50"/>
      <c r="B621" s="51"/>
      <c r="C621" s="51">
        <f t="shared" si="131"/>
        <v>10</v>
      </c>
      <c r="D621" s="51"/>
      <c r="E621" s="51"/>
      <c r="F621" s="51"/>
      <c r="G621" s="51"/>
      <c r="H621" s="51"/>
      <c r="I621" s="73" t="s">
        <v>25</v>
      </c>
      <c r="J621" s="51"/>
      <c r="K621" s="52"/>
      <c r="L621" s="52">
        <f t="shared" si="132"/>
        <v>20800</v>
      </c>
      <c r="M621" s="52">
        <f t="shared" si="132"/>
        <v>0</v>
      </c>
      <c r="N621" s="52">
        <f t="shared" si="132"/>
        <v>288246.40000000002</v>
      </c>
      <c r="O621" s="52"/>
      <c r="P621" s="52">
        <f t="shared" si="133"/>
        <v>0</v>
      </c>
      <c r="Q621" s="52">
        <f t="shared" si="133"/>
        <v>95553.681599999996</v>
      </c>
      <c r="R621" s="52">
        <f t="shared" si="133"/>
        <v>4179.5728000000008</v>
      </c>
      <c r="S621" s="52">
        <f t="shared" si="133"/>
        <v>0</v>
      </c>
      <c r="T621" s="52">
        <f t="shared" si="133"/>
        <v>27708.959999999999</v>
      </c>
      <c r="U621" s="52">
        <f t="shared" si="133"/>
        <v>1805.28</v>
      </c>
      <c r="V621" s="52">
        <f t="shared" si="133"/>
        <v>0</v>
      </c>
      <c r="W621" s="52">
        <f t="shared" si="133"/>
        <v>417493.89440000005</v>
      </c>
      <c r="X621" s="52">
        <f t="shared" si="133"/>
        <v>0</v>
      </c>
      <c r="Y621" s="52">
        <f t="shared" si="133"/>
        <v>0</v>
      </c>
      <c r="Z621" s="740">
        <f t="shared" si="133"/>
        <v>417493.89440000005</v>
      </c>
    </row>
    <row r="622" spans="1:27" ht="12.75" customHeight="1" x14ac:dyDescent="0.2">
      <c r="A622" s="50"/>
      <c r="B622" s="51"/>
      <c r="C622" s="51">
        <f t="shared" si="131"/>
        <v>25</v>
      </c>
      <c r="D622" s="51"/>
      <c r="E622" s="51"/>
      <c r="F622" s="51"/>
      <c r="G622" s="51"/>
      <c r="H622" s="51"/>
      <c r="I622" s="73" t="s">
        <v>394</v>
      </c>
      <c r="J622" s="51"/>
      <c r="K622" s="51"/>
      <c r="L622" s="52">
        <f t="shared" si="132"/>
        <v>52000</v>
      </c>
      <c r="M622" s="52">
        <f t="shared" si="132"/>
        <v>0</v>
      </c>
      <c r="N622" s="52">
        <f t="shared" si="132"/>
        <v>335087.99999999994</v>
      </c>
      <c r="O622" s="52"/>
      <c r="P622" s="52">
        <f t="shared" si="133"/>
        <v>0</v>
      </c>
      <c r="Q622" s="52">
        <f t="shared" si="133"/>
        <v>111081.67199999999</v>
      </c>
      <c r="R622" s="52">
        <f t="shared" si="133"/>
        <v>4858.7760000000007</v>
      </c>
      <c r="S622" s="52">
        <f t="shared" si="133"/>
        <v>0</v>
      </c>
      <c r="T622" s="52">
        <f t="shared" si="133"/>
        <v>23785.440000000002</v>
      </c>
      <c r="U622" s="52">
        <f t="shared" si="133"/>
        <v>1706.8799999999999</v>
      </c>
      <c r="V622" s="52">
        <f t="shared" si="133"/>
        <v>0</v>
      </c>
      <c r="W622" s="52">
        <f t="shared" si="133"/>
        <v>476520.7680000001</v>
      </c>
      <c r="X622" s="52">
        <f t="shared" si="133"/>
        <v>0</v>
      </c>
      <c r="Y622" s="52">
        <f t="shared" si="133"/>
        <v>0</v>
      </c>
      <c r="Z622" s="740">
        <f t="shared" si="133"/>
        <v>476520.7680000001</v>
      </c>
    </row>
    <row r="623" spans="1:27" s="236" customFormat="1" ht="12.75" customHeight="1" x14ac:dyDescent="0.2">
      <c r="A623" s="50"/>
      <c r="B623" s="51"/>
      <c r="C623" s="51">
        <f t="shared" si="131"/>
        <v>35</v>
      </c>
      <c r="D623" s="51"/>
      <c r="E623" s="51"/>
      <c r="F623" s="51"/>
      <c r="G623" s="51"/>
      <c r="H623" s="51"/>
      <c r="I623" s="73" t="s">
        <v>350</v>
      </c>
      <c r="J623" s="51"/>
      <c r="K623" s="52"/>
      <c r="L623" s="52">
        <f t="shared" si="132"/>
        <v>72800</v>
      </c>
      <c r="M623" s="52">
        <f t="shared" si="132"/>
        <v>0</v>
      </c>
      <c r="N623" s="52">
        <f t="shared" si="132"/>
        <v>674335.99999999953</v>
      </c>
      <c r="O623" s="52"/>
      <c r="P623" s="52">
        <f t="shared" si="133"/>
        <v>0</v>
      </c>
      <c r="Q623" s="52">
        <f t="shared" si="133"/>
        <v>223542.38400000008</v>
      </c>
      <c r="R623" s="52">
        <f t="shared" si="133"/>
        <v>9777.872000000003</v>
      </c>
      <c r="S623" s="52">
        <f t="shared" si="133"/>
        <v>0</v>
      </c>
      <c r="T623" s="52">
        <f t="shared" si="133"/>
        <v>68360.399999999994</v>
      </c>
      <c r="U623" s="52">
        <f t="shared" si="133"/>
        <v>4591.68</v>
      </c>
      <c r="V623" s="52">
        <f t="shared" si="133"/>
        <v>0</v>
      </c>
      <c r="W623" s="52">
        <f t="shared" si="133"/>
        <v>980608.33600000013</v>
      </c>
      <c r="X623" s="52">
        <f t="shared" si="133"/>
        <v>0</v>
      </c>
      <c r="Y623" s="52">
        <f t="shared" si="133"/>
        <v>0</v>
      </c>
      <c r="Z623" s="195">
        <f t="shared" si="133"/>
        <v>980608.33600000013</v>
      </c>
      <c r="AA623"/>
    </row>
    <row r="624" spans="1:27" ht="12.75" customHeight="1" x14ac:dyDescent="0.2">
      <c r="A624" s="50"/>
      <c r="B624" s="51"/>
      <c r="C624" s="51">
        <f t="shared" si="131"/>
        <v>57</v>
      </c>
      <c r="D624" s="51"/>
      <c r="E624" s="51"/>
      <c r="F624" s="51"/>
      <c r="G624" s="51"/>
      <c r="H624" s="51"/>
      <c r="I624" s="73" t="s">
        <v>1171</v>
      </c>
      <c r="J624" s="51"/>
      <c r="K624" s="52"/>
      <c r="L624" s="52">
        <f t="shared" si="132"/>
        <v>118560</v>
      </c>
      <c r="M624" s="52">
        <f t="shared" si="132"/>
        <v>0</v>
      </c>
      <c r="N624" s="52">
        <f t="shared" si="132"/>
        <v>229964.79999999996</v>
      </c>
      <c r="O624" s="52"/>
      <c r="P624" s="52">
        <f t="shared" si="133"/>
        <v>0</v>
      </c>
      <c r="Q624" s="52">
        <f t="shared" si="133"/>
        <v>76233.331200000015</v>
      </c>
      <c r="R624" s="52">
        <f t="shared" si="133"/>
        <v>3422.0696000000007</v>
      </c>
      <c r="S624" s="52">
        <f t="shared" si="133"/>
        <v>0</v>
      </c>
      <c r="T624" s="52">
        <f t="shared" si="133"/>
        <v>19651.439999999999</v>
      </c>
      <c r="U624" s="52">
        <f t="shared" si="133"/>
        <v>1425.84</v>
      </c>
      <c r="V624" s="52">
        <f t="shared" si="133"/>
        <v>0</v>
      </c>
      <c r="W624" s="52">
        <f t="shared" si="133"/>
        <v>336737.48080000019</v>
      </c>
      <c r="X624" s="52">
        <f t="shared" si="133"/>
        <v>0</v>
      </c>
      <c r="Y624" s="52">
        <f t="shared" si="133"/>
        <v>0</v>
      </c>
      <c r="Z624" s="195">
        <f t="shared" si="133"/>
        <v>336737.48080000019</v>
      </c>
      <c r="AA624" s="236"/>
    </row>
    <row r="625" spans="1:27" ht="12.75" customHeight="1" x14ac:dyDescent="0.2">
      <c r="A625" s="50"/>
      <c r="B625" s="51"/>
      <c r="C625" s="51">
        <f t="shared" si="131"/>
        <v>3</v>
      </c>
      <c r="D625" s="51"/>
      <c r="E625" s="51"/>
      <c r="F625" s="51"/>
      <c r="G625" s="51"/>
      <c r="H625" s="51"/>
      <c r="I625" s="51" t="s">
        <v>1182</v>
      </c>
      <c r="J625" s="51"/>
      <c r="K625" s="52"/>
      <c r="L625" s="52">
        <f t="shared" si="132"/>
        <v>6240</v>
      </c>
      <c r="M625" s="52">
        <f t="shared" si="132"/>
        <v>0</v>
      </c>
      <c r="N625" s="52">
        <f t="shared" si="132"/>
        <v>334609.59999999998</v>
      </c>
      <c r="O625" s="52"/>
      <c r="P625" s="52">
        <f t="shared" si="133"/>
        <v>0</v>
      </c>
      <c r="Q625" s="52">
        <f t="shared" si="133"/>
        <v>110923.08240000001</v>
      </c>
      <c r="R625" s="52">
        <f t="shared" si="133"/>
        <v>4851.8392000000003</v>
      </c>
      <c r="S625" s="52">
        <f t="shared" si="133"/>
        <v>0</v>
      </c>
      <c r="T625" s="52">
        <f t="shared" si="133"/>
        <v>26246.16</v>
      </c>
      <c r="U625" s="52">
        <f t="shared" si="133"/>
        <v>1256.1600000000001</v>
      </c>
      <c r="V625" s="52">
        <f t="shared" si="133"/>
        <v>0</v>
      </c>
      <c r="W625" s="52">
        <f t="shared" si="133"/>
        <v>477886.84160000004</v>
      </c>
      <c r="X625" s="52">
        <f t="shared" si="133"/>
        <v>0</v>
      </c>
      <c r="Y625" s="52">
        <f t="shared" si="133"/>
        <v>0</v>
      </c>
      <c r="Z625" s="195">
        <f t="shared" si="133"/>
        <v>477886.84160000004</v>
      </c>
    </row>
    <row r="626" spans="1:27" ht="12.75" customHeight="1" x14ac:dyDescent="0.2">
      <c r="A626" s="50"/>
      <c r="B626" s="51"/>
      <c r="C626" s="51">
        <f t="shared" si="131"/>
        <v>11</v>
      </c>
      <c r="D626" s="51"/>
      <c r="E626" s="51"/>
      <c r="F626" s="51"/>
      <c r="G626" s="51"/>
      <c r="H626" s="51"/>
      <c r="I626" s="73" t="s">
        <v>20</v>
      </c>
      <c r="J626" s="51"/>
      <c r="K626" s="52"/>
      <c r="L626" s="52">
        <f t="shared" si="132"/>
        <v>20800</v>
      </c>
      <c r="M626" s="52">
        <f t="shared" si="132"/>
        <v>0</v>
      </c>
      <c r="N626" s="52">
        <f t="shared" si="132"/>
        <v>1313162.0944000003</v>
      </c>
      <c r="O626" s="52"/>
      <c r="P626" s="52">
        <f t="shared" si="133"/>
        <v>2141.87</v>
      </c>
      <c r="Q626" s="52">
        <f t="shared" si="133"/>
        <v>435313.23429360002</v>
      </c>
      <c r="R626" s="52">
        <f t="shared" si="133"/>
        <v>19040.850368799998</v>
      </c>
      <c r="S626" s="52">
        <f t="shared" si="133"/>
        <v>0</v>
      </c>
      <c r="T626" s="52">
        <f t="shared" si="133"/>
        <v>266120.32000000001</v>
      </c>
      <c r="U626" s="52">
        <f t="shared" si="133"/>
        <v>5157.12</v>
      </c>
      <c r="V626" s="52">
        <f t="shared" si="133"/>
        <v>0</v>
      </c>
      <c r="W626" s="52">
        <f t="shared" si="133"/>
        <v>2040935.4890624001</v>
      </c>
      <c r="X626" s="52">
        <f t="shared" si="133"/>
        <v>0</v>
      </c>
      <c r="Y626" s="52">
        <f t="shared" si="133"/>
        <v>0</v>
      </c>
      <c r="Z626" s="195">
        <f t="shared" si="133"/>
        <v>2040935.4890624001</v>
      </c>
    </row>
    <row r="627" spans="1:27" ht="12.75" customHeight="1" x14ac:dyDescent="0.2">
      <c r="A627" s="50"/>
      <c r="B627" s="51"/>
      <c r="C627" s="51">
        <f t="shared" si="131"/>
        <v>37</v>
      </c>
      <c r="D627" s="51"/>
      <c r="E627" s="51"/>
      <c r="F627" s="51"/>
      <c r="G627" s="51"/>
      <c r="H627" s="51"/>
      <c r="I627" s="73" t="s">
        <v>510</v>
      </c>
      <c r="J627" s="51"/>
      <c r="K627" s="52"/>
      <c r="L627" s="52">
        <f t="shared" si="132"/>
        <v>76960</v>
      </c>
      <c r="M627" s="52">
        <f t="shared" si="132"/>
        <v>0</v>
      </c>
      <c r="N627" s="52">
        <f t="shared" si="132"/>
        <v>674356.8</v>
      </c>
      <c r="O627" s="52"/>
      <c r="P627" s="52">
        <f t="shared" ref="P627:Z636" si="134">SUMIFS(P$27:P$615,$I$27:$I$615,$I627,$H$27:$H$615,"1")</f>
        <v>0</v>
      </c>
      <c r="Q627" s="52">
        <f t="shared" si="134"/>
        <v>223549.27920000005</v>
      </c>
      <c r="R627" s="52">
        <f t="shared" si="134"/>
        <v>9778.1736000000001</v>
      </c>
      <c r="S627" s="52">
        <f t="shared" si="134"/>
        <v>0</v>
      </c>
      <c r="T627" s="52">
        <f t="shared" si="134"/>
        <v>79105.919999999998</v>
      </c>
      <c r="U627" s="52">
        <f t="shared" si="134"/>
        <v>4367.5199999999995</v>
      </c>
      <c r="V627" s="52">
        <f t="shared" si="134"/>
        <v>0</v>
      </c>
      <c r="W627" s="52">
        <f t="shared" si="134"/>
        <v>991157.69279999984</v>
      </c>
      <c r="X627" s="52">
        <f t="shared" si="134"/>
        <v>0</v>
      </c>
      <c r="Y627" s="52">
        <f t="shared" si="134"/>
        <v>0</v>
      </c>
      <c r="Z627" s="195">
        <f t="shared" si="134"/>
        <v>991157.69279999984</v>
      </c>
      <c r="AA627" s="236"/>
    </row>
    <row r="628" spans="1:27" ht="30" customHeight="1" x14ac:dyDescent="0.2">
      <c r="A628" s="50"/>
      <c r="B628" s="51"/>
      <c r="C628" s="51">
        <f t="shared" si="131"/>
        <v>4</v>
      </c>
      <c r="D628" s="51"/>
      <c r="E628" s="51"/>
      <c r="F628" s="51"/>
      <c r="G628" s="51"/>
      <c r="H628" s="51"/>
      <c r="I628" s="73" t="s">
        <v>272</v>
      </c>
      <c r="J628" s="51"/>
      <c r="K628" s="52"/>
      <c r="L628" s="52">
        <f t="shared" si="132"/>
        <v>8320</v>
      </c>
      <c r="M628" s="52">
        <f t="shared" si="132"/>
        <v>0</v>
      </c>
      <c r="N628" s="52">
        <f t="shared" si="132"/>
        <v>335129.59999999998</v>
      </c>
      <c r="O628" s="52"/>
      <c r="P628" s="52">
        <f t="shared" si="134"/>
        <v>0</v>
      </c>
      <c r="Q628" s="52">
        <f t="shared" si="134"/>
        <v>111095.46240000002</v>
      </c>
      <c r="R628" s="52">
        <f t="shared" si="134"/>
        <v>4859.3791999999994</v>
      </c>
      <c r="S628" s="52">
        <f t="shared" si="134"/>
        <v>0</v>
      </c>
      <c r="T628" s="52">
        <f t="shared" si="134"/>
        <v>34878.720000000001</v>
      </c>
      <c r="U628" s="52">
        <f t="shared" si="134"/>
        <v>2388.48</v>
      </c>
      <c r="V628" s="52">
        <f t="shared" si="134"/>
        <v>0</v>
      </c>
      <c r="W628" s="52">
        <f t="shared" si="134"/>
        <v>488351.64160000003</v>
      </c>
      <c r="X628" s="52">
        <f t="shared" si="134"/>
        <v>0</v>
      </c>
      <c r="Y628" s="52">
        <f t="shared" si="134"/>
        <v>0</v>
      </c>
      <c r="Z628" s="195">
        <f t="shared" si="134"/>
        <v>488351.64160000003</v>
      </c>
    </row>
    <row r="629" spans="1:27" ht="12.75" customHeight="1" x14ac:dyDescent="0.2">
      <c r="A629" s="50"/>
      <c r="B629" s="51"/>
      <c r="C629" s="51">
        <f t="shared" si="131"/>
        <v>35</v>
      </c>
      <c r="D629" s="51"/>
      <c r="E629" s="51"/>
      <c r="F629" s="51"/>
      <c r="G629" s="51"/>
      <c r="H629" s="51"/>
      <c r="I629" s="51" t="s">
        <v>21</v>
      </c>
      <c r="J629" s="51"/>
      <c r="K629" s="52"/>
      <c r="L629" s="52">
        <f t="shared" si="132"/>
        <v>72800</v>
      </c>
      <c r="M629" s="52">
        <f t="shared" si="132"/>
        <v>0</v>
      </c>
      <c r="N629" s="52">
        <f t="shared" si="132"/>
        <v>368804.79999999987</v>
      </c>
      <c r="O629" s="52"/>
      <c r="P629" s="52">
        <f t="shared" si="134"/>
        <v>0</v>
      </c>
      <c r="Q629" s="52">
        <f t="shared" si="134"/>
        <v>122258.79120000005</v>
      </c>
      <c r="R629" s="52">
        <f t="shared" si="134"/>
        <v>5347.6695999999984</v>
      </c>
      <c r="S629" s="52">
        <f t="shared" si="134"/>
        <v>0</v>
      </c>
      <c r="T629" s="52">
        <f t="shared" si="134"/>
        <v>25172.880000000001</v>
      </c>
      <c r="U629" s="52">
        <f t="shared" si="134"/>
        <v>2085.84</v>
      </c>
      <c r="V629" s="52">
        <f t="shared" si="134"/>
        <v>0</v>
      </c>
      <c r="W629" s="52">
        <f t="shared" si="134"/>
        <v>523669.98080000025</v>
      </c>
      <c r="X629" s="52">
        <f t="shared" si="134"/>
        <v>0</v>
      </c>
      <c r="Y629" s="52">
        <f t="shared" si="134"/>
        <v>0</v>
      </c>
      <c r="Z629" s="195">
        <f t="shared" si="134"/>
        <v>523669.98080000025</v>
      </c>
    </row>
    <row r="630" spans="1:27" ht="12.75" customHeight="1" x14ac:dyDescent="0.2">
      <c r="A630" s="50"/>
      <c r="B630" s="51"/>
      <c r="C630" s="51">
        <f t="shared" si="131"/>
        <v>16</v>
      </c>
      <c r="D630" s="51"/>
      <c r="E630" s="51"/>
      <c r="F630" s="51"/>
      <c r="G630" s="51"/>
      <c r="H630" s="51"/>
      <c r="I630" s="51" t="s">
        <v>1172</v>
      </c>
      <c r="J630" s="51"/>
      <c r="K630" s="52"/>
      <c r="L630" s="52">
        <f t="shared" si="132"/>
        <v>33280</v>
      </c>
      <c r="M630" s="52">
        <f t="shared" si="132"/>
        <v>0</v>
      </c>
      <c r="N630" s="52">
        <f t="shared" si="132"/>
        <v>656177.6</v>
      </c>
      <c r="O630" s="52"/>
      <c r="P630" s="52">
        <f t="shared" si="134"/>
        <v>0</v>
      </c>
      <c r="Q630" s="52">
        <f t="shared" si="134"/>
        <v>212169.52640000006</v>
      </c>
      <c r="R630" s="52">
        <f t="shared" si="134"/>
        <v>9514.575200000003</v>
      </c>
      <c r="S630" s="52">
        <f t="shared" si="134"/>
        <v>0</v>
      </c>
      <c r="T630" s="52">
        <f t="shared" si="134"/>
        <v>63079.199999999997</v>
      </c>
      <c r="U630" s="52">
        <f t="shared" si="134"/>
        <v>4552.5600000000004</v>
      </c>
      <c r="V630" s="52">
        <f t="shared" si="134"/>
        <v>0</v>
      </c>
      <c r="W630" s="52">
        <f t="shared" si="134"/>
        <v>945493.46159999992</v>
      </c>
      <c r="X630" s="52">
        <f t="shared" si="134"/>
        <v>0</v>
      </c>
      <c r="Y630" s="52">
        <f t="shared" si="134"/>
        <v>0</v>
      </c>
      <c r="Z630" s="195">
        <f t="shared" si="134"/>
        <v>945493.46159999992</v>
      </c>
    </row>
    <row r="631" spans="1:27" ht="12.75" customHeight="1" x14ac:dyDescent="0.2">
      <c r="A631" s="50"/>
      <c r="B631" s="51"/>
      <c r="C631" s="51">
        <f t="shared" si="131"/>
        <v>3</v>
      </c>
      <c r="D631" s="51"/>
      <c r="E631" s="51"/>
      <c r="F631" s="51"/>
      <c r="G631" s="51"/>
      <c r="H631" s="51"/>
      <c r="I631" s="51" t="s">
        <v>1211</v>
      </c>
      <c r="J631" s="51"/>
      <c r="K631" s="52"/>
      <c r="L631" s="52">
        <f t="shared" si="132"/>
        <v>6240</v>
      </c>
      <c r="M631" s="52">
        <f t="shared" si="132"/>
        <v>0</v>
      </c>
      <c r="N631" s="52">
        <f t="shared" si="132"/>
        <v>125320</v>
      </c>
      <c r="O631" s="52"/>
      <c r="P631" s="52">
        <f t="shared" si="134"/>
        <v>0</v>
      </c>
      <c r="Q631" s="52">
        <f t="shared" si="134"/>
        <v>41543.58</v>
      </c>
      <c r="R631" s="52">
        <f t="shared" si="134"/>
        <v>1817.1399999999999</v>
      </c>
      <c r="S631" s="52">
        <f t="shared" si="134"/>
        <v>0</v>
      </c>
      <c r="T631" s="52">
        <f t="shared" si="134"/>
        <v>25127.040000000001</v>
      </c>
      <c r="U631" s="52">
        <f t="shared" si="134"/>
        <v>723.36</v>
      </c>
      <c r="V631" s="52">
        <f t="shared" si="134"/>
        <v>0</v>
      </c>
      <c r="W631" s="52">
        <f t="shared" si="134"/>
        <v>194531.11999999997</v>
      </c>
      <c r="X631" s="52">
        <f t="shared" si="134"/>
        <v>0</v>
      </c>
      <c r="Y631" s="52">
        <f t="shared" si="134"/>
        <v>0</v>
      </c>
      <c r="Z631" s="195">
        <f t="shared" si="134"/>
        <v>194531.11999999997</v>
      </c>
    </row>
    <row r="632" spans="1:27" ht="12.75" customHeight="1" x14ac:dyDescent="0.2">
      <c r="A632" s="50"/>
      <c r="B632" s="51"/>
      <c r="C632" s="51">
        <f t="shared" si="131"/>
        <v>3</v>
      </c>
      <c r="D632" s="51"/>
      <c r="E632" s="51"/>
      <c r="F632" s="51"/>
      <c r="G632" s="51"/>
      <c r="H632" s="51"/>
      <c r="I632" s="51" t="s">
        <v>811</v>
      </c>
      <c r="J632" s="51"/>
      <c r="K632" s="52"/>
      <c r="L632" s="52">
        <f t="shared" si="132"/>
        <v>6240</v>
      </c>
      <c r="M632" s="52">
        <f t="shared" si="132"/>
        <v>0</v>
      </c>
      <c r="N632" s="52">
        <f t="shared" si="132"/>
        <v>169832</v>
      </c>
      <c r="O632" s="52"/>
      <c r="P632" s="52">
        <f t="shared" si="134"/>
        <v>0</v>
      </c>
      <c r="Q632" s="52">
        <f t="shared" si="134"/>
        <v>56299.308000000005</v>
      </c>
      <c r="R632" s="52">
        <f t="shared" si="134"/>
        <v>2462.5640000000003</v>
      </c>
      <c r="S632" s="52">
        <f t="shared" si="134"/>
        <v>0</v>
      </c>
      <c r="T632" s="52">
        <f t="shared" si="134"/>
        <v>25175.52</v>
      </c>
      <c r="U632" s="52">
        <f t="shared" si="134"/>
        <v>1425.84</v>
      </c>
      <c r="V632" s="52">
        <f t="shared" si="134"/>
        <v>0</v>
      </c>
      <c r="W632" s="52">
        <f t="shared" si="134"/>
        <v>255195.23200000002</v>
      </c>
      <c r="X632" s="52">
        <f t="shared" si="134"/>
        <v>0</v>
      </c>
      <c r="Y632" s="52">
        <f t="shared" si="134"/>
        <v>0</v>
      </c>
      <c r="Z632" s="195">
        <f t="shared" si="134"/>
        <v>255195.23200000002</v>
      </c>
    </row>
    <row r="633" spans="1:27" ht="12.75" customHeight="1" x14ac:dyDescent="0.2">
      <c r="A633" s="50"/>
      <c r="B633" s="51"/>
      <c r="C633" s="51">
        <f t="shared" si="131"/>
        <v>17</v>
      </c>
      <c r="D633" s="51"/>
      <c r="E633" s="51"/>
      <c r="F633" s="51"/>
      <c r="G633" s="51"/>
      <c r="H633" s="51"/>
      <c r="I633" s="51" t="s">
        <v>23</v>
      </c>
      <c r="J633" s="51"/>
      <c r="K633" s="51"/>
      <c r="L633" s="52">
        <f t="shared" si="132"/>
        <v>35360</v>
      </c>
      <c r="M633" s="52">
        <f t="shared" si="132"/>
        <v>0</v>
      </c>
      <c r="N633" s="52">
        <f t="shared" si="132"/>
        <v>178520.16</v>
      </c>
      <c r="O633" s="52"/>
      <c r="P633" s="52">
        <f t="shared" si="134"/>
        <v>0</v>
      </c>
      <c r="Q633" s="52">
        <f t="shared" si="134"/>
        <v>52592.853040000016</v>
      </c>
      <c r="R633" s="52">
        <f t="shared" si="134"/>
        <v>2588.5423200000005</v>
      </c>
      <c r="S633" s="52">
        <f t="shared" si="134"/>
        <v>0</v>
      </c>
      <c r="T633" s="52">
        <f t="shared" si="134"/>
        <v>18660</v>
      </c>
      <c r="U633" s="52">
        <f t="shared" si="134"/>
        <v>1762.8</v>
      </c>
      <c r="V633" s="52">
        <f t="shared" si="134"/>
        <v>0</v>
      </c>
      <c r="W633" s="52">
        <f t="shared" si="134"/>
        <v>254124.35536000005</v>
      </c>
      <c r="X633" s="52">
        <f t="shared" si="134"/>
        <v>0</v>
      </c>
      <c r="Y633" s="52">
        <f t="shared" si="134"/>
        <v>0</v>
      </c>
      <c r="Z633" s="195">
        <f t="shared" si="134"/>
        <v>254124.35536000005</v>
      </c>
    </row>
    <row r="634" spans="1:27" ht="12.75" customHeight="1" x14ac:dyDescent="0.2">
      <c r="A634" s="50"/>
      <c r="B634" s="51"/>
      <c r="C634" s="51">
        <f t="shared" si="131"/>
        <v>41</v>
      </c>
      <c r="D634" s="51"/>
      <c r="E634" s="51"/>
      <c r="F634" s="51"/>
      <c r="G634" s="51"/>
      <c r="H634" s="51"/>
      <c r="I634" s="73" t="s">
        <v>268</v>
      </c>
      <c r="J634" s="51"/>
      <c r="K634" s="51"/>
      <c r="L634" s="52">
        <f t="shared" si="132"/>
        <v>70720</v>
      </c>
      <c r="M634" s="52">
        <f t="shared" si="132"/>
        <v>0</v>
      </c>
      <c r="N634" s="52">
        <f t="shared" si="132"/>
        <v>756225.60000000009</v>
      </c>
      <c r="O634" s="52"/>
      <c r="P634" s="52">
        <f t="shared" si="134"/>
        <v>9570</v>
      </c>
      <c r="Q634" s="52">
        <f t="shared" si="134"/>
        <v>250688.78640000004</v>
      </c>
      <c r="R634" s="52">
        <f t="shared" si="134"/>
        <v>11104.036199999999</v>
      </c>
      <c r="S634" s="52">
        <f t="shared" si="134"/>
        <v>0</v>
      </c>
      <c r="T634" s="52">
        <f t="shared" si="134"/>
        <v>48820.08</v>
      </c>
      <c r="U634" s="52">
        <f t="shared" si="134"/>
        <v>1748.88</v>
      </c>
      <c r="V634" s="52">
        <f t="shared" si="134"/>
        <v>0</v>
      </c>
      <c r="W634" s="52">
        <f t="shared" si="134"/>
        <v>1078157.3826000001</v>
      </c>
      <c r="X634" s="52">
        <f t="shared" si="134"/>
        <v>0</v>
      </c>
      <c r="Y634" s="52">
        <f t="shared" si="134"/>
        <v>0</v>
      </c>
      <c r="Z634" s="195">
        <f t="shared" si="134"/>
        <v>1078157.3826000001</v>
      </c>
    </row>
    <row r="635" spans="1:27" ht="12.75" customHeight="1" x14ac:dyDescent="0.2">
      <c r="A635" s="50"/>
      <c r="B635" s="51"/>
      <c r="C635" s="51">
        <f t="shared" si="131"/>
        <v>26</v>
      </c>
      <c r="D635" s="51"/>
      <c r="E635" s="51"/>
      <c r="F635" s="51"/>
      <c r="G635" s="51"/>
      <c r="H635" s="51"/>
      <c r="I635" s="73" t="s">
        <v>267</v>
      </c>
      <c r="J635" s="51"/>
      <c r="K635" s="51"/>
      <c r="L635" s="52">
        <f t="shared" si="132"/>
        <v>47840</v>
      </c>
      <c r="M635" s="52">
        <f t="shared" si="132"/>
        <v>0</v>
      </c>
      <c r="N635" s="52">
        <f t="shared" si="132"/>
        <v>592092.80000000005</v>
      </c>
      <c r="O635" s="52"/>
      <c r="P635" s="52">
        <f t="shared" si="134"/>
        <v>0</v>
      </c>
      <c r="Q635" s="52">
        <f t="shared" si="134"/>
        <v>196278.76319999999</v>
      </c>
      <c r="R635" s="52">
        <f t="shared" si="134"/>
        <v>8585.3456000000006</v>
      </c>
      <c r="S635" s="52">
        <f t="shared" si="134"/>
        <v>0</v>
      </c>
      <c r="T635" s="52">
        <f t="shared" si="134"/>
        <v>74491.679999999993</v>
      </c>
      <c r="U635" s="52">
        <f t="shared" si="134"/>
        <v>4088.8800000000006</v>
      </c>
      <c r="V635" s="52">
        <f t="shared" si="134"/>
        <v>0</v>
      </c>
      <c r="W635" s="52">
        <f t="shared" si="134"/>
        <v>875537.46880000026</v>
      </c>
      <c r="X635" s="52">
        <f t="shared" si="134"/>
        <v>0</v>
      </c>
      <c r="Y635" s="52">
        <f t="shared" si="134"/>
        <v>0</v>
      </c>
      <c r="Z635" s="195">
        <f t="shared" si="134"/>
        <v>875537.46880000026</v>
      </c>
    </row>
    <row r="636" spans="1:27" ht="12.75" customHeight="1" x14ac:dyDescent="0.2">
      <c r="A636" s="50"/>
      <c r="B636" s="51"/>
      <c r="C636" s="51">
        <f t="shared" si="131"/>
        <v>6</v>
      </c>
      <c r="D636" s="51"/>
      <c r="E636" s="51"/>
      <c r="F636" s="51"/>
      <c r="G636" s="51"/>
      <c r="H636" s="51"/>
      <c r="I636" s="73" t="s">
        <v>920</v>
      </c>
      <c r="J636" s="51"/>
      <c r="K636" s="52"/>
      <c r="L636" s="52">
        <f t="shared" si="132"/>
        <v>12480</v>
      </c>
      <c r="M636" s="52">
        <f t="shared" si="132"/>
        <v>0</v>
      </c>
      <c r="N636" s="52">
        <f t="shared" si="132"/>
        <v>520208</v>
      </c>
      <c r="O636" s="52"/>
      <c r="P636" s="52">
        <f t="shared" si="134"/>
        <v>0</v>
      </c>
      <c r="Q636" s="52">
        <f t="shared" si="134"/>
        <v>172448.95200000002</v>
      </c>
      <c r="R636" s="52">
        <f t="shared" si="134"/>
        <v>7543.0160000000005</v>
      </c>
      <c r="S636" s="52">
        <f t="shared" si="134"/>
        <v>0</v>
      </c>
      <c r="T636" s="52">
        <f t="shared" si="134"/>
        <v>59681.280000000006</v>
      </c>
      <c r="U636" s="52">
        <f t="shared" si="134"/>
        <v>2814.96</v>
      </c>
      <c r="V636" s="52">
        <f t="shared" si="134"/>
        <v>0</v>
      </c>
      <c r="W636" s="52">
        <f t="shared" si="134"/>
        <v>762696.20799999987</v>
      </c>
      <c r="X636" s="52">
        <f t="shared" si="134"/>
        <v>0</v>
      </c>
      <c r="Y636" s="52">
        <f t="shared" si="134"/>
        <v>0</v>
      </c>
      <c r="Z636" s="195">
        <f t="shared" si="134"/>
        <v>762696.20799999987</v>
      </c>
    </row>
    <row r="637" spans="1:27" ht="13.5" thickBot="1" x14ac:dyDescent="0.25">
      <c r="A637" s="15"/>
      <c r="B637" s="15"/>
      <c r="C637" s="15"/>
      <c r="D637" s="15"/>
      <c r="E637" s="15"/>
      <c r="F637" s="15"/>
      <c r="G637" s="15"/>
      <c r="H637" s="15"/>
      <c r="I637" s="22"/>
      <c r="J637" s="15"/>
      <c r="K637" s="15"/>
      <c r="L637" s="15"/>
      <c r="M637" s="15"/>
      <c r="N637" s="741"/>
      <c r="O637" s="15"/>
      <c r="P637" s="15"/>
      <c r="Q637" s="15"/>
      <c r="R637" s="15"/>
      <c r="S637" s="15"/>
      <c r="T637" s="15"/>
      <c r="U637" s="15"/>
      <c r="V637" s="15"/>
      <c r="W637" s="15"/>
      <c r="X637" s="15"/>
      <c r="Y637" s="15"/>
      <c r="Z637" s="15"/>
    </row>
    <row r="638" spans="1:27" ht="13.5" thickBot="1" x14ac:dyDescent="0.25">
      <c r="A638" s="150"/>
      <c r="B638" s="150"/>
      <c r="C638" s="150">
        <f>C616-SUM(C617:C635)</f>
        <v>6</v>
      </c>
      <c r="D638" s="150" t="s">
        <v>408</v>
      </c>
      <c r="E638" s="150"/>
      <c r="F638" s="150"/>
      <c r="G638" s="150"/>
      <c r="H638" s="150"/>
      <c r="I638" s="150"/>
      <c r="J638" s="150"/>
      <c r="K638" s="150"/>
      <c r="L638" s="150">
        <f>L616-SUM(L617:L636)</f>
        <v>0</v>
      </c>
      <c r="M638" s="150">
        <f>M616-SUM(M617:M636)</f>
        <v>0</v>
      </c>
      <c r="N638" s="742">
        <f>N616-SUM(N617:N636)</f>
        <v>0</v>
      </c>
      <c r="O638" s="150">
        <f>O616-SUM(O617:O636)</f>
        <v>0</v>
      </c>
      <c r="P638" s="150">
        <f>P616-SUM(P617:P636)</f>
        <v>0</v>
      </c>
      <c r="Q638" s="150">
        <f t="shared" ref="Q638:V638" si="135">Q616-SUM(Q617:Q636)</f>
        <v>4.1909515857696533E-9</v>
      </c>
      <c r="R638" s="150">
        <f t="shared" si="135"/>
        <v>0</v>
      </c>
      <c r="S638" s="150">
        <f t="shared" si="135"/>
        <v>0</v>
      </c>
      <c r="T638" s="150">
        <f t="shared" si="135"/>
        <v>0</v>
      </c>
      <c r="U638" s="150">
        <f t="shared" si="135"/>
        <v>5.8207660913467407E-11</v>
      </c>
      <c r="V638" s="150">
        <f t="shared" si="135"/>
        <v>0</v>
      </c>
      <c r="W638" s="150">
        <f>W616-SUM(W617:W636)</f>
        <v>-1.4901161193847656E-8</v>
      </c>
      <c r="X638" s="150">
        <f>X616-SUM(X617:X636)</f>
        <v>0</v>
      </c>
      <c r="Y638" s="150">
        <f>Y616-SUM(Y617:Y636)</f>
        <v>0</v>
      </c>
      <c r="Z638" s="150">
        <f>Z616-SUM(Z617:Z636)</f>
        <v>-1.4901161193847656E-8</v>
      </c>
    </row>
    <row r="640" spans="1:27" x14ac:dyDescent="0.2">
      <c r="A640" s="21" t="s">
        <v>186</v>
      </c>
      <c r="B640" s="21"/>
      <c r="E640" s="21"/>
    </row>
    <row r="641" spans="1:17" x14ac:dyDescent="0.2">
      <c r="C641" s="438" t="s">
        <v>505</v>
      </c>
    </row>
    <row r="642" spans="1:17" x14ac:dyDescent="0.2">
      <c r="A642" s="1" t="s">
        <v>187</v>
      </c>
      <c r="B642" s="1"/>
      <c r="E642" s="1"/>
    </row>
    <row r="643" spans="1:17" x14ac:dyDescent="0.2">
      <c r="A643" s="1" t="s">
        <v>188</v>
      </c>
      <c r="B643" s="1"/>
      <c r="E643" s="1"/>
    </row>
    <row r="647" spans="1:17" x14ac:dyDescent="0.2">
      <c r="A647" s="21" t="s">
        <v>190</v>
      </c>
      <c r="D647" s="23" t="s">
        <v>191</v>
      </c>
      <c r="F647" s="23" t="s">
        <v>192</v>
      </c>
      <c r="K647" s="23"/>
      <c r="L647" s="23"/>
      <c r="M647" s="23"/>
      <c r="N647" s="23"/>
      <c r="O647" s="23"/>
      <c r="P647" s="23"/>
      <c r="Q647" s="23"/>
    </row>
    <row r="648" spans="1:17" x14ac:dyDescent="0.2">
      <c r="A648" s="1" t="s">
        <v>187</v>
      </c>
    </row>
    <row r="649" spans="1:17" x14ac:dyDescent="0.2">
      <c r="A649" s="1" t="s">
        <v>188</v>
      </c>
    </row>
    <row r="661" spans="1:27" x14ac:dyDescent="0.2">
      <c r="I661" s="1"/>
    </row>
    <row r="662" spans="1:27" x14ac:dyDescent="0.2">
      <c r="I662" s="1"/>
    </row>
    <row r="663" spans="1:27" x14ac:dyDescent="0.2">
      <c r="I663" s="19"/>
    </row>
    <row r="664" spans="1:27" x14ac:dyDescent="0.2">
      <c r="I664" s="13"/>
    </row>
    <row r="665" spans="1:27" x14ac:dyDescent="0.2">
      <c r="I665" s="13"/>
    </row>
    <row r="666" spans="1:27" x14ac:dyDescent="0.2">
      <c r="A666" s="50"/>
      <c r="B666" s="51"/>
      <c r="C666" s="241">
        <f t="shared" ref="C666:C701" si="136">COUNTIFS($I$27:$I$615,$I666,$H$27:$H$615,"1")</f>
        <v>0</v>
      </c>
      <c r="D666" s="51"/>
      <c r="E666" s="51"/>
      <c r="F666" s="51"/>
      <c r="G666" s="51"/>
      <c r="H666" s="51"/>
      <c r="I666" s="73"/>
      <c r="J666" s="51" t="s">
        <v>986</v>
      </c>
      <c r="K666" s="52"/>
      <c r="L666" s="52">
        <f t="shared" ref="L666:N685" si="137">SUMIFS(L$27:L$615,$J$27:$J$615,$J666,$H$27:$H$615,"1")</f>
        <v>0</v>
      </c>
      <c r="M666" s="52">
        <f t="shared" si="137"/>
        <v>0</v>
      </c>
      <c r="N666" s="52">
        <f t="shared" si="137"/>
        <v>0</v>
      </c>
      <c r="O666" s="52"/>
      <c r="P666" s="52">
        <f t="shared" ref="P666:Z675" si="138">SUMIFS(P$27:P$615,$J$27:$J$615,$J666,$H$27:$H$615,"1")</f>
        <v>0</v>
      </c>
      <c r="Q666" s="52">
        <f t="shared" si="138"/>
        <v>0</v>
      </c>
      <c r="R666" s="52">
        <f t="shared" si="138"/>
        <v>0</v>
      </c>
      <c r="S666" s="52">
        <f t="shared" si="138"/>
        <v>0</v>
      </c>
      <c r="T666" s="52">
        <f t="shared" si="138"/>
        <v>0</v>
      </c>
      <c r="U666" s="52">
        <f t="shared" si="138"/>
        <v>0</v>
      </c>
      <c r="V666" s="52">
        <f t="shared" si="138"/>
        <v>0</v>
      </c>
      <c r="W666" s="52">
        <f t="shared" si="138"/>
        <v>0</v>
      </c>
      <c r="X666" s="52">
        <f t="shared" si="138"/>
        <v>0</v>
      </c>
      <c r="Y666" s="52">
        <f t="shared" si="138"/>
        <v>0</v>
      </c>
      <c r="Z666" s="195">
        <f t="shared" si="138"/>
        <v>0</v>
      </c>
    </row>
    <row r="667" spans="1:27" x14ac:dyDescent="0.2">
      <c r="A667" s="50"/>
      <c r="B667" s="51"/>
      <c r="C667" s="241">
        <f t="shared" si="136"/>
        <v>0</v>
      </c>
      <c r="D667" s="51"/>
      <c r="E667" s="51"/>
      <c r="F667" s="51"/>
      <c r="G667" s="51"/>
      <c r="H667" s="51"/>
      <c r="I667" s="73"/>
      <c r="J667" s="51" t="s">
        <v>988</v>
      </c>
      <c r="K667" s="52"/>
      <c r="L667" s="52">
        <f t="shared" si="137"/>
        <v>0</v>
      </c>
      <c r="M667" s="52">
        <f t="shared" si="137"/>
        <v>0</v>
      </c>
      <c r="N667" s="52">
        <f t="shared" si="137"/>
        <v>0</v>
      </c>
      <c r="O667" s="52"/>
      <c r="P667" s="52">
        <f t="shared" si="138"/>
        <v>0</v>
      </c>
      <c r="Q667" s="52">
        <f t="shared" si="138"/>
        <v>0</v>
      </c>
      <c r="R667" s="52">
        <f t="shared" si="138"/>
        <v>0</v>
      </c>
      <c r="S667" s="52">
        <f t="shared" si="138"/>
        <v>0</v>
      </c>
      <c r="T667" s="52">
        <f t="shared" si="138"/>
        <v>0</v>
      </c>
      <c r="U667" s="52">
        <f t="shared" si="138"/>
        <v>0</v>
      </c>
      <c r="V667" s="52">
        <f t="shared" si="138"/>
        <v>0</v>
      </c>
      <c r="W667" s="52">
        <f t="shared" si="138"/>
        <v>0</v>
      </c>
      <c r="X667" s="52">
        <f t="shared" si="138"/>
        <v>0</v>
      </c>
      <c r="Y667" s="52">
        <f t="shared" si="138"/>
        <v>0</v>
      </c>
      <c r="Z667" s="195">
        <f t="shared" si="138"/>
        <v>0</v>
      </c>
    </row>
    <row r="668" spans="1:27" s="236" customFormat="1" x14ac:dyDescent="0.2">
      <c r="A668" s="50"/>
      <c r="B668" s="51"/>
      <c r="C668" s="241">
        <f t="shared" si="136"/>
        <v>0</v>
      </c>
      <c r="D668" s="51"/>
      <c r="E668" s="51"/>
      <c r="F668" s="51"/>
      <c r="G668" s="51"/>
      <c r="H668" s="51"/>
      <c r="I668" s="73"/>
      <c r="J668" s="51" t="s">
        <v>1058</v>
      </c>
      <c r="K668" s="52"/>
      <c r="L668" s="52">
        <f t="shared" si="137"/>
        <v>0</v>
      </c>
      <c r="M668" s="52">
        <f t="shared" si="137"/>
        <v>0</v>
      </c>
      <c r="N668" s="52">
        <f t="shared" si="137"/>
        <v>0</v>
      </c>
      <c r="O668" s="52"/>
      <c r="P668" s="52">
        <f t="shared" si="138"/>
        <v>0</v>
      </c>
      <c r="Q668" s="52">
        <f t="shared" si="138"/>
        <v>0</v>
      </c>
      <c r="R668" s="52">
        <f t="shared" si="138"/>
        <v>0</v>
      </c>
      <c r="S668" s="52">
        <f t="shared" si="138"/>
        <v>0</v>
      </c>
      <c r="T668" s="52">
        <f t="shared" si="138"/>
        <v>0</v>
      </c>
      <c r="U668" s="52">
        <f t="shared" si="138"/>
        <v>0</v>
      </c>
      <c r="V668" s="52">
        <f t="shared" si="138"/>
        <v>0</v>
      </c>
      <c r="W668" s="52">
        <f t="shared" si="138"/>
        <v>0</v>
      </c>
      <c r="X668" s="52">
        <f t="shared" si="138"/>
        <v>0</v>
      </c>
      <c r="Y668" s="52">
        <f t="shared" si="138"/>
        <v>0</v>
      </c>
      <c r="Z668" s="195">
        <f t="shared" si="138"/>
        <v>0</v>
      </c>
      <c r="AA668"/>
    </row>
    <row r="669" spans="1:27" x14ac:dyDescent="0.2">
      <c r="A669" s="50"/>
      <c r="B669" s="51"/>
      <c r="C669" s="241">
        <f t="shared" si="136"/>
        <v>0</v>
      </c>
      <c r="D669" s="51"/>
      <c r="E669" s="51"/>
      <c r="F669" s="51"/>
      <c r="G669" s="51"/>
      <c r="H669" s="51"/>
      <c r="I669" s="73"/>
      <c r="J669" s="51" t="s">
        <v>972</v>
      </c>
      <c r="K669" s="52"/>
      <c r="L669" s="52">
        <f t="shared" si="137"/>
        <v>8320</v>
      </c>
      <c r="M669" s="52">
        <f t="shared" si="137"/>
        <v>0</v>
      </c>
      <c r="N669" s="743">
        <f t="shared" si="137"/>
        <v>22891.424400000004</v>
      </c>
      <c r="O669" s="52"/>
      <c r="P669" s="52">
        <f t="shared" si="138"/>
        <v>0</v>
      </c>
      <c r="Q669" s="52">
        <f t="shared" si="138"/>
        <v>7588.5071886000005</v>
      </c>
      <c r="R669" s="52">
        <f t="shared" si="138"/>
        <v>331.92565380000002</v>
      </c>
      <c r="S669" s="52">
        <f t="shared" si="138"/>
        <v>0</v>
      </c>
      <c r="T669" s="52">
        <f t="shared" si="138"/>
        <v>0</v>
      </c>
      <c r="U669" s="52">
        <f t="shared" si="138"/>
        <v>0</v>
      </c>
      <c r="V669" s="52">
        <f t="shared" si="138"/>
        <v>0</v>
      </c>
      <c r="W669" s="52">
        <f t="shared" si="138"/>
        <v>30811.857242400001</v>
      </c>
      <c r="X669" s="52">
        <f t="shared" si="138"/>
        <v>0</v>
      </c>
      <c r="Y669" s="52">
        <f t="shared" si="138"/>
        <v>0</v>
      </c>
      <c r="Z669" s="195">
        <f t="shared" si="138"/>
        <v>30811.857242400001</v>
      </c>
    </row>
    <row r="670" spans="1:27" x14ac:dyDescent="0.2">
      <c r="A670" s="50"/>
      <c r="B670" s="51"/>
      <c r="C670" s="241">
        <f t="shared" si="136"/>
        <v>0</v>
      </c>
      <c r="D670" s="51"/>
      <c r="E670" s="51"/>
      <c r="F670" s="51"/>
      <c r="G670" s="51"/>
      <c r="H670" s="51"/>
      <c r="I670" s="73"/>
      <c r="J670" s="51" t="s">
        <v>973</v>
      </c>
      <c r="K670" s="52"/>
      <c r="L670" s="52">
        <f t="shared" si="137"/>
        <v>14560</v>
      </c>
      <c r="M670" s="52">
        <f t="shared" si="137"/>
        <v>0</v>
      </c>
      <c r="N670" s="743">
        <f t="shared" si="137"/>
        <v>136807.62992000001</v>
      </c>
      <c r="O670" s="52"/>
      <c r="P670" s="52">
        <f t="shared" si="138"/>
        <v>0</v>
      </c>
      <c r="Q670" s="52">
        <f t="shared" si="138"/>
        <v>45351.729318479993</v>
      </c>
      <c r="R670" s="52">
        <f t="shared" si="138"/>
        <v>1983.7106338400001</v>
      </c>
      <c r="S670" s="52">
        <f t="shared" si="138"/>
        <v>0</v>
      </c>
      <c r="T670" s="52">
        <f t="shared" si="138"/>
        <v>18044.400000000001</v>
      </c>
      <c r="U670" s="52">
        <f t="shared" si="138"/>
        <v>1102.8</v>
      </c>
      <c r="V670" s="52">
        <f t="shared" si="138"/>
        <v>0</v>
      </c>
      <c r="W670" s="52">
        <f t="shared" si="138"/>
        <v>203290.26987232006</v>
      </c>
      <c r="X670" s="52">
        <f t="shared" si="138"/>
        <v>0</v>
      </c>
      <c r="Y670" s="52">
        <f t="shared" si="138"/>
        <v>0</v>
      </c>
      <c r="Z670" s="195">
        <f t="shared" si="138"/>
        <v>203290.26987232006</v>
      </c>
    </row>
    <row r="671" spans="1:27" x14ac:dyDescent="0.2">
      <c r="A671" s="50"/>
      <c r="B671" s="51"/>
      <c r="C671" s="241">
        <f t="shared" si="136"/>
        <v>0</v>
      </c>
      <c r="D671" s="51"/>
      <c r="E671" s="51"/>
      <c r="F671" s="51"/>
      <c r="G671" s="51"/>
      <c r="H671" s="51"/>
      <c r="I671" s="73"/>
      <c r="J671" s="51" t="s">
        <v>980</v>
      </c>
      <c r="K671" s="52"/>
      <c r="L671" s="52">
        <f t="shared" si="137"/>
        <v>0</v>
      </c>
      <c r="M671" s="52">
        <f t="shared" si="137"/>
        <v>0</v>
      </c>
      <c r="N671" s="743">
        <f t="shared" si="137"/>
        <v>0</v>
      </c>
      <c r="O671" s="52"/>
      <c r="P671" s="52">
        <f t="shared" si="138"/>
        <v>0</v>
      </c>
      <c r="Q671" s="52">
        <f t="shared" si="138"/>
        <v>0</v>
      </c>
      <c r="R671" s="52">
        <f t="shared" si="138"/>
        <v>0</v>
      </c>
      <c r="S671" s="52">
        <f t="shared" si="138"/>
        <v>0</v>
      </c>
      <c r="T671" s="52">
        <f t="shared" si="138"/>
        <v>0</v>
      </c>
      <c r="U671" s="52">
        <f t="shared" si="138"/>
        <v>0</v>
      </c>
      <c r="V671" s="52">
        <f t="shared" si="138"/>
        <v>0</v>
      </c>
      <c r="W671" s="52">
        <f t="shared" si="138"/>
        <v>0</v>
      </c>
      <c r="X671" s="52">
        <f t="shared" si="138"/>
        <v>0</v>
      </c>
      <c r="Y671" s="52">
        <f t="shared" si="138"/>
        <v>0</v>
      </c>
      <c r="Z671" s="195">
        <f t="shared" si="138"/>
        <v>0</v>
      </c>
    </row>
    <row r="672" spans="1:27" x14ac:dyDescent="0.2">
      <c r="A672" s="50"/>
      <c r="B672" s="51"/>
      <c r="C672" s="241">
        <f t="shared" si="136"/>
        <v>0</v>
      </c>
      <c r="D672" s="51"/>
      <c r="E672" s="51"/>
      <c r="F672" s="51"/>
      <c r="G672" s="51"/>
      <c r="H672" s="51"/>
      <c r="I672" s="73"/>
      <c r="J672" s="404" t="s">
        <v>982</v>
      </c>
      <c r="K672" s="52"/>
      <c r="L672" s="52">
        <f t="shared" si="137"/>
        <v>0</v>
      </c>
      <c r="M672" s="52">
        <f t="shared" si="137"/>
        <v>0</v>
      </c>
      <c r="N672" s="743">
        <f t="shared" si="137"/>
        <v>0</v>
      </c>
      <c r="O672" s="52"/>
      <c r="P672" s="52">
        <f t="shared" si="138"/>
        <v>0</v>
      </c>
      <c r="Q672" s="52">
        <f t="shared" si="138"/>
        <v>0</v>
      </c>
      <c r="R672" s="52">
        <f t="shared" si="138"/>
        <v>0</v>
      </c>
      <c r="S672" s="52">
        <f t="shared" si="138"/>
        <v>0</v>
      </c>
      <c r="T672" s="52">
        <f t="shared" si="138"/>
        <v>0</v>
      </c>
      <c r="U672" s="52">
        <f t="shared" si="138"/>
        <v>0</v>
      </c>
      <c r="V672" s="52">
        <f t="shared" si="138"/>
        <v>0</v>
      </c>
      <c r="W672" s="52">
        <f t="shared" si="138"/>
        <v>0</v>
      </c>
      <c r="X672" s="52">
        <f t="shared" si="138"/>
        <v>0</v>
      </c>
      <c r="Y672" s="52">
        <f t="shared" si="138"/>
        <v>0</v>
      </c>
      <c r="Z672" s="195">
        <f t="shared" si="138"/>
        <v>0</v>
      </c>
      <c r="AA672" s="236"/>
    </row>
    <row r="673" spans="1:26" x14ac:dyDescent="0.2">
      <c r="A673" s="50"/>
      <c r="B673" s="51"/>
      <c r="C673" s="241">
        <f t="shared" si="136"/>
        <v>0</v>
      </c>
      <c r="D673" s="51"/>
      <c r="E673" s="51"/>
      <c r="F673" s="51"/>
      <c r="G673" s="51"/>
      <c r="H673" s="51"/>
      <c r="I673" s="73"/>
      <c r="J673" s="51" t="s">
        <v>46</v>
      </c>
      <c r="K673" s="52"/>
      <c r="L673" s="52">
        <f t="shared" si="137"/>
        <v>2212</v>
      </c>
      <c r="M673" s="52">
        <f t="shared" si="137"/>
        <v>0</v>
      </c>
      <c r="N673" s="743">
        <f t="shared" si="137"/>
        <v>231599.98559999999</v>
      </c>
      <c r="O673" s="52"/>
      <c r="P673" s="52">
        <f t="shared" si="138"/>
        <v>0</v>
      </c>
      <c r="Q673" s="52">
        <f t="shared" si="138"/>
        <v>74587.495226400002</v>
      </c>
      <c r="R673" s="52">
        <f t="shared" si="138"/>
        <v>3358.1997911999997</v>
      </c>
      <c r="S673" s="52">
        <f t="shared" si="138"/>
        <v>409.19999999999993</v>
      </c>
      <c r="T673" s="52">
        <f t="shared" si="138"/>
        <v>15357.6</v>
      </c>
      <c r="U673" s="52">
        <f t="shared" si="138"/>
        <v>983.52</v>
      </c>
      <c r="V673" s="52">
        <f t="shared" si="138"/>
        <v>0</v>
      </c>
      <c r="W673" s="52">
        <f t="shared" si="138"/>
        <v>326296.00061759999</v>
      </c>
      <c r="X673" s="52">
        <f t="shared" si="138"/>
        <v>0</v>
      </c>
      <c r="Y673" s="52">
        <f t="shared" si="138"/>
        <v>0</v>
      </c>
      <c r="Z673" s="195">
        <f t="shared" si="138"/>
        <v>326296.00061759999</v>
      </c>
    </row>
    <row r="674" spans="1:26" x14ac:dyDescent="0.2">
      <c r="A674" s="50"/>
      <c r="B674" s="51"/>
      <c r="C674" s="241">
        <f t="shared" si="136"/>
        <v>0</v>
      </c>
      <c r="D674" s="51"/>
      <c r="E674" s="51"/>
      <c r="F674" s="51"/>
      <c r="G674" s="51"/>
      <c r="H674" s="51"/>
      <c r="I674" s="73"/>
      <c r="J674" s="51" t="s">
        <v>1019</v>
      </c>
      <c r="K674" s="52"/>
      <c r="L674" s="52">
        <f t="shared" si="137"/>
        <v>123970</v>
      </c>
      <c r="M674" s="52">
        <f t="shared" si="137"/>
        <v>0</v>
      </c>
      <c r="N674" s="743">
        <f t="shared" si="137"/>
        <v>3222864.8445440005</v>
      </c>
      <c r="O674" s="52"/>
      <c r="P674" s="52">
        <f t="shared" si="138"/>
        <v>21836.87</v>
      </c>
      <c r="Q674" s="52">
        <f t="shared" si="138"/>
        <v>1055555.7809663361</v>
      </c>
      <c r="R674" s="52">
        <f t="shared" si="138"/>
        <v>47322.705245888013</v>
      </c>
      <c r="S674" s="52">
        <f t="shared" si="138"/>
        <v>1782.5</v>
      </c>
      <c r="T674" s="52">
        <f t="shared" si="138"/>
        <v>711453.75999999966</v>
      </c>
      <c r="U674" s="52">
        <f t="shared" si="138"/>
        <v>29809.680000000011</v>
      </c>
      <c r="V674" s="52">
        <f t="shared" si="138"/>
        <v>0</v>
      </c>
      <c r="W674" s="52">
        <f t="shared" si="138"/>
        <v>5121826.1407562234</v>
      </c>
      <c r="X674" s="52">
        <f t="shared" si="138"/>
        <v>0</v>
      </c>
      <c r="Y674" s="52">
        <f t="shared" si="138"/>
        <v>0</v>
      </c>
      <c r="Z674" s="195">
        <f t="shared" si="138"/>
        <v>5121826.1407562234</v>
      </c>
    </row>
    <row r="675" spans="1:26" x14ac:dyDescent="0.2">
      <c r="A675" s="50"/>
      <c r="B675" s="51"/>
      <c r="C675" s="241">
        <f t="shared" si="136"/>
        <v>0</v>
      </c>
      <c r="D675" s="51"/>
      <c r="E675" s="51"/>
      <c r="F675" s="51"/>
      <c r="G675" s="51"/>
      <c r="H675" s="51"/>
      <c r="I675" s="73"/>
      <c r="J675" s="51" t="s">
        <v>1050</v>
      </c>
      <c r="K675" s="52"/>
      <c r="L675" s="52">
        <f t="shared" si="137"/>
        <v>0</v>
      </c>
      <c r="M675" s="52">
        <f t="shared" si="137"/>
        <v>0</v>
      </c>
      <c r="N675" s="743">
        <f t="shared" si="137"/>
        <v>0</v>
      </c>
      <c r="O675" s="52"/>
      <c r="P675" s="52">
        <f t="shared" si="138"/>
        <v>0</v>
      </c>
      <c r="Q675" s="52">
        <f t="shared" si="138"/>
        <v>0</v>
      </c>
      <c r="R675" s="52">
        <f t="shared" si="138"/>
        <v>0</v>
      </c>
      <c r="S675" s="52">
        <f t="shared" si="138"/>
        <v>0</v>
      </c>
      <c r="T675" s="52">
        <f t="shared" si="138"/>
        <v>0</v>
      </c>
      <c r="U675" s="52">
        <f t="shared" si="138"/>
        <v>0</v>
      </c>
      <c r="V675" s="52">
        <f t="shared" si="138"/>
        <v>0</v>
      </c>
      <c r="W675" s="52">
        <f t="shared" si="138"/>
        <v>0</v>
      </c>
      <c r="X675" s="52">
        <f t="shared" si="138"/>
        <v>0</v>
      </c>
      <c r="Y675" s="52">
        <f t="shared" si="138"/>
        <v>0</v>
      </c>
      <c r="Z675" s="195">
        <f t="shared" si="138"/>
        <v>0</v>
      </c>
    </row>
    <row r="676" spans="1:26" x14ac:dyDescent="0.2">
      <c r="A676" s="50"/>
      <c r="B676" s="51"/>
      <c r="C676" s="241">
        <f t="shared" si="136"/>
        <v>0</v>
      </c>
      <c r="D676" s="51"/>
      <c r="E676" s="51"/>
      <c r="F676" s="51"/>
      <c r="G676" s="51"/>
      <c r="H676" s="51"/>
      <c r="I676" s="73"/>
      <c r="J676" s="51" t="s">
        <v>100</v>
      </c>
      <c r="K676" s="52"/>
      <c r="L676" s="52">
        <f t="shared" si="137"/>
        <v>4160</v>
      </c>
      <c r="M676" s="52">
        <f t="shared" si="137"/>
        <v>0</v>
      </c>
      <c r="N676" s="743">
        <f t="shared" si="137"/>
        <v>5425.8879999999999</v>
      </c>
      <c r="O676" s="52"/>
      <c r="P676" s="52">
        <f t="shared" ref="P676:Z685" si="139">SUMIFS(P$27:P$615,$J$27:$J$615,$J676,$H$27:$H$615,"1")</f>
        <v>0</v>
      </c>
      <c r="Q676" s="52">
        <f t="shared" si="139"/>
        <v>1798.6818720000001</v>
      </c>
      <c r="R676" s="52">
        <f t="shared" si="139"/>
        <v>78.675376</v>
      </c>
      <c r="S676" s="52">
        <f t="shared" si="139"/>
        <v>0</v>
      </c>
      <c r="T676" s="52">
        <f t="shared" si="139"/>
        <v>0</v>
      </c>
      <c r="U676" s="52">
        <f t="shared" si="139"/>
        <v>0</v>
      </c>
      <c r="V676" s="52">
        <f t="shared" si="139"/>
        <v>0</v>
      </c>
      <c r="W676" s="52">
        <f t="shared" si="139"/>
        <v>7303.2452480000002</v>
      </c>
      <c r="X676" s="52">
        <f t="shared" si="139"/>
        <v>0</v>
      </c>
      <c r="Y676" s="52">
        <f t="shared" si="139"/>
        <v>0</v>
      </c>
      <c r="Z676" s="195">
        <f t="shared" si="139"/>
        <v>7303.2452480000002</v>
      </c>
    </row>
    <row r="677" spans="1:26" x14ac:dyDescent="0.2">
      <c r="A677" s="50"/>
      <c r="B677" s="51"/>
      <c r="C677" s="241">
        <f t="shared" si="136"/>
        <v>0</v>
      </c>
      <c r="D677" s="51"/>
      <c r="E677" s="51"/>
      <c r="F677" s="51"/>
      <c r="G677" s="51"/>
      <c r="H677" s="51"/>
      <c r="I677" s="73"/>
      <c r="J677" s="51" t="s">
        <v>101</v>
      </c>
      <c r="K677" s="52"/>
      <c r="L677" s="52">
        <f t="shared" si="137"/>
        <v>4160</v>
      </c>
      <c r="M677" s="52">
        <f t="shared" si="137"/>
        <v>0</v>
      </c>
      <c r="N677" s="743">
        <f t="shared" si="137"/>
        <v>5425.8879999999999</v>
      </c>
      <c r="O677" s="52"/>
      <c r="P677" s="52">
        <f t="shared" si="139"/>
        <v>0</v>
      </c>
      <c r="Q677" s="52">
        <f t="shared" si="139"/>
        <v>1798.6818720000001</v>
      </c>
      <c r="R677" s="52">
        <f t="shared" si="139"/>
        <v>78.675376</v>
      </c>
      <c r="S677" s="52">
        <f t="shared" si="139"/>
        <v>0</v>
      </c>
      <c r="T677" s="52">
        <f t="shared" si="139"/>
        <v>0</v>
      </c>
      <c r="U677" s="52">
        <f t="shared" si="139"/>
        <v>0</v>
      </c>
      <c r="V677" s="52">
        <f t="shared" si="139"/>
        <v>0</v>
      </c>
      <c r="W677" s="52">
        <f t="shared" si="139"/>
        <v>7303.2452480000002</v>
      </c>
      <c r="X677" s="52">
        <f t="shared" si="139"/>
        <v>0</v>
      </c>
      <c r="Y677" s="52">
        <f t="shared" si="139"/>
        <v>0</v>
      </c>
      <c r="Z677" s="195">
        <f t="shared" si="139"/>
        <v>7303.2452480000002</v>
      </c>
    </row>
    <row r="678" spans="1:26" x14ac:dyDescent="0.2">
      <c r="A678" s="50"/>
      <c r="B678" s="51"/>
      <c r="C678" s="241">
        <f t="shared" si="136"/>
        <v>0</v>
      </c>
      <c r="D678" s="51"/>
      <c r="E678" s="51"/>
      <c r="F678" s="51"/>
      <c r="G678" s="51"/>
      <c r="H678" s="51"/>
      <c r="I678" s="73"/>
      <c r="J678" s="51" t="s">
        <v>1056</v>
      </c>
      <c r="K678" s="52"/>
      <c r="L678" s="52">
        <f t="shared" si="137"/>
        <v>16640</v>
      </c>
      <c r="M678" s="52">
        <f t="shared" si="137"/>
        <v>0</v>
      </c>
      <c r="N678" s="743">
        <f t="shared" si="137"/>
        <v>35496.848399999995</v>
      </c>
      <c r="O678" s="52"/>
      <c r="P678" s="52">
        <f t="shared" si="139"/>
        <v>0</v>
      </c>
      <c r="Q678" s="52">
        <f t="shared" si="139"/>
        <v>11767.2052446</v>
      </c>
      <c r="R678" s="52">
        <f t="shared" si="139"/>
        <v>514.70430179999994</v>
      </c>
      <c r="S678" s="52">
        <f t="shared" si="139"/>
        <v>0</v>
      </c>
      <c r="T678" s="52">
        <f t="shared" si="139"/>
        <v>0</v>
      </c>
      <c r="U678" s="52">
        <f t="shared" si="139"/>
        <v>0</v>
      </c>
      <c r="V678" s="52">
        <f t="shared" si="139"/>
        <v>0</v>
      </c>
      <c r="W678" s="52">
        <f t="shared" si="139"/>
        <v>47778.757946400008</v>
      </c>
      <c r="X678" s="52">
        <f t="shared" si="139"/>
        <v>0</v>
      </c>
      <c r="Y678" s="52">
        <f t="shared" si="139"/>
        <v>0</v>
      </c>
      <c r="Z678" s="195">
        <f t="shared" si="139"/>
        <v>47778.757946400008</v>
      </c>
    </row>
    <row r="679" spans="1:26" x14ac:dyDescent="0.2">
      <c r="A679" s="50"/>
      <c r="B679" s="51"/>
      <c r="C679" s="241">
        <f t="shared" si="136"/>
        <v>0</v>
      </c>
      <c r="D679" s="51"/>
      <c r="E679" s="51"/>
      <c r="F679" s="51"/>
      <c r="G679" s="51"/>
      <c r="H679" s="51"/>
      <c r="I679" s="73"/>
      <c r="J679" s="51" t="s">
        <v>1057</v>
      </c>
      <c r="K679" s="52"/>
      <c r="L679" s="52">
        <f t="shared" si="137"/>
        <v>12480</v>
      </c>
      <c r="M679" s="52">
        <f t="shared" si="137"/>
        <v>0</v>
      </c>
      <c r="N679" s="743">
        <f t="shared" si="137"/>
        <v>48569.232400000001</v>
      </c>
      <c r="O679" s="52"/>
      <c r="P679" s="52">
        <f t="shared" si="139"/>
        <v>0</v>
      </c>
      <c r="Q679" s="52">
        <f t="shared" si="139"/>
        <v>16100.700540600003</v>
      </c>
      <c r="R679" s="52">
        <f t="shared" si="139"/>
        <v>704.25386980000007</v>
      </c>
      <c r="S679" s="52">
        <f t="shared" si="139"/>
        <v>0</v>
      </c>
      <c r="T679" s="52">
        <f t="shared" si="139"/>
        <v>0</v>
      </c>
      <c r="U679" s="52">
        <f t="shared" si="139"/>
        <v>0</v>
      </c>
      <c r="V679" s="52">
        <f t="shared" si="139"/>
        <v>0</v>
      </c>
      <c r="W679" s="52">
        <f t="shared" si="139"/>
        <v>65374.186810400002</v>
      </c>
      <c r="X679" s="52">
        <f t="shared" si="139"/>
        <v>0</v>
      </c>
      <c r="Y679" s="52">
        <f t="shared" si="139"/>
        <v>0</v>
      </c>
      <c r="Z679" s="195">
        <f t="shared" si="139"/>
        <v>65374.186810400002</v>
      </c>
    </row>
    <row r="680" spans="1:26" x14ac:dyDescent="0.2">
      <c r="A680" s="50"/>
      <c r="B680" s="51"/>
      <c r="C680" s="241">
        <f t="shared" si="136"/>
        <v>0</v>
      </c>
      <c r="D680" s="51"/>
      <c r="E680" s="51"/>
      <c r="F680" s="51"/>
      <c r="G680" s="51"/>
      <c r="H680" s="51"/>
      <c r="I680" s="73"/>
      <c r="J680" s="51" t="s">
        <v>1631</v>
      </c>
      <c r="K680" s="52"/>
      <c r="L680" s="52">
        <f t="shared" si="137"/>
        <v>4160</v>
      </c>
      <c r="M680" s="52">
        <f t="shared" si="137"/>
        <v>0</v>
      </c>
      <c r="N680" s="743">
        <f t="shared" si="137"/>
        <v>11415.456</v>
      </c>
      <c r="O680" s="52"/>
      <c r="P680" s="52">
        <f t="shared" si="139"/>
        <v>0</v>
      </c>
      <c r="Q680" s="52">
        <f t="shared" si="139"/>
        <v>3784.2236640000001</v>
      </c>
      <c r="R680" s="52">
        <f t="shared" si="139"/>
        <v>165.524112</v>
      </c>
      <c r="S680" s="52">
        <f t="shared" si="139"/>
        <v>0</v>
      </c>
      <c r="T680" s="52">
        <f t="shared" si="139"/>
        <v>0</v>
      </c>
      <c r="U680" s="52">
        <f t="shared" si="139"/>
        <v>0</v>
      </c>
      <c r="V680" s="52">
        <f t="shared" si="139"/>
        <v>0</v>
      </c>
      <c r="W680" s="52">
        <f t="shared" si="139"/>
        <v>15365.203776</v>
      </c>
      <c r="X680" s="52">
        <f t="shared" si="139"/>
        <v>0</v>
      </c>
      <c r="Y680" s="52">
        <f t="shared" si="139"/>
        <v>0</v>
      </c>
      <c r="Z680" s="195">
        <f t="shared" si="139"/>
        <v>15365.203776</v>
      </c>
    </row>
    <row r="681" spans="1:26" x14ac:dyDescent="0.2">
      <c r="A681" s="50"/>
      <c r="B681" s="51"/>
      <c r="C681" s="241">
        <f t="shared" si="136"/>
        <v>0</v>
      </c>
      <c r="D681" s="51"/>
      <c r="E681" s="51"/>
      <c r="F681" s="51"/>
      <c r="G681" s="51"/>
      <c r="H681" s="51"/>
      <c r="I681" s="73"/>
      <c r="J681" s="51" t="s">
        <v>1632</v>
      </c>
      <c r="K681" s="52"/>
      <c r="L681" s="52">
        <f t="shared" si="137"/>
        <v>6240</v>
      </c>
      <c r="M681" s="52">
        <f t="shared" si="137"/>
        <v>0</v>
      </c>
      <c r="N681" s="743">
        <f t="shared" si="137"/>
        <v>26156</v>
      </c>
      <c r="O681" s="52"/>
      <c r="P681" s="52">
        <f t="shared" si="139"/>
        <v>0</v>
      </c>
      <c r="Q681" s="52">
        <f t="shared" si="139"/>
        <v>8670.7139999999999</v>
      </c>
      <c r="R681" s="52">
        <f t="shared" si="139"/>
        <v>379.26200000000006</v>
      </c>
      <c r="S681" s="52">
        <f t="shared" si="139"/>
        <v>0</v>
      </c>
      <c r="T681" s="52">
        <f t="shared" si="139"/>
        <v>120</v>
      </c>
      <c r="U681" s="52">
        <f t="shared" si="139"/>
        <v>323.04000000000002</v>
      </c>
      <c r="V681" s="52">
        <f t="shared" si="139"/>
        <v>0</v>
      </c>
      <c r="W681" s="52">
        <f t="shared" si="139"/>
        <v>35649.016000000003</v>
      </c>
      <c r="X681" s="52">
        <f t="shared" si="139"/>
        <v>0</v>
      </c>
      <c r="Y681" s="52">
        <f t="shared" si="139"/>
        <v>0</v>
      </c>
      <c r="Z681" s="195">
        <f t="shared" si="139"/>
        <v>35649.016000000003</v>
      </c>
    </row>
    <row r="682" spans="1:26" x14ac:dyDescent="0.2">
      <c r="A682" s="50"/>
      <c r="B682" s="51"/>
      <c r="C682" s="241">
        <f t="shared" si="136"/>
        <v>0</v>
      </c>
      <c r="D682" s="51"/>
      <c r="E682" s="51"/>
      <c r="F682" s="51"/>
      <c r="G682" s="51"/>
      <c r="H682" s="51"/>
      <c r="I682" s="73"/>
      <c r="J682" s="51" t="s">
        <v>965</v>
      </c>
      <c r="K682" s="52"/>
      <c r="L682" s="52">
        <f t="shared" si="137"/>
        <v>0</v>
      </c>
      <c r="M682" s="52">
        <f t="shared" si="137"/>
        <v>0</v>
      </c>
      <c r="N682" s="743">
        <f t="shared" si="137"/>
        <v>0</v>
      </c>
      <c r="O682" s="52"/>
      <c r="P682" s="52">
        <f t="shared" si="139"/>
        <v>0</v>
      </c>
      <c r="Q682" s="52">
        <f t="shared" si="139"/>
        <v>0</v>
      </c>
      <c r="R682" s="52">
        <f t="shared" si="139"/>
        <v>0</v>
      </c>
      <c r="S682" s="52">
        <f t="shared" si="139"/>
        <v>0</v>
      </c>
      <c r="T682" s="52">
        <f t="shared" si="139"/>
        <v>0</v>
      </c>
      <c r="U682" s="52">
        <f t="shared" si="139"/>
        <v>0</v>
      </c>
      <c r="V682" s="52">
        <f t="shared" si="139"/>
        <v>0</v>
      </c>
      <c r="W682" s="52">
        <f t="shared" si="139"/>
        <v>0</v>
      </c>
      <c r="X682" s="52">
        <f t="shared" si="139"/>
        <v>0</v>
      </c>
      <c r="Y682" s="52">
        <f t="shared" si="139"/>
        <v>0</v>
      </c>
      <c r="Z682" s="195">
        <f t="shared" si="139"/>
        <v>0</v>
      </c>
    </row>
    <row r="683" spans="1:26" x14ac:dyDescent="0.2">
      <c r="A683" s="50"/>
      <c r="B683" s="51"/>
      <c r="C683" s="241">
        <f t="shared" si="136"/>
        <v>0</v>
      </c>
      <c r="D683" s="51"/>
      <c r="E683" s="51"/>
      <c r="F683" s="51"/>
      <c r="G683" s="51"/>
      <c r="H683" s="51"/>
      <c r="I683" s="73"/>
      <c r="J683" s="51" t="s">
        <v>1011</v>
      </c>
      <c r="K683" s="52"/>
      <c r="L683" s="52">
        <f t="shared" si="137"/>
        <v>4160</v>
      </c>
      <c r="M683" s="52">
        <f t="shared" si="137"/>
        <v>0</v>
      </c>
      <c r="N683" s="743">
        <f t="shared" si="137"/>
        <v>4095.6005999999998</v>
      </c>
      <c r="O683" s="52"/>
      <c r="P683" s="52">
        <f t="shared" si="139"/>
        <v>0</v>
      </c>
      <c r="Q683" s="52">
        <f t="shared" si="139"/>
        <v>1357.6915988999999</v>
      </c>
      <c r="R683" s="52">
        <f t="shared" si="139"/>
        <v>59.386208699999997</v>
      </c>
      <c r="S683" s="52">
        <f t="shared" si="139"/>
        <v>0</v>
      </c>
      <c r="T683" s="52">
        <f t="shared" si="139"/>
        <v>0</v>
      </c>
      <c r="U683" s="52">
        <f t="shared" si="139"/>
        <v>0</v>
      </c>
      <c r="V683" s="52">
        <f t="shared" si="139"/>
        <v>0</v>
      </c>
      <c r="W683" s="52">
        <f t="shared" si="139"/>
        <v>5512.6784075999994</v>
      </c>
      <c r="X683" s="52">
        <f t="shared" si="139"/>
        <v>0</v>
      </c>
      <c r="Y683" s="52">
        <f t="shared" si="139"/>
        <v>0</v>
      </c>
      <c r="Z683" s="195">
        <f t="shared" si="139"/>
        <v>5512.6784075999994</v>
      </c>
    </row>
    <row r="684" spans="1:26" x14ac:dyDescent="0.2">
      <c r="A684" s="50"/>
      <c r="B684" s="51"/>
      <c r="C684" s="241">
        <f t="shared" si="136"/>
        <v>0</v>
      </c>
      <c r="D684" s="51"/>
      <c r="E684" s="51"/>
      <c r="F684" s="51"/>
      <c r="G684" s="51"/>
      <c r="H684" s="51"/>
      <c r="I684" s="73"/>
      <c r="J684" s="51" t="s">
        <v>1010</v>
      </c>
      <c r="K684" s="52"/>
      <c r="L684" s="52">
        <f t="shared" si="137"/>
        <v>14560</v>
      </c>
      <c r="M684" s="52">
        <f t="shared" si="137"/>
        <v>0</v>
      </c>
      <c r="N684" s="743">
        <f t="shared" si="137"/>
        <v>38108.095999999998</v>
      </c>
      <c r="O684" s="52"/>
      <c r="P684" s="52">
        <f t="shared" si="139"/>
        <v>0</v>
      </c>
      <c r="Q684" s="52">
        <f t="shared" si="139"/>
        <v>12632.833824000001</v>
      </c>
      <c r="R684" s="52">
        <f t="shared" si="139"/>
        <v>552.56739200000015</v>
      </c>
      <c r="S684" s="52">
        <f t="shared" si="139"/>
        <v>0</v>
      </c>
      <c r="T684" s="52">
        <f t="shared" si="139"/>
        <v>15285.6</v>
      </c>
      <c r="U684" s="52">
        <f t="shared" si="139"/>
        <v>983.52</v>
      </c>
      <c r="V684" s="52">
        <f t="shared" si="139"/>
        <v>0</v>
      </c>
      <c r="W684" s="52">
        <f t="shared" si="139"/>
        <v>67562.617215999999</v>
      </c>
      <c r="X684" s="52">
        <f t="shared" si="139"/>
        <v>0</v>
      </c>
      <c r="Y684" s="52">
        <f t="shared" si="139"/>
        <v>0</v>
      </c>
      <c r="Z684" s="195">
        <f t="shared" si="139"/>
        <v>67562.617215999999</v>
      </c>
    </row>
    <row r="685" spans="1:26" x14ac:dyDescent="0.2">
      <c r="A685" s="50"/>
      <c r="B685" s="51"/>
      <c r="C685" s="241">
        <f t="shared" si="136"/>
        <v>0</v>
      </c>
      <c r="D685" s="51"/>
      <c r="E685" s="51"/>
      <c r="F685" s="51"/>
      <c r="G685" s="51"/>
      <c r="H685" s="51"/>
      <c r="I685" s="73"/>
      <c r="J685" s="51" t="s">
        <v>1013</v>
      </c>
      <c r="K685" s="52"/>
      <c r="L685" s="52">
        <f t="shared" si="137"/>
        <v>4160</v>
      </c>
      <c r="M685" s="52">
        <f t="shared" si="137"/>
        <v>0</v>
      </c>
      <c r="N685" s="743">
        <f t="shared" si="137"/>
        <v>3180.4005999999999</v>
      </c>
      <c r="O685" s="52"/>
      <c r="P685" s="52">
        <f t="shared" si="139"/>
        <v>0</v>
      </c>
      <c r="Q685" s="52">
        <f t="shared" si="139"/>
        <v>1054.3027989</v>
      </c>
      <c r="R685" s="52">
        <f t="shared" si="139"/>
        <v>46.115808700000002</v>
      </c>
      <c r="S685" s="52">
        <f t="shared" si="139"/>
        <v>0</v>
      </c>
      <c r="T685" s="52">
        <f t="shared" si="139"/>
        <v>0</v>
      </c>
      <c r="U685" s="52">
        <f t="shared" si="139"/>
        <v>0</v>
      </c>
      <c r="V685" s="52">
        <f t="shared" si="139"/>
        <v>0</v>
      </c>
      <c r="W685" s="52">
        <f t="shared" si="139"/>
        <v>4280.8192076000005</v>
      </c>
      <c r="X685" s="52">
        <f t="shared" si="139"/>
        <v>0</v>
      </c>
      <c r="Y685" s="52">
        <f t="shared" si="139"/>
        <v>0</v>
      </c>
      <c r="Z685" s="195">
        <f t="shared" si="139"/>
        <v>4280.8192076000005</v>
      </c>
    </row>
    <row r="686" spans="1:26" x14ac:dyDescent="0.2">
      <c r="A686" s="50"/>
      <c r="B686" s="51"/>
      <c r="C686" s="241">
        <f t="shared" si="136"/>
        <v>0</v>
      </c>
      <c r="D686" s="51"/>
      <c r="E686" s="51"/>
      <c r="F686" s="51"/>
      <c r="G686" s="51"/>
      <c r="H686" s="51"/>
      <c r="I686" s="73"/>
      <c r="J686" s="51" t="s">
        <v>1012</v>
      </c>
      <c r="K686" s="52"/>
      <c r="L686" s="52">
        <f t="shared" ref="L686:N701" si="140">SUMIFS(L$27:L$615,$J$27:$J$615,$J686,$H$27:$H$615,"1")</f>
        <v>0</v>
      </c>
      <c r="M686" s="52">
        <f t="shared" si="140"/>
        <v>0</v>
      </c>
      <c r="N686" s="743">
        <f t="shared" si="140"/>
        <v>0</v>
      </c>
      <c r="O686" s="52"/>
      <c r="P686" s="52">
        <f t="shared" ref="P686:Z695" si="141">SUMIFS(P$27:P$615,$J$27:$J$615,$J686,$H$27:$H$615,"1")</f>
        <v>0</v>
      </c>
      <c r="Q686" s="52">
        <f t="shared" si="141"/>
        <v>0</v>
      </c>
      <c r="R686" s="52">
        <f t="shared" si="141"/>
        <v>0</v>
      </c>
      <c r="S686" s="52">
        <f t="shared" si="141"/>
        <v>0</v>
      </c>
      <c r="T686" s="52">
        <f t="shared" si="141"/>
        <v>0</v>
      </c>
      <c r="U686" s="52">
        <f t="shared" si="141"/>
        <v>0</v>
      </c>
      <c r="V686" s="52">
        <f t="shared" si="141"/>
        <v>0</v>
      </c>
      <c r="W686" s="52">
        <f t="shared" si="141"/>
        <v>0</v>
      </c>
      <c r="X686" s="52">
        <f t="shared" si="141"/>
        <v>0</v>
      </c>
      <c r="Y686" s="52">
        <f t="shared" si="141"/>
        <v>0</v>
      </c>
      <c r="Z686" s="195">
        <f t="shared" si="141"/>
        <v>0</v>
      </c>
    </row>
    <row r="687" spans="1:26" x14ac:dyDescent="0.2">
      <c r="A687" s="50"/>
      <c r="B687" s="51"/>
      <c r="C687" s="241">
        <f t="shared" si="136"/>
        <v>0</v>
      </c>
      <c r="D687" s="51"/>
      <c r="E687" s="51"/>
      <c r="F687" s="51"/>
      <c r="G687" s="51"/>
      <c r="H687" s="51"/>
      <c r="I687" s="73"/>
      <c r="J687" s="51" t="s">
        <v>1052</v>
      </c>
      <c r="K687" s="52"/>
      <c r="L687" s="52">
        <f t="shared" si="140"/>
        <v>4160</v>
      </c>
      <c r="M687" s="52">
        <f t="shared" si="140"/>
        <v>0</v>
      </c>
      <c r="N687" s="743">
        <f t="shared" si="140"/>
        <v>2280.4002</v>
      </c>
      <c r="O687" s="52"/>
      <c r="P687" s="52">
        <f t="shared" si="141"/>
        <v>0</v>
      </c>
      <c r="Q687" s="52">
        <f t="shared" si="141"/>
        <v>755.95266630000003</v>
      </c>
      <c r="R687" s="52">
        <f t="shared" si="141"/>
        <v>33.065802900000008</v>
      </c>
      <c r="S687" s="52">
        <f t="shared" si="141"/>
        <v>0</v>
      </c>
      <c r="T687" s="52">
        <f t="shared" si="141"/>
        <v>0</v>
      </c>
      <c r="U687" s="52">
        <f t="shared" si="141"/>
        <v>0</v>
      </c>
      <c r="V687" s="52">
        <f t="shared" si="141"/>
        <v>0</v>
      </c>
      <c r="W687" s="52">
        <f t="shared" si="141"/>
        <v>3069.4186692000003</v>
      </c>
      <c r="X687" s="52">
        <f t="shared" si="141"/>
        <v>0</v>
      </c>
      <c r="Y687" s="52">
        <f t="shared" si="141"/>
        <v>0</v>
      </c>
      <c r="Z687" s="195">
        <f t="shared" si="141"/>
        <v>3069.4186692000003</v>
      </c>
    </row>
    <row r="688" spans="1:26" x14ac:dyDescent="0.2">
      <c r="A688" s="50"/>
      <c r="B688" s="51"/>
      <c r="C688" s="241">
        <f t="shared" si="136"/>
        <v>0</v>
      </c>
      <c r="D688" s="51"/>
      <c r="E688" s="51"/>
      <c r="F688" s="51"/>
      <c r="G688" s="51"/>
      <c r="H688" s="51"/>
      <c r="I688" s="73"/>
      <c r="J688" s="51" t="s">
        <v>1053</v>
      </c>
      <c r="K688" s="52"/>
      <c r="L688" s="52">
        <f t="shared" si="140"/>
        <v>14560</v>
      </c>
      <c r="M688" s="52">
        <f t="shared" si="140"/>
        <v>0</v>
      </c>
      <c r="N688" s="743">
        <f t="shared" si="140"/>
        <v>45815.12</v>
      </c>
      <c r="O688" s="52"/>
      <c r="P688" s="52">
        <f t="shared" si="141"/>
        <v>0</v>
      </c>
      <c r="Q688" s="52">
        <f t="shared" si="141"/>
        <v>15187.71228</v>
      </c>
      <c r="R688" s="52">
        <f t="shared" si="141"/>
        <v>707.23924000000011</v>
      </c>
      <c r="S688" s="52">
        <f t="shared" si="141"/>
        <v>0</v>
      </c>
      <c r="T688" s="52">
        <f t="shared" si="141"/>
        <v>0</v>
      </c>
      <c r="U688" s="52">
        <f t="shared" si="141"/>
        <v>0</v>
      </c>
      <c r="V688" s="52">
        <f t="shared" si="141"/>
        <v>0</v>
      </c>
      <c r="W688" s="52">
        <f t="shared" si="141"/>
        <v>64670.071520000005</v>
      </c>
      <c r="X688" s="52">
        <f t="shared" si="141"/>
        <v>0</v>
      </c>
      <c r="Y688" s="52">
        <f t="shared" si="141"/>
        <v>0</v>
      </c>
      <c r="Z688" s="195">
        <f t="shared" si="141"/>
        <v>64670.071520000005</v>
      </c>
    </row>
    <row r="689" spans="1:26" x14ac:dyDescent="0.2">
      <c r="A689" s="50"/>
      <c r="B689" s="51"/>
      <c r="C689" s="241">
        <f t="shared" si="136"/>
        <v>0</v>
      </c>
      <c r="D689" s="51"/>
      <c r="E689" s="51"/>
      <c r="F689" s="51"/>
      <c r="G689" s="51"/>
      <c r="H689" s="51"/>
      <c r="I689" s="73"/>
      <c r="J689" s="51" t="s">
        <v>984</v>
      </c>
      <c r="K689" s="52"/>
      <c r="L689" s="52">
        <f t="shared" si="140"/>
        <v>2080</v>
      </c>
      <c r="M689" s="52">
        <f t="shared" si="140"/>
        <v>0</v>
      </c>
      <c r="N689" s="743">
        <f t="shared" si="140"/>
        <v>1350.0006000000001</v>
      </c>
      <c r="O689" s="52"/>
      <c r="P689" s="52">
        <f t="shared" si="141"/>
        <v>0</v>
      </c>
      <c r="Q689" s="52">
        <f t="shared" si="141"/>
        <v>447.52519890000002</v>
      </c>
      <c r="R689" s="52">
        <f t="shared" si="141"/>
        <v>19.575008700000001</v>
      </c>
      <c r="S689" s="52">
        <f t="shared" si="141"/>
        <v>0</v>
      </c>
      <c r="T689" s="52">
        <f t="shared" si="141"/>
        <v>0</v>
      </c>
      <c r="U689" s="52">
        <f t="shared" si="141"/>
        <v>0</v>
      </c>
      <c r="V689" s="52">
        <f t="shared" si="141"/>
        <v>0</v>
      </c>
      <c r="W689" s="52">
        <f t="shared" si="141"/>
        <v>1817.1008076000001</v>
      </c>
      <c r="X689" s="52">
        <f t="shared" si="141"/>
        <v>0</v>
      </c>
      <c r="Y689" s="52">
        <f t="shared" si="141"/>
        <v>0</v>
      </c>
      <c r="Z689" s="195">
        <f t="shared" si="141"/>
        <v>1817.1008076000001</v>
      </c>
    </row>
    <row r="690" spans="1:26" x14ac:dyDescent="0.2">
      <c r="A690" s="50"/>
      <c r="B690" s="51"/>
      <c r="C690" s="241">
        <f t="shared" si="136"/>
        <v>0</v>
      </c>
      <c r="D690" s="51"/>
      <c r="E690" s="51"/>
      <c r="F690" s="51"/>
      <c r="G690" s="51"/>
      <c r="H690" s="51"/>
      <c r="I690" s="73"/>
      <c r="J690" s="51" t="s">
        <v>985</v>
      </c>
      <c r="K690" s="52"/>
      <c r="L690" s="52">
        <f t="shared" si="140"/>
        <v>18720</v>
      </c>
      <c r="M690" s="52">
        <f t="shared" si="140"/>
        <v>0</v>
      </c>
      <c r="N690" s="743">
        <f t="shared" si="140"/>
        <v>53101.152000000002</v>
      </c>
      <c r="O690" s="52"/>
      <c r="P690" s="52">
        <f t="shared" si="141"/>
        <v>0</v>
      </c>
      <c r="Q690" s="52">
        <f t="shared" si="141"/>
        <v>17603.031888000001</v>
      </c>
      <c r="R690" s="52">
        <f t="shared" si="141"/>
        <v>769.96670400000005</v>
      </c>
      <c r="S690" s="52">
        <f t="shared" si="141"/>
        <v>0</v>
      </c>
      <c r="T690" s="52">
        <f t="shared" si="141"/>
        <v>0</v>
      </c>
      <c r="U690" s="52">
        <f t="shared" si="141"/>
        <v>0</v>
      </c>
      <c r="V690" s="52">
        <f t="shared" si="141"/>
        <v>0</v>
      </c>
      <c r="W690" s="52">
        <f t="shared" si="141"/>
        <v>71474.150592000005</v>
      </c>
      <c r="X690" s="52">
        <f t="shared" si="141"/>
        <v>0</v>
      </c>
      <c r="Y690" s="52">
        <f t="shared" si="141"/>
        <v>0</v>
      </c>
      <c r="Z690" s="195">
        <f t="shared" si="141"/>
        <v>71474.150592000005</v>
      </c>
    </row>
    <row r="691" spans="1:26" x14ac:dyDescent="0.2">
      <c r="A691" s="50"/>
      <c r="B691" s="51"/>
      <c r="C691" s="241">
        <f t="shared" si="136"/>
        <v>0</v>
      </c>
      <c r="D691" s="51"/>
      <c r="E691" s="51"/>
      <c r="F691" s="51"/>
      <c r="G691" s="51"/>
      <c r="H691" s="51"/>
      <c r="I691" s="73"/>
      <c r="J691" s="51" t="s">
        <v>1005</v>
      </c>
      <c r="K691" s="52"/>
      <c r="L691" s="52">
        <f t="shared" si="140"/>
        <v>0</v>
      </c>
      <c r="M691" s="52">
        <f t="shared" si="140"/>
        <v>0</v>
      </c>
      <c r="N691" s="743">
        <f t="shared" si="140"/>
        <v>0</v>
      </c>
      <c r="O691" s="52"/>
      <c r="P691" s="52">
        <f t="shared" si="141"/>
        <v>0</v>
      </c>
      <c r="Q691" s="52">
        <f t="shared" si="141"/>
        <v>0</v>
      </c>
      <c r="R691" s="52">
        <f t="shared" si="141"/>
        <v>0</v>
      </c>
      <c r="S691" s="52">
        <f t="shared" si="141"/>
        <v>0</v>
      </c>
      <c r="T691" s="52">
        <f t="shared" si="141"/>
        <v>0</v>
      </c>
      <c r="U691" s="52">
        <f t="shared" si="141"/>
        <v>0</v>
      </c>
      <c r="V691" s="52">
        <f t="shared" si="141"/>
        <v>0</v>
      </c>
      <c r="W691" s="52">
        <f t="shared" si="141"/>
        <v>0</v>
      </c>
      <c r="X691" s="52">
        <f t="shared" si="141"/>
        <v>0</v>
      </c>
      <c r="Y691" s="52">
        <f t="shared" si="141"/>
        <v>0</v>
      </c>
      <c r="Z691" s="195">
        <f t="shared" si="141"/>
        <v>0</v>
      </c>
    </row>
    <row r="692" spans="1:26" x14ac:dyDescent="0.2">
      <c r="A692" s="50"/>
      <c r="B692" s="51"/>
      <c r="C692" s="241">
        <f t="shared" si="136"/>
        <v>0</v>
      </c>
      <c r="D692" s="51"/>
      <c r="E692" s="51"/>
      <c r="F692" s="51"/>
      <c r="G692" s="51"/>
      <c r="H692" s="51"/>
      <c r="I692" s="73"/>
      <c r="J692" s="51" t="s">
        <v>1004</v>
      </c>
      <c r="K692" s="52"/>
      <c r="L692" s="52">
        <f t="shared" si="140"/>
        <v>0</v>
      </c>
      <c r="M692" s="52">
        <f t="shared" si="140"/>
        <v>0</v>
      </c>
      <c r="N692" s="743">
        <f t="shared" si="140"/>
        <v>0</v>
      </c>
      <c r="O692" s="52"/>
      <c r="P692" s="52">
        <f t="shared" si="141"/>
        <v>0</v>
      </c>
      <c r="Q692" s="52">
        <f t="shared" si="141"/>
        <v>0</v>
      </c>
      <c r="R692" s="52">
        <f t="shared" si="141"/>
        <v>0</v>
      </c>
      <c r="S692" s="52">
        <f t="shared" si="141"/>
        <v>0</v>
      </c>
      <c r="T692" s="52">
        <f t="shared" si="141"/>
        <v>0</v>
      </c>
      <c r="U692" s="52">
        <f t="shared" si="141"/>
        <v>0</v>
      </c>
      <c r="V692" s="52">
        <f t="shared" si="141"/>
        <v>0</v>
      </c>
      <c r="W692" s="52">
        <f t="shared" si="141"/>
        <v>0</v>
      </c>
      <c r="X692" s="52">
        <f t="shared" si="141"/>
        <v>0</v>
      </c>
      <c r="Y692" s="52">
        <f t="shared" si="141"/>
        <v>0</v>
      </c>
      <c r="Z692" s="195">
        <f t="shared" si="141"/>
        <v>0</v>
      </c>
    </row>
    <row r="693" spans="1:26" x14ac:dyDescent="0.2">
      <c r="A693" s="50"/>
      <c r="B693" s="51"/>
      <c r="C693" s="241">
        <f t="shared" si="136"/>
        <v>0</v>
      </c>
      <c r="D693" s="51"/>
      <c r="E693" s="51"/>
      <c r="F693" s="51"/>
      <c r="G693" s="51"/>
      <c r="H693" s="51"/>
      <c r="I693" s="73"/>
      <c r="J693" s="51" t="s">
        <v>1008</v>
      </c>
      <c r="K693" s="52"/>
      <c r="L693" s="52">
        <f t="shared" si="140"/>
        <v>0</v>
      </c>
      <c r="M693" s="52">
        <f t="shared" si="140"/>
        <v>0</v>
      </c>
      <c r="N693" s="743">
        <f t="shared" si="140"/>
        <v>0</v>
      </c>
      <c r="O693" s="52"/>
      <c r="P693" s="52">
        <f t="shared" si="141"/>
        <v>0</v>
      </c>
      <c r="Q693" s="52">
        <f t="shared" si="141"/>
        <v>0</v>
      </c>
      <c r="R693" s="52">
        <f t="shared" si="141"/>
        <v>0</v>
      </c>
      <c r="S693" s="52">
        <f t="shared" si="141"/>
        <v>0</v>
      </c>
      <c r="T693" s="52">
        <f t="shared" si="141"/>
        <v>0</v>
      </c>
      <c r="U693" s="52">
        <f t="shared" si="141"/>
        <v>0</v>
      </c>
      <c r="V693" s="52">
        <f t="shared" si="141"/>
        <v>0</v>
      </c>
      <c r="W693" s="52">
        <f t="shared" si="141"/>
        <v>0</v>
      </c>
      <c r="X693" s="52">
        <f t="shared" si="141"/>
        <v>0</v>
      </c>
      <c r="Y693" s="52">
        <f t="shared" si="141"/>
        <v>0</v>
      </c>
      <c r="Z693" s="195">
        <f t="shared" si="141"/>
        <v>0</v>
      </c>
    </row>
    <row r="694" spans="1:26" x14ac:dyDescent="0.2">
      <c r="A694" s="50"/>
      <c r="B694" s="51"/>
      <c r="C694" s="241">
        <f t="shared" si="136"/>
        <v>0</v>
      </c>
      <c r="D694" s="51"/>
      <c r="E694" s="51"/>
      <c r="F694" s="51"/>
      <c r="G694" s="51"/>
      <c r="H694" s="51"/>
      <c r="I694" s="73"/>
      <c r="J694" s="51" t="s">
        <v>1006</v>
      </c>
      <c r="K694" s="52"/>
      <c r="L694" s="52">
        <f t="shared" si="140"/>
        <v>0</v>
      </c>
      <c r="M694" s="52">
        <f t="shared" si="140"/>
        <v>0</v>
      </c>
      <c r="N694" s="743">
        <f t="shared" si="140"/>
        <v>0</v>
      </c>
      <c r="O694" s="52"/>
      <c r="P694" s="52">
        <f t="shared" si="141"/>
        <v>0</v>
      </c>
      <c r="Q694" s="52">
        <f t="shared" si="141"/>
        <v>0</v>
      </c>
      <c r="R694" s="52">
        <f t="shared" si="141"/>
        <v>0</v>
      </c>
      <c r="S694" s="52">
        <f t="shared" si="141"/>
        <v>0</v>
      </c>
      <c r="T694" s="52">
        <f t="shared" si="141"/>
        <v>0</v>
      </c>
      <c r="U694" s="52">
        <f t="shared" si="141"/>
        <v>0</v>
      </c>
      <c r="V694" s="52">
        <f t="shared" si="141"/>
        <v>0</v>
      </c>
      <c r="W694" s="52">
        <f t="shared" si="141"/>
        <v>0</v>
      </c>
      <c r="X694" s="52">
        <f t="shared" si="141"/>
        <v>0</v>
      </c>
      <c r="Y694" s="52">
        <f t="shared" si="141"/>
        <v>0</v>
      </c>
      <c r="Z694" s="195">
        <f t="shared" si="141"/>
        <v>0</v>
      </c>
    </row>
    <row r="695" spans="1:26" x14ac:dyDescent="0.2">
      <c r="A695" s="50"/>
      <c r="B695" s="51"/>
      <c r="C695" s="241">
        <f t="shared" si="136"/>
        <v>0</v>
      </c>
      <c r="D695" s="51"/>
      <c r="E695" s="51"/>
      <c r="F695" s="51"/>
      <c r="G695" s="51"/>
      <c r="H695" s="51"/>
      <c r="I695" s="73"/>
      <c r="J695" s="51" t="s">
        <v>1034</v>
      </c>
      <c r="K695" s="52"/>
      <c r="L695" s="52">
        <f t="shared" si="140"/>
        <v>4160</v>
      </c>
      <c r="M695" s="52">
        <f t="shared" si="140"/>
        <v>0</v>
      </c>
      <c r="N695" s="743">
        <f t="shared" si="140"/>
        <v>1365.2002</v>
      </c>
      <c r="O695" s="52"/>
      <c r="P695" s="52">
        <f t="shared" si="141"/>
        <v>0</v>
      </c>
      <c r="Q695" s="52">
        <f t="shared" si="141"/>
        <v>452.56386629999997</v>
      </c>
      <c r="R695" s="52">
        <f t="shared" si="141"/>
        <v>19.795402900000003</v>
      </c>
      <c r="S695" s="52">
        <f t="shared" si="141"/>
        <v>0</v>
      </c>
      <c r="T695" s="52">
        <f t="shared" si="141"/>
        <v>0</v>
      </c>
      <c r="U695" s="52">
        <f t="shared" si="141"/>
        <v>0</v>
      </c>
      <c r="V695" s="52">
        <f t="shared" si="141"/>
        <v>0</v>
      </c>
      <c r="W695" s="52">
        <f t="shared" si="141"/>
        <v>1837.5594692</v>
      </c>
      <c r="X695" s="52">
        <f t="shared" si="141"/>
        <v>0</v>
      </c>
      <c r="Y695" s="52">
        <f t="shared" si="141"/>
        <v>0</v>
      </c>
      <c r="Z695" s="195">
        <f t="shared" si="141"/>
        <v>1837.5594692</v>
      </c>
    </row>
    <row r="696" spans="1:26" x14ac:dyDescent="0.2">
      <c r="A696" s="50"/>
      <c r="B696" s="51"/>
      <c r="C696" s="241">
        <f t="shared" si="136"/>
        <v>0</v>
      </c>
      <c r="D696" s="51"/>
      <c r="E696" s="51"/>
      <c r="F696" s="51"/>
      <c r="G696" s="51"/>
      <c r="H696" s="51"/>
      <c r="I696" s="73"/>
      <c r="J696" s="51" t="s">
        <v>1035</v>
      </c>
      <c r="K696" s="52"/>
      <c r="L696" s="52">
        <f t="shared" si="140"/>
        <v>0</v>
      </c>
      <c r="M696" s="52">
        <f t="shared" si="140"/>
        <v>0</v>
      </c>
      <c r="N696" s="743">
        <f t="shared" si="140"/>
        <v>0</v>
      </c>
      <c r="O696" s="52"/>
      <c r="P696" s="52">
        <f t="shared" ref="P696:Z704" si="142">SUMIFS(P$27:P$615,$J$27:$J$615,$J696,$H$27:$H$615,"1")</f>
        <v>0</v>
      </c>
      <c r="Q696" s="52">
        <f t="shared" si="142"/>
        <v>0</v>
      </c>
      <c r="R696" s="52">
        <f t="shared" si="142"/>
        <v>0</v>
      </c>
      <c r="S696" s="52">
        <f t="shared" si="142"/>
        <v>0</v>
      </c>
      <c r="T696" s="52">
        <f t="shared" si="142"/>
        <v>0</v>
      </c>
      <c r="U696" s="52">
        <f t="shared" si="142"/>
        <v>0</v>
      </c>
      <c r="V696" s="52">
        <f t="shared" si="142"/>
        <v>0</v>
      </c>
      <c r="W696" s="52">
        <f t="shared" si="142"/>
        <v>0</v>
      </c>
      <c r="X696" s="52">
        <f t="shared" si="142"/>
        <v>0</v>
      </c>
      <c r="Y696" s="52">
        <f t="shared" si="142"/>
        <v>0</v>
      </c>
      <c r="Z696" s="195">
        <f t="shared" si="142"/>
        <v>0</v>
      </c>
    </row>
    <row r="697" spans="1:26" x14ac:dyDescent="0.2">
      <c r="A697" s="50"/>
      <c r="B697" s="51"/>
      <c r="C697" s="241">
        <f t="shared" si="136"/>
        <v>0</v>
      </c>
      <c r="D697" s="51"/>
      <c r="E697" s="51"/>
      <c r="F697" s="51"/>
      <c r="G697" s="51"/>
      <c r="H697" s="51"/>
      <c r="I697" s="73"/>
      <c r="J697" s="51" t="s">
        <v>922</v>
      </c>
      <c r="K697" s="52"/>
      <c r="L697" s="52">
        <f t="shared" si="140"/>
        <v>0</v>
      </c>
      <c r="M697" s="52">
        <f t="shared" si="140"/>
        <v>0</v>
      </c>
      <c r="N697" s="743">
        <f t="shared" si="140"/>
        <v>0</v>
      </c>
      <c r="O697" s="52"/>
      <c r="P697" s="52">
        <f t="shared" si="142"/>
        <v>0</v>
      </c>
      <c r="Q697" s="52">
        <f t="shared" si="142"/>
        <v>0</v>
      </c>
      <c r="R697" s="52">
        <f t="shared" si="142"/>
        <v>0</v>
      </c>
      <c r="S697" s="52">
        <f t="shared" si="142"/>
        <v>0</v>
      </c>
      <c r="T697" s="52">
        <f t="shared" si="142"/>
        <v>0</v>
      </c>
      <c r="U697" s="52">
        <f t="shared" si="142"/>
        <v>0</v>
      </c>
      <c r="V697" s="52">
        <f t="shared" si="142"/>
        <v>0</v>
      </c>
      <c r="W697" s="52">
        <f t="shared" si="142"/>
        <v>0</v>
      </c>
      <c r="X697" s="52">
        <f t="shared" si="142"/>
        <v>0</v>
      </c>
      <c r="Y697" s="52">
        <f t="shared" si="142"/>
        <v>0</v>
      </c>
      <c r="Z697" s="195">
        <f t="shared" si="142"/>
        <v>0</v>
      </c>
    </row>
    <row r="698" spans="1:26" x14ac:dyDescent="0.2">
      <c r="A698" s="50"/>
      <c r="B698" s="51"/>
      <c r="C698" s="241">
        <f t="shared" si="136"/>
        <v>0</v>
      </c>
      <c r="D698" s="51"/>
      <c r="E698" s="51"/>
      <c r="F698" s="51"/>
      <c r="G698" s="51"/>
      <c r="H698" s="51"/>
      <c r="I698" s="73"/>
      <c r="J698" s="51" t="s">
        <v>942</v>
      </c>
      <c r="K698" s="52"/>
      <c r="L698" s="52">
        <f t="shared" si="140"/>
        <v>4160</v>
      </c>
      <c r="M698" s="52">
        <f t="shared" si="140"/>
        <v>0</v>
      </c>
      <c r="N698" s="743">
        <f t="shared" si="140"/>
        <v>6826.0010000000002</v>
      </c>
      <c r="O698" s="52"/>
      <c r="P698" s="52">
        <f t="shared" si="142"/>
        <v>0</v>
      </c>
      <c r="Q698" s="52">
        <f t="shared" si="142"/>
        <v>2262.8193315000003</v>
      </c>
      <c r="R698" s="52">
        <f t="shared" si="142"/>
        <v>98.97701450000001</v>
      </c>
      <c r="S698" s="52">
        <f t="shared" si="142"/>
        <v>0</v>
      </c>
      <c r="T698" s="52">
        <f t="shared" si="142"/>
        <v>0</v>
      </c>
      <c r="U698" s="52">
        <f t="shared" si="142"/>
        <v>0</v>
      </c>
      <c r="V698" s="52">
        <f t="shared" si="142"/>
        <v>0</v>
      </c>
      <c r="W698" s="52">
        <f t="shared" si="142"/>
        <v>9187.7973460000012</v>
      </c>
      <c r="X698" s="52">
        <f t="shared" si="142"/>
        <v>0</v>
      </c>
      <c r="Y698" s="52">
        <f t="shared" si="142"/>
        <v>0</v>
      </c>
      <c r="Z698" s="195">
        <f t="shared" si="142"/>
        <v>9187.7973460000012</v>
      </c>
    </row>
    <row r="699" spans="1:26" x14ac:dyDescent="0.2">
      <c r="A699" s="50"/>
      <c r="B699" s="51"/>
      <c r="C699" s="241">
        <f t="shared" si="136"/>
        <v>0</v>
      </c>
      <c r="D699" s="51"/>
      <c r="E699" s="51"/>
      <c r="F699" s="51"/>
      <c r="G699" s="51"/>
      <c r="H699" s="51"/>
      <c r="I699" s="73"/>
      <c r="J699" s="51" t="s">
        <v>943</v>
      </c>
      <c r="K699" s="52"/>
      <c r="L699" s="52">
        <f t="shared" si="140"/>
        <v>10400</v>
      </c>
      <c r="M699" s="52">
        <f t="shared" si="140"/>
        <v>0</v>
      </c>
      <c r="N699" s="743">
        <f t="shared" si="140"/>
        <v>30503.821920000002</v>
      </c>
      <c r="O699" s="52"/>
      <c r="P699" s="52">
        <f t="shared" si="142"/>
        <v>0</v>
      </c>
      <c r="Q699" s="52">
        <f t="shared" si="142"/>
        <v>10112.01696648</v>
      </c>
      <c r="R699" s="52">
        <f t="shared" si="142"/>
        <v>486.96541784000004</v>
      </c>
      <c r="S699" s="52">
        <f t="shared" si="142"/>
        <v>0</v>
      </c>
      <c r="T699" s="52">
        <f t="shared" si="142"/>
        <v>11247.599999999999</v>
      </c>
      <c r="U699" s="52">
        <f t="shared" si="142"/>
        <v>1102.8</v>
      </c>
      <c r="V699" s="52">
        <f t="shared" si="142"/>
        <v>0</v>
      </c>
      <c r="W699" s="52">
        <f t="shared" si="142"/>
        <v>56533.204304319996</v>
      </c>
      <c r="X699" s="52">
        <f t="shared" si="142"/>
        <v>0</v>
      </c>
      <c r="Y699" s="52">
        <f t="shared" si="142"/>
        <v>0</v>
      </c>
      <c r="Z699" s="195">
        <f t="shared" si="142"/>
        <v>56533.204304319996</v>
      </c>
    </row>
    <row r="700" spans="1:26" x14ac:dyDescent="0.2">
      <c r="A700" s="50"/>
      <c r="B700" s="51"/>
      <c r="C700" s="241">
        <f t="shared" si="136"/>
        <v>0</v>
      </c>
      <c r="D700" s="51"/>
      <c r="E700" s="51"/>
      <c r="F700" s="51"/>
      <c r="G700" s="51"/>
      <c r="H700" s="51"/>
      <c r="I700" s="73"/>
      <c r="J700" s="51" t="s">
        <v>938</v>
      </c>
      <c r="K700" s="52"/>
      <c r="L700" s="52">
        <f t="shared" si="140"/>
        <v>10400</v>
      </c>
      <c r="M700" s="52">
        <f t="shared" si="140"/>
        <v>0</v>
      </c>
      <c r="N700" s="743">
        <f t="shared" si="140"/>
        <v>16397.601999999999</v>
      </c>
      <c r="O700" s="52"/>
      <c r="P700" s="52">
        <f t="shared" si="142"/>
        <v>0</v>
      </c>
      <c r="Q700" s="52">
        <f t="shared" si="142"/>
        <v>5435.8050630000007</v>
      </c>
      <c r="R700" s="52">
        <f t="shared" si="142"/>
        <v>237.76522900000001</v>
      </c>
      <c r="S700" s="52">
        <f t="shared" si="142"/>
        <v>0</v>
      </c>
      <c r="T700" s="52">
        <f t="shared" si="142"/>
        <v>0</v>
      </c>
      <c r="U700" s="52">
        <f t="shared" si="142"/>
        <v>0</v>
      </c>
      <c r="V700" s="52">
        <f t="shared" si="142"/>
        <v>0</v>
      </c>
      <c r="W700" s="52">
        <f t="shared" si="142"/>
        <v>22071.172292000003</v>
      </c>
      <c r="X700" s="52">
        <f t="shared" si="142"/>
        <v>0</v>
      </c>
      <c r="Y700" s="52">
        <f t="shared" si="142"/>
        <v>0</v>
      </c>
      <c r="Z700" s="195">
        <f t="shared" si="142"/>
        <v>22071.172292000003</v>
      </c>
    </row>
    <row r="701" spans="1:26" x14ac:dyDescent="0.2">
      <c r="A701" s="50"/>
      <c r="B701" s="51"/>
      <c r="C701" s="241">
        <f t="shared" si="136"/>
        <v>0</v>
      </c>
      <c r="D701" s="51"/>
      <c r="E701" s="51"/>
      <c r="F701" s="51"/>
      <c r="G701" s="51"/>
      <c r="H701" s="51"/>
      <c r="I701" s="73"/>
      <c r="J701" s="51" t="s">
        <v>939</v>
      </c>
      <c r="K701" s="52"/>
      <c r="L701" s="52">
        <f t="shared" si="140"/>
        <v>14560</v>
      </c>
      <c r="M701" s="52">
        <f t="shared" si="140"/>
        <v>0</v>
      </c>
      <c r="N701" s="743">
        <f t="shared" si="140"/>
        <v>116641.408</v>
      </c>
      <c r="O701" s="52"/>
      <c r="P701" s="52">
        <f t="shared" si="142"/>
        <v>0</v>
      </c>
      <c r="Q701" s="52">
        <f t="shared" si="142"/>
        <v>38666.626751999996</v>
      </c>
      <c r="R701" s="52">
        <f t="shared" si="142"/>
        <v>1691.300416</v>
      </c>
      <c r="S701" s="52">
        <f t="shared" si="142"/>
        <v>0</v>
      </c>
      <c r="T701" s="52">
        <f t="shared" si="142"/>
        <v>0</v>
      </c>
      <c r="U701" s="52">
        <f t="shared" si="142"/>
        <v>0</v>
      </c>
      <c r="V701" s="52">
        <f t="shared" si="142"/>
        <v>0</v>
      </c>
      <c r="W701" s="52">
        <f t="shared" si="142"/>
        <v>156999.33516799999</v>
      </c>
      <c r="X701" s="52">
        <f t="shared" si="142"/>
        <v>0</v>
      </c>
      <c r="Y701" s="52">
        <f t="shared" si="142"/>
        <v>0</v>
      </c>
      <c r="Z701" s="195">
        <f t="shared" si="142"/>
        <v>156999.33516799999</v>
      </c>
    </row>
    <row r="702" spans="1:26" s="236" customFormat="1" x14ac:dyDescent="0.2">
      <c r="A702" s="50"/>
      <c r="B702" s="51"/>
      <c r="C702" s="241"/>
      <c r="D702" s="51"/>
      <c r="E702" s="51"/>
      <c r="F702" s="51"/>
      <c r="G702" s="51"/>
      <c r="H702" s="51"/>
      <c r="I702" s="73"/>
      <c r="J702" s="19" t="s">
        <v>1602</v>
      </c>
      <c r="K702" s="52"/>
      <c r="L702" s="52">
        <f t="shared" ref="L702:L733" si="143">SUMIFS(L$27:L$615,$J$27:$J$615,$J702,$H$27:$H$615,"1")</f>
        <v>6240</v>
      </c>
      <c r="M702" s="52"/>
      <c r="N702" s="743">
        <f t="shared" ref="N702:N733" si="144">SUMIFS(N$27:N$615,$J$27:$J$615,$J702,$H$27:$H$615,"1")</f>
        <v>6352.32</v>
      </c>
      <c r="O702" s="52"/>
      <c r="P702" s="52">
        <f t="shared" si="142"/>
        <v>0</v>
      </c>
      <c r="Q702" s="52">
        <f t="shared" si="142"/>
        <v>2105.7940800000001</v>
      </c>
      <c r="R702" s="52">
        <f t="shared" si="142"/>
        <v>92.108640000000008</v>
      </c>
      <c r="S702" s="52">
        <f t="shared" si="142"/>
        <v>0</v>
      </c>
      <c r="T702" s="52">
        <f t="shared" si="142"/>
        <v>0</v>
      </c>
      <c r="U702" s="52">
        <f t="shared" si="142"/>
        <v>0</v>
      </c>
      <c r="V702" s="52">
        <f t="shared" si="142"/>
        <v>0</v>
      </c>
      <c r="W702" s="52">
        <f t="shared" si="142"/>
        <v>8550.2227199999998</v>
      </c>
      <c r="X702" s="52">
        <f t="shared" si="142"/>
        <v>0</v>
      </c>
      <c r="Y702" s="52">
        <f t="shared" si="142"/>
        <v>0</v>
      </c>
      <c r="Z702" s="195">
        <f t="shared" si="142"/>
        <v>8550.2227199999998</v>
      </c>
    </row>
    <row r="703" spans="1:26" x14ac:dyDescent="0.2">
      <c r="A703" s="50"/>
      <c r="B703" s="51"/>
      <c r="C703" s="241">
        <f>COUNTIFS($I$27:$I$615,$I703,$H$27:$H$615,"1")</f>
        <v>0</v>
      </c>
      <c r="D703" s="51"/>
      <c r="E703" s="51"/>
      <c r="F703" s="51"/>
      <c r="G703" s="51"/>
      <c r="H703" s="51"/>
      <c r="I703" s="73"/>
      <c r="J703" s="51" t="s">
        <v>934</v>
      </c>
      <c r="K703" s="52"/>
      <c r="L703" s="52">
        <f t="shared" si="143"/>
        <v>8320</v>
      </c>
      <c r="M703" s="52">
        <f t="shared" ref="M703:M721" si="145">SUMIFS(M$27:M$615,$J$27:$J$615,$J703,$H$27:$H$615,"1")</f>
        <v>0</v>
      </c>
      <c r="N703" s="743">
        <f t="shared" si="144"/>
        <v>32013.553</v>
      </c>
      <c r="O703" s="52"/>
      <c r="P703" s="52">
        <f t="shared" si="142"/>
        <v>0</v>
      </c>
      <c r="Q703" s="52">
        <f t="shared" si="142"/>
        <v>10612.492819500003</v>
      </c>
      <c r="R703" s="52">
        <f t="shared" si="142"/>
        <v>464.19651850000002</v>
      </c>
      <c r="S703" s="52">
        <f t="shared" si="142"/>
        <v>0</v>
      </c>
      <c r="T703" s="52">
        <f t="shared" si="142"/>
        <v>0</v>
      </c>
      <c r="U703" s="52">
        <f t="shared" si="142"/>
        <v>0</v>
      </c>
      <c r="V703" s="52">
        <f t="shared" si="142"/>
        <v>0</v>
      </c>
      <c r="W703" s="52">
        <f t="shared" si="142"/>
        <v>43090.242338000004</v>
      </c>
      <c r="X703" s="52">
        <f t="shared" si="142"/>
        <v>0</v>
      </c>
      <c r="Y703" s="52">
        <f t="shared" si="142"/>
        <v>0</v>
      </c>
      <c r="Z703" s="195">
        <f t="shared" si="142"/>
        <v>43090.242338000004</v>
      </c>
    </row>
    <row r="704" spans="1:26" x14ac:dyDescent="0.2">
      <c r="A704" s="50"/>
      <c r="B704" s="51"/>
      <c r="C704" s="241">
        <f>COUNTIFS($I$27:$I$615,$I704,$H$27:$H$615,"1")</f>
        <v>0</v>
      </c>
      <c r="D704" s="51"/>
      <c r="E704" s="51"/>
      <c r="F704" s="51"/>
      <c r="G704" s="51"/>
      <c r="H704" s="51"/>
      <c r="I704" s="73"/>
      <c r="J704" s="51" t="s">
        <v>935</v>
      </c>
      <c r="K704" s="52"/>
      <c r="L704" s="52">
        <f t="shared" si="143"/>
        <v>8320</v>
      </c>
      <c r="M704" s="52">
        <f t="shared" si="145"/>
        <v>0</v>
      </c>
      <c r="N704" s="743">
        <f t="shared" si="144"/>
        <v>26152.256000000001</v>
      </c>
      <c r="O704" s="52"/>
      <c r="P704" s="52">
        <f t="shared" si="142"/>
        <v>0</v>
      </c>
      <c r="Q704" s="52">
        <f t="shared" si="142"/>
        <v>8669.4728640000012</v>
      </c>
      <c r="R704" s="52">
        <f t="shared" si="142"/>
        <v>379.20771200000007</v>
      </c>
      <c r="S704" s="52">
        <f t="shared" si="142"/>
        <v>0</v>
      </c>
      <c r="T704" s="52">
        <f t="shared" si="142"/>
        <v>0</v>
      </c>
      <c r="U704" s="52">
        <f t="shared" si="142"/>
        <v>0</v>
      </c>
      <c r="V704" s="52">
        <f t="shared" si="142"/>
        <v>0</v>
      </c>
      <c r="W704" s="52">
        <f t="shared" si="142"/>
        <v>35200.936576000007</v>
      </c>
      <c r="X704" s="52">
        <f t="shared" si="142"/>
        <v>0</v>
      </c>
      <c r="Y704" s="52">
        <f t="shared" si="142"/>
        <v>0</v>
      </c>
      <c r="Z704" s="195">
        <f t="shared" si="142"/>
        <v>35200.936576000007</v>
      </c>
    </row>
    <row r="705" spans="1:27" s="236" customFormat="1" x14ac:dyDescent="0.2">
      <c r="A705" s="50"/>
      <c r="B705" s="51"/>
      <c r="C705" s="241"/>
      <c r="D705" s="51"/>
      <c r="E705" s="51"/>
      <c r="F705" s="51"/>
      <c r="G705" s="51"/>
      <c r="H705" s="51"/>
      <c r="I705" s="73"/>
      <c r="J705" s="51" t="s">
        <v>1663</v>
      </c>
      <c r="K705" s="52"/>
      <c r="L705" s="52">
        <f t="shared" si="143"/>
        <v>2080</v>
      </c>
      <c r="M705" s="52">
        <f t="shared" si="145"/>
        <v>0</v>
      </c>
      <c r="N705" s="743">
        <f t="shared" si="144"/>
        <v>3099.2000000000003</v>
      </c>
      <c r="O705" s="52"/>
      <c r="P705" s="52">
        <f t="shared" ref="P705:R721" si="146">SUMIFS(P$27:P$615,$J$27:$J$615,$J705,$H$27:$H$615,"1")</f>
        <v>0</v>
      </c>
      <c r="Q705" s="52">
        <f t="shared" si="146"/>
        <v>1027.3848</v>
      </c>
      <c r="R705" s="52">
        <f t="shared" si="146"/>
        <v>44.938400000000009</v>
      </c>
      <c r="S705" s="52"/>
      <c r="T705" s="52">
        <f t="shared" ref="T705:Z714" si="147">SUMIFS(T$27:T$615,$J$27:$J$615,$J705,$H$27:$H$615,"1")</f>
        <v>0</v>
      </c>
      <c r="U705" s="52">
        <f t="shared" si="147"/>
        <v>0</v>
      </c>
      <c r="V705" s="52">
        <f t="shared" si="147"/>
        <v>0</v>
      </c>
      <c r="W705" s="52">
        <f t="shared" si="147"/>
        <v>4171.5232000000005</v>
      </c>
      <c r="X705" s="52">
        <f t="shared" si="147"/>
        <v>0</v>
      </c>
      <c r="Y705" s="52">
        <f t="shared" si="147"/>
        <v>0</v>
      </c>
      <c r="Z705" s="195">
        <f t="shared" si="147"/>
        <v>4171.5232000000005</v>
      </c>
    </row>
    <row r="706" spans="1:27" s="236" customFormat="1" x14ac:dyDescent="0.2">
      <c r="A706" s="50"/>
      <c r="B706" s="51"/>
      <c r="C706" s="241"/>
      <c r="D706" s="51"/>
      <c r="E706" s="51"/>
      <c r="F706" s="51"/>
      <c r="G706" s="51"/>
      <c r="H706" s="51"/>
      <c r="I706" s="73"/>
      <c r="J706" s="51" t="s">
        <v>1661</v>
      </c>
      <c r="K706" s="52"/>
      <c r="L706" s="52">
        <f t="shared" si="143"/>
        <v>14560</v>
      </c>
      <c r="M706" s="52">
        <f t="shared" si="145"/>
        <v>0</v>
      </c>
      <c r="N706" s="743">
        <f t="shared" si="144"/>
        <v>48644.972479999997</v>
      </c>
      <c r="O706" s="52"/>
      <c r="P706" s="52">
        <f t="shared" si="146"/>
        <v>0</v>
      </c>
      <c r="Q706" s="52">
        <f t="shared" si="146"/>
        <v>16125.80837712</v>
      </c>
      <c r="R706" s="52">
        <f t="shared" si="146"/>
        <v>705.35210096000003</v>
      </c>
      <c r="S706" s="52"/>
      <c r="T706" s="52">
        <f t="shared" si="147"/>
        <v>0</v>
      </c>
      <c r="U706" s="52">
        <f t="shared" si="147"/>
        <v>0</v>
      </c>
      <c r="V706" s="52">
        <f t="shared" si="147"/>
        <v>0</v>
      </c>
      <c r="W706" s="52">
        <f t="shared" si="147"/>
        <v>65476.132958080001</v>
      </c>
      <c r="X706" s="52">
        <f t="shared" si="147"/>
        <v>0</v>
      </c>
      <c r="Y706" s="52">
        <f t="shared" si="147"/>
        <v>0</v>
      </c>
      <c r="Z706" s="195">
        <f t="shared" si="147"/>
        <v>65476.132958080001</v>
      </c>
    </row>
    <row r="707" spans="1:27" x14ac:dyDescent="0.2">
      <c r="A707" s="50"/>
      <c r="B707" s="51"/>
      <c r="C707" s="241">
        <f>COUNTIFS($I$27:$I$615,$I707,$H$27:$H$615,"1")</f>
        <v>0</v>
      </c>
      <c r="D707" s="51"/>
      <c r="E707" s="51"/>
      <c r="F707" s="51"/>
      <c r="G707" s="51"/>
      <c r="H707" s="51"/>
      <c r="I707" s="73"/>
      <c r="J707" s="51" t="s">
        <v>953</v>
      </c>
      <c r="K707" s="52"/>
      <c r="L707" s="52">
        <f t="shared" si="143"/>
        <v>2080</v>
      </c>
      <c r="M707" s="52">
        <f t="shared" si="145"/>
        <v>0</v>
      </c>
      <c r="N707" s="743">
        <f t="shared" si="144"/>
        <v>900.00040000000001</v>
      </c>
      <c r="O707" s="52"/>
      <c r="P707" s="52">
        <f t="shared" si="146"/>
        <v>0</v>
      </c>
      <c r="Q707" s="52">
        <f t="shared" si="146"/>
        <v>298.35013259999999</v>
      </c>
      <c r="R707" s="52">
        <f t="shared" si="146"/>
        <v>13.050005800000001</v>
      </c>
      <c r="S707" s="52">
        <f t="shared" ref="S707:S738" si="148">SUMIFS(S$27:S$615,$J$27:$J$615,$J707,$H$27:$H$615,"1")</f>
        <v>0</v>
      </c>
      <c r="T707" s="52">
        <f t="shared" si="147"/>
        <v>0</v>
      </c>
      <c r="U707" s="52">
        <f t="shared" si="147"/>
        <v>0</v>
      </c>
      <c r="V707" s="52">
        <f t="shared" si="147"/>
        <v>0</v>
      </c>
      <c r="W707" s="52">
        <f t="shared" si="147"/>
        <v>1211.4005384</v>
      </c>
      <c r="X707" s="52">
        <f t="shared" si="147"/>
        <v>0</v>
      </c>
      <c r="Y707" s="52">
        <f t="shared" si="147"/>
        <v>0</v>
      </c>
      <c r="Z707" s="195">
        <f t="shared" si="147"/>
        <v>1211.4005384</v>
      </c>
    </row>
    <row r="708" spans="1:27" s="236" customFormat="1" x14ac:dyDescent="0.2">
      <c r="A708" s="50"/>
      <c r="B708" s="51"/>
      <c r="C708" s="241">
        <f>COUNTIFS($I$27:$I$615,$I708,$H$27:$H$615,"1")</f>
        <v>0</v>
      </c>
      <c r="D708" s="51"/>
      <c r="E708" s="51"/>
      <c r="F708" s="51"/>
      <c r="G708" s="51"/>
      <c r="H708" s="51"/>
      <c r="I708" s="73"/>
      <c r="J708" s="51" t="s">
        <v>924</v>
      </c>
      <c r="K708" s="52"/>
      <c r="L708" s="52">
        <f t="shared" si="143"/>
        <v>8320</v>
      </c>
      <c r="M708" s="52">
        <f t="shared" si="145"/>
        <v>0</v>
      </c>
      <c r="N708" s="743">
        <f t="shared" si="144"/>
        <v>16319.679999999998</v>
      </c>
      <c r="O708" s="52"/>
      <c r="P708" s="52">
        <f t="shared" si="146"/>
        <v>0</v>
      </c>
      <c r="Q708" s="52">
        <f t="shared" si="146"/>
        <v>5409.9739199999995</v>
      </c>
      <c r="R708" s="52">
        <f t="shared" si="146"/>
        <v>236.63535999999999</v>
      </c>
      <c r="S708" s="52">
        <f t="shared" si="148"/>
        <v>0</v>
      </c>
      <c r="T708" s="52">
        <f t="shared" si="147"/>
        <v>8439.84</v>
      </c>
      <c r="U708" s="52">
        <f t="shared" si="147"/>
        <v>702.48</v>
      </c>
      <c r="V708" s="52">
        <f t="shared" si="147"/>
        <v>0</v>
      </c>
      <c r="W708" s="52">
        <f t="shared" si="147"/>
        <v>31108.609279999997</v>
      </c>
      <c r="X708" s="52">
        <f t="shared" si="147"/>
        <v>0</v>
      </c>
      <c r="Y708" s="52">
        <f t="shared" si="147"/>
        <v>0</v>
      </c>
      <c r="Z708" s="195">
        <f t="shared" si="147"/>
        <v>31108.609279999997</v>
      </c>
      <c r="AA708"/>
    </row>
    <row r="709" spans="1:27" x14ac:dyDescent="0.2">
      <c r="A709" s="50"/>
      <c r="B709" s="51"/>
      <c r="C709" s="241">
        <f>COUNTIFS($I$27:$I$615,$I709,$H$27:$H$615,"1")</f>
        <v>0</v>
      </c>
      <c r="D709" s="51"/>
      <c r="E709" s="51"/>
      <c r="F709" s="51"/>
      <c r="G709" s="51"/>
      <c r="H709" s="51"/>
      <c r="I709" s="73"/>
      <c r="J709" s="51" t="s">
        <v>927</v>
      </c>
      <c r="K709" s="52"/>
      <c r="L709" s="52">
        <f t="shared" si="143"/>
        <v>4160</v>
      </c>
      <c r="M709" s="52">
        <f t="shared" si="145"/>
        <v>0</v>
      </c>
      <c r="N709" s="743">
        <f t="shared" si="144"/>
        <v>9390.16</v>
      </c>
      <c r="O709" s="52"/>
      <c r="P709" s="52">
        <f t="shared" si="146"/>
        <v>0</v>
      </c>
      <c r="Q709" s="52">
        <f t="shared" si="146"/>
        <v>3112.8380400000001</v>
      </c>
      <c r="R709" s="52">
        <f t="shared" si="146"/>
        <v>136.15732000000003</v>
      </c>
      <c r="S709" s="52">
        <f t="shared" si="148"/>
        <v>0</v>
      </c>
      <c r="T709" s="52">
        <f t="shared" si="147"/>
        <v>0</v>
      </c>
      <c r="U709" s="52">
        <f t="shared" si="147"/>
        <v>0</v>
      </c>
      <c r="V709" s="52">
        <f t="shared" si="147"/>
        <v>0</v>
      </c>
      <c r="W709" s="52">
        <f t="shared" si="147"/>
        <v>12639.155360000001</v>
      </c>
      <c r="X709" s="52">
        <f t="shared" si="147"/>
        <v>0</v>
      </c>
      <c r="Y709" s="52">
        <f t="shared" si="147"/>
        <v>0</v>
      </c>
      <c r="Z709" s="195">
        <f t="shared" si="147"/>
        <v>12639.155360000001</v>
      </c>
    </row>
    <row r="710" spans="1:27" x14ac:dyDescent="0.2">
      <c r="A710" s="50"/>
      <c r="B710" s="51"/>
      <c r="C710" s="241">
        <f>COUNTIFS($I$27:$I$615,$I710,$H$27:$H$615,"1")</f>
        <v>0</v>
      </c>
      <c r="D710" s="51"/>
      <c r="E710" s="51"/>
      <c r="F710" s="51"/>
      <c r="G710" s="51"/>
      <c r="H710" s="51"/>
      <c r="I710" s="73"/>
      <c r="J710" s="51" t="s">
        <v>951</v>
      </c>
      <c r="K710" s="52"/>
      <c r="L710" s="52">
        <f t="shared" si="143"/>
        <v>4160</v>
      </c>
      <c r="M710" s="52">
        <f t="shared" si="145"/>
        <v>0</v>
      </c>
      <c r="N710" s="743">
        <f t="shared" si="144"/>
        <v>4095.6005999999998</v>
      </c>
      <c r="O710" s="52"/>
      <c r="P710" s="52">
        <f t="shared" si="146"/>
        <v>0</v>
      </c>
      <c r="Q710" s="52">
        <f t="shared" si="146"/>
        <v>1357.6915988999999</v>
      </c>
      <c r="R710" s="52">
        <f t="shared" si="146"/>
        <v>59.386208699999997</v>
      </c>
      <c r="S710" s="52">
        <f t="shared" si="148"/>
        <v>0</v>
      </c>
      <c r="T710" s="52">
        <f t="shared" si="147"/>
        <v>0</v>
      </c>
      <c r="U710" s="52">
        <f t="shared" si="147"/>
        <v>0</v>
      </c>
      <c r="V710" s="52">
        <f t="shared" si="147"/>
        <v>0</v>
      </c>
      <c r="W710" s="52">
        <f t="shared" si="147"/>
        <v>5512.6784075999994</v>
      </c>
      <c r="X710" s="52">
        <f t="shared" si="147"/>
        <v>0</v>
      </c>
      <c r="Y710" s="52">
        <f t="shared" si="147"/>
        <v>0</v>
      </c>
      <c r="Z710" s="195">
        <f t="shared" si="147"/>
        <v>5512.6784075999994</v>
      </c>
    </row>
    <row r="711" spans="1:27" x14ac:dyDescent="0.2">
      <c r="A711" s="50"/>
      <c r="B711" s="51"/>
      <c r="C711" s="241">
        <f>COUNTIFS($I$27:$I$615,$I711,$H$27:$H$615,"1")</f>
        <v>0</v>
      </c>
      <c r="D711" s="51"/>
      <c r="E711" s="51"/>
      <c r="F711" s="51"/>
      <c r="G711" s="51"/>
      <c r="H711" s="51"/>
      <c r="I711" s="73"/>
      <c r="J711" s="51" t="s">
        <v>1055</v>
      </c>
      <c r="K711" s="52"/>
      <c r="L711" s="52">
        <f t="shared" si="143"/>
        <v>4160</v>
      </c>
      <c r="M711" s="52">
        <f t="shared" si="145"/>
        <v>0</v>
      </c>
      <c r="N711" s="743">
        <f t="shared" si="144"/>
        <v>6826.0010000000002</v>
      </c>
      <c r="O711" s="52"/>
      <c r="P711" s="52">
        <f t="shared" si="146"/>
        <v>0</v>
      </c>
      <c r="Q711" s="52">
        <f t="shared" si="146"/>
        <v>2262.8193315000003</v>
      </c>
      <c r="R711" s="52">
        <f t="shared" si="146"/>
        <v>98.97701450000001</v>
      </c>
      <c r="S711" s="52">
        <f t="shared" si="148"/>
        <v>0</v>
      </c>
      <c r="T711" s="52">
        <f t="shared" si="147"/>
        <v>0</v>
      </c>
      <c r="U711" s="52">
        <f t="shared" si="147"/>
        <v>0</v>
      </c>
      <c r="V711" s="52">
        <f t="shared" si="147"/>
        <v>0</v>
      </c>
      <c r="W711" s="52">
        <f t="shared" si="147"/>
        <v>9187.7973460000012</v>
      </c>
      <c r="X711" s="52">
        <f t="shared" si="147"/>
        <v>0</v>
      </c>
      <c r="Y711" s="52">
        <f t="shared" si="147"/>
        <v>0</v>
      </c>
      <c r="Z711" s="195">
        <f t="shared" si="147"/>
        <v>9187.7973460000012</v>
      </c>
    </row>
    <row r="712" spans="1:27" s="236" customFormat="1" x14ac:dyDescent="0.2">
      <c r="A712" s="50"/>
      <c r="B712" s="51"/>
      <c r="C712" s="241"/>
      <c r="D712" s="51"/>
      <c r="E712" s="51"/>
      <c r="F712" s="51"/>
      <c r="G712" s="51"/>
      <c r="H712" s="51"/>
      <c r="I712" s="73"/>
      <c r="J712" s="51" t="s">
        <v>1474</v>
      </c>
      <c r="K712" s="52"/>
      <c r="L712" s="52">
        <f t="shared" si="143"/>
        <v>20800</v>
      </c>
      <c r="M712" s="52">
        <f t="shared" si="145"/>
        <v>0</v>
      </c>
      <c r="N712" s="743">
        <f t="shared" si="144"/>
        <v>122481.42400000001</v>
      </c>
      <c r="O712" s="52"/>
      <c r="P712" s="52">
        <f t="shared" si="146"/>
        <v>0</v>
      </c>
      <c r="Q712" s="52">
        <f t="shared" si="146"/>
        <v>40602.592056000001</v>
      </c>
      <c r="R712" s="52">
        <f t="shared" si="146"/>
        <v>1775.9806480000004</v>
      </c>
      <c r="S712" s="52">
        <f t="shared" si="148"/>
        <v>0</v>
      </c>
      <c r="T712" s="52">
        <f t="shared" si="147"/>
        <v>8699.0400000000009</v>
      </c>
      <c r="U712" s="52">
        <f t="shared" si="147"/>
        <v>323.04000000000002</v>
      </c>
      <c r="V712" s="52">
        <f t="shared" si="147"/>
        <v>0</v>
      </c>
      <c r="W712" s="52">
        <f t="shared" si="147"/>
        <v>173882.07670400004</v>
      </c>
      <c r="X712" s="52">
        <f t="shared" si="147"/>
        <v>0</v>
      </c>
      <c r="Y712" s="52">
        <f t="shared" si="147"/>
        <v>0</v>
      </c>
      <c r="Z712" s="195">
        <f t="shared" si="147"/>
        <v>173882.07670400004</v>
      </c>
    </row>
    <row r="713" spans="1:27" x14ac:dyDescent="0.2">
      <c r="A713" s="50"/>
      <c r="B713" s="51"/>
      <c r="C713" s="241">
        <f t="shared" ref="C713:C721" si="149">COUNTIFS($I$27:$I$615,$I713,$H$27:$H$615,"1")</f>
        <v>0</v>
      </c>
      <c r="D713" s="51"/>
      <c r="E713" s="51"/>
      <c r="F713" s="51"/>
      <c r="G713" s="51"/>
      <c r="H713" s="51"/>
      <c r="I713" s="73"/>
      <c r="J713" s="404" t="s">
        <v>940</v>
      </c>
      <c r="K713" s="52"/>
      <c r="L713" s="52">
        <f t="shared" si="143"/>
        <v>4160</v>
      </c>
      <c r="M713" s="52">
        <f t="shared" si="145"/>
        <v>0</v>
      </c>
      <c r="N713" s="743">
        <f t="shared" si="144"/>
        <v>6826.0010000000002</v>
      </c>
      <c r="O713" s="52"/>
      <c r="P713" s="52">
        <f t="shared" si="146"/>
        <v>0</v>
      </c>
      <c r="Q713" s="52">
        <f t="shared" si="146"/>
        <v>2262.8193315000003</v>
      </c>
      <c r="R713" s="52">
        <f t="shared" si="146"/>
        <v>98.97701450000001</v>
      </c>
      <c r="S713" s="52">
        <f t="shared" si="148"/>
        <v>0</v>
      </c>
      <c r="T713" s="52">
        <f t="shared" si="147"/>
        <v>0</v>
      </c>
      <c r="U713" s="52">
        <f t="shared" si="147"/>
        <v>0</v>
      </c>
      <c r="V713" s="52">
        <f t="shared" si="147"/>
        <v>0</v>
      </c>
      <c r="W713" s="52">
        <f t="shared" si="147"/>
        <v>9187.7973460000012</v>
      </c>
      <c r="X713" s="52">
        <f t="shared" si="147"/>
        <v>0</v>
      </c>
      <c r="Y713" s="52">
        <f t="shared" si="147"/>
        <v>0</v>
      </c>
      <c r="Z713" s="195">
        <f t="shared" si="147"/>
        <v>9187.7973460000012</v>
      </c>
      <c r="AA713" s="236"/>
    </row>
    <row r="714" spans="1:27" x14ac:dyDescent="0.2">
      <c r="A714" s="50"/>
      <c r="B714" s="51"/>
      <c r="C714" s="241">
        <f t="shared" si="149"/>
        <v>0</v>
      </c>
      <c r="D714" s="51"/>
      <c r="E714" s="51"/>
      <c r="F714" s="51"/>
      <c r="G714" s="51"/>
      <c r="H714" s="51"/>
      <c r="I714" s="73"/>
      <c r="J714" s="51" t="s">
        <v>941</v>
      </c>
      <c r="K714" s="52"/>
      <c r="L714" s="52">
        <f t="shared" si="143"/>
        <v>10400</v>
      </c>
      <c r="M714" s="52">
        <f t="shared" si="145"/>
        <v>0</v>
      </c>
      <c r="N714" s="743">
        <f t="shared" si="144"/>
        <v>30503.821920000002</v>
      </c>
      <c r="O714" s="52"/>
      <c r="P714" s="52">
        <f t="shared" si="146"/>
        <v>0</v>
      </c>
      <c r="Q714" s="52">
        <f t="shared" si="146"/>
        <v>10112.01696648</v>
      </c>
      <c r="R714" s="52">
        <f t="shared" si="146"/>
        <v>442.30541784000002</v>
      </c>
      <c r="S714" s="52">
        <f t="shared" si="148"/>
        <v>0</v>
      </c>
      <c r="T714" s="52">
        <f t="shared" si="147"/>
        <v>0</v>
      </c>
      <c r="U714" s="52">
        <f t="shared" si="147"/>
        <v>0</v>
      </c>
      <c r="V714" s="52">
        <f t="shared" si="147"/>
        <v>0</v>
      </c>
      <c r="W714" s="52">
        <f t="shared" si="147"/>
        <v>41058.144304319998</v>
      </c>
      <c r="X714" s="52">
        <f t="shared" si="147"/>
        <v>0</v>
      </c>
      <c r="Y714" s="52">
        <f t="shared" si="147"/>
        <v>0</v>
      </c>
      <c r="Z714" s="195">
        <f t="shared" si="147"/>
        <v>41058.144304319998</v>
      </c>
    </row>
    <row r="715" spans="1:27" x14ac:dyDescent="0.2">
      <c r="A715" s="50"/>
      <c r="B715" s="51"/>
      <c r="C715" s="241">
        <f t="shared" si="149"/>
        <v>0</v>
      </c>
      <c r="D715" s="51"/>
      <c r="E715" s="51"/>
      <c r="F715" s="51"/>
      <c r="G715" s="51"/>
      <c r="H715" s="51"/>
      <c r="I715" s="73"/>
      <c r="J715" s="51" t="s">
        <v>936</v>
      </c>
      <c r="K715" s="52"/>
      <c r="L715" s="52">
        <f t="shared" si="143"/>
        <v>2080</v>
      </c>
      <c r="M715" s="52">
        <f t="shared" si="145"/>
        <v>0</v>
      </c>
      <c r="N715" s="743">
        <f t="shared" si="144"/>
        <v>4576</v>
      </c>
      <c r="O715" s="52"/>
      <c r="P715" s="52">
        <f t="shared" si="146"/>
        <v>0</v>
      </c>
      <c r="Q715" s="52">
        <f t="shared" si="146"/>
        <v>1516.9440000000002</v>
      </c>
      <c r="R715" s="52">
        <f t="shared" si="146"/>
        <v>66.352000000000004</v>
      </c>
      <c r="S715" s="52">
        <f t="shared" si="148"/>
        <v>0</v>
      </c>
      <c r="T715" s="52">
        <f t="shared" ref="T715:Z724" si="150">SUMIFS(T$27:T$615,$J$27:$J$615,$J715,$H$27:$H$615,"1")</f>
        <v>0</v>
      </c>
      <c r="U715" s="52">
        <f t="shared" si="150"/>
        <v>0</v>
      </c>
      <c r="V715" s="52">
        <f t="shared" si="150"/>
        <v>0</v>
      </c>
      <c r="W715" s="52">
        <f t="shared" si="150"/>
        <v>6159.2960000000003</v>
      </c>
      <c r="X715" s="52">
        <f t="shared" si="150"/>
        <v>0</v>
      </c>
      <c r="Y715" s="52">
        <f t="shared" si="150"/>
        <v>0</v>
      </c>
      <c r="Z715" s="195">
        <f t="shared" si="150"/>
        <v>6159.2960000000003</v>
      </c>
    </row>
    <row r="716" spans="1:27" s="236" customFormat="1" x14ac:dyDescent="0.2">
      <c r="A716" s="50"/>
      <c r="B716" s="51"/>
      <c r="C716" s="241">
        <f t="shared" si="149"/>
        <v>0</v>
      </c>
      <c r="D716" s="51"/>
      <c r="E716" s="51"/>
      <c r="F716" s="51"/>
      <c r="G716" s="51"/>
      <c r="H716" s="51"/>
      <c r="I716" s="73"/>
      <c r="J716" s="51" t="s">
        <v>937</v>
      </c>
      <c r="K716" s="52"/>
      <c r="L716" s="52">
        <f t="shared" si="143"/>
        <v>12480</v>
      </c>
      <c r="M716" s="52">
        <f t="shared" si="145"/>
        <v>0</v>
      </c>
      <c r="N716" s="743">
        <f t="shared" si="144"/>
        <v>111061.18399999999</v>
      </c>
      <c r="O716" s="52"/>
      <c r="P716" s="52">
        <f t="shared" si="146"/>
        <v>0</v>
      </c>
      <c r="Q716" s="52">
        <f t="shared" si="146"/>
        <v>36816.782496</v>
      </c>
      <c r="R716" s="52">
        <f t="shared" si="146"/>
        <v>1610.3871679999997</v>
      </c>
      <c r="S716" s="52">
        <f t="shared" si="148"/>
        <v>0</v>
      </c>
      <c r="T716" s="52">
        <f t="shared" si="150"/>
        <v>0</v>
      </c>
      <c r="U716" s="52">
        <f t="shared" si="150"/>
        <v>0</v>
      </c>
      <c r="V716" s="52">
        <f t="shared" si="150"/>
        <v>0</v>
      </c>
      <c r="W716" s="52">
        <f t="shared" si="150"/>
        <v>149488.35366399999</v>
      </c>
      <c r="X716" s="52">
        <f t="shared" si="150"/>
        <v>0</v>
      </c>
      <c r="Y716" s="52">
        <f t="shared" si="150"/>
        <v>0</v>
      </c>
      <c r="Z716" s="195">
        <f t="shared" si="150"/>
        <v>149488.35366399999</v>
      </c>
      <c r="AA716"/>
    </row>
    <row r="717" spans="1:27" x14ac:dyDescent="0.2">
      <c r="A717" s="50"/>
      <c r="B717" s="51"/>
      <c r="C717" s="241">
        <f t="shared" si="149"/>
        <v>0</v>
      </c>
      <c r="D717" s="51"/>
      <c r="E717" s="51"/>
      <c r="F717" s="51"/>
      <c r="G717" s="51"/>
      <c r="H717" s="51"/>
      <c r="I717" s="73"/>
      <c r="J717" s="51" t="s">
        <v>932</v>
      </c>
      <c r="K717" s="52"/>
      <c r="L717" s="52">
        <f t="shared" si="143"/>
        <v>27040</v>
      </c>
      <c r="M717" s="52">
        <f t="shared" si="145"/>
        <v>0</v>
      </c>
      <c r="N717" s="743">
        <f t="shared" si="144"/>
        <v>63250.709599999995</v>
      </c>
      <c r="O717" s="52"/>
      <c r="P717" s="52">
        <f t="shared" si="146"/>
        <v>0</v>
      </c>
      <c r="Q717" s="52">
        <f t="shared" si="146"/>
        <v>20967.610232400002</v>
      </c>
      <c r="R717" s="52">
        <f t="shared" si="146"/>
        <v>917.1352892000001</v>
      </c>
      <c r="S717" s="52">
        <f t="shared" si="148"/>
        <v>0</v>
      </c>
      <c r="T717" s="52">
        <f t="shared" si="150"/>
        <v>0</v>
      </c>
      <c r="U717" s="52">
        <f t="shared" si="150"/>
        <v>0</v>
      </c>
      <c r="V717" s="52">
        <f t="shared" si="150"/>
        <v>0</v>
      </c>
      <c r="W717" s="52">
        <f t="shared" si="150"/>
        <v>85135.455121600011</v>
      </c>
      <c r="X717" s="52">
        <f t="shared" si="150"/>
        <v>0</v>
      </c>
      <c r="Y717" s="52">
        <f t="shared" si="150"/>
        <v>0</v>
      </c>
      <c r="Z717" s="195">
        <f t="shared" si="150"/>
        <v>85135.455121600011</v>
      </c>
    </row>
    <row r="718" spans="1:27" x14ac:dyDescent="0.2">
      <c r="A718" s="50"/>
      <c r="B718" s="51"/>
      <c r="C718" s="241">
        <f t="shared" si="149"/>
        <v>0</v>
      </c>
      <c r="D718" s="51"/>
      <c r="E718" s="51"/>
      <c r="F718" s="51"/>
      <c r="G718" s="51"/>
      <c r="H718" s="51"/>
      <c r="I718" s="73"/>
      <c r="J718" s="51" t="s">
        <v>933</v>
      </c>
      <c r="K718" s="52"/>
      <c r="L718" s="52">
        <f t="shared" si="143"/>
        <v>16640</v>
      </c>
      <c r="M718" s="52">
        <f t="shared" si="145"/>
        <v>0</v>
      </c>
      <c r="N718" s="743">
        <f t="shared" si="144"/>
        <v>54156.749919999995</v>
      </c>
      <c r="O718" s="52"/>
      <c r="P718" s="52">
        <f t="shared" si="146"/>
        <v>0</v>
      </c>
      <c r="Q718" s="52">
        <f t="shared" si="146"/>
        <v>17952.96259848</v>
      </c>
      <c r="R718" s="52">
        <f t="shared" si="146"/>
        <v>785.27287383999999</v>
      </c>
      <c r="S718" s="52">
        <f t="shared" si="148"/>
        <v>0</v>
      </c>
      <c r="T718" s="52">
        <f t="shared" si="150"/>
        <v>0</v>
      </c>
      <c r="U718" s="52">
        <f t="shared" si="150"/>
        <v>0</v>
      </c>
      <c r="V718" s="52">
        <f t="shared" si="150"/>
        <v>0</v>
      </c>
      <c r="W718" s="52">
        <f t="shared" si="150"/>
        <v>72894.985392319999</v>
      </c>
      <c r="X718" s="52">
        <f t="shared" si="150"/>
        <v>0</v>
      </c>
      <c r="Y718" s="52">
        <f t="shared" si="150"/>
        <v>0</v>
      </c>
      <c r="Z718" s="195">
        <f t="shared" si="150"/>
        <v>72894.985392319999</v>
      </c>
    </row>
    <row r="719" spans="1:27" x14ac:dyDescent="0.2">
      <c r="A719" s="50"/>
      <c r="B719" s="51"/>
      <c r="C719" s="241">
        <f t="shared" si="149"/>
        <v>0</v>
      </c>
      <c r="D719" s="51"/>
      <c r="E719" s="51"/>
      <c r="F719" s="51"/>
      <c r="G719" s="51"/>
      <c r="H719" s="51"/>
      <c r="I719" s="73"/>
      <c r="J719" s="51" t="s">
        <v>952</v>
      </c>
      <c r="K719" s="52"/>
      <c r="L719" s="52">
        <f t="shared" si="143"/>
        <v>4160</v>
      </c>
      <c r="M719" s="52">
        <f t="shared" si="145"/>
        <v>0</v>
      </c>
      <c r="N719" s="743">
        <f t="shared" si="144"/>
        <v>2730.4004</v>
      </c>
      <c r="O719" s="52"/>
      <c r="P719" s="52">
        <f t="shared" si="146"/>
        <v>0</v>
      </c>
      <c r="Q719" s="52">
        <f t="shared" si="146"/>
        <v>905.12773259999994</v>
      </c>
      <c r="R719" s="52">
        <f t="shared" si="146"/>
        <v>39.590805800000005</v>
      </c>
      <c r="S719" s="52">
        <f t="shared" si="148"/>
        <v>0</v>
      </c>
      <c r="T719" s="52">
        <f t="shared" si="150"/>
        <v>0</v>
      </c>
      <c r="U719" s="52">
        <f t="shared" si="150"/>
        <v>0</v>
      </c>
      <c r="V719" s="52">
        <f t="shared" si="150"/>
        <v>0</v>
      </c>
      <c r="W719" s="52">
        <f t="shared" si="150"/>
        <v>3675.1189383999999</v>
      </c>
      <c r="X719" s="52">
        <f t="shared" si="150"/>
        <v>0</v>
      </c>
      <c r="Y719" s="52">
        <f t="shared" si="150"/>
        <v>0</v>
      </c>
      <c r="Z719" s="195">
        <f t="shared" si="150"/>
        <v>3675.1189383999999</v>
      </c>
    </row>
    <row r="720" spans="1:27" x14ac:dyDescent="0.2">
      <c r="A720" s="50"/>
      <c r="B720" s="51"/>
      <c r="C720" s="241">
        <f t="shared" si="149"/>
        <v>0</v>
      </c>
      <c r="D720" s="51"/>
      <c r="E720" s="51"/>
      <c r="F720" s="51"/>
      <c r="G720" s="51"/>
      <c r="H720" s="51"/>
      <c r="I720" s="73"/>
      <c r="J720" s="404" t="s">
        <v>923</v>
      </c>
      <c r="K720" s="52"/>
      <c r="L720" s="52">
        <f t="shared" si="143"/>
        <v>0</v>
      </c>
      <c r="M720" s="52">
        <f t="shared" si="145"/>
        <v>0</v>
      </c>
      <c r="N720" s="743">
        <f t="shared" si="144"/>
        <v>0</v>
      </c>
      <c r="O720" s="52"/>
      <c r="P720" s="52">
        <f t="shared" si="146"/>
        <v>0</v>
      </c>
      <c r="Q720" s="52">
        <f t="shared" si="146"/>
        <v>0</v>
      </c>
      <c r="R720" s="52">
        <f t="shared" si="146"/>
        <v>0</v>
      </c>
      <c r="S720" s="52">
        <f t="shared" si="148"/>
        <v>0</v>
      </c>
      <c r="T720" s="52">
        <f t="shared" si="150"/>
        <v>0</v>
      </c>
      <c r="U720" s="52">
        <f t="shared" si="150"/>
        <v>0</v>
      </c>
      <c r="V720" s="52">
        <f t="shared" si="150"/>
        <v>0</v>
      </c>
      <c r="W720" s="52">
        <f t="shared" si="150"/>
        <v>0</v>
      </c>
      <c r="X720" s="52">
        <f t="shared" si="150"/>
        <v>0</v>
      </c>
      <c r="Y720" s="52">
        <f t="shared" si="150"/>
        <v>0</v>
      </c>
      <c r="Z720" s="195">
        <f t="shared" si="150"/>
        <v>0</v>
      </c>
      <c r="AA720" s="236"/>
    </row>
    <row r="721" spans="1:27" x14ac:dyDescent="0.2">
      <c r="A721" s="50"/>
      <c r="B721" s="51"/>
      <c r="C721" s="241">
        <f t="shared" si="149"/>
        <v>0</v>
      </c>
      <c r="D721" s="51"/>
      <c r="E721" s="51"/>
      <c r="F721" s="51"/>
      <c r="G721" s="51"/>
      <c r="H721" s="51"/>
      <c r="I721" s="73"/>
      <c r="J721" s="51" t="s">
        <v>925</v>
      </c>
      <c r="K721" s="52"/>
      <c r="L721" s="52">
        <f t="shared" si="143"/>
        <v>4160</v>
      </c>
      <c r="M721" s="52">
        <f t="shared" si="145"/>
        <v>0</v>
      </c>
      <c r="N721" s="743">
        <f t="shared" si="144"/>
        <v>8042.32</v>
      </c>
      <c r="O721" s="52"/>
      <c r="P721" s="52">
        <f t="shared" si="146"/>
        <v>0</v>
      </c>
      <c r="Q721" s="52">
        <f t="shared" si="146"/>
        <v>2666.0290800000002</v>
      </c>
      <c r="R721" s="52">
        <f t="shared" si="146"/>
        <v>116.61364</v>
      </c>
      <c r="S721" s="52">
        <f t="shared" si="148"/>
        <v>0</v>
      </c>
      <c r="T721" s="52">
        <f t="shared" si="150"/>
        <v>0</v>
      </c>
      <c r="U721" s="52">
        <f t="shared" si="150"/>
        <v>0</v>
      </c>
      <c r="V721" s="52">
        <f t="shared" si="150"/>
        <v>0</v>
      </c>
      <c r="W721" s="52">
        <f t="shared" si="150"/>
        <v>10824.96272</v>
      </c>
      <c r="X721" s="52">
        <f t="shared" si="150"/>
        <v>0</v>
      </c>
      <c r="Y721" s="52">
        <f t="shared" si="150"/>
        <v>0</v>
      </c>
      <c r="Z721" s="195">
        <f t="shared" si="150"/>
        <v>10824.96272</v>
      </c>
    </row>
    <row r="722" spans="1:27" s="236" customFormat="1" x14ac:dyDescent="0.2">
      <c r="A722" s="50"/>
      <c r="B722" s="51"/>
      <c r="C722" s="241"/>
      <c r="D722" s="51"/>
      <c r="E722" s="51"/>
      <c r="F722" s="51"/>
      <c r="G722" s="51"/>
      <c r="H722" s="51"/>
      <c r="I722" s="73"/>
      <c r="J722" s="19" t="s">
        <v>1603</v>
      </c>
      <c r="K722" s="52"/>
      <c r="L722" s="52">
        <f t="shared" si="143"/>
        <v>10400</v>
      </c>
      <c r="M722" s="52"/>
      <c r="N722" s="743">
        <f t="shared" si="144"/>
        <v>16410.641000000003</v>
      </c>
      <c r="O722" s="52"/>
      <c r="P722" s="52"/>
      <c r="Q722" s="52">
        <f t="shared" ref="Q722:R741" si="151">SUMIFS(Q$27:Q$615,$J$27:$J$615,$J722,$H$27:$H$615,"1")</f>
        <v>5440.1274915000004</v>
      </c>
      <c r="R722" s="52">
        <f t="shared" si="151"/>
        <v>237.95429450000003</v>
      </c>
      <c r="S722" s="52">
        <f t="shared" si="148"/>
        <v>0</v>
      </c>
      <c r="T722" s="52">
        <f t="shared" si="150"/>
        <v>0</v>
      </c>
      <c r="U722" s="52">
        <f t="shared" si="150"/>
        <v>0</v>
      </c>
      <c r="V722" s="52">
        <f t="shared" si="150"/>
        <v>0</v>
      </c>
      <c r="W722" s="52">
        <f t="shared" si="150"/>
        <v>22088.722785999998</v>
      </c>
      <c r="X722" s="52">
        <f t="shared" si="150"/>
        <v>0</v>
      </c>
      <c r="Y722" s="52">
        <f t="shared" si="150"/>
        <v>0</v>
      </c>
      <c r="Z722" s="195">
        <f t="shared" si="150"/>
        <v>22088.722785999998</v>
      </c>
    </row>
    <row r="723" spans="1:27" x14ac:dyDescent="0.2">
      <c r="A723" s="50"/>
      <c r="B723" s="51"/>
      <c r="C723" s="241">
        <f t="shared" ref="C723:C754" si="152">COUNTIFS($I$27:$I$615,$I723,$H$27:$H$615,"1")</f>
        <v>0</v>
      </c>
      <c r="D723" s="51"/>
      <c r="E723" s="51"/>
      <c r="F723" s="51"/>
      <c r="G723" s="51"/>
      <c r="H723" s="51"/>
      <c r="I723" s="73"/>
      <c r="J723" s="51" t="s">
        <v>950</v>
      </c>
      <c r="K723" s="52"/>
      <c r="L723" s="52">
        <f t="shared" si="143"/>
        <v>4160</v>
      </c>
      <c r="M723" s="52">
        <f t="shared" ref="M723:M754" si="153">SUMIFS(M$27:M$615,$J$27:$J$615,$J723,$H$27:$H$615,"1")</f>
        <v>0</v>
      </c>
      <c r="N723" s="743">
        <f t="shared" si="144"/>
        <v>4095.6005999999998</v>
      </c>
      <c r="O723" s="52"/>
      <c r="P723" s="52">
        <f t="shared" ref="P723:P754" si="154">SUMIFS(P$27:P$615,$J$27:$J$615,$J723,$H$27:$H$615,"1")</f>
        <v>0</v>
      </c>
      <c r="Q723" s="52">
        <f t="shared" si="151"/>
        <v>1357.6915988999999</v>
      </c>
      <c r="R723" s="52">
        <f t="shared" si="151"/>
        <v>59.386208699999997</v>
      </c>
      <c r="S723" s="52">
        <f t="shared" si="148"/>
        <v>0</v>
      </c>
      <c r="T723" s="52">
        <f t="shared" si="150"/>
        <v>0</v>
      </c>
      <c r="U723" s="52">
        <f t="shared" si="150"/>
        <v>0</v>
      </c>
      <c r="V723" s="52">
        <f t="shared" si="150"/>
        <v>0</v>
      </c>
      <c r="W723" s="52">
        <f t="shared" si="150"/>
        <v>5512.6784075999994</v>
      </c>
      <c r="X723" s="52">
        <f t="shared" si="150"/>
        <v>0</v>
      </c>
      <c r="Y723" s="52">
        <f t="shared" si="150"/>
        <v>0</v>
      </c>
      <c r="Z723" s="195">
        <f t="shared" si="150"/>
        <v>5512.6784075999994</v>
      </c>
    </row>
    <row r="724" spans="1:27" x14ac:dyDescent="0.2">
      <c r="A724" s="50"/>
      <c r="B724" s="51"/>
      <c r="C724" s="241">
        <f t="shared" si="152"/>
        <v>0</v>
      </c>
      <c r="D724" s="51"/>
      <c r="E724" s="51"/>
      <c r="F724" s="51"/>
      <c r="G724" s="51"/>
      <c r="H724" s="51"/>
      <c r="I724" s="73"/>
      <c r="J724" s="51" t="s">
        <v>1054</v>
      </c>
      <c r="K724" s="52"/>
      <c r="L724" s="52">
        <f t="shared" si="143"/>
        <v>4160</v>
      </c>
      <c r="M724" s="52">
        <f t="shared" si="153"/>
        <v>0</v>
      </c>
      <c r="N724" s="743">
        <f t="shared" si="144"/>
        <v>6826.0010000000002</v>
      </c>
      <c r="O724" s="52"/>
      <c r="P724" s="52">
        <f t="shared" si="154"/>
        <v>0</v>
      </c>
      <c r="Q724" s="52">
        <f t="shared" si="151"/>
        <v>2262.8193315000003</v>
      </c>
      <c r="R724" s="52">
        <f t="shared" si="151"/>
        <v>98.97701450000001</v>
      </c>
      <c r="S724" s="52">
        <f t="shared" si="148"/>
        <v>0</v>
      </c>
      <c r="T724" s="52">
        <f t="shared" si="150"/>
        <v>0</v>
      </c>
      <c r="U724" s="52">
        <f t="shared" si="150"/>
        <v>0</v>
      </c>
      <c r="V724" s="52">
        <f t="shared" si="150"/>
        <v>0</v>
      </c>
      <c r="W724" s="52">
        <f t="shared" si="150"/>
        <v>9187.7973460000012</v>
      </c>
      <c r="X724" s="52">
        <f t="shared" si="150"/>
        <v>0</v>
      </c>
      <c r="Y724" s="52">
        <f t="shared" si="150"/>
        <v>0</v>
      </c>
      <c r="Z724" s="195">
        <f t="shared" si="150"/>
        <v>9187.7973460000012</v>
      </c>
    </row>
    <row r="725" spans="1:27" x14ac:dyDescent="0.2">
      <c r="A725" s="50"/>
      <c r="B725" s="51"/>
      <c r="C725" s="241">
        <f t="shared" si="152"/>
        <v>0</v>
      </c>
      <c r="D725" s="51"/>
      <c r="E725" s="51"/>
      <c r="F725" s="51"/>
      <c r="G725" s="51"/>
      <c r="H725" s="51"/>
      <c r="I725" s="73"/>
      <c r="J725" s="51" t="s">
        <v>921</v>
      </c>
      <c r="K725" s="52"/>
      <c r="L725" s="52">
        <f t="shared" si="143"/>
        <v>0</v>
      </c>
      <c r="M725" s="52">
        <f t="shared" si="153"/>
        <v>0</v>
      </c>
      <c r="N725" s="743">
        <f t="shared" si="144"/>
        <v>0</v>
      </c>
      <c r="O725" s="52"/>
      <c r="P725" s="52">
        <f t="shared" si="154"/>
        <v>0</v>
      </c>
      <c r="Q725" s="52">
        <f t="shared" si="151"/>
        <v>0</v>
      </c>
      <c r="R725" s="52">
        <f t="shared" si="151"/>
        <v>0</v>
      </c>
      <c r="S725" s="52">
        <f t="shared" si="148"/>
        <v>0</v>
      </c>
      <c r="T725" s="52">
        <f t="shared" ref="T725:Z734" si="155">SUMIFS(T$27:T$615,$J$27:$J$615,$J725,$H$27:$H$615,"1")</f>
        <v>0</v>
      </c>
      <c r="U725" s="52">
        <f t="shared" si="155"/>
        <v>0</v>
      </c>
      <c r="V725" s="52">
        <f t="shared" si="155"/>
        <v>0</v>
      </c>
      <c r="W725" s="52">
        <f t="shared" si="155"/>
        <v>0</v>
      </c>
      <c r="X725" s="52">
        <f t="shared" si="155"/>
        <v>0</v>
      </c>
      <c r="Y725" s="52">
        <f t="shared" si="155"/>
        <v>0</v>
      </c>
      <c r="Z725" s="195">
        <f t="shared" si="155"/>
        <v>0</v>
      </c>
    </row>
    <row r="726" spans="1:27" x14ac:dyDescent="0.2">
      <c r="A726" s="50"/>
      <c r="B726" s="51"/>
      <c r="C726" s="241">
        <f t="shared" si="152"/>
        <v>0</v>
      </c>
      <c r="D726" s="51"/>
      <c r="E726" s="51"/>
      <c r="F726" s="51"/>
      <c r="G726" s="51"/>
      <c r="H726" s="51"/>
      <c r="I726" s="73"/>
      <c r="J726" s="51" t="s">
        <v>1022</v>
      </c>
      <c r="K726" s="52"/>
      <c r="L726" s="52">
        <f t="shared" si="143"/>
        <v>14560</v>
      </c>
      <c r="M726" s="52">
        <f t="shared" si="153"/>
        <v>0</v>
      </c>
      <c r="N726" s="743">
        <f t="shared" si="144"/>
        <v>41742.300600000002</v>
      </c>
      <c r="O726" s="52"/>
      <c r="P726" s="52">
        <f t="shared" si="154"/>
        <v>0</v>
      </c>
      <c r="Q726" s="52">
        <f t="shared" si="151"/>
        <v>13837.572648900001</v>
      </c>
      <c r="R726" s="52">
        <f t="shared" si="151"/>
        <v>605.26335870000003</v>
      </c>
      <c r="S726" s="52">
        <f t="shared" si="148"/>
        <v>0</v>
      </c>
      <c r="T726" s="52">
        <f t="shared" si="155"/>
        <v>0</v>
      </c>
      <c r="U726" s="52">
        <f t="shared" si="155"/>
        <v>0</v>
      </c>
      <c r="V726" s="52">
        <f t="shared" si="155"/>
        <v>0</v>
      </c>
      <c r="W726" s="52">
        <f t="shared" si="155"/>
        <v>56185.136607599998</v>
      </c>
      <c r="X726" s="52">
        <f t="shared" si="155"/>
        <v>0</v>
      </c>
      <c r="Y726" s="52">
        <f t="shared" si="155"/>
        <v>0</v>
      </c>
      <c r="Z726" s="195">
        <f t="shared" si="155"/>
        <v>56185.136607599998</v>
      </c>
    </row>
    <row r="727" spans="1:27" x14ac:dyDescent="0.2">
      <c r="A727" s="50"/>
      <c r="B727" s="51"/>
      <c r="C727" s="241">
        <f t="shared" si="152"/>
        <v>0</v>
      </c>
      <c r="D727" s="51"/>
      <c r="E727" s="51"/>
      <c r="F727" s="51"/>
      <c r="G727" s="51"/>
      <c r="H727" s="51"/>
      <c r="I727" s="73"/>
      <c r="J727" s="51" t="s">
        <v>1023</v>
      </c>
      <c r="K727" s="52"/>
      <c r="L727" s="52">
        <f t="shared" si="143"/>
        <v>6240</v>
      </c>
      <c r="M727" s="52">
        <f t="shared" si="153"/>
        <v>0</v>
      </c>
      <c r="N727" s="743">
        <f t="shared" si="144"/>
        <v>29671.353920000001</v>
      </c>
      <c r="O727" s="52"/>
      <c r="P727" s="52">
        <f t="shared" si="154"/>
        <v>0</v>
      </c>
      <c r="Q727" s="52">
        <f t="shared" si="151"/>
        <v>9836.0538244800009</v>
      </c>
      <c r="R727" s="52">
        <f t="shared" si="151"/>
        <v>430.23463184000002</v>
      </c>
      <c r="S727" s="52">
        <f t="shared" si="148"/>
        <v>0</v>
      </c>
      <c r="T727" s="52">
        <f t="shared" si="155"/>
        <v>0</v>
      </c>
      <c r="U727" s="52">
        <f t="shared" si="155"/>
        <v>0</v>
      </c>
      <c r="V727" s="52">
        <f t="shared" si="155"/>
        <v>0</v>
      </c>
      <c r="W727" s="52">
        <f t="shared" si="155"/>
        <v>39937.64237632</v>
      </c>
      <c r="X727" s="52">
        <f t="shared" si="155"/>
        <v>0</v>
      </c>
      <c r="Y727" s="52">
        <f t="shared" si="155"/>
        <v>0</v>
      </c>
      <c r="Z727" s="195">
        <f t="shared" si="155"/>
        <v>39937.64237632</v>
      </c>
    </row>
    <row r="728" spans="1:27" x14ac:dyDescent="0.2">
      <c r="A728" s="50"/>
      <c r="B728" s="51"/>
      <c r="C728" s="241">
        <f t="shared" si="152"/>
        <v>0</v>
      </c>
      <c r="D728" s="51"/>
      <c r="E728" s="51"/>
      <c r="F728" s="51"/>
      <c r="G728" s="51"/>
      <c r="H728" s="51"/>
      <c r="I728" s="51"/>
      <c r="J728" s="51" t="s">
        <v>137</v>
      </c>
      <c r="K728" s="52"/>
      <c r="L728" s="52">
        <f t="shared" si="143"/>
        <v>2080</v>
      </c>
      <c r="M728" s="52">
        <f t="shared" si="153"/>
        <v>0</v>
      </c>
      <c r="N728" s="743">
        <f t="shared" si="144"/>
        <v>4340.96</v>
      </c>
      <c r="O728" s="52"/>
      <c r="P728" s="52">
        <f t="shared" si="154"/>
        <v>0</v>
      </c>
      <c r="Q728" s="52">
        <f t="shared" si="151"/>
        <v>1439.0282400000001</v>
      </c>
      <c r="R728" s="52">
        <f t="shared" si="151"/>
        <v>62.943920000000006</v>
      </c>
      <c r="S728" s="52">
        <f t="shared" si="148"/>
        <v>0</v>
      </c>
      <c r="T728" s="52">
        <f t="shared" si="155"/>
        <v>0</v>
      </c>
      <c r="U728" s="52">
        <f t="shared" si="155"/>
        <v>0</v>
      </c>
      <c r="V728" s="52">
        <f t="shared" si="155"/>
        <v>0</v>
      </c>
      <c r="W728" s="52">
        <f t="shared" si="155"/>
        <v>5842.9321600000003</v>
      </c>
      <c r="X728" s="52">
        <f t="shared" si="155"/>
        <v>0</v>
      </c>
      <c r="Y728" s="52">
        <f t="shared" si="155"/>
        <v>0</v>
      </c>
      <c r="Z728" s="195">
        <f t="shared" si="155"/>
        <v>5842.9321600000003</v>
      </c>
    </row>
    <row r="729" spans="1:27" x14ac:dyDescent="0.2">
      <c r="A729" s="50"/>
      <c r="B729" s="51"/>
      <c r="C729" s="241">
        <f t="shared" si="152"/>
        <v>0</v>
      </c>
      <c r="D729" s="51"/>
      <c r="E729" s="51"/>
      <c r="F729" s="51"/>
      <c r="G729" s="51"/>
      <c r="H729" s="51"/>
      <c r="I729" s="51"/>
      <c r="J729" s="51" t="s">
        <v>956</v>
      </c>
      <c r="K729" s="52"/>
      <c r="L729" s="52">
        <f t="shared" si="143"/>
        <v>0</v>
      </c>
      <c r="M729" s="52">
        <f t="shared" si="153"/>
        <v>0</v>
      </c>
      <c r="N729" s="743">
        <f t="shared" si="144"/>
        <v>0</v>
      </c>
      <c r="O729" s="52"/>
      <c r="P729" s="52">
        <f t="shared" si="154"/>
        <v>0</v>
      </c>
      <c r="Q729" s="52">
        <f t="shared" si="151"/>
        <v>0</v>
      </c>
      <c r="R729" s="52">
        <f t="shared" si="151"/>
        <v>0</v>
      </c>
      <c r="S729" s="52">
        <f t="shared" si="148"/>
        <v>0</v>
      </c>
      <c r="T729" s="52">
        <f t="shared" si="155"/>
        <v>0</v>
      </c>
      <c r="U729" s="52">
        <f t="shared" si="155"/>
        <v>0</v>
      </c>
      <c r="V729" s="52">
        <f t="shared" si="155"/>
        <v>0</v>
      </c>
      <c r="W729" s="52">
        <f t="shared" si="155"/>
        <v>0</v>
      </c>
      <c r="X729" s="52">
        <f t="shared" si="155"/>
        <v>0</v>
      </c>
      <c r="Y729" s="52">
        <f t="shared" si="155"/>
        <v>0</v>
      </c>
      <c r="Z729" s="195">
        <f t="shared" si="155"/>
        <v>0</v>
      </c>
    </row>
    <row r="730" spans="1:27" s="236" customFormat="1" x14ac:dyDescent="0.2">
      <c r="A730" s="50"/>
      <c r="B730" s="51"/>
      <c r="C730" s="241">
        <f t="shared" si="152"/>
        <v>0</v>
      </c>
      <c r="D730" s="51"/>
      <c r="E730" s="51"/>
      <c r="F730" s="51"/>
      <c r="G730" s="51"/>
      <c r="H730" s="51"/>
      <c r="I730" s="51"/>
      <c r="J730" s="51" t="s">
        <v>1045</v>
      </c>
      <c r="K730" s="52"/>
      <c r="L730" s="52">
        <f t="shared" si="143"/>
        <v>4160</v>
      </c>
      <c r="M730" s="52">
        <f t="shared" si="153"/>
        <v>0</v>
      </c>
      <c r="N730" s="743">
        <f t="shared" si="144"/>
        <v>1365.2002</v>
      </c>
      <c r="O730" s="52"/>
      <c r="P730" s="52">
        <f t="shared" si="154"/>
        <v>0</v>
      </c>
      <c r="Q730" s="52">
        <f t="shared" si="151"/>
        <v>452.56386629999997</v>
      </c>
      <c r="R730" s="52">
        <f t="shared" si="151"/>
        <v>19.795402900000003</v>
      </c>
      <c r="S730" s="52">
        <f t="shared" si="148"/>
        <v>0</v>
      </c>
      <c r="T730" s="52">
        <f t="shared" si="155"/>
        <v>0</v>
      </c>
      <c r="U730" s="52">
        <f t="shared" si="155"/>
        <v>0</v>
      </c>
      <c r="V730" s="52">
        <f t="shared" si="155"/>
        <v>0</v>
      </c>
      <c r="W730" s="52">
        <f t="shared" si="155"/>
        <v>1837.5594692</v>
      </c>
      <c r="X730" s="52">
        <f t="shared" si="155"/>
        <v>0</v>
      </c>
      <c r="Y730" s="52">
        <f t="shared" si="155"/>
        <v>0</v>
      </c>
      <c r="Z730" s="195">
        <f t="shared" si="155"/>
        <v>1837.5594692</v>
      </c>
      <c r="AA730"/>
    </row>
    <row r="731" spans="1:27" s="236" customFormat="1" x14ac:dyDescent="0.2">
      <c r="A731" s="50"/>
      <c r="B731" s="51"/>
      <c r="C731" s="241">
        <f t="shared" si="152"/>
        <v>0</v>
      </c>
      <c r="D731" s="51"/>
      <c r="E731" s="51"/>
      <c r="F731" s="51"/>
      <c r="G731" s="51"/>
      <c r="H731" s="51"/>
      <c r="I731" s="51"/>
      <c r="J731" s="51" t="s">
        <v>1046</v>
      </c>
      <c r="K731" s="52"/>
      <c r="L731" s="52">
        <f t="shared" si="143"/>
        <v>4160</v>
      </c>
      <c r="M731" s="52">
        <f t="shared" si="153"/>
        <v>0</v>
      </c>
      <c r="N731" s="743">
        <f t="shared" si="144"/>
        <v>16522.113920000003</v>
      </c>
      <c r="O731" s="52"/>
      <c r="P731" s="52">
        <f t="shared" si="154"/>
        <v>0</v>
      </c>
      <c r="Q731" s="52">
        <f t="shared" si="151"/>
        <v>5477.0807644800007</v>
      </c>
      <c r="R731" s="52">
        <f t="shared" si="151"/>
        <v>239.57065184000004</v>
      </c>
      <c r="S731" s="52">
        <f t="shared" si="148"/>
        <v>0</v>
      </c>
      <c r="T731" s="52">
        <f t="shared" si="155"/>
        <v>0</v>
      </c>
      <c r="U731" s="52">
        <f t="shared" si="155"/>
        <v>0</v>
      </c>
      <c r="V731" s="52">
        <f t="shared" si="155"/>
        <v>0</v>
      </c>
      <c r="W731" s="52">
        <f t="shared" si="155"/>
        <v>22238.765336320001</v>
      </c>
      <c r="X731" s="52">
        <f t="shared" si="155"/>
        <v>0</v>
      </c>
      <c r="Y731" s="52">
        <f t="shared" si="155"/>
        <v>0</v>
      </c>
      <c r="Z731" s="195">
        <f t="shared" si="155"/>
        <v>22238.765336320001</v>
      </c>
      <c r="AA731"/>
    </row>
    <row r="732" spans="1:27" s="236" customFormat="1" x14ac:dyDescent="0.2">
      <c r="A732" s="50"/>
      <c r="B732" s="51"/>
      <c r="C732" s="241">
        <f t="shared" si="152"/>
        <v>0</v>
      </c>
      <c r="D732" s="51"/>
      <c r="E732" s="51"/>
      <c r="F732" s="51"/>
      <c r="G732" s="51"/>
      <c r="H732" s="51"/>
      <c r="I732" s="51"/>
      <c r="J732" s="51" t="s">
        <v>1036</v>
      </c>
      <c r="K732" s="52"/>
      <c r="L732" s="52">
        <f t="shared" si="143"/>
        <v>2080</v>
      </c>
      <c r="M732" s="52">
        <f t="shared" si="153"/>
        <v>0</v>
      </c>
      <c r="N732" s="743">
        <f t="shared" si="144"/>
        <v>1084.9279999999999</v>
      </c>
      <c r="O732" s="52"/>
      <c r="P732" s="52">
        <f t="shared" si="154"/>
        <v>0</v>
      </c>
      <c r="Q732" s="52">
        <f t="shared" si="151"/>
        <v>359.65363199999996</v>
      </c>
      <c r="R732" s="52">
        <f t="shared" si="151"/>
        <v>15.731456</v>
      </c>
      <c r="S732" s="52">
        <f t="shared" si="148"/>
        <v>0</v>
      </c>
      <c r="T732" s="52">
        <f t="shared" si="155"/>
        <v>0</v>
      </c>
      <c r="U732" s="52">
        <f t="shared" si="155"/>
        <v>0</v>
      </c>
      <c r="V732" s="52">
        <f t="shared" si="155"/>
        <v>0</v>
      </c>
      <c r="W732" s="52">
        <f t="shared" si="155"/>
        <v>1460.3130879999999</v>
      </c>
      <c r="X732" s="52">
        <f t="shared" si="155"/>
        <v>0</v>
      </c>
      <c r="Y732" s="52">
        <f t="shared" si="155"/>
        <v>0</v>
      </c>
      <c r="Z732" s="195">
        <f t="shared" si="155"/>
        <v>1460.3130879999999</v>
      </c>
      <c r="AA732"/>
    </row>
    <row r="733" spans="1:27" s="236" customFormat="1" x14ac:dyDescent="0.2">
      <c r="A733" s="50"/>
      <c r="B733" s="51"/>
      <c r="C733" s="241">
        <f t="shared" si="152"/>
        <v>0</v>
      </c>
      <c r="D733" s="51"/>
      <c r="E733" s="51"/>
      <c r="F733" s="51"/>
      <c r="G733" s="51"/>
      <c r="H733" s="51"/>
      <c r="I733" s="51"/>
      <c r="J733" s="51" t="s">
        <v>1037</v>
      </c>
      <c r="K733" s="52"/>
      <c r="L733" s="52">
        <f t="shared" si="143"/>
        <v>2080</v>
      </c>
      <c r="M733" s="52">
        <f t="shared" si="153"/>
        <v>0</v>
      </c>
      <c r="N733" s="743">
        <f t="shared" si="144"/>
        <v>43321.200000000004</v>
      </c>
      <c r="O733" s="52"/>
      <c r="P733" s="52">
        <f t="shared" si="154"/>
        <v>0</v>
      </c>
      <c r="Q733" s="52">
        <f t="shared" si="151"/>
        <v>14360.977800000002</v>
      </c>
      <c r="R733" s="52">
        <f t="shared" si="151"/>
        <v>628.15740000000005</v>
      </c>
      <c r="S733" s="52">
        <f t="shared" si="148"/>
        <v>0</v>
      </c>
      <c r="T733" s="52">
        <f t="shared" si="155"/>
        <v>2.4</v>
      </c>
      <c r="U733" s="52">
        <f t="shared" si="155"/>
        <v>323.04000000000002</v>
      </c>
      <c r="V733" s="52">
        <f t="shared" si="155"/>
        <v>0</v>
      </c>
      <c r="W733" s="52">
        <f t="shared" si="155"/>
        <v>58635.775200000004</v>
      </c>
      <c r="X733" s="52">
        <f t="shared" si="155"/>
        <v>0</v>
      </c>
      <c r="Y733" s="52">
        <f t="shared" si="155"/>
        <v>0</v>
      </c>
      <c r="Z733" s="195">
        <f t="shared" si="155"/>
        <v>58635.775200000004</v>
      </c>
      <c r="AA733"/>
    </row>
    <row r="734" spans="1:27" s="236" customFormat="1" x14ac:dyDescent="0.2">
      <c r="A734" s="50"/>
      <c r="B734" s="51"/>
      <c r="C734" s="241">
        <f t="shared" si="152"/>
        <v>0</v>
      </c>
      <c r="D734" s="51"/>
      <c r="E734" s="51"/>
      <c r="F734" s="51"/>
      <c r="G734" s="51"/>
      <c r="H734" s="51"/>
      <c r="I734" s="73"/>
      <c r="J734" s="51" t="s">
        <v>990</v>
      </c>
      <c r="K734" s="52"/>
      <c r="L734" s="52">
        <f t="shared" ref="L734:L765" si="156">SUMIFS(L$27:L$615,$J$27:$J$615,$J734,$H$27:$H$615,"1")</f>
        <v>2080</v>
      </c>
      <c r="M734" s="52">
        <f t="shared" si="153"/>
        <v>0</v>
      </c>
      <c r="N734" s="743">
        <f t="shared" ref="N734:N765" si="157">SUMIFS(N$27:N$615,$J$27:$J$615,$J734,$H$27:$H$615,"1")</f>
        <v>5728.32</v>
      </c>
      <c r="O734" s="52"/>
      <c r="P734" s="52">
        <f t="shared" si="154"/>
        <v>0</v>
      </c>
      <c r="Q734" s="52">
        <f t="shared" si="151"/>
        <v>1898.9380799999999</v>
      </c>
      <c r="R734" s="52">
        <f t="shared" si="151"/>
        <v>83.060640000000006</v>
      </c>
      <c r="S734" s="52">
        <f t="shared" si="148"/>
        <v>0</v>
      </c>
      <c r="T734" s="52">
        <f t="shared" si="155"/>
        <v>0</v>
      </c>
      <c r="U734" s="52">
        <f t="shared" si="155"/>
        <v>0</v>
      </c>
      <c r="V734" s="52">
        <f t="shared" si="155"/>
        <v>0</v>
      </c>
      <c r="W734" s="52">
        <f t="shared" si="155"/>
        <v>7710.3187199999993</v>
      </c>
      <c r="X734" s="52">
        <f t="shared" si="155"/>
        <v>0</v>
      </c>
      <c r="Y734" s="52">
        <f t="shared" si="155"/>
        <v>0</v>
      </c>
      <c r="Z734" s="195">
        <f t="shared" si="155"/>
        <v>7710.3187199999993</v>
      </c>
    </row>
    <row r="735" spans="1:27" s="236" customFormat="1" x14ac:dyDescent="0.2">
      <c r="A735" s="50"/>
      <c r="B735" s="51"/>
      <c r="C735" s="241">
        <f t="shared" si="152"/>
        <v>0</v>
      </c>
      <c r="D735" s="51"/>
      <c r="E735" s="51"/>
      <c r="F735" s="51"/>
      <c r="G735" s="51"/>
      <c r="H735" s="51"/>
      <c r="I735" s="73"/>
      <c r="J735" s="51" t="s">
        <v>1040</v>
      </c>
      <c r="K735" s="52"/>
      <c r="L735" s="52">
        <f t="shared" si="156"/>
        <v>2080</v>
      </c>
      <c r="M735" s="52">
        <f t="shared" si="153"/>
        <v>0</v>
      </c>
      <c r="N735" s="743">
        <f t="shared" si="157"/>
        <v>6358.56</v>
      </c>
      <c r="O735" s="52"/>
      <c r="P735" s="52">
        <f t="shared" si="154"/>
        <v>0</v>
      </c>
      <c r="Q735" s="52">
        <f t="shared" si="151"/>
        <v>2107.8626400000003</v>
      </c>
      <c r="R735" s="52">
        <f t="shared" si="151"/>
        <v>92.199120000000008</v>
      </c>
      <c r="S735" s="52">
        <f t="shared" si="148"/>
        <v>0</v>
      </c>
      <c r="T735" s="52">
        <f t="shared" ref="T735:Z744" si="158">SUMIFS(T$27:T$615,$J$27:$J$615,$J735,$H$27:$H$615,"1")</f>
        <v>8415.84</v>
      </c>
      <c r="U735" s="52">
        <f t="shared" si="158"/>
        <v>323.04000000000002</v>
      </c>
      <c r="V735" s="52">
        <f t="shared" si="158"/>
        <v>0</v>
      </c>
      <c r="W735" s="52">
        <f t="shared" si="158"/>
        <v>17297.501759999999</v>
      </c>
      <c r="X735" s="52">
        <f t="shared" si="158"/>
        <v>0</v>
      </c>
      <c r="Y735" s="52">
        <f t="shared" si="158"/>
        <v>0</v>
      </c>
      <c r="Z735" s="195">
        <f t="shared" si="158"/>
        <v>17297.501759999999</v>
      </c>
    </row>
    <row r="736" spans="1:27" s="236" customFormat="1" x14ac:dyDescent="0.2">
      <c r="A736" s="50"/>
      <c r="B736" s="51"/>
      <c r="C736" s="241">
        <f t="shared" si="152"/>
        <v>0</v>
      </c>
      <c r="D736" s="51"/>
      <c r="E736" s="51"/>
      <c r="F736" s="51"/>
      <c r="G736" s="51"/>
      <c r="H736" s="51"/>
      <c r="I736" s="73"/>
      <c r="J736" s="51" t="s">
        <v>991</v>
      </c>
      <c r="K736" s="52"/>
      <c r="L736" s="52">
        <f t="shared" si="156"/>
        <v>0</v>
      </c>
      <c r="M736" s="52">
        <f t="shared" si="153"/>
        <v>0</v>
      </c>
      <c r="N736" s="743">
        <f t="shared" si="157"/>
        <v>0</v>
      </c>
      <c r="O736" s="52"/>
      <c r="P736" s="52">
        <f t="shared" si="154"/>
        <v>0</v>
      </c>
      <c r="Q736" s="52">
        <f t="shared" si="151"/>
        <v>0</v>
      </c>
      <c r="R736" s="52">
        <f t="shared" si="151"/>
        <v>0</v>
      </c>
      <c r="S736" s="52">
        <f t="shared" si="148"/>
        <v>0</v>
      </c>
      <c r="T736" s="52">
        <f t="shared" si="158"/>
        <v>0</v>
      </c>
      <c r="U736" s="52">
        <f t="shared" si="158"/>
        <v>0</v>
      </c>
      <c r="V736" s="52">
        <f t="shared" si="158"/>
        <v>0</v>
      </c>
      <c r="W736" s="52">
        <f t="shared" si="158"/>
        <v>0</v>
      </c>
      <c r="X736" s="52">
        <f t="shared" si="158"/>
        <v>0</v>
      </c>
      <c r="Y736" s="52">
        <f t="shared" si="158"/>
        <v>0</v>
      </c>
      <c r="Z736" s="195">
        <f t="shared" si="158"/>
        <v>0</v>
      </c>
    </row>
    <row r="737" spans="1:26" s="236" customFormat="1" x14ac:dyDescent="0.2">
      <c r="A737" s="50"/>
      <c r="B737" s="51"/>
      <c r="C737" s="241">
        <f t="shared" si="152"/>
        <v>0</v>
      </c>
      <c r="D737" s="51"/>
      <c r="E737" s="51"/>
      <c r="F737" s="51"/>
      <c r="G737" s="51"/>
      <c r="H737" s="51"/>
      <c r="I737" s="73"/>
      <c r="J737" s="51" t="s">
        <v>959</v>
      </c>
      <c r="K737" s="52"/>
      <c r="L737" s="52">
        <f t="shared" si="156"/>
        <v>0</v>
      </c>
      <c r="M737" s="52">
        <f t="shared" si="153"/>
        <v>0</v>
      </c>
      <c r="N737" s="743">
        <f t="shared" si="157"/>
        <v>0</v>
      </c>
      <c r="O737" s="52"/>
      <c r="P737" s="52">
        <f t="shared" si="154"/>
        <v>0</v>
      </c>
      <c r="Q737" s="52">
        <f t="shared" si="151"/>
        <v>0</v>
      </c>
      <c r="R737" s="52">
        <f t="shared" si="151"/>
        <v>0</v>
      </c>
      <c r="S737" s="52">
        <f t="shared" si="148"/>
        <v>0</v>
      </c>
      <c r="T737" s="52">
        <f t="shared" si="158"/>
        <v>0</v>
      </c>
      <c r="U737" s="52">
        <f t="shared" si="158"/>
        <v>0</v>
      </c>
      <c r="V737" s="52">
        <f t="shared" si="158"/>
        <v>0</v>
      </c>
      <c r="W737" s="52">
        <f t="shared" si="158"/>
        <v>0</v>
      </c>
      <c r="X737" s="52">
        <f t="shared" si="158"/>
        <v>0</v>
      </c>
      <c r="Y737" s="52">
        <f t="shared" si="158"/>
        <v>0</v>
      </c>
      <c r="Z737" s="195">
        <f t="shared" si="158"/>
        <v>0</v>
      </c>
    </row>
    <row r="738" spans="1:26" s="236" customFormat="1" x14ac:dyDescent="0.2">
      <c r="A738" s="50"/>
      <c r="B738" s="51"/>
      <c r="C738" s="241">
        <f t="shared" si="152"/>
        <v>0</v>
      </c>
      <c r="D738" s="51"/>
      <c r="E738" s="51"/>
      <c r="F738" s="51"/>
      <c r="G738" s="51"/>
      <c r="H738" s="51"/>
      <c r="I738" s="73"/>
      <c r="J738" s="51" t="s">
        <v>964</v>
      </c>
      <c r="K738" s="52"/>
      <c r="L738" s="52">
        <f t="shared" si="156"/>
        <v>0</v>
      </c>
      <c r="M738" s="52">
        <f t="shared" si="153"/>
        <v>0</v>
      </c>
      <c r="N738" s="743">
        <f t="shared" si="157"/>
        <v>0</v>
      </c>
      <c r="O738" s="52"/>
      <c r="P738" s="52">
        <f t="shared" si="154"/>
        <v>0</v>
      </c>
      <c r="Q738" s="52">
        <f t="shared" si="151"/>
        <v>0</v>
      </c>
      <c r="R738" s="52">
        <f t="shared" si="151"/>
        <v>0</v>
      </c>
      <c r="S738" s="52">
        <f t="shared" si="148"/>
        <v>0</v>
      </c>
      <c r="T738" s="52">
        <f t="shared" si="158"/>
        <v>0</v>
      </c>
      <c r="U738" s="52">
        <f t="shared" si="158"/>
        <v>0</v>
      </c>
      <c r="V738" s="52">
        <f t="shared" si="158"/>
        <v>0</v>
      </c>
      <c r="W738" s="52">
        <f t="shared" si="158"/>
        <v>0</v>
      </c>
      <c r="X738" s="52">
        <f t="shared" si="158"/>
        <v>0</v>
      </c>
      <c r="Y738" s="52">
        <f t="shared" si="158"/>
        <v>0</v>
      </c>
      <c r="Z738" s="195">
        <f t="shared" si="158"/>
        <v>0</v>
      </c>
    </row>
    <row r="739" spans="1:26" s="236" customFormat="1" x14ac:dyDescent="0.2">
      <c r="A739" s="50"/>
      <c r="B739" s="51"/>
      <c r="C739" s="241">
        <f t="shared" si="152"/>
        <v>0</v>
      </c>
      <c r="D739" s="51"/>
      <c r="E739" s="51"/>
      <c r="F739" s="51"/>
      <c r="G739" s="51"/>
      <c r="H739" s="51"/>
      <c r="I739" s="73"/>
      <c r="J739" s="51" t="s">
        <v>1003</v>
      </c>
      <c r="K739" s="52"/>
      <c r="L739" s="52">
        <f t="shared" si="156"/>
        <v>12480</v>
      </c>
      <c r="M739" s="52">
        <f t="shared" si="153"/>
        <v>0</v>
      </c>
      <c r="N739" s="743">
        <f t="shared" si="157"/>
        <v>94423.055999999997</v>
      </c>
      <c r="O739" s="52"/>
      <c r="P739" s="52">
        <f t="shared" si="154"/>
        <v>0</v>
      </c>
      <c r="Q739" s="52">
        <f t="shared" si="151"/>
        <v>31301.243064000002</v>
      </c>
      <c r="R739" s="52">
        <f t="shared" si="151"/>
        <v>1369.1343120000001</v>
      </c>
      <c r="S739" s="52">
        <f t="shared" ref="S739:S770" si="159">SUMIFS(S$27:S$615,$J$27:$J$615,$J739,$H$27:$H$615,"1")</f>
        <v>0</v>
      </c>
      <c r="T739" s="52">
        <f t="shared" si="158"/>
        <v>0</v>
      </c>
      <c r="U739" s="52">
        <f t="shared" si="158"/>
        <v>0</v>
      </c>
      <c r="V739" s="52">
        <f t="shared" si="158"/>
        <v>0</v>
      </c>
      <c r="W739" s="52">
        <f t="shared" si="158"/>
        <v>127093.433376</v>
      </c>
      <c r="X739" s="52">
        <f t="shared" si="158"/>
        <v>0</v>
      </c>
      <c r="Y739" s="52">
        <f t="shared" si="158"/>
        <v>0</v>
      </c>
      <c r="Z739" s="195">
        <f t="shared" si="158"/>
        <v>127093.433376</v>
      </c>
    </row>
    <row r="740" spans="1:26" s="236" customFormat="1" x14ac:dyDescent="0.2">
      <c r="A740" s="50"/>
      <c r="B740" s="51"/>
      <c r="C740" s="241">
        <f t="shared" si="152"/>
        <v>0</v>
      </c>
      <c r="D740" s="51"/>
      <c r="E740" s="51"/>
      <c r="F740" s="51"/>
      <c r="G740" s="51"/>
      <c r="H740" s="51"/>
      <c r="I740" s="73"/>
      <c r="J740" s="51" t="s">
        <v>992</v>
      </c>
      <c r="K740" s="52"/>
      <c r="L740" s="52">
        <f t="shared" si="156"/>
        <v>0</v>
      </c>
      <c r="M740" s="52">
        <f t="shared" si="153"/>
        <v>0</v>
      </c>
      <c r="N740" s="743">
        <f t="shared" si="157"/>
        <v>0</v>
      </c>
      <c r="O740" s="52"/>
      <c r="P740" s="52">
        <f t="shared" si="154"/>
        <v>0</v>
      </c>
      <c r="Q740" s="52">
        <f t="shared" si="151"/>
        <v>0</v>
      </c>
      <c r="R740" s="52">
        <f t="shared" si="151"/>
        <v>0</v>
      </c>
      <c r="S740" s="52">
        <f t="shared" si="159"/>
        <v>0</v>
      </c>
      <c r="T740" s="52">
        <f t="shared" si="158"/>
        <v>0</v>
      </c>
      <c r="U740" s="52">
        <f t="shared" si="158"/>
        <v>0</v>
      </c>
      <c r="V740" s="52">
        <f t="shared" si="158"/>
        <v>0</v>
      </c>
      <c r="W740" s="52">
        <f t="shared" si="158"/>
        <v>0</v>
      </c>
      <c r="X740" s="52">
        <f t="shared" si="158"/>
        <v>0</v>
      </c>
      <c r="Y740" s="52">
        <f t="shared" si="158"/>
        <v>0</v>
      </c>
      <c r="Z740" s="195">
        <f t="shared" si="158"/>
        <v>0</v>
      </c>
    </row>
    <row r="741" spans="1:26" s="236" customFormat="1" x14ac:dyDescent="0.2">
      <c r="A741" s="50"/>
      <c r="B741" s="51"/>
      <c r="C741" s="241">
        <f t="shared" si="152"/>
        <v>0</v>
      </c>
      <c r="D741" s="51"/>
      <c r="E741" s="51"/>
      <c r="F741" s="51"/>
      <c r="G741" s="51"/>
      <c r="H741" s="51"/>
      <c r="I741" s="73"/>
      <c r="J741" s="51" t="s">
        <v>994</v>
      </c>
      <c r="K741" s="52"/>
      <c r="L741" s="52">
        <f t="shared" si="156"/>
        <v>10400</v>
      </c>
      <c r="M741" s="52">
        <f t="shared" si="153"/>
        <v>0</v>
      </c>
      <c r="N741" s="743">
        <f t="shared" si="157"/>
        <v>47163.168000000005</v>
      </c>
      <c r="O741" s="52"/>
      <c r="P741" s="52">
        <f t="shared" si="154"/>
        <v>0</v>
      </c>
      <c r="Q741" s="52">
        <f t="shared" si="151"/>
        <v>15634.590192000003</v>
      </c>
      <c r="R741" s="52">
        <f t="shared" si="151"/>
        <v>683.86593600000003</v>
      </c>
      <c r="S741" s="52">
        <f t="shared" si="159"/>
        <v>0</v>
      </c>
      <c r="T741" s="52">
        <f t="shared" si="158"/>
        <v>5228.3999999999996</v>
      </c>
      <c r="U741" s="52">
        <f t="shared" si="158"/>
        <v>400.32</v>
      </c>
      <c r="V741" s="52">
        <f t="shared" si="158"/>
        <v>0</v>
      </c>
      <c r="W741" s="52">
        <f t="shared" si="158"/>
        <v>69110.344128000012</v>
      </c>
      <c r="X741" s="52">
        <f t="shared" si="158"/>
        <v>0</v>
      </c>
      <c r="Y741" s="52">
        <f t="shared" si="158"/>
        <v>0</v>
      </c>
      <c r="Z741" s="195">
        <f t="shared" si="158"/>
        <v>69110.344128000012</v>
      </c>
    </row>
    <row r="742" spans="1:26" s="236" customFormat="1" x14ac:dyDescent="0.2">
      <c r="A742" s="50"/>
      <c r="B742" s="51"/>
      <c r="C742" s="241">
        <f t="shared" si="152"/>
        <v>0</v>
      </c>
      <c r="D742" s="51"/>
      <c r="E742" s="51"/>
      <c r="F742" s="51"/>
      <c r="G742" s="51"/>
      <c r="H742" s="51"/>
      <c r="I742" s="73"/>
      <c r="J742" s="51" t="s">
        <v>993</v>
      </c>
      <c r="K742" s="52"/>
      <c r="L742" s="52">
        <f t="shared" si="156"/>
        <v>10400</v>
      </c>
      <c r="M742" s="52">
        <f t="shared" si="153"/>
        <v>0</v>
      </c>
      <c r="N742" s="743">
        <f t="shared" si="157"/>
        <v>177702.92799999999</v>
      </c>
      <c r="O742" s="52"/>
      <c r="P742" s="52">
        <f t="shared" si="154"/>
        <v>0</v>
      </c>
      <c r="Q742" s="52">
        <f t="shared" ref="Q742:R761" si="160">SUMIFS(Q$27:Q$615,$J$27:$J$615,$J742,$H$27:$H$615,"1")</f>
        <v>58908.520632</v>
      </c>
      <c r="R742" s="52">
        <f t="shared" si="160"/>
        <v>2576.6924559999998</v>
      </c>
      <c r="S742" s="52">
        <f t="shared" si="159"/>
        <v>0</v>
      </c>
      <c r="T742" s="52">
        <f t="shared" si="158"/>
        <v>23689.440000000002</v>
      </c>
      <c r="U742" s="52">
        <f t="shared" si="158"/>
        <v>933.12000000000012</v>
      </c>
      <c r="V742" s="52">
        <f t="shared" si="158"/>
        <v>0</v>
      </c>
      <c r="W742" s="52">
        <f t="shared" si="158"/>
        <v>263810.70108799997</v>
      </c>
      <c r="X742" s="52">
        <f t="shared" si="158"/>
        <v>0</v>
      </c>
      <c r="Y742" s="52">
        <f t="shared" si="158"/>
        <v>0</v>
      </c>
      <c r="Z742" s="195">
        <f t="shared" si="158"/>
        <v>263810.70108799997</v>
      </c>
    </row>
    <row r="743" spans="1:26" s="236" customFormat="1" x14ac:dyDescent="0.2">
      <c r="A743" s="50"/>
      <c r="B743" s="51"/>
      <c r="C743" s="241">
        <f t="shared" si="152"/>
        <v>0</v>
      </c>
      <c r="D743" s="51"/>
      <c r="E743" s="51"/>
      <c r="F743" s="51"/>
      <c r="G743" s="51"/>
      <c r="H743" s="51"/>
      <c r="I743" s="73"/>
      <c r="J743" s="51" t="s">
        <v>995</v>
      </c>
      <c r="K743" s="52"/>
      <c r="L743" s="52">
        <f t="shared" si="156"/>
        <v>12480</v>
      </c>
      <c r="M743" s="52">
        <f t="shared" si="153"/>
        <v>0</v>
      </c>
      <c r="N743" s="743">
        <f t="shared" si="157"/>
        <v>82931.471999999994</v>
      </c>
      <c r="O743" s="52"/>
      <c r="P743" s="52">
        <f t="shared" si="154"/>
        <v>0</v>
      </c>
      <c r="Q743" s="52">
        <f t="shared" si="160"/>
        <v>27491.782968</v>
      </c>
      <c r="R743" s="52">
        <f t="shared" si="160"/>
        <v>1202.5063440000001</v>
      </c>
      <c r="S743" s="52">
        <f t="shared" si="159"/>
        <v>0</v>
      </c>
      <c r="T743" s="52">
        <f t="shared" si="158"/>
        <v>0</v>
      </c>
      <c r="U743" s="52">
        <f t="shared" si="158"/>
        <v>0</v>
      </c>
      <c r="V743" s="52">
        <f t="shared" si="158"/>
        <v>0</v>
      </c>
      <c r="W743" s="52">
        <f t="shared" si="158"/>
        <v>111625.76131200002</v>
      </c>
      <c r="X743" s="52">
        <f t="shared" si="158"/>
        <v>0</v>
      </c>
      <c r="Y743" s="52">
        <f t="shared" si="158"/>
        <v>0</v>
      </c>
      <c r="Z743" s="195">
        <f t="shared" si="158"/>
        <v>111625.76131200002</v>
      </c>
    </row>
    <row r="744" spans="1:26" s="236" customFormat="1" x14ac:dyDescent="0.2">
      <c r="A744" s="50"/>
      <c r="B744" s="51"/>
      <c r="C744" s="241">
        <f t="shared" si="152"/>
        <v>0</v>
      </c>
      <c r="D744" s="51"/>
      <c r="E744" s="51"/>
      <c r="F744" s="51"/>
      <c r="G744" s="51"/>
      <c r="H744" s="51"/>
      <c r="I744" s="73"/>
      <c r="J744" s="51" t="s">
        <v>1001</v>
      </c>
      <c r="K744" s="52"/>
      <c r="L744" s="52">
        <f t="shared" si="156"/>
        <v>0</v>
      </c>
      <c r="M744" s="52">
        <f t="shared" si="153"/>
        <v>0</v>
      </c>
      <c r="N744" s="743">
        <f t="shared" si="157"/>
        <v>0</v>
      </c>
      <c r="O744" s="52"/>
      <c r="P744" s="52">
        <f t="shared" si="154"/>
        <v>0</v>
      </c>
      <c r="Q744" s="52">
        <f t="shared" si="160"/>
        <v>0</v>
      </c>
      <c r="R744" s="52">
        <f t="shared" si="160"/>
        <v>0</v>
      </c>
      <c r="S744" s="52">
        <f t="shared" si="159"/>
        <v>0</v>
      </c>
      <c r="T744" s="52">
        <f t="shared" si="158"/>
        <v>0</v>
      </c>
      <c r="U744" s="52">
        <f t="shared" si="158"/>
        <v>0</v>
      </c>
      <c r="V744" s="52">
        <f t="shared" si="158"/>
        <v>0</v>
      </c>
      <c r="W744" s="52">
        <f t="shared" si="158"/>
        <v>0</v>
      </c>
      <c r="X744" s="52">
        <f t="shared" si="158"/>
        <v>0</v>
      </c>
      <c r="Y744" s="52">
        <f t="shared" si="158"/>
        <v>0</v>
      </c>
      <c r="Z744" s="195">
        <f t="shared" si="158"/>
        <v>0</v>
      </c>
    </row>
    <row r="745" spans="1:26" s="236" customFormat="1" x14ac:dyDescent="0.2">
      <c r="A745" s="50"/>
      <c r="B745" s="51"/>
      <c r="C745" s="241">
        <f t="shared" si="152"/>
        <v>0</v>
      </c>
      <c r="D745" s="51"/>
      <c r="E745" s="51"/>
      <c r="F745" s="51"/>
      <c r="G745" s="51"/>
      <c r="H745" s="51"/>
      <c r="I745" s="73"/>
      <c r="J745" s="51" t="s">
        <v>978</v>
      </c>
      <c r="K745" s="52"/>
      <c r="L745" s="52">
        <f t="shared" si="156"/>
        <v>12480</v>
      </c>
      <c r="M745" s="52">
        <f t="shared" si="153"/>
        <v>0</v>
      </c>
      <c r="N745" s="743">
        <f t="shared" si="157"/>
        <v>52664.832999999991</v>
      </c>
      <c r="O745" s="52"/>
      <c r="P745" s="52">
        <f t="shared" si="154"/>
        <v>0</v>
      </c>
      <c r="Q745" s="52">
        <f t="shared" si="160"/>
        <v>17458.392139500003</v>
      </c>
      <c r="R745" s="52">
        <f t="shared" si="160"/>
        <v>763.64007850000007</v>
      </c>
      <c r="S745" s="52">
        <f t="shared" si="159"/>
        <v>0</v>
      </c>
      <c r="T745" s="52">
        <f t="shared" ref="T745:Z754" si="161">SUMIFS(T$27:T$615,$J$27:$J$615,$J745,$H$27:$H$615,"1")</f>
        <v>0</v>
      </c>
      <c r="U745" s="52">
        <f t="shared" si="161"/>
        <v>0</v>
      </c>
      <c r="V745" s="52">
        <f t="shared" si="161"/>
        <v>0</v>
      </c>
      <c r="W745" s="52">
        <f t="shared" si="161"/>
        <v>70886.865218000006</v>
      </c>
      <c r="X745" s="52">
        <f t="shared" si="161"/>
        <v>0</v>
      </c>
      <c r="Y745" s="52">
        <f t="shared" si="161"/>
        <v>0</v>
      </c>
      <c r="Z745" s="195">
        <f t="shared" si="161"/>
        <v>70886.865218000006</v>
      </c>
    </row>
    <row r="746" spans="1:26" s="236" customFormat="1" x14ac:dyDescent="0.2">
      <c r="A746" s="50"/>
      <c r="B746" s="51"/>
      <c r="C746" s="241">
        <f t="shared" si="152"/>
        <v>0</v>
      </c>
      <c r="D746" s="51"/>
      <c r="E746" s="51"/>
      <c r="F746" s="51"/>
      <c r="G746" s="51"/>
      <c r="H746" s="51"/>
      <c r="I746" s="73"/>
      <c r="J746" s="51" t="s">
        <v>494</v>
      </c>
      <c r="K746" s="52"/>
      <c r="L746" s="52">
        <f t="shared" si="156"/>
        <v>0</v>
      </c>
      <c r="M746" s="52">
        <f t="shared" si="153"/>
        <v>0</v>
      </c>
      <c r="N746" s="743">
        <f t="shared" si="157"/>
        <v>0</v>
      </c>
      <c r="O746" s="52"/>
      <c r="P746" s="52">
        <f t="shared" si="154"/>
        <v>0</v>
      </c>
      <c r="Q746" s="52">
        <f t="shared" si="160"/>
        <v>0</v>
      </c>
      <c r="R746" s="52">
        <f t="shared" si="160"/>
        <v>0</v>
      </c>
      <c r="S746" s="52">
        <f t="shared" si="159"/>
        <v>0</v>
      </c>
      <c r="T746" s="52">
        <f t="shared" si="161"/>
        <v>0</v>
      </c>
      <c r="U746" s="52">
        <f t="shared" si="161"/>
        <v>0</v>
      </c>
      <c r="V746" s="52">
        <f t="shared" si="161"/>
        <v>0</v>
      </c>
      <c r="W746" s="52">
        <f t="shared" si="161"/>
        <v>0</v>
      </c>
      <c r="X746" s="52">
        <f t="shared" si="161"/>
        <v>0</v>
      </c>
      <c r="Y746" s="52">
        <f t="shared" si="161"/>
        <v>0</v>
      </c>
      <c r="Z746" s="195">
        <f t="shared" si="161"/>
        <v>0</v>
      </c>
    </row>
    <row r="747" spans="1:26" s="236" customFormat="1" x14ac:dyDescent="0.2">
      <c r="A747" s="50"/>
      <c r="B747" s="51"/>
      <c r="C747" s="241">
        <f t="shared" si="152"/>
        <v>0</v>
      </c>
      <c r="D747" s="51"/>
      <c r="E747" s="51"/>
      <c r="F747" s="51"/>
      <c r="G747" s="51"/>
      <c r="H747" s="51"/>
      <c r="I747" s="73"/>
      <c r="J747" s="51" t="s">
        <v>976</v>
      </c>
      <c r="K747" s="52"/>
      <c r="L747" s="52">
        <f t="shared" si="156"/>
        <v>12480</v>
      </c>
      <c r="M747" s="52">
        <f t="shared" si="153"/>
        <v>0</v>
      </c>
      <c r="N747" s="743">
        <f t="shared" si="157"/>
        <v>49396.032399999996</v>
      </c>
      <c r="O747" s="52"/>
      <c r="P747" s="52">
        <f t="shared" si="154"/>
        <v>0</v>
      </c>
      <c r="Q747" s="52">
        <f t="shared" si="160"/>
        <v>16374.7847406</v>
      </c>
      <c r="R747" s="52">
        <f t="shared" si="160"/>
        <v>746.40246980000006</v>
      </c>
      <c r="S747" s="52">
        <f t="shared" si="159"/>
        <v>0</v>
      </c>
      <c r="T747" s="52">
        <f t="shared" si="161"/>
        <v>8432.64</v>
      </c>
      <c r="U747" s="52">
        <f t="shared" si="161"/>
        <v>323.04000000000002</v>
      </c>
      <c r="V747" s="52">
        <f t="shared" si="161"/>
        <v>0</v>
      </c>
      <c r="W747" s="52">
        <f t="shared" si="161"/>
        <v>77352.899610400011</v>
      </c>
      <c r="X747" s="52">
        <f t="shared" si="161"/>
        <v>0</v>
      </c>
      <c r="Y747" s="52">
        <f t="shared" si="161"/>
        <v>0</v>
      </c>
      <c r="Z747" s="195">
        <f t="shared" si="161"/>
        <v>77352.899610400011</v>
      </c>
    </row>
    <row r="748" spans="1:26" s="236" customFormat="1" x14ac:dyDescent="0.2">
      <c r="A748" s="50"/>
      <c r="B748" s="51"/>
      <c r="C748" s="241">
        <f t="shared" si="152"/>
        <v>0</v>
      </c>
      <c r="D748" s="51"/>
      <c r="E748" s="51"/>
      <c r="F748" s="51"/>
      <c r="G748" s="51"/>
      <c r="H748" s="51"/>
      <c r="I748" s="73"/>
      <c r="J748" s="51" t="s">
        <v>1002</v>
      </c>
      <c r="K748" s="52"/>
      <c r="L748" s="52">
        <f t="shared" si="156"/>
        <v>0</v>
      </c>
      <c r="M748" s="52">
        <f t="shared" si="153"/>
        <v>0</v>
      </c>
      <c r="N748" s="743">
        <f t="shared" si="157"/>
        <v>0</v>
      </c>
      <c r="O748" s="52"/>
      <c r="P748" s="52">
        <f t="shared" si="154"/>
        <v>0</v>
      </c>
      <c r="Q748" s="52">
        <f t="shared" si="160"/>
        <v>0</v>
      </c>
      <c r="R748" s="52">
        <f t="shared" si="160"/>
        <v>0</v>
      </c>
      <c r="S748" s="52">
        <f t="shared" si="159"/>
        <v>0</v>
      </c>
      <c r="T748" s="52">
        <f t="shared" si="161"/>
        <v>0</v>
      </c>
      <c r="U748" s="52">
        <f t="shared" si="161"/>
        <v>0</v>
      </c>
      <c r="V748" s="52">
        <f t="shared" si="161"/>
        <v>0</v>
      </c>
      <c r="W748" s="52">
        <f t="shared" si="161"/>
        <v>0</v>
      </c>
      <c r="X748" s="52">
        <f t="shared" si="161"/>
        <v>0</v>
      </c>
      <c r="Y748" s="52">
        <f t="shared" si="161"/>
        <v>0</v>
      </c>
      <c r="Z748" s="195">
        <f t="shared" si="161"/>
        <v>0</v>
      </c>
    </row>
    <row r="749" spans="1:26" s="236" customFormat="1" x14ac:dyDescent="0.2">
      <c r="A749" s="50"/>
      <c r="B749" s="51"/>
      <c r="C749" s="241">
        <f t="shared" si="152"/>
        <v>0</v>
      </c>
      <c r="D749" s="51"/>
      <c r="E749" s="51"/>
      <c r="F749" s="51"/>
      <c r="G749" s="51"/>
      <c r="H749" s="51"/>
      <c r="I749" s="73"/>
      <c r="J749" s="51" t="s">
        <v>1014</v>
      </c>
      <c r="K749" s="52"/>
      <c r="L749" s="52">
        <f t="shared" si="156"/>
        <v>0</v>
      </c>
      <c r="M749" s="52">
        <f t="shared" si="153"/>
        <v>0</v>
      </c>
      <c r="N749" s="743">
        <f t="shared" si="157"/>
        <v>0</v>
      </c>
      <c r="O749" s="52"/>
      <c r="P749" s="52">
        <f t="shared" si="154"/>
        <v>0</v>
      </c>
      <c r="Q749" s="52">
        <f t="shared" si="160"/>
        <v>0</v>
      </c>
      <c r="R749" s="52">
        <f t="shared" si="160"/>
        <v>0</v>
      </c>
      <c r="S749" s="52">
        <f t="shared" si="159"/>
        <v>0</v>
      </c>
      <c r="T749" s="52">
        <f t="shared" si="161"/>
        <v>0</v>
      </c>
      <c r="U749" s="52">
        <f t="shared" si="161"/>
        <v>0</v>
      </c>
      <c r="V749" s="52">
        <f t="shared" si="161"/>
        <v>0</v>
      </c>
      <c r="W749" s="52">
        <f t="shared" si="161"/>
        <v>0</v>
      </c>
      <c r="X749" s="52">
        <f t="shared" si="161"/>
        <v>0</v>
      </c>
      <c r="Y749" s="52">
        <f t="shared" si="161"/>
        <v>0</v>
      </c>
      <c r="Z749" s="195">
        <f t="shared" si="161"/>
        <v>0</v>
      </c>
    </row>
    <row r="750" spans="1:26" s="236" customFormat="1" x14ac:dyDescent="0.2">
      <c r="A750" s="50"/>
      <c r="B750" s="51"/>
      <c r="C750" s="241">
        <f t="shared" si="152"/>
        <v>0</v>
      </c>
      <c r="D750" s="51"/>
      <c r="E750" s="51"/>
      <c r="F750" s="51"/>
      <c r="G750" s="51"/>
      <c r="H750" s="51"/>
      <c r="I750" s="73"/>
      <c r="J750" s="51" t="s">
        <v>998</v>
      </c>
      <c r="K750" s="52"/>
      <c r="L750" s="52">
        <f t="shared" si="156"/>
        <v>0</v>
      </c>
      <c r="M750" s="52">
        <f t="shared" si="153"/>
        <v>0</v>
      </c>
      <c r="N750" s="743">
        <f t="shared" si="157"/>
        <v>0</v>
      </c>
      <c r="O750" s="52"/>
      <c r="P750" s="52">
        <f t="shared" si="154"/>
        <v>0</v>
      </c>
      <c r="Q750" s="52">
        <f t="shared" si="160"/>
        <v>0</v>
      </c>
      <c r="R750" s="52">
        <f t="shared" si="160"/>
        <v>0</v>
      </c>
      <c r="S750" s="52">
        <f t="shared" si="159"/>
        <v>0</v>
      </c>
      <c r="T750" s="52">
        <f t="shared" si="161"/>
        <v>0</v>
      </c>
      <c r="U750" s="52">
        <f t="shared" si="161"/>
        <v>0</v>
      </c>
      <c r="V750" s="52">
        <f t="shared" si="161"/>
        <v>0</v>
      </c>
      <c r="W750" s="52">
        <f t="shared" si="161"/>
        <v>0</v>
      </c>
      <c r="X750" s="52">
        <f t="shared" si="161"/>
        <v>0</v>
      </c>
      <c r="Y750" s="52">
        <f t="shared" si="161"/>
        <v>0</v>
      </c>
      <c r="Z750" s="195">
        <f t="shared" si="161"/>
        <v>0</v>
      </c>
    </row>
    <row r="751" spans="1:26" s="236" customFormat="1" x14ac:dyDescent="0.2">
      <c r="A751" s="50"/>
      <c r="B751" s="51"/>
      <c r="C751" s="241">
        <f t="shared" si="152"/>
        <v>0</v>
      </c>
      <c r="D751" s="51"/>
      <c r="E751" s="51"/>
      <c r="F751" s="51"/>
      <c r="G751" s="51"/>
      <c r="H751" s="51"/>
      <c r="I751" s="73"/>
      <c r="J751" s="51" t="s">
        <v>996</v>
      </c>
      <c r="K751" s="52"/>
      <c r="L751" s="52">
        <f t="shared" si="156"/>
        <v>0</v>
      </c>
      <c r="M751" s="52">
        <f t="shared" si="153"/>
        <v>0</v>
      </c>
      <c r="N751" s="743">
        <f t="shared" si="157"/>
        <v>0</v>
      </c>
      <c r="O751" s="52"/>
      <c r="P751" s="52">
        <f t="shared" si="154"/>
        <v>0</v>
      </c>
      <c r="Q751" s="52">
        <f t="shared" si="160"/>
        <v>0</v>
      </c>
      <c r="R751" s="52">
        <f t="shared" si="160"/>
        <v>0</v>
      </c>
      <c r="S751" s="52">
        <f t="shared" si="159"/>
        <v>0</v>
      </c>
      <c r="T751" s="52">
        <f t="shared" si="161"/>
        <v>0</v>
      </c>
      <c r="U751" s="52">
        <f t="shared" si="161"/>
        <v>0</v>
      </c>
      <c r="V751" s="52">
        <f t="shared" si="161"/>
        <v>0</v>
      </c>
      <c r="W751" s="52">
        <f t="shared" si="161"/>
        <v>0</v>
      </c>
      <c r="X751" s="52">
        <f t="shared" si="161"/>
        <v>0</v>
      </c>
      <c r="Y751" s="52">
        <f t="shared" si="161"/>
        <v>0</v>
      </c>
      <c r="Z751" s="195">
        <f t="shared" si="161"/>
        <v>0</v>
      </c>
    </row>
    <row r="752" spans="1:26" s="236" customFormat="1" x14ac:dyDescent="0.2">
      <c r="A752" s="50"/>
      <c r="B752" s="51"/>
      <c r="C752" s="241">
        <f t="shared" si="152"/>
        <v>0</v>
      </c>
      <c r="D752" s="51"/>
      <c r="E752" s="51"/>
      <c r="F752" s="51"/>
      <c r="G752" s="51"/>
      <c r="H752" s="51"/>
      <c r="I752" s="73"/>
      <c r="J752" s="51" t="s">
        <v>1043</v>
      </c>
      <c r="K752" s="52"/>
      <c r="L752" s="52">
        <f t="shared" si="156"/>
        <v>0</v>
      </c>
      <c r="M752" s="52">
        <f t="shared" si="153"/>
        <v>0</v>
      </c>
      <c r="N752" s="743">
        <f t="shared" si="157"/>
        <v>0</v>
      </c>
      <c r="O752" s="52"/>
      <c r="P752" s="52">
        <f t="shared" si="154"/>
        <v>0</v>
      </c>
      <c r="Q752" s="52">
        <f t="shared" si="160"/>
        <v>0</v>
      </c>
      <c r="R752" s="52">
        <f t="shared" si="160"/>
        <v>0</v>
      </c>
      <c r="S752" s="52">
        <f t="shared" si="159"/>
        <v>0</v>
      </c>
      <c r="T752" s="52">
        <f t="shared" si="161"/>
        <v>0</v>
      </c>
      <c r="U752" s="52">
        <f t="shared" si="161"/>
        <v>0</v>
      </c>
      <c r="V752" s="52">
        <f t="shared" si="161"/>
        <v>0</v>
      </c>
      <c r="W752" s="52">
        <f t="shared" si="161"/>
        <v>0</v>
      </c>
      <c r="X752" s="52">
        <f t="shared" si="161"/>
        <v>0</v>
      </c>
      <c r="Y752" s="52">
        <f t="shared" si="161"/>
        <v>0</v>
      </c>
      <c r="Z752" s="195">
        <f t="shared" si="161"/>
        <v>0</v>
      </c>
    </row>
    <row r="753" spans="1:26" s="236" customFormat="1" x14ac:dyDescent="0.2">
      <c r="A753" s="50"/>
      <c r="B753" s="51"/>
      <c r="C753" s="241">
        <f t="shared" si="152"/>
        <v>0</v>
      </c>
      <c r="D753" s="51"/>
      <c r="E753" s="51"/>
      <c r="F753" s="51"/>
      <c r="G753" s="51"/>
      <c r="H753" s="51"/>
      <c r="I753" s="73"/>
      <c r="J753" s="51" t="s">
        <v>1044</v>
      </c>
      <c r="K753" s="52"/>
      <c r="L753" s="52">
        <f t="shared" si="156"/>
        <v>8320</v>
      </c>
      <c r="M753" s="52">
        <f t="shared" si="153"/>
        <v>0</v>
      </c>
      <c r="N753" s="743">
        <f t="shared" si="157"/>
        <v>18854.368000000002</v>
      </c>
      <c r="O753" s="52"/>
      <c r="P753" s="52">
        <f t="shared" si="154"/>
        <v>0</v>
      </c>
      <c r="Q753" s="52">
        <f t="shared" si="160"/>
        <v>6250.222992</v>
      </c>
      <c r="R753" s="52">
        <f t="shared" si="160"/>
        <v>273.38833600000004</v>
      </c>
      <c r="S753" s="52">
        <f t="shared" si="159"/>
        <v>0</v>
      </c>
      <c r="T753" s="52">
        <f t="shared" si="161"/>
        <v>0</v>
      </c>
      <c r="U753" s="52">
        <f t="shared" si="161"/>
        <v>0</v>
      </c>
      <c r="V753" s="52">
        <f t="shared" si="161"/>
        <v>0</v>
      </c>
      <c r="W753" s="52">
        <f t="shared" si="161"/>
        <v>25377.979328000001</v>
      </c>
      <c r="X753" s="52">
        <f t="shared" si="161"/>
        <v>0</v>
      </c>
      <c r="Y753" s="52">
        <f t="shared" si="161"/>
        <v>0</v>
      </c>
      <c r="Z753" s="195">
        <f t="shared" si="161"/>
        <v>25377.979328000001</v>
      </c>
    </row>
    <row r="754" spans="1:26" s="236" customFormat="1" x14ac:dyDescent="0.2">
      <c r="A754" s="50"/>
      <c r="B754" s="51"/>
      <c r="C754" s="241">
        <f t="shared" si="152"/>
        <v>0</v>
      </c>
      <c r="D754" s="51"/>
      <c r="E754" s="51"/>
      <c r="F754" s="51"/>
      <c r="G754" s="51"/>
      <c r="H754" s="51"/>
      <c r="I754" s="73"/>
      <c r="J754" s="51" t="s">
        <v>1039</v>
      </c>
      <c r="K754" s="52"/>
      <c r="L754" s="52">
        <f t="shared" si="156"/>
        <v>8320</v>
      </c>
      <c r="M754" s="52">
        <f t="shared" si="153"/>
        <v>0</v>
      </c>
      <c r="N754" s="743">
        <f t="shared" si="157"/>
        <v>7962.6559999999999</v>
      </c>
      <c r="O754" s="52"/>
      <c r="P754" s="52">
        <f t="shared" si="154"/>
        <v>0</v>
      </c>
      <c r="Q754" s="52">
        <f t="shared" si="160"/>
        <v>2639.6204640000001</v>
      </c>
      <c r="R754" s="52">
        <f t="shared" si="160"/>
        <v>115.45851200000001</v>
      </c>
      <c r="S754" s="52">
        <f t="shared" si="159"/>
        <v>0</v>
      </c>
      <c r="T754" s="52">
        <f t="shared" si="161"/>
        <v>9592.56</v>
      </c>
      <c r="U754" s="52">
        <f t="shared" si="161"/>
        <v>0</v>
      </c>
      <c r="V754" s="52">
        <f t="shared" si="161"/>
        <v>0</v>
      </c>
      <c r="W754" s="52">
        <f t="shared" si="161"/>
        <v>20310.294975999997</v>
      </c>
      <c r="X754" s="52">
        <f t="shared" si="161"/>
        <v>0</v>
      </c>
      <c r="Y754" s="52">
        <f t="shared" si="161"/>
        <v>0</v>
      </c>
      <c r="Z754" s="195">
        <f t="shared" si="161"/>
        <v>20310.294975999997</v>
      </c>
    </row>
    <row r="755" spans="1:26" s="236" customFormat="1" x14ac:dyDescent="0.2">
      <c r="A755" s="50"/>
      <c r="B755" s="51"/>
      <c r="C755" s="241">
        <f t="shared" ref="C755:C772" si="162">COUNTIFS($I$27:$I$615,$I755,$H$27:$H$615,"1")</f>
        <v>0</v>
      </c>
      <c r="D755" s="51"/>
      <c r="E755" s="51"/>
      <c r="F755" s="51"/>
      <c r="G755" s="51"/>
      <c r="H755" s="51"/>
      <c r="I755" s="73"/>
      <c r="J755" s="51" t="s">
        <v>113</v>
      </c>
      <c r="K755" s="52"/>
      <c r="L755" s="52">
        <f t="shared" si="156"/>
        <v>10400</v>
      </c>
      <c r="M755" s="52">
        <f t="shared" ref="M755:M786" si="163">SUMIFS(M$27:M$615,$J$27:$J$615,$J755,$H$27:$H$615,"1")</f>
        <v>0</v>
      </c>
      <c r="N755" s="743">
        <f t="shared" si="157"/>
        <v>39426.400000000001</v>
      </c>
      <c r="O755" s="52"/>
      <c r="P755" s="52">
        <f t="shared" ref="P755:P786" si="164">SUMIFS(P$27:P$615,$J$27:$J$615,$J755,$H$27:$H$615,"1")</f>
        <v>0</v>
      </c>
      <c r="Q755" s="52">
        <f t="shared" si="160"/>
        <v>13069.851600000002</v>
      </c>
      <c r="R755" s="52">
        <f t="shared" si="160"/>
        <v>571.68280000000004</v>
      </c>
      <c r="S755" s="52">
        <f t="shared" si="159"/>
        <v>0</v>
      </c>
      <c r="T755" s="52">
        <f t="shared" ref="T755:Z764" si="165">SUMIFS(T$27:T$615,$J$27:$J$615,$J755,$H$27:$H$615,"1")</f>
        <v>0</v>
      </c>
      <c r="U755" s="52">
        <f t="shared" si="165"/>
        <v>0</v>
      </c>
      <c r="V755" s="52">
        <f t="shared" si="165"/>
        <v>0</v>
      </c>
      <c r="W755" s="52">
        <f t="shared" si="165"/>
        <v>53067.934399999998</v>
      </c>
      <c r="X755" s="52">
        <f t="shared" si="165"/>
        <v>0</v>
      </c>
      <c r="Y755" s="52">
        <f t="shared" si="165"/>
        <v>0</v>
      </c>
      <c r="Z755" s="195">
        <f t="shared" si="165"/>
        <v>53067.934399999998</v>
      </c>
    </row>
    <row r="756" spans="1:26" s="236" customFormat="1" x14ac:dyDescent="0.2">
      <c r="A756" s="50"/>
      <c r="B756" s="51"/>
      <c r="C756" s="241">
        <f t="shared" si="162"/>
        <v>0</v>
      </c>
      <c r="D756" s="51"/>
      <c r="E756" s="51"/>
      <c r="F756" s="51"/>
      <c r="G756" s="51"/>
      <c r="H756" s="51"/>
      <c r="I756" s="73"/>
      <c r="J756" s="51" t="s">
        <v>1038</v>
      </c>
      <c r="K756" s="52"/>
      <c r="L756" s="52">
        <f t="shared" si="156"/>
        <v>0</v>
      </c>
      <c r="M756" s="52">
        <f t="shared" si="163"/>
        <v>0</v>
      </c>
      <c r="N756" s="743">
        <f t="shared" si="157"/>
        <v>0</v>
      </c>
      <c r="O756" s="52"/>
      <c r="P756" s="52">
        <f t="shared" si="164"/>
        <v>0</v>
      </c>
      <c r="Q756" s="52">
        <f t="shared" si="160"/>
        <v>0</v>
      </c>
      <c r="R756" s="52">
        <f t="shared" si="160"/>
        <v>0</v>
      </c>
      <c r="S756" s="52">
        <f t="shared" si="159"/>
        <v>0</v>
      </c>
      <c r="T756" s="52">
        <f t="shared" si="165"/>
        <v>0</v>
      </c>
      <c r="U756" s="52">
        <f t="shared" si="165"/>
        <v>0</v>
      </c>
      <c r="V756" s="52">
        <f t="shared" si="165"/>
        <v>0</v>
      </c>
      <c r="W756" s="52">
        <f t="shared" si="165"/>
        <v>0</v>
      </c>
      <c r="X756" s="52">
        <f t="shared" si="165"/>
        <v>0</v>
      </c>
      <c r="Y756" s="52">
        <f t="shared" si="165"/>
        <v>0</v>
      </c>
      <c r="Z756" s="195">
        <f t="shared" si="165"/>
        <v>0</v>
      </c>
    </row>
    <row r="757" spans="1:26" s="236" customFormat="1" x14ac:dyDescent="0.2">
      <c r="A757" s="50"/>
      <c r="B757" s="51"/>
      <c r="C757" s="241">
        <f t="shared" si="162"/>
        <v>0</v>
      </c>
      <c r="D757" s="51"/>
      <c r="E757" s="51"/>
      <c r="F757" s="51"/>
      <c r="G757" s="51"/>
      <c r="H757" s="51"/>
      <c r="I757" s="73"/>
      <c r="J757" s="51" t="s">
        <v>1033</v>
      </c>
      <c r="K757" s="52"/>
      <c r="L757" s="52">
        <f t="shared" si="156"/>
        <v>0</v>
      </c>
      <c r="M757" s="52">
        <f t="shared" si="163"/>
        <v>0</v>
      </c>
      <c r="N757" s="743">
        <f t="shared" si="157"/>
        <v>0</v>
      </c>
      <c r="O757" s="52"/>
      <c r="P757" s="52">
        <f t="shared" si="164"/>
        <v>0</v>
      </c>
      <c r="Q757" s="52">
        <f t="shared" si="160"/>
        <v>0</v>
      </c>
      <c r="R757" s="52">
        <f t="shared" si="160"/>
        <v>0</v>
      </c>
      <c r="S757" s="52">
        <f t="shared" si="159"/>
        <v>0</v>
      </c>
      <c r="T757" s="52">
        <f t="shared" si="165"/>
        <v>0</v>
      </c>
      <c r="U757" s="52">
        <f t="shared" si="165"/>
        <v>0</v>
      </c>
      <c r="V757" s="52">
        <f t="shared" si="165"/>
        <v>0</v>
      </c>
      <c r="W757" s="52">
        <f t="shared" si="165"/>
        <v>0</v>
      </c>
      <c r="X757" s="52">
        <f t="shared" si="165"/>
        <v>0</v>
      </c>
      <c r="Y757" s="52">
        <f t="shared" si="165"/>
        <v>0</v>
      </c>
      <c r="Z757" s="195">
        <f t="shared" si="165"/>
        <v>0</v>
      </c>
    </row>
    <row r="758" spans="1:26" s="236" customFormat="1" x14ac:dyDescent="0.2">
      <c r="A758" s="50"/>
      <c r="B758" s="51"/>
      <c r="C758" s="241">
        <f t="shared" si="162"/>
        <v>0</v>
      </c>
      <c r="D758" s="51"/>
      <c r="E758" s="51"/>
      <c r="F758" s="51"/>
      <c r="G758" s="51"/>
      <c r="H758" s="51"/>
      <c r="I758" s="73"/>
      <c r="J758" s="51" t="s">
        <v>1007</v>
      </c>
      <c r="K758" s="52"/>
      <c r="L758" s="52">
        <f t="shared" si="156"/>
        <v>0</v>
      </c>
      <c r="M758" s="52">
        <f t="shared" si="163"/>
        <v>0</v>
      </c>
      <c r="N758" s="743">
        <f t="shared" si="157"/>
        <v>0</v>
      </c>
      <c r="O758" s="52"/>
      <c r="P758" s="52">
        <f t="shared" si="164"/>
        <v>0</v>
      </c>
      <c r="Q758" s="52">
        <f t="shared" si="160"/>
        <v>0</v>
      </c>
      <c r="R758" s="52">
        <f t="shared" si="160"/>
        <v>0</v>
      </c>
      <c r="S758" s="52">
        <f t="shared" si="159"/>
        <v>0</v>
      </c>
      <c r="T758" s="52">
        <f t="shared" si="165"/>
        <v>0</v>
      </c>
      <c r="U758" s="52">
        <f t="shared" si="165"/>
        <v>0</v>
      </c>
      <c r="V758" s="52">
        <f t="shared" si="165"/>
        <v>0</v>
      </c>
      <c r="W758" s="52">
        <f t="shared" si="165"/>
        <v>0</v>
      </c>
      <c r="X758" s="52">
        <f t="shared" si="165"/>
        <v>0</v>
      </c>
      <c r="Y758" s="52">
        <f t="shared" si="165"/>
        <v>0</v>
      </c>
      <c r="Z758" s="195">
        <f t="shared" si="165"/>
        <v>0</v>
      </c>
    </row>
    <row r="759" spans="1:26" s="236" customFormat="1" x14ac:dyDescent="0.2">
      <c r="A759" s="50"/>
      <c r="B759" s="51"/>
      <c r="C759" s="241">
        <f t="shared" si="162"/>
        <v>0</v>
      </c>
      <c r="D759" s="51"/>
      <c r="E759" s="51"/>
      <c r="F759" s="51"/>
      <c r="G759" s="51"/>
      <c r="H759" s="51"/>
      <c r="I759" s="73"/>
      <c r="J759" s="51" t="s">
        <v>969</v>
      </c>
      <c r="K759" s="52"/>
      <c r="L759" s="52">
        <f t="shared" si="156"/>
        <v>0</v>
      </c>
      <c r="M759" s="52">
        <f t="shared" si="163"/>
        <v>0</v>
      </c>
      <c r="N759" s="743">
        <f t="shared" si="157"/>
        <v>0</v>
      </c>
      <c r="O759" s="52"/>
      <c r="P759" s="52">
        <f t="shared" si="164"/>
        <v>0</v>
      </c>
      <c r="Q759" s="52">
        <f t="shared" si="160"/>
        <v>0</v>
      </c>
      <c r="R759" s="52">
        <f t="shared" si="160"/>
        <v>0</v>
      </c>
      <c r="S759" s="52">
        <f t="shared" si="159"/>
        <v>0</v>
      </c>
      <c r="T759" s="52">
        <f t="shared" si="165"/>
        <v>0</v>
      </c>
      <c r="U759" s="52">
        <f t="shared" si="165"/>
        <v>0</v>
      </c>
      <c r="V759" s="52">
        <f t="shared" si="165"/>
        <v>0</v>
      </c>
      <c r="W759" s="52">
        <f t="shared" si="165"/>
        <v>0</v>
      </c>
      <c r="X759" s="52">
        <f t="shared" si="165"/>
        <v>0</v>
      </c>
      <c r="Y759" s="52">
        <f t="shared" si="165"/>
        <v>0</v>
      </c>
      <c r="Z759" s="195">
        <f t="shared" si="165"/>
        <v>0</v>
      </c>
    </row>
    <row r="760" spans="1:26" s="236" customFormat="1" x14ac:dyDescent="0.2">
      <c r="A760" s="50"/>
      <c r="B760" s="51"/>
      <c r="C760" s="241">
        <f t="shared" si="162"/>
        <v>0</v>
      </c>
      <c r="D760" s="51"/>
      <c r="E760" s="51"/>
      <c r="F760" s="51"/>
      <c r="G760" s="51"/>
      <c r="H760" s="51"/>
      <c r="I760" s="73"/>
      <c r="J760" s="51" t="s">
        <v>987</v>
      </c>
      <c r="K760" s="52"/>
      <c r="L760" s="52">
        <f t="shared" si="156"/>
        <v>0</v>
      </c>
      <c r="M760" s="52">
        <f t="shared" si="163"/>
        <v>0</v>
      </c>
      <c r="N760" s="743">
        <f t="shared" si="157"/>
        <v>0</v>
      </c>
      <c r="O760" s="52"/>
      <c r="P760" s="52">
        <f t="shared" si="164"/>
        <v>0</v>
      </c>
      <c r="Q760" s="52">
        <f t="shared" si="160"/>
        <v>0</v>
      </c>
      <c r="R760" s="52">
        <f t="shared" si="160"/>
        <v>0</v>
      </c>
      <c r="S760" s="52">
        <f t="shared" si="159"/>
        <v>0</v>
      </c>
      <c r="T760" s="52">
        <f t="shared" si="165"/>
        <v>0</v>
      </c>
      <c r="U760" s="52">
        <f t="shared" si="165"/>
        <v>0</v>
      </c>
      <c r="V760" s="52">
        <f t="shared" si="165"/>
        <v>0</v>
      </c>
      <c r="W760" s="52">
        <f t="shared" si="165"/>
        <v>0</v>
      </c>
      <c r="X760" s="52">
        <f t="shared" si="165"/>
        <v>0</v>
      </c>
      <c r="Y760" s="52">
        <f t="shared" si="165"/>
        <v>0</v>
      </c>
      <c r="Z760" s="195">
        <f t="shared" si="165"/>
        <v>0</v>
      </c>
    </row>
    <row r="761" spans="1:26" s="236" customFormat="1" x14ac:dyDescent="0.2">
      <c r="A761" s="50"/>
      <c r="B761" s="51"/>
      <c r="C761" s="241">
        <f t="shared" si="162"/>
        <v>0</v>
      </c>
      <c r="D761" s="51"/>
      <c r="E761" s="51"/>
      <c r="F761" s="51"/>
      <c r="G761" s="51"/>
      <c r="H761" s="51"/>
      <c r="I761" s="73"/>
      <c r="J761" s="51" t="s">
        <v>1000</v>
      </c>
      <c r="K761" s="52"/>
      <c r="L761" s="52">
        <f t="shared" si="156"/>
        <v>0</v>
      </c>
      <c r="M761" s="52">
        <f t="shared" si="163"/>
        <v>0</v>
      </c>
      <c r="N761" s="743">
        <f t="shared" si="157"/>
        <v>0</v>
      </c>
      <c r="O761" s="52"/>
      <c r="P761" s="52">
        <f t="shared" si="164"/>
        <v>0</v>
      </c>
      <c r="Q761" s="52">
        <f t="shared" si="160"/>
        <v>0</v>
      </c>
      <c r="R761" s="52">
        <f t="shared" si="160"/>
        <v>0</v>
      </c>
      <c r="S761" s="52">
        <f t="shared" si="159"/>
        <v>0</v>
      </c>
      <c r="T761" s="52">
        <f t="shared" si="165"/>
        <v>0</v>
      </c>
      <c r="U761" s="52">
        <f t="shared" si="165"/>
        <v>0</v>
      </c>
      <c r="V761" s="52">
        <f t="shared" si="165"/>
        <v>0</v>
      </c>
      <c r="W761" s="52">
        <f t="shared" si="165"/>
        <v>0</v>
      </c>
      <c r="X761" s="52">
        <f t="shared" si="165"/>
        <v>0</v>
      </c>
      <c r="Y761" s="52">
        <f t="shared" si="165"/>
        <v>0</v>
      </c>
      <c r="Z761" s="195">
        <f t="shared" si="165"/>
        <v>0</v>
      </c>
    </row>
    <row r="762" spans="1:26" s="236" customFormat="1" x14ac:dyDescent="0.2">
      <c r="A762" s="50"/>
      <c r="B762" s="51"/>
      <c r="C762" s="241">
        <f t="shared" si="162"/>
        <v>0</v>
      </c>
      <c r="D762" s="51"/>
      <c r="E762" s="51"/>
      <c r="F762" s="51"/>
      <c r="G762" s="51"/>
      <c r="H762" s="51"/>
      <c r="I762" s="73"/>
      <c r="J762" s="51" t="s">
        <v>116</v>
      </c>
      <c r="K762" s="52"/>
      <c r="L762" s="52">
        <f t="shared" si="156"/>
        <v>0</v>
      </c>
      <c r="M762" s="52">
        <f t="shared" si="163"/>
        <v>0</v>
      </c>
      <c r="N762" s="743">
        <f t="shared" si="157"/>
        <v>0</v>
      </c>
      <c r="O762" s="52"/>
      <c r="P762" s="52">
        <f t="shared" si="164"/>
        <v>0</v>
      </c>
      <c r="Q762" s="52">
        <f t="shared" ref="Q762:R781" si="166">SUMIFS(Q$27:Q$615,$J$27:$J$615,$J762,$H$27:$H$615,"1")</f>
        <v>0</v>
      </c>
      <c r="R762" s="52">
        <f t="shared" si="166"/>
        <v>0</v>
      </c>
      <c r="S762" s="52">
        <f t="shared" si="159"/>
        <v>0</v>
      </c>
      <c r="T762" s="52">
        <f t="shared" si="165"/>
        <v>0</v>
      </c>
      <c r="U762" s="52">
        <f t="shared" si="165"/>
        <v>0</v>
      </c>
      <c r="V762" s="52">
        <f t="shared" si="165"/>
        <v>0</v>
      </c>
      <c r="W762" s="52">
        <f t="shared" si="165"/>
        <v>0</v>
      </c>
      <c r="X762" s="52">
        <f t="shared" si="165"/>
        <v>0</v>
      </c>
      <c r="Y762" s="52">
        <f t="shared" si="165"/>
        <v>0</v>
      </c>
      <c r="Z762" s="195">
        <f t="shared" si="165"/>
        <v>0</v>
      </c>
    </row>
    <row r="763" spans="1:26" s="236" customFormat="1" x14ac:dyDescent="0.2">
      <c r="A763" s="50"/>
      <c r="B763" s="51"/>
      <c r="C763" s="241">
        <f t="shared" si="162"/>
        <v>0</v>
      </c>
      <c r="D763" s="51"/>
      <c r="E763" s="51"/>
      <c r="F763" s="51"/>
      <c r="G763" s="51"/>
      <c r="H763" s="51"/>
      <c r="I763" s="73"/>
      <c r="J763" s="51" t="s">
        <v>114</v>
      </c>
      <c r="K763" s="52"/>
      <c r="L763" s="52">
        <f t="shared" si="156"/>
        <v>0</v>
      </c>
      <c r="M763" s="52">
        <f t="shared" si="163"/>
        <v>0</v>
      </c>
      <c r="N763" s="743">
        <f t="shared" si="157"/>
        <v>0</v>
      </c>
      <c r="O763" s="52"/>
      <c r="P763" s="52">
        <f t="shared" si="164"/>
        <v>0</v>
      </c>
      <c r="Q763" s="52">
        <f t="shared" si="166"/>
        <v>0</v>
      </c>
      <c r="R763" s="52">
        <f t="shared" si="166"/>
        <v>0</v>
      </c>
      <c r="S763" s="52">
        <f t="shared" si="159"/>
        <v>0</v>
      </c>
      <c r="T763" s="52">
        <f t="shared" si="165"/>
        <v>0</v>
      </c>
      <c r="U763" s="52">
        <f t="shared" si="165"/>
        <v>0</v>
      </c>
      <c r="V763" s="52">
        <f t="shared" si="165"/>
        <v>0</v>
      </c>
      <c r="W763" s="52">
        <f t="shared" si="165"/>
        <v>0</v>
      </c>
      <c r="X763" s="52">
        <f t="shared" si="165"/>
        <v>0</v>
      </c>
      <c r="Y763" s="52">
        <f t="shared" si="165"/>
        <v>0</v>
      </c>
      <c r="Z763" s="195">
        <f t="shared" si="165"/>
        <v>0</v>
      </c>
    </row>
    <row r="764" spans="1:26" s="236" customFormat="1" x14ac:dyDescent="0.2">
      <c r="A764" s="50"/>
      <c r="B764" s="51"/>
      <c r="C764" s="241">
        <f t="shared" si="162"/>
        <v>0</v>
      </c>
      <c r="D764" s="51"/>
      <c r="E764" s="51"/>
      <c r="F764" s="51"/>
      <c r="G764" s="51"/>
      <c r="H764" s="51"/>
      <c r="I764" s="73"/>
      <c r="J764" s="51" t="s">
        <v>111</v>
      </c>
      <c r="K764" s="52"/>
      <c r="L764" s="52">
        <f t="shared" si="156"/>
        <v>0</v>
      </c>
      <c r="M764" s="52">
        <f t="shared" si="163"/>
        <v>0</v>
      </c>
      <c r="N764" s="743">
        <f t="shared" si="157"/>
        <v>0</v>
      </c>
      <c r="O764" s="52"/>
      <c r="P764" s="52">
        <f t="shared" si="164"/>
        <v>0</v>
      </c>
      <c r="Q764" s="52">
        <f t="shared" si="166"/>
        <v>0</v>
      </c>
      <c r="R764" s="52">
        <f t="shared" si="166"/>
        <v>0</v>
      </c>
      <c r="S764" s="52">
        <f t="shared" si="159"/>
        <v>0</v>
      </c>
      <c r="T764" s="52">
        <f t="shared" si="165"/>
        <v>0</v>
      </c>
      <c r="U764" s="52">
        <f t="shared" si="165"/>
        <v>0</v>
      </c>
      <c r="V764" s="52">
        <f t="shared" si="165"/>
        <v>0</v>
      </c>
      <c r="W764" s="52">
        <f t="shared" si="165"/>
        <v>0</v>
      </c>
      <c r="X764" s="52">
        <f t="shared" si="165"/>
        <v>0</v>
      </c>
      <c r="Y764" s="52">
        <f t="shared" si="165"/>
        <v>0</v>
      </c>
      <c r="Z764" s="195">
        <f t="shared" si="165"/>
        <v>0</v>
      </c>
    </row>
    <row r="765" spans="1:26" s="236" customFormat="1" x14ac:dyDescent="0.2">
      <c r="A765" s="50"/>
      <c r="B765" s="51"/>
      <c r="C765" s="241">
        <f t="shared" si="162"/>
        <v>0</v>
      </c>
      <c r="D765" s="51"/>
      <c r="E765" s="51"/>
      <c r="F765" s="51"/>
      <c r="G765" s="51"/>
      <c r="H765" s="51"/>
      <c r="I765" s="73"/>
      <c r="J765" s="51" t="s">
        <v>117</v>
      </c>
      <c r="K765" s="52"/>
      <c r="L765" s="52">
        <f t="shared" si="156"/>
        <v>0</v>
      </c>
      <c r="M765" s="52">
        <f t="shared" si="163"/>
        <v>0</v>
      </c>
      <c r="N765" s="743">
        <f t="shared" si="157"/>
        <v>0</v>
      </c>
      <c r="O765" s="52"/>
      <c r="P765" s="52">
        <f t="shared" si="164"/>
        <v>0</v>
      </c>
      <c r="Q765" s="52">
        <f t="shared" si="166"/>
        <v>0</v>
      </c>
      <c r="R765" s="52">
        <f t="shared" si="166"/>
        <v>0</v>
      </c>
      <c r="S765" s="52">
        <f t="shared" si="159"/>
        <v>0</v>
      </c>
      <c r="T765" s="52">
        <f t="shared" ref="T765:Z774" si="167">SUMIFS(T$27:T$615,$J$27:$J$615,$J765,$H$27:$H$615,"1")</f>
        <v>0</v>
      </c>
      <c r="U765" s="52">
        <f t="shared" si="167"/>
        <v>0</v>
      </c>
      <c r="V765" s="52">
        <f t="shared" si="167"/>
        <v>0</v>
      </c>
      <c r="W765" s="52">
        <f t="shared" si="167"/>
        <v>0</v>
      </c>
      <c r="X765" s="52">
        <f t="shared" si="167"/>
        <v>0</v>
      </c>
      <c r="Y765" s="52">
        <f t="shared" si="167"/>
        <v>0</v>
      </c>
      <c r="Z765" s="195">
        <f t="shared" si="167"/>
        <v>0</v>
      </c>
    </row>
    <row r="766" spans="1:26" s="236" customFormat="1" x14ac:dyDescent="0.2">
      <c r="A766" s="50"/>
      <c r="B766" s="51"/>
      <c r="C766" s="241">
        <f t="shared" si="162"/>
        <v>0</v>
      </c>
      <c r="D766" s="51"/>
      <c r="E766" s="51"/>
      <c r="F766" s="51"/>
      <c r="G766" s="51"/>
      <c r="H766" s="51"/>
      <c r="I766" s="73"/>
      <c r="J766" s="51" t="s">
        <v>112</v>
      </c>
      <c r="K766" s="52"/>
      <c r="L766" s="52">
        <f t="shared" ref="L766:L797" si="168">SUMIFS(L$27:L$615,$J$27:$J$615,$J766,$H$27:$H$615,"1")</f>
        <v>0</v>
      </c>
      <c r="M766" s="52">
        <f t="shared" si="163"/>
        <v>0</v>
      </c>
      <c r="N766" s="743">
        <f t="shared" ref="N766:N797" si="169">SUMIFS(N$27:N$615,$J$27:$J$615,$J766,$H$27:$H$615,"1")</f>
        <v>0</v>
      </c>
      <c r="O766" s="52"/>
      <c r="P766" s="52">
        <f t="shared" si="164"/>
        <v>0</v>
      </c>
      <c r="Q766" s="52">
        <f t="shared" si="166"/>
        <v>0</v>
      </c>
      <c r="R766" s="52">
        <f t="shared" si="166"/>
        <v>0</v>
      </c>
      <c r="S766" s="52">
        <f t="shared" si="159"/>
        <v>0</v>
      </c>
      <c r="T766" s="52">
        <f t="shared" si="167"/>
        <v>0</v>
      </c>
      <c r="U766" s="52">
        <f t="shared" si="167"/>
        <v>0</v>
      </c>
      <c r="V766" s="52">
        <f t="shared" si="167"/>
        <v>0</v>
      </c>
      <c r="W766" s="52">
        <f t="shared" si="167"/>
        <v>0</v>
      </c>
      <c r="X766" s="52">
        <f t="shared" si="167"/>
        <v>0</v>
      </c>
      <c r="Y766" s="52">
        <f t="shared" si="167"/>
        <v>0</v>
      </c>
      <c r="Z766" s="195">
        <f t="shared" si="167"/>
        <v>0</v>
      </c>
    </row>
    <row r="767" spans="1:26" s="236" customFormat="1" x14ac:dyDescent="0.2">
      <c r="A767" s="50"/>
      <c r="B767" s="51"/>
      <c r="C767" s="241">
        <f t="shared" si="162"/>
        <v>0</v>
      </c>
      <c r="D767" s="51"/>
      <c r="E767" s="51"/>
      <c r="F767" s="51"/>
      <c r="G767" s="51"/>
      <c r="H767" s="51"/>
      <c r="I767" s="73"/>
      <c r="J767" s="51" t="s">
        <v>136</v>
      </c>
      <c r="K767" s="52"/>
      <c r="L767" s="52">
        <f t="shared" si="168"/>
        <v>0</v>
      </c>
      <c r="M767" s="52">
        <f t="shared" si="163"/>
        <v>0</v>
      </c>
      <c r="N767" s="743">
        <f t="shared" si="169"/>
        <v>0</v>
      </c>
      <c r="O767" s="52"/>
      <c r="P767" s="52">
        <f t="shared" si="164"/>
        <v>0</v>
      </c>
      <c r="Q767" s="52">
        <f t="shared" si="166"/>
        <v>0</v>
      </c>
      <c r="R767" s="52">
        <f t="shared" si="166"/>
        <v>0</v>
      </c>
      <c r="S767" s="52">
        <f t="shared" si="159"/>
        <v>0</v>
      </c>
      <c r="T767" s="52">
        <f t="shared" si="167"/>
        <v>0</v>
      </c>
      <c r="U767" s="52">
        <f t="shared" si="167"/>
        <v>0</v>
      </c>
      <c r="V767" s="52">
        <f t="shared" si="167"/>
        <v>0</v>
      </c>
      <c r="W767" s="52">
        <f t="shared" si="167"/>
        <v>0</v>
      </c>
      <c r="X767" s="52">
        <f t="shared" si="167"/>
        <v>0</v>
      </c>
      <c r="Y767" s="52">
        <f t="shared" si="167"/>
        <v>0</v>
      </c>
      <c r="Z767" s="195">
        <f t="shared" si="167"/>
        <v>0</v>
      </c>
    </row>
    <row r="768" spans="1:26" s="236" customFormat="1" x14ac:dyDescent="0.2">
      <c r="A768" s="50"/>
      <c r="B768" s="51"/>
      <c r="C768" s="241">
        <f t="shared" si="162"/>
        <v>0</v>
      </c>
      <c r="D768" s="51"/>
      <c r="E768" s="51"/>
      <c r="F768" s="51"/>
      <c r="G768" s="51"/>
      <c r="H768" s="51"/>
      <c r="I768" s="73"/>
      <c r="J768" s="51" t="s">
        <v>962</v>
      </c>
      <c r="K768" s="52"/>
      <c r="L768" s="52">
        <f t="shared" si="168"/>
        <v>0</v>
      </c>
      <c r="M768" s="52">
        <f t="shared" si="163"/>
        <v>0</v>
      </c>
      <c r="N768" s="743">
        <f t="shared" si="169"/>
        <v>0</v>
      </c>
      <c r="O768" s="52"/>
      <c r="P768" s="52">
        <f t="shared" si="164"/>
        <v>0</v>
      </c>
      <c r="Q768" s="52">
        <f t="shared" si="166"/>
        <v>0</v>
      </c>
      <c r="R768" s="52">
        <f t="shared" si="166"/>
        <v>0</v>
      </c>
      <c r="S768" s="52">
        <f t="shared" si="159"/>
        <v>0</v>
      </c>
      <c r="T768" s="52">
        <f t="shared" si="167"/>
        <v>0</v>
      </c>
      <c r="U768" s="52">
        <f t="shared" si="167"/>
        <v>0</v>
      </c>
      <c r="V768" s="52">
        <f t="shared" si="167"/>
        <v>0</v>
      </c>
      <c r="W768" s="52">
        <f t="shared" si="167"/>
        <v>0</v>
      </c>
      <c r="X768" s="52">
        <f t="shared" si="167"/>
        <v>0</v>
      </c>
      <c r="Y768" s="52">
        <f t="shared" si="167"/>
        <v>0</v>
      </c>
      <c r="Z768" s="195">
        <f t="shared" si="167"/>
        <v>0</v>
      </c>
    </row>
    <row r="769" spans="1:26" s="236" customFormat="1" x14ac:dyDescent="0.2">
      <c r="A769" s="50"/>
      <c r="B769" s="51"/>
      <c r="C769" s="241">
        <f t="shared" si="162"/>
        <v>0</v>
      </c>
      <c r="D769" s="51"/>
      <c r="E769" s="51"/>
      <c r="F769" s="51"/>
      <c r="G769" s="51"/>
      <c r="H769" s="51"/>
      <c r="I769" s="73"/>
      <c r="J769" s="51" t="s">
        <v>115</v>
      </c>
      <c r="K769" s="52"/>
      <c r="L769" s="52">
        <f t="shared" si="168"/>
        <v>0</v>
      </c>
      <c r="M769" s="52">
        <f t="shared" si="163"/>
        <v>0</v>
      </c>
      <c r="N769" s="743">
        <f t="shared" si="169"/>
        <v>0</v>
      </c>
      <c r="O769" s="52"/>
      <c r="P769" s="52">
        <f t="shared" si="164"/>
        <v>0</v>
      </c>
      <c r="Q769" s="52">
        <f t="shared" si="166"/>
        <v>0</v>
      </c>
      <c r="R769" s="52">
        <f t="shared" si="166"/>
        <v>0</v>
      </c>
      <c r="S769" s="52">
        <f t="shared" si="159"/>
        <v>0</v>
      </c>
      <c r="T769" s="52">
        <f t="shared" si="167"/>
        <v>0</v>
      </c>
      <c r="U769" s="52">
        <f t="shared" si="167"/>
        <v>0</v>
      </c>
      <c r="V769" s="52">
        <f t="shared" si="167"/>
        <v>0</v>
      </c>
      <c r="W769" s="52">
        <f t="shared" si="167"/>
        <v>0</v>
      </c>
      <c r="X769" s="52">
        <f t="shared" si="167"/>
        <v>0</v>
      </c>
      <c r="Y769" s="52">
        <f t="shared" si="167"/>
        <v>0</v>
      </c>
      <c r="Z769" s="195">
        <f t="shared" si="167"/>
        <v>0</v>
      </c>
    </row>
    <row r="770" spans="1:26" s="236" customFormat="1" x14ac:dyDescent="0.2">
      <c r="A770" s="50"/>
      <c r="B770" s="51"/>
      <c r="C770" s="241">
        <f t="shared" si="162"/>
        <v>0</v>
      </c>
      <c r="D770" s="51"/>
      <c r="E770" s="51"/>
      <c r="F770" s="51"/>
      <c r="G770" s="51"/>
      <c r="H770" s="51"/>
      <c r="I770" s="73"/>
      <c r="J770" s="51" t="s">
        <v>997</v>
      </c>
      <c r="K770" s="52"/>
      <c r="L770" s="52">
        <f t="shared" si="168"/>
        <v>0</v>
      </c>
      <c r="M770" s="52">
        <f t="shared" si="163"/>
        <v>0</v>
      </c>
      <c r="N770" s="743">
        <f t="shared" si="169"/>
        <v>0</v>
      </c>
      <c r="O770" s="52"/>
      <c r="P770" s="52">
        <f t="shared" si="164"/>
        <v>0</v>
      </c>
      <c r="Q770" s="52">
        <f t="shared" si="166"/>
        <v>0</v>
      </c>
      <c r="R770" s="52">
        <f t="shared" si="166"/>
        <v>0</v>
      </c>
      <c r="S770" s="52">
        <f t="shared" si="159"/>
        <v>0</v>
      </c>
      <c r="T770" s="52">
        <f t="shared" si="167"/>
        <v>0</v>
      </c>
      <c r="U770" s="52">
        <f t="shared" si="167"/>
        <v>0</v>
      </c>
      <c r="V770" s="52">
        <f t="shared" si="167"/>
        <v>0</v>
      </c>
      <c r="W770" s="52">
        <f t="shared" si="167"/>
        <v>0</v>
      </c>
      <c r="X770" s="52">
        <f t="shared" si="167"/>
        <v>0</v>
      </c>
      <c r="Y770" s="52">
        <f t="shared" si="167"/>
        <v>0</v>
      </c>
      <c r="Z770" s="195">
        <f t="shared" si="167"/>
        <v>0</v>
      </c>
    </row>
    <row r="771" spans="1:26" s="236" customFormat="1" x14ac:dyDescent="0.2">
      <c r="A771" s="50"/>
      <c r="B771" s="51"/>
      <c r="C771" s="241">
        <f t="shared" si="162"/>
        <v>0</v>
      </c>
      <c r="D771" s="51"/>
      <c r="E771" s="51"/>
      <c r="F771" s="51"/>
      <c r="G771" s="51"/>
      <c r="H771" s="51"/>
      <c r="I771" s="73"/>
      <c r="J771" s="51" t="s">
        <v>999</v>
      </c>
      <c r="K771" s="52"/>
      <c r="L771" s="52">
        <f t="shared" si="168"/>
        <v>0</v>
      </c>
      <c r="M771" s="52">
        <f t="shared" si="163"/>
        <v>0</v>
      </c>
      <c r="N771" s="743">
        <f t="shared" si="169"/>
        <v>0</v>
      </c>
      <c r="O771" s="52"/>
      <c r="P771" s="52">
        <f t="shared" si="164"/>
        <v>0</v>
      </c>
      <c r="Q771" s="52">
        <f t="shared" si="166"/>
        <v>0</v>
      </c>
      <c r="R771" s="52">
        <f t="shared" si="166"/>
        <v>0</v>
      </c>
      <c r="S771" s="52">
        <f t="shared" ref="S771:S802" si="170">SUMIFS(S$27:S$615,$J$27:$J$615,$J771,$H$27:$H$615,"1")</f>
        <v>0</v>
      </c>
      <c r="T771" s="52">
        <f t="shared" si="167"/>
        <v>0</v>
      </c>
      <c r="U771" s="52">
        <f t="shared" si="167"/>
        <v>0</v>
      </c>
      <c r="V771" s="52">
        <f t="shared" si="167"/>
        <v>0</v>
      </c>
      <c r="W771" s="52">
        <f t="shared" si="167"/>
        <v>0</v>
      </c>
      <c r="X771" s="52">
        <f t="shared" si="167"/>
        <v>0</v>
      </c>
      <c r="Y771" s="52">
        <f t="shared" si="167"/>
        <v>0</v>
      </c>
      <c r="Z771" s="195">
        <f t="shared" si="167"/>
        <v>0</v>
      </c>
    </row>
    <row r="772" spans="1:26" s="236" customFormat="1" x14ac:dyDescent="0.2">
      <c r="A772" s="50"/>
      <c r="B772" s="51"/>
      <c r="C772" s="241">
        <f t="shared" si="162"/>
        <v>0</v>
      </c>
      <c r="D772" s="51"/>
      <c r="E772" s="51"/>
      <c r="F772" s="51"/>
      <c r="G772" s="51"/>
      <c r="H772" s="51"/>
      <c r="I772" s="73"/>
      <c r="J772" s="51" t="s">
        <v>1049</v>
      </c>
      <c r="K772" s="52"/>
      <c r="L772" s="52">
        <f t="shared" si="168"/>
        <v>12480</v>
      </c>
      <c r="M772" s="52">
        <f t="shared" si="163"/>
        <v>0</v>
      </c>
      <c r="N772" s="743">
        <f t="shared" si="169"/>
        <v>56052.048000000003</v>
      </c>
      <c r="O772" s="52"/>
      <c r="P772" s="52">
        <f t="shared" si="164"/>
        <v>0</v>
      </c>
      <c r="Q772" s="52">
        <f t="shared" si="166"/>
        <v>18581.253912</v>
      </c>
      <c r="R772" s="52">
        <f t="shared" si="166"/>
        <v>812.75469600000008</v>
      </c>
      <c r="S772" s="52">
        <f t="shared" si="170"/>
        <v>0</v>
      </c>
      <c r="T772" s="52">
        <f t="shared" si="167"/>
        <v>0</v>
      </c>
      <c r="U772" s="52">
        <f t="shared" si="167"/>
        <v>0</v>
      </c>
      <c r="V772" s="52">
        <f t="shared" si="167"/>
        <v>0</v>
      </c>
      <c r="W772" s="52">
        <f t="shared" si="167"/>
        <v>75446.056608000014</v>
      </c>
      <c r="X772" s="52">
        <f t="shared" si="167"/>
        <v>0</v>
      </c>
      <c r="Y772" s="52">
        <f t="shared" si="167"/>
        <v>0</v>
      </c>
      <c r="Z772" s="195">
        <f t="shared" si="167"/>
        <v>75446.056608000014</v>
      </c>
    </row>
    <row r="773" spans="1:26" s="236" customFormat="1" x14ac:dyDescent="0.2">
      <c r="A773" s="50"/>
      <c r="B773" s="51"/>
      <c r="C773" s="241"/>
      <c r="D773" s="51"/>
      <c r="E773" s="51"/>
      <c r="F773" s="51"/>
      <c r="G773" s="51"/>
      <c r="H773" s="51"/>
      <c r="I773" s="73"/>
      <c r="J773" s="51" t="s">
        <v>1797</v>
      </c>
      <c r="K773" s="52"/>
      <c r="L773" s="52">
        <f t="shared" si="168"/>
        <v>2080</v>
      </c>
      <c r="M773" s="52">
        <f t="shared" si="163"/>
        <v>0</v>
      </c>
      <c r="N773" s="743">
        <f t="shared" si="169"/>
        <v>672.46399999999994</v>
      </c>
      <c r="O773" s="52"/>
      <c r="P773" s="52">
        <f t="shared" si="164"/>
        <v>0</v>
      </c>
      <c r="Q773" s="52">
        <f t="shared" si="166"/>
        <v>222.92181599999998</v>
      </c>
      <c r="R773" s="52">
        <f t="shared" si="166"/>
        <v>9.7507280000000005</v>
      </c>
      <c r="S773" s="52">
        <f t="shared" si="170"/>
        <v>0</v>
      </c>
      <c r="T773" s="52">
        <f t="shared" si="167"/>
        <v>0</v>
      </c>
      <c r="U773" s="52">
        <f t="shared" si="167"/>
        <v>0</v>
      </c>
      <c r="V773" s="52">
        <f t="shared" si="167"/>
        <v>0</v>
      </c>
      <c r="W773" s="52">
        <f t="shared" si="167"/>
        <v>905.13654399999996</v>
      </c>
      <c r="X773" s="52">
        <f t="shared" si="167"/>
        <v>0</v>
      </c>
      <c r="Y773" s="52">
        <f t="shared" si="167"/>
        <v>0</v>
      </c>
      <c r="Z773" s="195">
        <f t="shared" si="167"/>
        <v>905.13654399999996</v>
      </c>
    </row>
    <row r="774" spans="1:26" s="236" customFormat="1" x14ac:dyDescent="0.2">
      <c r="A774" s="50"/>
      <c r="B774" s="51"/>
      <c r="C774" s="241">
        <f t="shared" ref="C774:C805" si="171">COUNTIFS($I$27:$I$615,$I774,$H$27:$H$615,"1")</f>
        <v>0</v>
      </c>
      <c r="D774" s="51"/>
      <c r="E774" s="51"/>
      <c r="F774" s="51"/>
      <c r="G774" s="51"/>
      <c r="H774" s="51"/>
      <c r="I774" s="73"/>
      <c r="J774" s="51" t="s">
        <v>96</v>
      </c>
      <c r="K774" s="52"/>
      <c r="L774" s="52">
        <f t="shared" si="168"/>
        <v>67600</v>
      </c>
      <c r="M774" s="52">
        <f t="shared" si="163"/>
        <v>0</v>
      </c>
      <c r="N774" s="743">
        <f t="shared" si="169"/>
        <v>703942.30399999989</v>
      </c>
      <c r="O774" s="52"/>
      <c r="P774" s="52">
        <f t="shared" si="164"/>
        <v>0</v>
      </c>
      <c r="Q774" s="52">
        <f t="shared" si="166"/>
        <v>232039.55777600006</v>
      </c>
      <c r="R774" s="52">
        <f t="shared" si="166"/>
        <v>10207.163408000002</v>
      </c>
      <c r="S774" s="52">
        <f t="shared" si="170"/>
        <v>0</v>
      </c>
      <c r="T774" s="52">
        <f t="shared" si="167"/>
        <v>23689.440000000002</v>
      </c>
      <c r="U774" s="52">
        <f t="shared" si="167"/>
        <v>1383.84</v>
      </c>
      <c r="V774" s="52">
        <f t="shared" si="167"/>
        <v>0</v>
      </c>
      <c r="W774" s="52">
        <f t="shared" si="167"/>
        <v>971262.30518400017</v>
      </c>
      <c r="X774" s="52">
        <f t="shared" si="167"/>
        <v>0</v>
      </c>
      <c r="Y774" s="52">
        <f t="shared" si="167"/>
        <v>0</v>
      </c>
      <c r="Z774" s="195">
        <f t="shared" si="167"/>
        <v>971262.30518400017</v>
      </c>
    </row>
    <row r="775" spans="1:26" s="236" customFormat="1" x14ac:dyDescent="0.2">
      <c r="A775" s="50"/>
      <c r="B775" s="51"/>
      <c r="C775" s="241">
        <f t="shared" si="171"/>
        <v>0</v>
      </c>
      <c r="D775" s="51"/>
      <c r="E775" s="51"/>
      <c r="F775" s="51"/>
      <c r="G775" s="51"/>
      <c r="H775" s="51"/>
      <c r="I775" s="73"/>
      <c r="J775" s="51" t="s">
        <v>983</v>
      </c>
      <c r="K775" s="52"/>
      <c r="L775" s="52">
        <f t="shared" si="168"/>
        <v>8320</v>
      </c>
      <c r="M775" s="52">
        <f t="shared" si="163"/>
        <v>0</v>
      </c>
      <c r="N775" s="743">
        <f t="shared" si="169"/>
        <v>96858.008000000002</v>
      </c>
      <c r="O775" s="52"/>
      <c r="P775" s="52">
        <f t="shared" si="164"/>
        <v>0</v>
      </c>
      <c r="Q775" s="52">
        <f t="shared" si="166"/>
        <v>30791.113652</v>
      </c>
      <c r="R775" s="52">
        <f t="shared" si="166"/>
        <v>1404.4411160000002</v>
      </c>
      <c r="S775" s="52">
        <f t="shared" si="170"/>
        <v>0</v>
      </c>
      <c r="T775" s="52">
        <f t="shared" ref="T775:Z784" si="172">SUMIFS(T$27:T$615,$J$27:$J$615,$J775,$H$27:$H$615,"1")</f>
        <v>8367.84</v>
      </c>
      <c r="U775" s="52">
        <f t="shared" si="172"/>
        <v>935.28</v>
      </c>
      <c r="V775" s="52">
        <f t="shared" si="172"/>
        <v>0</v>
      </c>
      <c r="W775" s="52">
        <f t="shared" si="172"/>
        <v>138356.682768</v>
      </c>
      <c r="X775" s="52">
        <f t="shared" si="172"/>
        <v>0</v>
      </c>
      <c r="Y775" s="52">
        <f t="shared" si="172"/>
        <v>0</v>
      </c>
      <c r="Z775" s="195">
        <f t="shared" si="172"/>
        <v>138356.682768</v>
      </c>
    </row>
    <row r="776" spans="1:26" s="236" customFormat="1" x14ac:dyDescent="0.2">
      <c r="A776" s="50"/>
      <c r="B776" s="51"/>
      <c r="C776" s="241">
        <f t="shared" si="171"/>
        <v>0</v>
      </c>
      <c r="D776" s="51"/>
      <c r="E776" s="51"/>
      <c r="F776" s="51"/>
      <c r="G776" s="51"/>
      <c r="H776" s="51"/>
      <c r="I776" s="73"/>
      <c r="J776" s="51" t="s">
        <v>1042</v>
      </c>
      <c r="K776" s="52"/>
      <c r="L776" s="52">
        <f t="shared" si="168"/>
        <v>0</v>
      </c>
      <c r="M776" s="52">
        <f t="shared" si="163"/>
        <v>0</v>
      </c>
      <c r="N776" s="743">
        <f t="shared" si="169"/>
        <v>0</v>
      </c>
      <c r="O776" s="52"/>
      <c r="P776" s="52">
        <f t="shared" si="164"/>
        <v>0</v>
      </c>
      <c r="Q776" s="52">
        <f t="shared" si="166"/>
        <v>0</v>
      </c>
      <c r="R776" s="52">
        <f t="shared" si="166"/>
        <v>0</v>
      </c>
      <c r="S776" s="52">
        <f t="shared" si="170"/>
        <v>0</v>
      </c>
      <c r="T776" s="52">
        <f t="shared" si="172"/>
        <v>0</v>
      </c>
      <c r="U776" s="52">
        <f t="shared" si="172"/>
        <v>0</v>
      </c>
      <c r="V776" s="52">
        <f t="shared" si="172"/>
        <v>0</v>
      </c>
      <c r="W776" s="52">
        <f t="shared" si="172"/>
        <v>0</v>
      </c>
      <c r="X776" s="52">
        <f t="shared" si="172"/>
        <v>0</v>
      </c>
      <c r="Y776" s="52">
        <f t="shared" si="172"/>
        <v>0</v>
      </c>
      <c r="Z776" s="195">
        <f t="shared" si="172"/>
        <v>0</v>
      </c>
    </row>
    <row r="777" spans="1:26" s="236" customFormat="1" x14ac:dyDescent="0.2">
      <c r="A777" s="50"/>
      <c r="B777" s="51"/>
      <c r="C777" s="241">
        <f t="shared" si="171"/>
        <v>0</v>
      </c>
      <c r="D777" s="51"/>
      <c r="E777" s="51"/>
      <c r="F777" s="51"/>
      <c r="G777" s="51"/>
      <c r="H777" s="51"/>
      <c r="I777" s="73"/>
      <c r="J777" s="51" t="s">
        <v>979</v>
      </c>
      <c r="K777" s="52"/>
      <c r="L777" s="52">
        <f t="shared" si="168"/>
        <v>8320</v>
      </c>
      <c r="M777" s="52">
        <f t="shared" si="163"/>
        <v>0</v>
      </c>
      <c r="N777" s="743">
        <f t="shared" si="169"/>
        <v>8205.7921920000008</v>
      </c>
      <c r="O777" s="52"/>
      <c r="P777" s="52">
        <f t="shared" si="164"/>
        <v>0</v>
      </c>
      <c r="Q777" s="52">
        <f t="shared" si="166"/>
        <v>2720.2201116480001</v>
      </c>
      <c r="R777" s="52">
        <f t="shared" si="166"/>
        <v>118.983986784</v>
      </c>
      <c r="S777" s="52">
        <f t="shared" si="170"/>
        <v>0</v>
      </c>
      <c r="T777" s="52">
        <f t="shared" si="172"/>
        <v>0</v>
      </c>
      <c r="U777" s="52">
        <f t="shared" si="172"/>
        <v>0</v>
      </c>
      <c r="V777" s="52">
        <f t="shared" si="172"/>
        <v>0</v>
      </c>
      <c r="W777" s="52">
        <f t="shared" si="172"/>
        <v>11044.996290432002</v>
      </c>
      <c r="X777" s="52">
        <f t="shared" si="172"/>
        <v>0</v>
      </c>
      <c r="Y777" s="52">
        <f t="shared" si="172"/>
        <v>0</v>
      </c>
      <c r="Z777" s="195">
        <f t="shared" si="172"/>
        <v>11044.996290432002</v>
      </c>
    </row>
    <row r="778" spans="1:26" s="236" customFormat="1" x14ac:dyDescent="0.2">
      <c r="A778" s="50"/>
      <c r="B778" s="51"/>
      <c r="C778" s="241">
        <f t="shared" si="171"/>
        <v>0</v>
      </c>
      <c r="D778" s="51"/>
      <c r="E778" s="51"/>
      <c r="F778" s="51"/>
      <c r="G778" s="51"/>
      <c r="H778" s="51"/>
      <c r="I778" s="73"/>
      <c r="J778" s="51" t="s">
        <v>47</v>
      </c>
      <c r="K778" s="52"/>
      <c r="L778" s="52">
        <f t="shared" si="168"/>
        <v>8320</v>
      </c>
      <c r="M778" s="52">
        <f t="shared" si="163"/>
        <v>0</v>
      </c>
      <c r="N778" s="743">
        <f t="shared" si="169"/>
        <v>23804.658800000001</v>
      </c>
      <c r="O778" s="52"/>
      <c r="P778" s="52">
        <f t="shared" si="164"/>
        <v>0</v>
      </c>
      <c r="Q778" s="52">
        <f t="shared" si="166"/>
        <v>7891.2443922000002</v>
      </c>
      <c r="R778" s="52">
        <f t="shared" si="166"/>
        <v>345.16755260000008</v>
      </c>
      <c r="S778" s="52">
        <f t="shared" si="170"/>
        <v>0</v>
      </c>
      <c r="T778" s="52">
        <f t="shared" si="172"/>
        <v>0</v>
      </c>
      <c r="U778" s="52">
        <f t="shared" si="172"/>
        <v>0</v>
      </c>
      <c r="V778" s="52">
        <f t="shared" si="172"/>
        <v>0</v>
      </c>
      <c r="W778" s="52">
        <f t="shared" si="172"/>
        <v>32041.070744799999</v>
      </c>
      <c r="X778" s="52">
        <f t="shared" si="172"/>
        <v>0</v>
      </c>
      <c r="Y778" s="52">
        <f t="shared" si="172"/>
        <v>0</v>
      </c>
      <c r="Z778" s="195">
        <f t="shared" si="172"/>
        <v>32041.070744799999</v>
      </c>
    </row>
    <row r="779" spans="1:26" s="236" customFormat="1" x14ac:dyDescent="0.2">
      <c r="A779" s="50"/>
      <c r="B779" s="51"/>
      <c r="C779" s="241">
        <f t="shared" si="171"/>
        <v>0</v>
      </c>
      <c r="D779" s="51"/>
      <c r="E779" s="51"/>
      <c r="F779" s="51"/>
      <c r="G779" s="51"/>
      <c r="H779" s="51"/>
      <c r="I779" s="73"/>
      <c r="J779" s="51" t="s">
        <v>48</v>
      </c>
      <c r="K779" s="52"/>
      <c r="L779" s="52">
        <f t="shared" si="168"/>
        <v>8320</v>
      </c>
      <c r="M779" s="52">
        <f t="shared" si="163"/>
        <v>0</v>
      </c>
      <c r="N779" s="743">
        <f t="shared" si="169"/>
        <v>23804.658800000001</v>
      </c>
      <c r="O779" s="52"/>
      <c r="P779" s="52">
        <f t="shared" si="164"/>
        <v>0</v>
      </c>
      <c r="Q779" s="52">
        <f t="shared" si="166"/>
        <v>7891.2443922000002</v>
      </c>
      <c r="R779" s="52">
        <f t="shared" si="166"/>
        <v>345.16755260000008</v>
      </c>
      <c r="S779" s="52">
        <f t="shared" si="170"/>
        <v>0</v>
      </c>
      <c r="T779" s="52">
        <f t="shared" si="172"/>
        <v>0</v>
      </c>
      <c r="U779" s="52">
        <f t="shared" si="172"/>
        <v>0</v>
      </c>
      <c r="V779" s="52">
        <f t="shared" si="172"/>
        <v>0</v>
      </c>
      <c r="W779" s="52">
        <f t="shared" si="172"/>
        <v>32041.070744799999</v>
      </c>
      <c r="X779" s="52">
        <f t="shared" si="172"/>
        <v>0</v>
      </c>
      <c r="Y779" s="52">
        <f t="shared" si="172"/>
        <v>0</v>
      </c>
      <c r="Z779" s="195">
        <f t="shared" si="172"/>
        <v>32041.070744799999</v>
      </c>
    </row>
    <row r="780" spans="1:26" s="236" customFormat="1" x14ac:dyDescent="0.2">
      <c r="A780" s="50"/>
      <c r="B780" s="51"/>
      <c r="C780" s="241">
        <f t="shared" si="171"/>
        <v>0</v>
      </c>
      <c r="D780" s="51"/>
      <c r="E780" s="51"/>
      <c r="F780" s="51"/>
      <c r="G780" s="51"/>
      <c r="H780" s="51"/>
      <c r="I780" s="73"/>
      <c r="J780" s="51" t="s">
        <v>1051</v>
      </c>
      <c r="K780" s="52"/>
      <c r="L780" s="52">
        <f t="shared" si="168"/>
        <v>0</v>
      </c>
      <c r="M780" s="52">
        <f t="shared" si="163"/>
        <v>0</v>
      </c>
      <c r="N780" s="743">
        <f t="shared" si="169"/>
        <v>0</v>
      </c>
      <c r="O780" s="52"/>
      <c r="P780" s="52">
        <f t="shared" si="164"/>
        <v>0</v>
      </c>
      <c r="Q780" s="52">
        <f t="shared" si="166"/>
        <v>0</v>
      </c>
      <c r="R780" s="52">
        <f t="shared" si="166"/>
        <v>0</v>
      </c>
      <c r="S780" s="52">
        <f t="shared" si="170"/>
        <v>0</v>
      </c>
      <c r="T780" s="52">
        <f t="shared" si="172"/>
        <v>0</v>
      </c>
      <c r="U780" s="52">
        <f t="shared" si="172"/>
        <v>0</v>
      </c>
      <c r="V780" s="52">
        <f t="shared" si="172"/>
        <v>0</v>
      </c>
      <c r="W780" s="52">
        <f t="shared" si="172"/>
        <v>0</v>
      </c>
      <c r="X780" s="52">
        <f t="shared" si="172"/>
        <v>0</v>
      </c>
      <c r="Y780" s="52">
        <f t="shared" si="172"/>
        <v>0</v>
      </c>
      <c r="Z780" s="195">
        <f t="shared" si="172"/>
        <v>0</v>
      </c>
    </row>
    <row r="781" spans="1:26" s="236" customFormat="1" x14ac:dyDescent="0.2">
      <c r="A781" s="50"/>
      <c r="B781" s="51"/>
      <c r="C781" s="241">
        <f t="shared" si="171"/>
        <v>0</v>
      </c>
      <c r="D781" s="51"/>
      <c r="E781" s="51"/>
      <c r="F781" s="51"/>
      <c r="G781" s="51"/>
      <c r="H781" s="51"/>
      <c r="I781" s="73"/>
      <c r="J781" s="51" t="s">
        <v>970</v>
      </c>
      <c r="K781" s="52"/>
      <c r="L781" s="52">
        <f t="shared" si="168"/>
        <v>0</v>
      </c>
      <c r="M781" s="52">
        <f t="shared" si="163"/>
        <v>0</v>
      </c>
      <c r="N781" s="743">
        <f t="shared" si="169"/>
        <v>0</v>
      </c>
      <c r="O781" s="52"/>
      <c r="P781" s="52">
        <f t="shared" si="164"/>
        <v>0</v>
      </c>
      <c r="Q781" s="52">
        <f t="shared" si="166"/>
        <v>0</v>
      </c>
      <c r="R781" s="52">
        <f t="shared" si="166"/>
        <v>0</v>
      </c>
      <c r="S781" s="52">
        <f t="shared" si="170"/>
        <v>0</v>
      </c>
      <c r="T781" s="52">
        <f t="shared" si="172"/>
        <v>0</v>
      </c>
      <c r="U781" s="52">
        <f t="shared" si="172"/>
        <v>0</v>
      </c>
      <c r="V781" s="52">
        <f t="shared" si="172"/>
        <v>0</v>
      </c>
      <c r="W781" s="52">
        <f t="shared" si="172"/>
        <v>0</v>
      </c>
      <c r="X781" s="52">
        <f t="shared" si="172"/>
        <v>0</v>
      </c>
      <c r="Y781" s="52">
        <f t="shared" si="172"/>
        <v>0</v>
      </c>
      <c r="Z781" s="195">
        <f t="shared" si="172"/>
        <v>0</v>
      </c>
    </row>
    <row r="782" spans="1:26" s="236" customFormat="1" x14ac:dyDescent="0.2">
      <c r="A782" s="50"/>
      <c r="B782" s="51"/>
      <c r="C782" s="241">
        <f t="shared" si="171"/>
        <v>0</v>
      </c>
      <c r="D782" s="51"/>
      <c r="E782" s="51"/>
      <c r="F782" s="51"/>
      <c r="G782" s="51"/>
      <c r="H782" s="51"/>
      <c r="I782" s="73"/>
      <c r="J782" s="51" t="s">
        <v>122</v>
      </c>
      <c r="K782" s="52"/>
      <c r="L782" s="52">
        <f t="shared" si="168"/>
        <v>0</v>
      </c>
      <c r="M782" s="52">
        <f t="shared" si="163"/>
        <v>0</v>
      </c>
      <c r="N782" s="743">
        <f t="shared" si="169"/>
        <v>0</v>
      </c>
      <c r="O782" s="52"/>
      <c r="P782" s="52">
        <f t="shared" si="164"/>
        <v>0</v>
      </c>
      <c r="Q782" s="52">
        <f t="shared" ref="Q782:R801" si="173">SUMIFS(Q$27:Q$615,$J$27:$J$615,$J782,$H$27:$H$615,"1")</f>
        <v>0</v>
      </c>
      <c r="R782" s="52">
        <f t="shared" si="173"/>
        <v>0</v>
      </c>
      <c r="S782" s="52">
        <f t="shared" si="170"/>
        <v>0</v>
      </c>
      <c r="T782" s="52">
        <f t="shared" si="172"/>
        <v>0</v>
      </c>
      <c r="U782" s="52">
        <f t="shared" si="172"/>
        <v>0</v>
      </c>
      <c r="V782" s="52">
        <f t="shared" si="172"/>
        <v>0</v>
      </c>
      <c r="W782" s="52">
        <f t="shared" si="172"/>
        <v>0</v>
      </c>
      <c r="X782" s="52">
        <f t="shared" si="172"/>
        <v>0</v>
      </c>
      <c r="Y782" s="52">
        <f t="shared" si="172"/>
        <v>0</v>
      </c>
      <c r="Z782" s="195">
        <f t="shared" si="172"/>
        <v>0</v>
      </c>
    </row>
    <row r="783" spans="1:26" s="236" customFormat="1" x14ac:dyDescent="0.2">
      <c r="A783" s="50"/>
      <c r="B783" s="51"/>
      <c r="C783" s="241">
        <f t="shared" si="171"/>
        <v>0</v>
      </c>
      <c r="D783" s="51"/>
      <c r="E783" s="51"/>
      <c r="F783" s="51"/>
      <c r="G783" s="51"/>
      <c r="H783" s="51"/>
      <c r="I783" s="73"/>
      <c r="J783" s="51" t="s">
        <v>135</v>
      </c>
      <c r="K783" s="52"/>
      <c r="L783" s="52">
        <f t="shared" si="168"/>
        <v>0</v>
      </c>
      <c r="M783" s="52">
        <f t="shared" si="163"/>
        <v>0</v>
      </c>
      <c r="N783" s="743">
        <f t="shared" si="169"/>
        <v>0</v>
      </c>
      <c r="O783" s="52"/>
      <c r="P783" s="52">
        <f t="shared" si="164"/>
        <v>0</v>
      </c>
      <c r="Q783" s="52">
        <f t="shared" si="173"/>
        <v>0</v>
      </c>
      <c r="R783" s="52">
        <f t="shared" si="173"/>
        <v>0</v>
      </c>
      <c r="S783" s="52">
        <f t="shared" si="170"/>
        <v>0</v>
      </c>
      <c r="T783" s="52">
        <f t="shared" si="172"/>
        <v>0</v>
      </c>
      <c r="U783" s="52">
        <f t="shared" si="172"/>
        <v>0</v>
      </c>
      <c r="V783" s="52">
        <f t="shared" si="172"/>
        <v>0</v>
      </c>
      <c r="W783" s="52">
        <f t="shared" si="172"/>
        <v>0</v>
      </c>
      <c r="X783" s="52">
        <f t="shared" si="172"/>
        <v>0</v>
      </c>
      <c r="Y783" s="52">
        <f t="shared" si="172"/>
        <v>0</v>
      </c>
      <c r="Z783" s="195">
        <f t="shared" si="172"/>
        <v>0</v>
      </c>
    </row>
    <row r="784" spans="1:26" s="236" customFormat="1" x14ac:dyDescent="0.2">
      <c r="A784" s="50"/>
      <c r="B784" s="51"/>
      <c r="C784" s="241">
        <f t="shared" si="171"/>
        <v>0</v>
      </c>
      <c r="D784" s="51"/>
      <c r="E784" s="51"/>
      <c r="F784" s="51"/>
      <c r="G784" s="51"/>
      <c r="H784" s="51"/>
      <c r="I784" s="73"/>
      <c r="J784" s="51" t="s">
        <v>123</v>
      </c>
      <c r="K784" s="52"/>
      <c r="L784" s="52">
        <f t="shared" si="168"/>
        <v>0</v>
      </c>
      <c r="M784" s="52">
        <f t="shared" si="163"/>
        <v>0</v>
      </c>
      <c r="N784" s="743">
        <f t="shared" si="169"/>
        <v>0</v>
      </c>
      <c r="O784" s="52"/>
      <c r="P784" s="52">
        <f t="shared" si="164"/>
        <v>0</v>
      </c>
      <c r="Q784" s="52">
        <f t="shared" si="173"/>
        <v>0</v>
      </c>
      <c r="R784" s="52">
        <f t="shared" si="173"/>
        <v>0</v>
      </c>
      <c r="S784" s="52">
        <f t="shared" si="170"/>
        <v>0</v>
      </c>
      <c r="T784" s="52">
        <f t="shared" si="172"/>
        <v>0</v>
      </c>
      <c r="U784" s="52">
        <f t="shared" si="172"/>
        <v>0</v>
      </c>
      <c r="V784" s="52">
        <f t="shared" si="172"/>
        <v>0</v>
      </c>
      <c r="W784" s="52">
        <f t="shared" si="172"/>
        <v>0</v>
      </c>
      <c r="X784" s="52">
        <f t="shared" si="172"/>
        <v>0</v>
      </c>
      <c r="Y784" s="52">
        <f t="shared" si="172"/>
        <v>0</v>
      </c>
      <c r="Z784" s="195">
        <f t="shared" si="172"/>
        <v>0</v>
      </c>
    </row>
    <row r="785" spans="1:26" s="236" customFormat="1" x14ac:dyDescent="0.2">
      <c r="A785" s="50"/>
      <c r="B785" s="51"/>
      <c r="C785" s="241">
        <f t="shared" si="171"/>
        <v>0</v>
      </c>
      <c r="D785" s="51"/>
      <c r="E785" s="51"/>
      <c r="F785" s="51"/>
      <c r="G785" s="51"/>
      <c r="H785" s="51"/>
      <c r="I785" s="73"/>
      <c r="J785" s="51" t="s">
        <v>974</v>
      </c>
      <c r="K785" s="52"/>
      <c r="L785" s="52">
        <f t="shared" si="168"/>
        <v>0</v>
      </c>
      <c r="M785" s="52">
        <f t="shared" si="163"/>
        <v>0</v>
      </c>
      <c r="N785" s="743">
        <f t="shared" si="169"/>
        <v>0</v>
      </c>
      <c r="O785" s="52"/>
      <c r="P785" s="52">
        <f t="shared" si="164"/>
        <v>0</v>
      </c>
      <c r="Q785" s="52">
        <f t="shared" si="173"/>
        <v>0</v>
      </c>
      <c r="R785" s="52">
        <f t="shared" si="173"/>
        <v>0</v>
      </c>
      <c r="S785" s="52">
        <f t="shared" si="170"/>
        <v>0</v>
      </c>
      <c r="T785" s="52">
        <f t="shared" ref="T785:Z794" si="174">SUMIFS(T$27:T$615,$J$27:$J$615,$J785,$H$27:$H$615,"1")</f>
        <v>0</v>
      </c>
      <c r="U785" s="52">
        <f t="shared" si="174"/>
        <v>0</v>
      </c>
      <c r="V785" s="52">
        <f t="shared" si="174"/>
        <v>0</v>
      </c>
      <c r="W785" s="52">
        <f t="shared" si="174"/>
        <v>0</v>
      </c>
      <c r="X785" s="52">
        <f t="shared" si="174"/>
        <v>0</v>
      </c>
      <c r="Y785" s="52">
        <f t="shared" si="174"/>
        <v>0</v>
      </c>
      <c r="Z785" s="195">
        <f t="shared" si="174"/>
        <v>0</v>
      </c>
    </row>
    <row r="786" spans="1:26" s="236" customFormat="1" x14ac:dyDescent="0.2">
      <c r="A786" s="50"/>
      <c r="B786" s="51"/>
      <c r="C786" s="241">
        <f t="shared" si="171"/>
        <v>0</v>
      </c>
      <c r="D786" s="51"/>
      <c r="E786" s="51"/>
      <c r="F786" s="51"/>
      <c r="G786" s="51"/>
      <c r="H786" s="51"/>
      <c r="I786" s="73"/>
      <c r="J786" s="51" t="s">
        <v>975</v>
      </c>
      <c r="K786" s="52"/>
      <c r="L786" s="52">
        <f t="shared" si="168"/>
        <v>0</v>
      </c>
      <c r="M786" s="52">
        <f t="shared" si="163"/>
        <v>0</v>
      </c>
      <c r="N786" s="743">
        <f t="shared" si="169"/>
        <v>0</v>
      </c>
      <c r="O786" s="52"/>
      <c r="P786" s="52">
        <f t="shared" si="164"/>
        <v>0</v>
      </c>
      <c r="Q786" s="52">
        <f t="shared" si="173"/>
        <v>0</v>
      </c>
      <c r="R786" s="52">
        <f t="shared" si="173"/>
        <v>0</v>
      </c>
      <c r="S786" s="52">
        <f t="shared" si="170"/>
        <v>0</v>
      </c>
      <c r="T786" s="52">
        <f t="shared" si="174"/>
        <v>0</v>
      </c>
      <c r="U786" s="52">
        <f t="shared" si="174"/>
        <v>0</v>
      </c>
      <c r="V786" s="52">
        <f t="shared" si="174"/>
        <v>0</v>
      </c>
      <c r="W786" s="52">
        <f t="shared" si="174"/>
        <v>0</v>
      </c>
      <c r="X786" s="52">
        <f t="shared" si="174"/>
        <v>0</v>
      </c>
      <c r="Y786" s="52">
        <f t="shared" si="174"/>
        <v>0</v>
      </c>
      <c r="Z786" s="195">
        <f t="shared" si="174"/>
        <v>0</v>
      </c>
    </row>
    <row r="787" spans="1:26" s="236" customFormat="1" x14ac:dyDescent="0.2">
      <c r="A787" s="50"/>
      <c r="B787" s="51"/>
      <c r="C787" s="241">
        <f t="shared" si="171"/>
        <v>0</v>
      </c>
      <c r="D787" s="51"/>
      <c r="E787" s="51"/>
      <c r="F787" s="51"/>
      <c r="G787" s="51"/>
      <c r="H787" s="51"/>
      <c r="I787" s="73"/>
      <c r="J787" s="51" t="s">
        <v>126</v>
      </c>
      <c r="K787" s="52"/>
      <c r="L787" s="52">
        <f t="shared" si="168"/>
        <v>0</v>
      </c>
      <c r="M787" s="52">
        <f t="shared" ref="M787:M818" si="175">SUMIFS(M$27:M$615,$J$27:$J$615,$J787,$H$27:$H$615,"1")</f>
        <v>0</v>
      </c>
      <c r="N787" s="743">
        <f t="shared" si="169"/>
        <v>0</v>
      </c>
      <c r="O787" s="52"/>
      <c r="P787" s="52">
        <f t="shared" ref="P787:P818" si="176">SUMIFS(P$27:P$615,$J$27:$J$615,$J787,$H$27:$H$615,"1")</f>
        <v>0</v>
      </c>
      <c r="Q787" s="52">
        <f t="shared" si="173"/>
        <v>0</v>
      </c>
      <c r="R787" s="52">
        <f t="shared" si="173"/>
        <v>0</v>
      </c>
      <c r="S787" s="52">
        <f t="shared" si="170"/>
        <v>0</v>
      </c>
      <c r="T787" s="52">
        <f t="shared" si="174"/>
        <v>0</v>
      </c>
      <c r="U787" s="52">
        <f t="shared" si="174"/>
        <v>0</v>
      </c>
      <c r="V787" s="52">
        <f t="shared" si="174"/>
        <v>0</v>
      </c>
      <c r="W787" s="52">
        <f t="shared" si="174"/>
        <v>0</v>
      </c>
      <c r="X787" s="52">
        <f t="shared" si="174"/>
        <v>0</v>
      </c>
      <c r="Y787" s="52">
        <f t="shared" si="174"/>
        <v>0</v>
      </c>
      <c r="Z787" s="195">
        <f t="shared" si="174"/>
        <v>0</v>
      </c>
    </row>
    <row r="788" spans="1:26" s="236" customFormat="1" x14ac:dyDescent="0.2">
      <c r="A788" s="50"/>
      <c r="B788" s="51"/>
      <c r="C788" s="241">
        <f t="shared" si="171"/>
        <v>0</v>
      </c>
      <c r="D788" s="51"/>
      <c r="E788" s="51"/>
      <c r="F788" s="51"/>
      <c r="G788" s="51"/>
      <c r="H788" s="51"/>
      <c r="I788" s="73"/>
      <c r="J788" s="51" t="s">
        <v>127</v>
      </c>
      <c r="K788" s="52"/>
      <c r="L788" s="52">
        <f t="shared" si="168"/>
        <v>0</v>
      </c>
      <c r="M788" s="52">
        <f t="shared" si="175"/>
        <v>0</v>
      </c>
      <c r="N788" s="743">
        <f t="shared" si="169"/>
        <v>0</v>
      </c>
      <c r="O788" s="52"/>
      <c r="P788" s="52">
        <f t="shared" si="176"/>
        <v>0</v>
      </c>
      <c r="Q788" s="52">
        <f t="shared" si="173"/>
        <v>0</v>
      </c>
      <c r="R788" s="52">
        <f t="shared" si="173"/>
        <v>0</v>
      </c>
      <c r="S788" s="52">
        <f t="shared" si="170"/>
        <v>0</v>
      </c>
      <c r="T788" s="52">
        <f t="shared" si="174"/>
        <v>0</v>
      </c>
      <c r="U788" s="52">
        <f t="shared" si="174"/>
        <v>0</v>
      </c>
      <c r="V788" s="52">
        <f t="shared" si="174"/>
        <v>0</v>
      </c>
      <c r="W788" s="52">
        <f t="shared" si="174"/>
        <v>0</v>
      </c>
      <c r="X788" s="52">
        <f t="shared" si="174"/>
        <v>0</v>
      </c>
      <c r="Y788" s="52">
        <f t="shared" si="174"/>
        <v>0</v>
      </c>
      <c r="Z788" s="195">
        <f t="shared" si="174"/>
        <v>0</v>
      </c>
    </row>
    <row r="789" spans="1:26" s="236" customFormat="1" x14ac:dyDescent="0.2">
      <c r="A789" s="50"/>
      <c r="B789" s="51"/>
      <c r="C789" s="241">
        <f t="shared" si="171"/>
        <v>0</v>
      </c>
      <c r="D789" s="51"/>
      <c r="E789" s="51"/>
      <c r="F789" s="51"/>
      <c r="G789" s="51"/>
      <c r="H789" s="51"/>
      <c r="I789" s="73"/>
      <c r="J789" s="51" t="s">
        <v>130</v>
      </c>
      <c r="K789" s="52"/>
      <c r="L789" s="52">
        <f t="shared" si="168"/>
        <v>0</v>
      </c>
      <c r="M789" s="52">
        <f t="shared" si="175"/>
        <v>0</v>
      </c>
      <c r="N789" s="743">
        <f t="shared" si="169"/>
        <v>0</v>
      </c>
      <c r="O789" s="52"/>
      <c r="P789" s="52">
        <f t="shared" si="176"/>
        <v>0</v>
      </c>
      <c r="Q789" s="52">
        <f t="shared" si="173"/>
        <v>0</v>
      </c>
      <c r="R789" s="52">
        <f t="shared" si="173"/>
        <v>0</v>
      </c>
      <c r="S789" s="52">
        <f t="shared" si="170"/>
        <v>0</v>
      </c>
      <c r="T789" s="52">
        <f t="shared" si="174"/>
        <v>0</v>
      </c>
      <c r="U789" s="52">
        <f t="shared" si="174"/>
        <v>0</v>
      </c>
      <c r="V789" s="52">
        <f t="shared" si="174"/>
        <v>0</v>
      </c>
      <c r="W789" s="52">
        <f t="shared" si="174"/>
        <v>0</v>
      </c>
      <c r="X789" s="52">
        <f t="shared" si="174"/>
        <v>0</v>
      </c>
      <c r="Y789" s="52">
        <f t="shared" si="174"/>
        <v>0</v>
      </c>
      <c r="Z789" s="195">
        <f t="shared" si="174"/>
        <v>0</v>
      </c>
    </row>
    <row r="790" spans="1:26" s="236" customFormat="1" x14ac:dyDescent="0.2">
      <c r="A790" s="50"/>
      <c r="B790" s="51"/>
      <c r="C790" s="241">
        <f t="shared" si="171"/>
        <v>0</v>
      </c>
      <c r="D790" s="51"/>
      <c r="E790" s="51"/>
      <c r="F790" s="51"/>
      <c r="G790" s="51"/>
      <c r="H790" s="51"/>
      <c r="I790" s="73"/>
      <c r="J790" s="51" t="s">
        <v>125</v>
      </c>
      <c r="K790" s="52"/>
      <c r="L790" s="52">
        <f t="shared" si="168"/>
        <v>0</v>
      </c>
      <c r="M790" s="52">
        <f t="shared" si="175"/>
        <v>0</v>
      </c>
      <c r="N790" s="743">
        <f t="shared" si="169"/>
        <v>0</v>
      </c>
      <c r="O790" s="52"/>
      <c r="P790" s="52">
        <f t="shared" si="176"/>
        <v>0</v>
      </c>
      <c r="Q790" s="52">
        <f t="shared" si="173"/>
        <v>0</v>
      </c>
      <c r="R790" s="52">
        <f t="shared" si="173"/>
        <v>0</v>
      </c>
      <c r="S790" s="52">
        <f t="shared" si="170"/>
        <v>0</v>
      </c>
      <c r="T790" s="52">
        <f t="shared" si="174"/>
        <v>0</v>
      </c>
      <c r="U790" s="52">
        <f t="shared" si="174"/>
        <v>0</v>
      </c>
      <c r="V790" s="52">
        <f t="shared" si="174"/>
        <v>0</v>
      </c>
      <c r="W790" s="52">
        <f t="shared" si="174"/>
        <v>0</v>
      </c>
      <c r="X790" s="52">
        <f t="shared" si="174"/>
        <v>0</v>
      </c>
      <c r="Y790" s="52">
        <f t="shared" si="174"/>
        <v>0</v>
      </c>
      <c r="Z790" s="195">
        <f t="shared" si="174"/>
        <v>0</v>
      </c>
    </row>
    <row r="791" spans="1:26" s="236" customFormat="1" x14ac:dyDescent="0.2">
      <c r="A791" s="50"/>
      <c r="B791" s="51"/>
      <c r="C791" s="241">
        <f t="shared" si="171"/>
        <v>0</v>
      </c>
      <c r="D791" s="51"/>
      <c r="E791" s="51"/>
      <c r="F791" s="51"/>
      <c r="G791" s="51"/>
      <c r="H791" s="51"/>
      <c r="I791" s="73"/>
      <c r="J791" s="51" t="s">
        <v>128</v>
      </c>
      <c r="K791" s="52"/>
      <c r="L791" s="52">
        <f t="shared" si="168"/>
        <v>0</v>
      </c>
      <c r="M791" s="52">
        <f t="shared" si="175"/>
        <v>0</v>
      </c>
      <c r="N791" s="743">
        <f t="shared" si="169"/>
        <v>0</v>
      </c>
      <c r="O791" s="52"/>
      <c r="P791" s="52">
        <f t="shared" si="176"/>
        <v>0</v>
      </c>
      <c r="Q791" s="52">
        <f t="shared" si="173"/>
        <v>0</v>
      </c>
      <c r="R791" s="52">
        <f t="shared" si="173"/>
        <v>0</v>
      </c>
      <c r="S791" s="52">
        <f t="shared" si="170"/>
        <v>0</v>
      </c>
      <c r="T791" s="52">
        <f t="shared" si="174"/>
        <v>0</v>
      </c>
      <c r="U791" s="52">
        <f t="shared" si="174"/>
        <v>0</v>
      </c>
      <c r="V791" s="52">
        <f t="shared" si="174"/>
        <v>0</v>
      </c>
      <c r="W791" s="52">
        <f t="shared" si="174"/>
        <v>0</v>
      </c>
      <c r="X791" s="52">
        <f t="shared" si="174"/>
        <v>0</v>
      </c>
      <c r="Y791" s="52">
        <f t="shared" si="174"/>
        <v>0</v>
      </c>
      <c r="Z791" s="195">
        <f t="shared" si="174"/>
        <v>0</v>
      </c>
    </row>
    <row r="792" spans="1:26" s="236" customFormat="1" x14ac:dyDescent="0.2">
      <c r="A792" s="50"/>
      <c r="B792" s="51"/>
      <c r="C792" s="241">
        <f t="shared" si="171"/>
        <v>0</v>
      </c>
      <c r="D792" s="51"/>
      <c r="E792" s="51"/>
      <c r="F792" s="51"/>
      <c r="G792" s="51"/>
      <c r="H792" s="51"/>
      <c r="I792" s="73"/>
      <c r="J792" s="51" t="s">
        <v>1016</v>
      </c>
      <c r="K792" s="52"/>
      <c r="L792" s="52">
        <f t="shared" si="168"/>
        <v>0</v>
      </c>
      <c r="M792" s="52">
        <f t="shared" si="175"/>
        <v>0</v>
      </c>
      <c r="N792" s="743">
        <f t="shared" si="169"/>
        <v>0</v>
      </c>
      <c r="O792" s="52"/>
      <c r="P792" s="52">
        <f t="shared" si="176"/>
        <v>0</v>
      </c>
      <c r="Q792" s="52">
        <f t="shared" si="173"/>
        <v>0</v>
      </c>
      <c r="R792" s="52">
        <f t="shared" si="173"/>
        <v>0</v>
      </c>
      <c r="S792" s="52">
        <f t="shared" si="170"/>
        <v>0</v>
      </c>
      <c r="T792" s="52">
        <f t="shared" si="174"/>
        <v>0</v>
      </c>
      <c r="U792" s="52">
        <f t="shared" si="174"/>
        <v>0</v>
      </c>
      <c r="V792" s="52">
        <f t="shared" si="174"/>
        <v>0</v>
      </c>
      <c r="W792" s="52">
        <f t="shared" si="174"/>
        <v>0</v>
      </c>
      <c r="X792" s="52">
        <f t="shared" si="174"/>
        <v>0</v>
      </c>
      <c r="Y792" s="52">
        <f t="shared" si="174"/>
        <v>0</v>
      </c>
      <c r="Z792" s="195">
        <f t="shared" si="174"/>
        <v>0</v>
      </c>
    </row>
    <row r="793" spans="1:26" s="236" customFormat="1" x14ac:dyDescent="0.2">
      <c r="A793" s="50"/>
      <c r="B793" s="51"/>
      <c r="C793" s="241">
        <f t="shared" si="171"/>
        <v>0</v>
      </c>
      <c r="D793" s="51"/>
      <c r="E793" s="51"/>
      <c r="F793" s="51"/>
      <c r="G793" s="51"/>
      <c r="H793" s="51"/>
      <c r="I793" s="73"/>
      <c r="J793" s="51" t="s">
        <v>1015</v>
      </c>
      <c r="K793" s="52"/>
      <c r="L793" s="52">
        <f t="shared" si="168"/>
        <v>0</v>
      </c>
      <c r="M793" s="52">
        <f t="shared" si="175"/>
        <v>0</v>
      </c>
      <c r="N793" s="743">
        <f t="shared" si="169"/>
        <v>0</v>
      </c>
      <c r="O793" s="52"/>
      <c r="P793" s="52">
        <f t="shared" si="176"/>
        <v>0</v>
      </c>
      <c r="Q793" s="52">
        <f t="shared" si="173"/>
        <v>0</v>
      </c>
      <c r="R793" s="52">
        <f t="shared" si="173"/>
        <v>0</v>
      </c>
      <c r="S793" s="52">
        <f t="shared" si="170"/>
        <v>0</v>
      </c>
      <c r="T793" s="52">
        <f t="shared" si="174"/>
        <v>0</v>
      </c>
      <c r="U793" s="52">
        <f t="shared" si="174"/>
        <v>0</v>
      </c>
      <c r="V793" s="52">
        <f t="shared" si="174"/>
        <v>0</v>
      </c>
      <c r="W793" s="52">
        <f t="shared" si="174"/>
        <v>0</v>
      </c>
      <c r="X793" s="52">
        <f t="shared" si="174"/>
        <v>0</v>
      </c>
      <c r="Y793" s="52">
        <f t="shared" si="174"/>
        <v>0</v>
      </c>
      <c r="Z793" s="195">
        <f t="shared" si="174"/>
        <v>0</v>
      </c>
    </row>
    <row r="794" spans="1:26" s="236" customFormat="1" x14ac:dyDescent="0.2">
      <c r="A794" s="50"/>
      <c r="B794" s="51"/>
      <c r="C794" s="241">
        <f t="shared" si="171"/>
        <v>0</v>
      </c>
      <c r="D794" s="51"/>
      <c r="E794" s="51"/>
      <c r="F794" s="51"/>
      <c r="G794" s="51"/>
      <c r="H794" s="51"/>
      <c r="I794" s="73"/>
      <c r="J794" s="51" t="s">
        <v>930</v>
      </c>
      <c r="K794" s="52"/>
      <c r="L794" s="52">
        <f t="shared" si="168"/>
        <v>4160</v>
      </c>
      <c r="M794" s="52">
        <f t="shared" si="175"/>
        <v>0</v>
      </c>
      <c r="N794" s="743">
        <f t="shared" si="169"/>
        <v>1365.2002</v>
      </c>
      <c r="O794" s="52"/>
      <c r="P794" s="52">
        <f t="shared" si="176"/>
        <v>0</v>
      </c>
      <c r="Q794" s="52">
        <f t="shared" si="173"/>
        <v>452.56386629999997</v>
      </c>
      <c r="R794" s="52">
        <f t="shared" si="173"/>
        <v>49.955402900000003</v>
      </c>
      <c r="S794" s="52">
        <f t="shared" si="170"/>
        <v>0</v>
      </c>
      <c r="T794" s="52">
        <f t="shared" si="174"/>
        <v>9592.56</v>
      </c>
      <c r="U794" s="52">
        <f t="shared" si="174"/>
        <v>1784.1599999999999</v>
      </c>
      <c r="V794" s="52">
        <f t="shared" si="174"/>
        <v>0</v>
      </c>
      <c r="W794" s="52">
        <f t="shared" si="174"/>
        <v>15324.439469200001</v>
      </c>
      <c r="X794" s="52">
        <f t="shared" si="174"/>
        <v>0</v>
      </c>
      <c r="Y794" s="52">
        <f t="shared" si="174"/>
        <v>0</v>
      </c>
      <c r="Z794" s="195">
        <f t="shared" si="174"/>
        <v>15324.439469200001</v>
      </c>
    </row>
    <row r="795" spans="1:26" s="236" customFormat="1" x14ac:dyDescent="0.2">
      <c r="A795" s="50"/>
      <c r="B795" s="51"/>
      <c r="C795" s="241">
        <f t="shared" si="171"/>
        <v>0</v>
      </c>
      <c r="D795" s="51"/>
      <c r="E795" s="51"/>
      <c r="F795" s="51"/>
      <c r="G795" s="51"/>
      <c r="H795" s="51"/>
      <c r="I795" s="73"/>
      <c r="J795" s="51" t="s">
        <v>931</v>
      </c>
      <c r="K795" s="52"/>
      <c r="L795" s="52">
        <f t="shared" si="168"/>
        <v>0</v>
      </c>
      <c r="M795" s="52">
        <f t="shared" si="175"/>
        <v>0</v>
      </c>
      <c r="N795" s="743">
        <f t="shared" si="169"/>
        <v>0</v>
      </c>
      <c r="O795" s="52"/>
      <c r="P795" s="52">
        <f t="shared" si="176"/>
        <v>0</v>
      </c>
      <c r="Q795" s="52">
        <f t="shared" si="173"/>
        <v>0</v>
      </c>
      <c r="R795" s="52">
        <f t="shared" si="173"/>
        <v>0</v>
      </c>
      <c r="S795" s="52">
        <f t="shared" si="170"/>
        <v>0</v>
      </c>
      <c r="T795" s="52">
        <f t="shared" ref="T795:Z804" si="177">SUMIFS(T$27:T$615,$J$27:$J$615,$J795,$H$27:$H$615,"1")</f>
        <v>0</v>
      </c>
      <c r="U795" s="52">
        <f t="shared" si="177"/>
        <v>0</v>
      </c>
      <c r="V795" s="52">
        <f t="shared" si="177"/>
        <v>0</v>
      </c>
      <c r="W795" s="52">
        <f t="shared" si="177"/>
        <v>0</v>
      </c>
      <c r="X795" s="52">
        <f t="shared" si="177"/>
        <v>0</v>
      </c>
      <c r="Y795" s="52">
        <f t="shared" si="177"/>
        <v>0</v>
      </c>
      <c r="Z795" s="195">
        <f t="shared" si="177"/>
        <v>0</v>
      </c>
    </row>
    <row r="796" spans="1:26" s="236" customFormat="1" x14ac:dyDescent="0.2">
      <c r="A796" s="50"/>
      <c r="B796" s="51"/>
      <c r="C796" s="241">
        <f t="shared" si="171"/>
        <v>0</v>
      </c>
      <c r="D796" s="51"/>
      <c r="E796" s="51"/>
      <c r="F796" s="51"/>
      <c r="G796" s="51"/>
      <c r="H796" s="51"/>
      <c r="I796" s="73"/>
      <c r="J796" s="51" t="s">
        <v>926</v>
      </c>
      <c r="K796" s="52"/>
      <c r="L796" s="52">
        <f t="shared" si="168"/>
        <v>0</v>
      </c>
      <c r="M796" s="52">
        <f t="shared" si="175"/>
        <v>0</v>
      </c>
      <c r="N796" s="743">
        <f t="shared" si="169"/>
        <v>0</v>
      </c>
      <c r="O796" s="52"/>
      <c r="P796" s="52">
        <f t="shared" si="176"/>
        <v>0</v>
      </c>
      <c r="Q796" s="52">
        <f t="shared" si="173"/>
        <v>0</v>
      </c>
      <c r="R796" s="52">
        <f t="shared" si="173"/>
        <v>0</v>
      </c>
      <c r="S796" s="52">
        <f t="shared" si="170"/>
        <v>0</v>
      </c>
      <c r="T796" s="52">
        <f t="shared" si="177"/>
        <v>0</v>
      </c>
      <c r="U796" s="52">
        <f t="shared" si="177"/>
        <v>0</v>
      </c>
      <c r="V796" s="52">
        <f t="shared" si="177"/>
        <v>0</v>
      </c>
      <c r="W796" s="52">
        <f t="shared" si="177"/>
        <v>0</v>
      </c>
      <c r="X796" s="52">
        <f t="shared" si="177"/>
        <v>0</v>
      </c>
      <c r="Y796" s="52">
        <f t="shared" si="177"/>
        <v>0</v>
      </c>
      <c r="Z796" s="195">
        <f t="shared" si="177"/>
        <v>0</v>
      </c>
    </row>
    <row r="797" spans="1:26" s="236" customFormat="1" x14ac:dyDescent="0.2">
      <c r="A797" s="50"/>
      <c r="B797" s="51"/>
      <c r="C797" s="241">
        <f t="shared" si="171"/>
        <v>0</v>
      </c>
      <c r="D797" s="51"/>
      <c r="E797" s="51"/>
      <c r="F797" s="51"/>
      <c r="G797" s="51"/>
      <c r="H797" s="51"/>
      <c r="I797" s="73"/>
      <c r="J797" s="51" t="s">
        <v>110</v>
      </c>
      <c r="K797" s="52"/>
      <c r="L797" s="52">
        <f t="shared" si="168"/>
        <v>0</v>
      </c>
      <c r="M797" s="52">
        <f t="shared" si="175"/>
        <v>0</v>
      </c>
      <c r="N797" s="743">
        <f t="shared" si="169"/>
        <v>0</v>
      </c>
      <c r="O797" s="52"/>
      <c r="P797" s="52">
        <f t="shared" si="176"/>
        <v>0</v>
      </c>
      <c r="Q797" s="52">
        <f t="shared" si="173"/>
        <v>0</v>
      </c>
      <c r="R797" s="52">
        <f t="shared" si="173"/>
        <v>0</v>
      </c>
      <c r="S797" s="52">
        <f t="shared" si="170"/>
        <v>0</v>
      </c>
      <c r="T797" s="52">
        <f t="shared" si="177"/>
        <v>0</v>
      </c>
      <c r="U797" s="52">
        <f t="shared" si="177"/>
        <v>0</v>
      </c>
      <c r="V797" s="52">
        <f t="shared" si="177"/>
        <v>0</v>
      </c>
      <c r="W797" s="52">
        <f t="shared" si="177"/>
        <v>0</v>
      </c>
      <c r="X797" s="52">
        <f t="shared" si="177"/>
        <v>0</v>
      </c>
      <c r="Y797" s="52">
        <f t="shared" si="177"/>
        <v>0</v>
      </c>
      <c r="Z797" s="195">
        <f t="shared" si="177"/>
        <v>0</v>
      </c>
    </row>
    <row r="798" spans="1:26" s="236" customFormat="1" x14ac:dyDescent="0.2">
      <c r="A798" s="50"/>
      <c r="B798" s="51"/>
      <c r="C798" s="241">
        <f t="shared" si="171"/>
        <v>0</v>
      </c>
      <c r="D798" s="51"/>
      <c r="E798" s="51"/>
      <c r="F798" s="51"/>
      <c r="G798" s="51"/>
      <c r="H798" s="51"/>
      <c r="I798" s="73"/>
      <c r="J798" s="51" t="s">
        <v>133</v>
      </c>
      <c r="K798" s="52"/>
      <c r="L798" s="52">
        <f t="shared" ref="L798:L829" si="178">SUMIFS(L$27:L$615,$J$27:$J$615,$J798,$H$27:$H$615,"1")</f>
        <v>0</v>
      </c>
      <c r="M798" s="52">
        <f t="shared" si="175"/>
        <v>0</v>
      </c>
      <c r="N798" s="743">
        <f t="shared" ref="N798:N829" si="179">SUMIFS(N$27:N$615,$J$27:$J$615,$J798,$H$27:$H$615,"1")</f>
        <v>0</v>
      </c>
      <c r="O798" s="52"/>
      <c r="P798" s="52">
        <f t="shared" si="176"/>
        <v>0</v>
      </c>
      <c r="Q798" s="52">
        <f t="shared" si="173"/>
        <v>0</v>
      </c>
      <c r="R798" s="52">
        <f t="shared" si="173"/>
        <v>0</v>
      </c>
      <c r="S798" s="52">
        <f t="shared" si="170"/>
        <v>0</v>
      </c>
      <c r="T798" s="52">
        <f t="shared" si="177"/>
        <v>0</v>
      </c>
      <c r="U798" s="52">
        <f t="shared" si="177"/>
        <v>0</v>
      </c>
      <c r="V798" s="52">
        <f t="shared" si="177"/>
        <v>0</v>
      </c>
      <c r="W798" s="52">
        <f t="shared" si="177"/>
        <v>0</v>
      </c>
      <c r="X798" s="52">
        <f t="shared" si="177"/>
        <v>0</v>
      </c>
      <c r="Y798" s="52">
        <f t="shared" si="177"/>
        <v>0</v>
      </c>
      <c r="Z798" s="195">
        <f t="shared" si="177"/>
        <v>0</v>
      </c>
    </row>
    <row r="799" spans="1:26" s="236" customFormat="1" x14ac:dyDescent="0.2">
      <c r="A799" s="50"/>
      <c r="B799" s="51"/>
      <c r="C799" s="241">
        <f t="shared" si="171"/>
        <v>0</v>
      </c>
      <c r="D799" s="51"/>
      <c r="E799" s="51"/>
      <c r="F799" s="51"/>
      <c r="G799" s="51"/>
      <c r="H799" s="51"/>
      <c r="I799" s="73"/>
      <c r="J799" s="51" t="s">
        <v>134</v>
      </c>
      <c r="K799" s="52"/>
      <c r="L799" s="52">
        <f t="shared" si="178"/>
        <v>0</v>
      </c>
      <c r="M799" s="52">
        <f t="shared" si="175"/>
        <v>0</v>
      </c>
      <c r="N799" s="743">
        <f t="shared" si="179"/>
        <v>0</v>
      </c>
      <c r="O799" s="52"/>
      <c r="P799" s="52">
        <f t="shared" si="176"/>
        <v>0</v>
      </c>
      <c r="Q799" s="52">
        <f t="shared" si="173"/>
        <v>0</v>
      </c>
      <c r="R799" s="52">
        <f t="shared" si="173"/>
        <v>0</v>
      </c>
      <c r="S799" s="52">
        <f t="shared" si="170"/>
        <v>0</v>
      </c>
      <c r="T799" s="52">
        <f t="shared" si="177"/>
        <v>0</v>
      </c>
      <c r="U799" s="52">
        <f t="shared" si="177"/>
        <v>0</v>
      </c>
      <c r="V799" s="52">
        <f t="shared" si="177"/>
        <v>0</v>
      </c>
      <c r="W799" s="52">
        <f t="shared" si="177"/>
        <v>0</v>
      </c>
      <c r="X799" s="52">
        <f t="shared" si="177"/>
        <v>0</v>
      </c>
      <c r="Y799" s="52">
        <f t="shared" si="177"/>
        <v>0</v>
      </c>
      <c r="Z799" s="195">
        <f t="shared" si="177"/>
        <v>0</v>
      </c>
    </row>
    <row r="800" spans="1:26" s="236" customFormat="1" x14ac:dyDescent="0.2">
      <c r="A800" s="50"/>
      <c r="B800" s="51"/>
      <c r="C800" s="241">
        <f t="shared" si="171"/>
        <v>0</v>
      </c>
      <c r="D800" s="51"/>
      <c r="E800" s="51"/>
      <c r="F800" s="51"/>
      <c r="G800" s="51"/>
      <c r="H800" s="51"/>
      <c r="I800" s="73"/>
      <c r="J800" s="51" t="s">
        <v>138</v>
      </c>
      <c r="K800" s="52"/>
      <c r="L800" s="52">
        <f t="shared" si="178"/>
        <v>0</v>
      </c>
      <c r="M800" s="52">
        <f t="shared" si="175"/>
        <v>0</v>
      </c>
      <c r="N800" s="743">
        <f t="shared" si="179"/>
        <v>0</v>
      </c>
      <c r="O800" s="52"/>
      <c r="P800" s="52">
        <f t="shared" si="176"/>
        <v>0</v>
      </c>
      <c r="Q800" s="52">
        <f t="shared" si="173"/>
        <v>0</v>
      </c>
      <c r="R800" s="52">
        <f t="shared" si="173"/>
        <v>0</v>
      </c>
      <c r="S800" s="52">
        <f t="shared" si="170"/>
        <v>0</v>
      </c>
      <c r="T800" s="52">
        <f t="shared" si="177"/>
        <v>0</v>
      </c>
      <c r="U800" s="52">
        <f t="shared" si="177"/>
        <v>0</v>
      </c>
      <c r="V800" s="52">
        <f t="shared" si="177"/>
        <v>0</v>
      </c>
      <c r="W800" s="52">
        <f t="shared" si="177"/>
        <v>0</v>
      </c>
      <c r="X800" s="52">
        <f t="shared" si="177"/>
        <v>0</v>
      </c>
      <c r="Y800" s="52">
        <f t="shared" si="177"/>
        <v>0</v>
      </c>
      <c r="Z800" s="195">
        <f t="shared" si="177"/>
        <v>0</v>
      </c>
    </row>
    <row r="801" spans="1:26" s="236" customFormat="1" x14ac:dyDescent="0.2">
      <c r="A801" s="50"/>
      <c r="B801" s="51"/>
      <c r="C801" s="241">
        <f t="shared" si="171"/>
        <v>0</v>
      </c>
      <c r="D801" s="51"/>
      <c r="E801" s="51"/>
      <c r="F801" s="51"/>
      <c r="G801" s="51"/>
      <c r="H801" s="51"/>
      <c r="I801" s="73"/>
      <c r="J801" s="51" t="s">
        <v>106</v>
      </c>
      <c r="K801" s="52"/>
      <c r="L801" s="52">
        <f t="shared" si="178"/>
        <v>0</v>
      </c>
      <c r="M801" s="52">
        <f t="shared" si="175"/>
        <v>0</v>
      </c>
      <c r="N801" s="743">
        <f t="shared" si="179"/>
        <v>0</v>
      </c>
      <c r="O801" s="52"/>
      <c r="P801" s="52">
        <f t="shared" si="176"/>
        <v>0</v>
      </c>
      <c r="Q801" s="52">
        <f t="shared" si="173"/>
        <v>0</v>
      </c>
      <c r="R801" s="52">
        <f t="shared" si="173"/>
        <v>0</v>
      </c>
      <c r="S801" s="52">
        <f t="shared" si="170"/>
        <v>0</v>
      </c>
      <c r="T801" s="52">
        <f t="shared" si="177"/>
        <v>0</v>
      </c>
      <c r="U801" s="52">
        <f t="shared" si="177"/>
        <v>0</v>
      </c>
      <c r="V801" s="52">
        <f t="shared" si="177"/>
        <v>0</v>
      </c>
      <c r="W801" s="52">
        <f t="shared" si="177"/>
        <v>0</v>
      </c>
      <c r="X801" s="52">
        <f t="shared" si="177"/>
        <v>0</v>
      </c>
      <c r="Y801" s="52">
        <f t="shared" si="177"/>
        <v>0</v>
      </c>
      <c r="Z801" s="195">
        <f t="shared" si="177"/>
        <v>0</v>
      </c>
    </row>
    <row r="802" spans="1:26" s="236" customFormat="1" x14ac:dyDescent="0.2">
      <c r="A802" s="50"/>
      <c r="B802" s="51"/>
      <c r="C802" s="241">
        <f t="shared" si="171"/>
        <v>0</v>
      </c>
      <c r="D802" s="51"/>
      <c r="E802" s="51"/>
      <c r="F802" s="51"/>
      <c r="G802" s="51"/>
      <c r="H802" s="51"/>
      <c r="I802" s="73"/>
      <c r="J802" s="51" t="s">
        <v>1024</v>
      </c>
      <c r="K802" s="52"/>
      <c r="L802" s="52">
        <f t="shared" si="178"/>
        <v>0</v>
      </c>
      <c r="M802" s="52">
        <f t="shared" si="175"/>
        <v>0</v>
      </c>
      <c r="N802" s="743">
        <f t="shared" si="179"/>
        <v>0</v>
      </c>
      <c r="O802" s="52"/>
      <c r="P802" s="52">
        <f t="shared" si="176"/>
        <v>0</v>
      </c>
      <c r="Q802" s="52">
        <f t="shared" ref="Q802:R821" si="180">SUMIFS(Q$27:Q$615,$J$27:$J$615,$J802,$H$27:$H$615,"1")</f>
        <v>0</v>
      </c>
      <c r="R802" s="52">
        <f t="shared" si="180"/>
        <v>0</v>
      </c>
      <c r="S802" s="52">
        <f t="shared" si="170"/>
        <v>0</v>
      </c>
      <c r="T802" s="52">
        <f t="shared" si="177"/>
        <v>0</v>
      </c>
      <c r="U802" s="52">
        <f t="shared" si="177"/>
        <v>0</v>
      </c>
      <c r="V802" s="52">
        <f t="shared" si="177"/>
        <v>0</v>
      </c>
      <c r="W802" s="52">
        <f t="shared" si="177"/>
        <v>0</v>
      </c>
      <c r="X802" s="52">
        <f t="shared" si="177"/>
        <v>0</v>
      </c>
      <c r="Y802" s="52">
        <f t="shared" si="177"/>
        <v>0</v>
      </c>
      <c r="Z802" s="195">
        <f t="shared" si="177"/>
        <v>0</v>
      </c>
    </row>
    <row r="803" spans="1:26" s="236" customFormat="1" x14ac:dyDescent="0.2">
      <c r="A803" s="50"/>
      <c r="B803" s="51"/>
      <c r="C803" s="241">
        <f t="shared" si="171"/>
        <v>0</v>
      </c>
      <c r="D803" s="51"/>
      <c r="E803" s="51"/>
      <c r="F803" s="51"/>
      <c r="G803" s="51"/>
      <c r="H803" s="51"/>
      <c r="I803" s="73"/>
      <c r="J803" s="51" t="s">
        <v>1025</v>
      </c>
      <c r="K803" s="52"/>
      <c r="L803" s="52">
        <f t="shared" si="178"/>
        <v>0</v>
      </c>
      <c r="M803" s="52">
        <f t="shared" si="175"/>
        <v>0</v>
      </c>
      <c r="N803" s="743">
        <f t="shared" si="179"/>
        <v>0</v>
      </c>
      <c r="O803" s="52"/>
      <c r="P803" s="52">
        <f t="shared" si="176"/>
        <v>0</v>
      </c>
      <c r="Q803" s="52">
        <f t="shared" si="180"/>
        <v>0</v>
      </c>
      <c r="R803" s="52">
        <f t="shared" si="180"/>
        <v>0</v>
      </c>
      <c r="S803" s="52">
        <f t="shared" ref="S803:S834" si="181">SUMIFS(S$27:S$615,$J$27:$J$615,$J803,$H$27:$H$615,"1")</f>
        <v>0</v>
      </c>
      <c r="T803" s="52">
        <f t="shared" si="177"/>
        <v>0</v>
      </c>
      <c r="U803" s="52">
        <f t="shared" si="177"/>
        <v>0</v>
      </c>
      <c r="V803" s="52">
        <f t="shared" si="177"/>
        <v>0</v>
      </c>
      <c r="W803" s="52">
        <f t="shared" si="177"/>
        <v>0</v>
      </c>
      <c r="X803" s="52">
        <f t="shared" si="177"/>
        <v>0</v>
      </c>
      <c r="Y803" s="52">
        <f t="shared" si="177"/>
        <v>0</v>
      </c>
      <c r="Z803" s="195">
        <f t="shared" si="177"/>
        <v>0</v>
      </c>
    </row>
    <row r="804" spans="1:26" s="236" customFormat="1" x14ac:dyDescent="0.2">
      <c r="A804" s="50"/>
      <c r="B804" s="51"/>
      <c r="C804" s="241">
        <f t="shared" si="171"/>
        <v>0</v>
      </c>
      <c r="D804" s="51"/>
      <c r="E804" s="51"/>
      <c r="F804" s="51"/>
      <c r="G804" s="51"/>
      <c r="H804" s="51"/>
      <c r="I804" s="73"/>
      <c r="J804" s="51" t="s">
        <v>960</v>
      </c>
      <c r="K804" s="52"/>
      <c r="L804" s="52">
        <f t="shared" si="178"/>
        <v>0</v>
      </c>
      <c r="M804" s="52">
        <f t="shared" si="175"/>
        <v>0</v>
      </c>
      <c r="N804" s="743">
        <f t="shared" si="179"/>
        <v>0</v>
      </c>
      <c r="O804" s="52"/>
      <c r="P804" s="52">
        <f t="shared" si="176"/>
        <v>0</v>
      </c>
      <c r="Q804" s="52">
        <f t="shared" si="180"/>
        <v>0</v>
      </c>
      <c r="R804" s="52">
        <f t="shared" si="180"/>
        <v>0</v>
      </c>
      <c r="S804" s="52">
        <f t="shared" si="181"/>
        <v>0</v>
      </c>
      <c r="T804" s="52">
        <f t="shared" si="177"/>
        <v>0</v>
      </c>
      <c r="U804" s="52">
        <f t="shared" si="177"/>
        <v>0</v>
      </c>
      <c r="V804" s="52">
        <f t="shared" si="177"/>
        <v>0</v>
      </c>
      <c r="W804" s="52">
        <f t="shared" si="177"/>
        <v>0</v>
      </c>
      <c r="X804" s="52">
        <f t="shared" si="177"/>
        <v>0</v>
      </c>
      <c r="Y804" s="52">
        <f t="shared" si="177"/>
        <v>0</v>
      </c>
      <c r="Z804" s="195">
        <f t="shared" si="177"/>
        <v>0</v>
      </c>
    </row>
    <row r="805" spans="1:26" s="236" customFormat="1" x14ac:dyDescent="0.2">
      <c r="A805" s="50"/>
      <c r="B805" s="51"/>
      <c r="C805" s="241">
        <f t="shared" si="171"/>
        <v>0</v>
      </c>
      <c r="D805" s="51"/>
      <c r="E805" s="51"/>
      <c r="F805" s="51"/>
      <c r="G805" s="51"/>
      <c r="H805" s="51"/>
      <c r="I805" s="73"/>
      <c r="J805" s="51" t="s">
        <v>961</v>
      </c>
      <c r="K805" s="52"/>
      <c r="L805" s="52">
        <f t="shared" si="178"/>
        <v>0</v>
      </c>
      <c r="M805" s="52">
        <f t="shared" si="175"/>
        <v>0</v>
      </c>
      <c r="N805" s="743">
        <f t="shared" si="179"/>
        <v>0</v>
      </c>
      <c r="O805" s="52"/>
      <c r="P805" s="52">
        <f t="shared" si="176"/>
        <v>0</v>
      </c>
      <c r="Q805" s="52">
        <f t="shared" si="180"/>
        <v>0</v>
      </c>
      <c r="R805" s="52">
        <f t="shared" si="180"/>
        <v>0</v>
      </c>
      <c r="S805" s="52">
        <f t="shared" si="181"/>
        <v>0</v>
      </c>
      <c r="T805" s="52">
        <f t="shared" ref="T805:Z814" si="182">SUMIFS(T$27:T$615,$J$27:$J$615,$J805,$H$27:$H$615,"1")</f>
        <v>0</v>
      </c>
      <c r="U805" s="52">
        <f t="shared" si="182"/>
        <v>0</v>
      </c>
      <c r="V805" s="52">
        <f t="shared" si="182"/>
        <v>0</v>
      </c>
      <c r="W805" s="52">
        <f t="shared" si="182"/>
        <v>0</v>
      </c>
      <c r="X805" s="52">
        <f t="shared" si="182"/>
        <v>0</v>
      </c>
      <c r="Y805" s="52">
        <f t="shared" si="182"/>
        <v>0</v>
      </c>
      <c r="Z805" s="195">
        <f t="shared" si="182"/>
        <v>0</v>
      </c>
    </row>
    <row r="806" spans="1:26" s="236" customFormat="1" x14ac:dyDescent="0.2">
      <c r="A806" s="50"/>
      <c r="B806" s="51"/>
      <c r="C806" s="241">
        <f t="shared" ref="C806:C837" si="183">COUNTIFS($I$27:$I$615,$I806,$H$27:$H$615,"1")</f>
        <v>0</v>
      </c>
      <c r="D806" s="51"/>
      <c r="E806" s="51"/>
      <c r="F806" s="51"/>
      <c r="G806" s="51"/>
      <c r="H806" s="51"/>
      <c r="I806" s="73"/>
      <c r="J806" s="51" t="s">
        <v>948</v>
      </c>
      <c r="K806" s="52"/>
      <c r="L806" s="52">
        <f t="shared" si="178"/>
        <v>0</v>
      </c>
      <c r="M806" s="52">
        <f t="shared" si="175"/>
        <v>0</v>
      </c>
      <c r="N806" s="743">
        <f t="shared" si="179"/>
        <v>0</v>
      </c>
      <c r="O806" s="52"/>
      <c r="P806" s="52">
        <f t="shared" si="176"/>
        <v>0</v>
      </c>
      <c r="Q806" s="52">
        <f t="shared" si="180"/>
        <v>0</v>
      </c>
      <c r="R806" s="52">
        <f t="shared" si="180"/>
        <v>0</v>
      </c>
      <c r="S806" s="52">
        <f t="shared" si="181"/>
        <v>0</v>
      </c>
      <c r="T806" s="52">
        <f t="shared" si="182"/>
        <v>0</v>
      </c>
      <c r="U806" s="52">
        <f t="shared" si="182"/>
        <v>0</v>
      </c>
      <c r="V806" s="52">
        <f t="shared" si="182"/>
        <v>0</v>
      </c>
      <c r="W806" s="52">
        <f t="shared" si="182"/>
        <v>0</v>
      </c>
      <c r="X806" s="52">
        <f t="shared" si="182"/>
        <v>0</v>
      </c>
      <c r="Y806" s="52">
        <f t="shared" si="182"/>
        <v>0</v>
      </c>
      <c r="Z806" s="195">
        <f t="shared" si="182"/>
        <v>0</v>
      </c>
    </row>
    <row r="807" spans="1:26" s="236" customFormat="1" x14ac:dyDescent="0.2">
      <c r="A807" s="50"/>
      <c r="B807" s="51"/>
      <c r="C807" s="241">
        <f t="shared" si="183"/>
        <v>0</v>
      </c>
      <c r="D807" s="51"/>
      <c r="E807" s="51"/>
      <c r="F807" s="51"/>
      <c r="G807" s="51"/>
      <c r="H807" s="51"/>
      <c r="I807" s="73"/>
      <c r="J807" s="51" t="s">
        <v>949</v>
      </c>
      <c r="K807" s="52"/>
      <c r="L807" s="52">
        <f t="shared" si="178"/>
        <v>0</v>
      </c>
      <c r="M807" s="52">
        <f t="shared" si="175"/>
        <v>0</v>
      </c>
      <c r="N807" s="743">
        <f t="shared" si="179"/>
        <v>0</v>
      </c>
      <c r="O807" s="52"/>
      <c r="P807" s="52">
        <f t="shared" si="176"/>
        <v>0</v>
      </c>
      <c r="Q807" s="52">
        <f t="shared" si="180"/>
        <v>0</v>
      </c>
      <c r="R807" s="52">
        <f t="shared" si="180"/>
        <v>0</v>
      </c>
      <c r="S807" s="52">
        <f t="shared" si="181"/>
        <v>0</v>
      </c>
      <c r="T807" s="52">
        <f t="shared" si="182"/>
        <v>0</v>
      </c>
      <c r="U807" s="52">
        <f t="shared" si="182"/>
        <v>0</v>
      </c>
      <c r="V807" s="52">
        <f t="shared" si="182"/>
        <v>0</v>
      </c>
      <c r="W807" s="52">
        <f t="shared" si="182"/>
        <v>0</v>
      </c>
      <c r="X807" s="52">
        <f t="shared" si="182"/>
        <v>0</v>
      </c>
      <c r="Y807" s="52">
        <f t="shared" si="182"/>
        <v>0</v>
      </c>
      <c r="Z807" s="195">
        <f t="shared" si="182"/>
        <v>0</v>
      </c>
    </row>
    <row r="808" spans="1:26" s="236" customFormat="1" x14ac:dyDescent="0.2">
      <c r="A808" s="50"/>
      <c r="B808" s="51"/>
      <c r="C808" s="241">
        <f t="shared" si="183"/>
        <v>0</v>
      </c>
      <c r="D808" s="51"/>
      <c r="E808" s="51"/>
      <c r="F808" s="51"/>
      <c r="G808" s="51"/>
      <c r="H808" s="51"/>
      <c r="I808" s="73"/>
      <c r="J808" s="51" t="s">
        <v>132</v>
      </c>
      <c r="K808" s="52"/>
      <c r="L808" s="52">
        <f t="shared" si="178"/>
        <v>0</v>
      </c>
      <c r="M808" s="52">
        <f t="shared" si="175"/>
        <v>0</v>
      </c>
      <c r="N808" s="743">
        <f t="shared" si="179"/>
        <v>0</v>
      </c>
      <c r="O808" s="52"/>
      <c r="P808" s="52">
        <f t="shared" si="176"/>
        <v>0</v>
      </c>
      <c r="Q808" s="52">
        <f t="shared" si="180"/>
        <v>0</v>
      </c>
      <c r="R808" s="52">
        <f t="shared" si="180"/>
        <v>0</v>
      </c>
      <c r="S808" s="52">
        <f t="shared" si="181"/>
        <v>0</v>
      </c>
      <c r="T808" s="52">
        <f t="shared" si="182"/>
        <v>0</v>
      </c>
      <c r="U808" s="52">
        <f t="shared" si="182"/>
        <v>0</v>
      </c>
      <c r="V808" s="52">
        <f t="shared" si="182"/>
        <v>0</v>
      </c>
      <c r="W808" s="52">
        <f t="shared" si="182"/>
        <v>0</v>
      </c>
      <c r="X808" s="52">
        <f t="shared" si="182"/>
        <v>0</v>
      </c>
      <c r="Y808" s="52">
        <f t="shared" si="182"/>
        <v>0</v>
      </c>
      <c r="Z808" s="195">
        <f t="shared" si="182"/>
        <v>0</v>
      </c>
    </row>
    <row r="809" spans="1:26" s="236" customFormat="1" x14ac:dyDescent="0.2">
      <c r="A809" s="50"/>
      <c r="B809" s="51"/>
      <c r="C809" s="241">
        <f t="shared" si="183"/>
        <v>0</v>
      </c>
      <c r="D809" s="51"/>
      <c r="E809" s="51"/>
      <c r="F809" s="51"/>
      <c r="G809" s="51"/>
      <c r="H809" s="51"/>
      <c r="I809" s="73"/>
      <c r="J809" s="51" t="s">
        <v>121</v>
      </c>
      <c r="K809" s="52"/>
      <c r="L809" s="52">
        <f t="shared" si="178"/>
        <v>0</v>
      </c>
      <c r="M809" s="52">
        <f t="shared" si="175"/>
        <v>0</v>
      </c>
      <c r="N809" s="743">
        <f t="shared" si="179"/>
        <v>0</v>
      </c>
      <c r="O809" s="52"/>
      <c r="P809" s="52">
        <f t="shared" si="176"/>
        <v>0</v>
      </c>
      <c r="Q809" s="52">
        <f t="shared" si="180"/>
        <v>0</v>
      </c>
      <c r="R809" s="52">
        <f t="shared" si="180"/>
        <v>0</v>
      </c>
      <c r="S809" s="52">
        <f t="shared" si="181"/>
        <v>0</v>
      </c>
      <c r="T809" s="52">
        <f t="shared" si="182"/>
        <v>0</v>
      </c>
      <c r="U809" s="52">
        <f t="shared" si="182"/>
        <v>0</v>
      </c>
      <c r="V809" s="52">
        <f t="shared" si="182"/>
        <v>0</v>
      </c>
      <c r="W809" s="52">
        <f t="shared" si="182"/>
        <v>0</v>
      </c>
      <c r="X809" s="52">
        <f t="shared" si="182"/>
        <v>0</v>
      </c>
      <c r="Y809" s="52">
        <f t="shared" si="182"/>
        <v>0</v>
      </c>
      <c r="Z809" s="195">
        <f t="shared" si="182"/>
        <v>0</v>
      </c>
    </row>
    <row r="810" spans="1:26" s="236" customFormat="1" x14ac:dyDescent="0.2">
      <c r="A810" s="50"/>
      <c r="B810" s="51"/>
      <c r="C810" s="241">
        <f t="shared" si="183"/>
        <v>0</v>
      </c>
      <c r="D810" s="51"/>
      <c r="E810" s="51"/>
      <c r="F810" s="51"/>
      <c r="G810" s="51"/>
      <c r="H810" s="51"/>
      <c r="I810" s="73"/>
      <c r="J810" s="51" t="s">
        <v>131</v>
      </c>
      <c r="K810" s="52"/>
      <c r="L810" s="52">
        <f t="shared" si="178"/>
        <v>0</v>
      </c>
      <c r="M810" s="52">
        <f t="shared" si="175"/>
        <v>0</v>
      </c>
      <c r="N810" s="743">
        <f t="shared" si="179"/>
        <v>0</v>
      </c>
      <c r="O810" s="52"/>
      <c r="P810" s="52">
        <f t="shared" si="176"/>
        <v>0</v>
      </c>
      <c r="Q810" s="52">
        <f t="shared" si="180"/>
        <v>0</v>
      </c>
      <c r="R810" s="52">
        <f t="shared" si="180"/>
        <v>0</v>
      </c>
      <c r="S810" s="52">
        <f t="shared" si="181"/>
        <v>0</v>
      </c>
      <c r="T810" s="52">
        <f t="shared" si="182"/>
        <v>0</v>
      </c>
      <c r="U810" s="52">
        <f t="shared" si="182"/>
        <v>0</v>
      </c>
      <c r="V810" s="52">
        <f t="shared" si="182"/>
        <v>0</v>
      </c>
      <c r="W810" s="52">
        <f t="shared" si="182"/>
        <v>0</v>
      </c>
      <c r="X810" s="52">
        <f t="shared" si="182"/>
        <v>0</v>
      </c>
      <c r="Y810" s="52">
        <f t="shared" si="182"/>
        <v>0</v>
      </c>
      <c r="Z810" s="195">
        <f t="shared" si="182"/>
        <v>0</v>
      </c>
    </row>
    <row r="811" spans="1:26" s="236" customFormat="1" x14ac:dyDescent="0.2">
      <c r="A811" s="50"/>
      <c r="B811" s="51"/>
      <c r="C811" s="241">
        <f t="shared" si="183"/>
        <v>0</v>
      </c>
      <c r="D811" s="51"/>
      <c r="E811" s="51"/>
      <c r="F811" s="51"/>
      <c r="G811" s="51"/>
      <c r="H811" s="51"/>
      <c r="I811" s="73"/>
      <c r="J811" s="51" t="s">
        <v>967</v>
      </c>
      <c r="K811" s="52"/>
      <c r="L811" s="52">
        <f t="shared" si="178"/>
        <v>0</v>
      </c>
      <c r="M811" s="52">
        <f t="shared" si="175"/>
        <v>0</v>
      </c>
      <c r="N811" s="743">
        <f t="shared" si="179"/>
        <v>0</v>
      </c>
      <c r="O811" s="52"/>
      <c r="P811" s="52">
        <f t="shared" si="176"/>
        <v>0</v>
      </c>
      <c r="Q811" s="52">
        <f t="shared" si="180"/>
        <v>0</v>
      </c>
      <c r="R811" s="52">
        <f t="shared" si="180"/>
        <v>0</v>
      </c>
      <c r="S811" s="52">
        <f t="shared" si="181"/>
        <v>0</v>
      </c>
      <c r="T811" s="52">
        <f t="shared" si="182"/>
        <v>0</v>
      </c>
      <c r="U811" s="52">
        <f t="shared" si="182"/>
        <v>0</v>
      </c>
      <c r="V811" s="52">
        <f t="shared" si="182"/>
        <v>0</v>
      </c>
      <c r="W811" s="52">
        <f t="shared" si="182"/>
        <v>0</v>
      </c>
      <c r="X811" s="52">
        <f t="shared" si="182"/>
        <v>0</v>
      </c>
      <c r="Y811" s="52">
        <f t="shared" si="182"/>
        <v>0</v>
      </c>
      <c r="Z811" s="195">
        <f t="shared" si="182"/>
        <v>0</v>
      </c>
    </row>
    <row r="812" spans="1:26" s="236" customFormat="1" x14ac:dyDescent="0.2">
      <c r="A812" s="50"/>
      <c r="B812" s="51"/>
      <c r="C812" s="241">
        <f t="shared" si="183"/>
        <v>0</v>
      </c>
      <c r="D812" s="51"/>
      <c r="E812" s="51"/>
      <c r="F812" s="51"/>
      <c r="G812" s="51"/>
      <c r="H812" s="51"/>
      <c r="I812" s="73"/>
      <c r="J812" s="51" t="s">
        <v>118</v>
      </c>
      <c r="K812" s="52"/>
      <c r="L812" s="52">
        <f t="shared" si="178"/>
        <v>0</v>
      </c>
      <c r="M812" s="52">
        <f t="shared" si="175"/>
        <v>0</v>
      </c>
      <c r="N812" s="743">
        <f t="shared" si="179"/>
        <v>0</v>
      </c>
      <c r="O812" s="52"/>
      <c r="P812" s="52">
        <f t="shared" si="176"/>
        <v>0</v>
      </c>
      <c r="Q812" s="52">
        <f t="shared" si="180"/>
        <v>0</v>
      </c>
      <c r="R812" s="52">
        <f t="shared" si="180"/>
        <v>0</v>
      </c>
      <c r="S812" s="52">
        <f t="shared" si="181"/>
        <v>0</v>
      </c>
      <c r="T812" s="52">
        <f t="shared" si="182"/>
        <v>0</v>
      </c>
      <c r="U812" s="52">
        <f t="shared" si="182"/>
        <v>0</v>
      </c>
      <c r="V812" s="52">
        <f t="shared" si="182"/>
        <v>0</v>
      </c>
      <c r="W812" s="52">
        <f t="shared" si="182"/>
        <v>0</v>
      </c>
      <c r="X812" s="52">
        <f t="shared" si="182"/>
        <v>0</v>
      </c>
      <c r="Y812" s="52">
        <f t="shared" si="182"/>
        <v>0</v>
      </c>
      <c r="Z812" s="195">
        <f t="shared" si="182"/>
        <v>0</v>
      </c>
    </row>
    <row r="813" spans="1:26" s="236" customFormat="1" x14ac:dyDescent="0.2">
      <c r="A813" s="50"/>
      <c r="B813" s="51"/>
      <c r="C813" s="241">
        <f t="shared" si="183"/>
        <v>0</v>
      </c>
      <c r="D813" s="51"/>
      <c r="E813" s="51"/>
      <c r="F813" s="51"/>
      <c r="G813" s="51"/>
      <c r="H813" s="51"/>
      <c r="I813" s="73"/>
      <c r="J813" s="51" t="s">
        <v>971</v>
      </c>
      <c r="K813" s="52"/>
      <c r="L813" s="52">
        <f t="shared" si="178"/>
        <v>0</v>
      </c>
      <c r="M813" s="52">
        <f t="shared" si="175"/>
        <v>0</v>
      </c>
      <c r="N813" s="743">
        <f t="shared" si="179"/>
        <v>0</v>
      </c>
      <c r="O813" s="52"/>
      <c r="P813" s="52">
        <f t="shared" si="176"/>
        <v>0</v>
      </c>
      <c r="Q813" s="52">
        <f t="shared" si="180"/>
        <v>0</v>
      </c>
      <c r="R813" s="52">
        <f t="shared" si="180"/>
        <v>0</v>
      </c>
      <c r="S813" s="52">
        <f t="shared" si="181"/>
        <v>0</v>
      </c>
      <c r="T813" s="52">
        <f t="shared" si="182"/>
        <v>0</v>
      </c>
      <c r="U813" s="52">
        <f t="shared" si="182"/>
        <v>0</v>
      </c>
      <c r="V813" s="52">
        <f t="shared" si="182"/>
        <v>0</v>
      </c>
      <c r="W813" s="52">
        <f t="shared" si="182"/>
        <v>0</v>
      </c>
      <c r="X813" s="52">
        <f t="shared" si="182"/>
        <v>0</v>
      </c>
      <c r="Y813" s="52">
        <f t="shared" si="182"/>
        <v>0</v>
      </c>
      <c r="Z813" s="195">
        <f t="shared" si="182"/>
        <v>0</v>
      </c>
    </row>
    <row r="814" spans="1:26" s="236" customFormat="1" x14ac:dyDescent="0.2">
      <c r="A814" s="50"/>
      <c r="B814" s="51"/>
      <c r="C814" s="241">
        <f t="shared" si="183"/>
        <v>0</v>
      </c>
      <c r="D814" s="51"/>
      <c r="E814" s="51"/>
      <c r="F814" s="51"/>
      <c r="G814" s="51"/>
      <c r="H814" s="51"/>
      <c r="I814" s="73"/>
      <c r="J814" s="51" t="s">
        <v>957</v>
      </c>
      <c r="K814" s="52"/>
      <c r="L814" s="52">
        <f t="shared" si="178"/>
        <v>8320</v>
      </c>
      <c r="M814" s="52">
        <f t="shared" si="175"/>
        <v>0</v>
      </c>
      <c r="N814" s="743">
        <f t="shared" si="179"/>
        <v>18984.576000000001</v>
      </c>
      <c r="O814" s="52"/>
      <c r="P814" s="52">
        <f t="shared" si="176"/>
        <v>0</v>
      </c>
      <c r="Q814" s="52">
        <f t="shared" si="180"/>
        <v>6293.3869439999999</v>
      </c>
      <c r="R814" s="52">
        <f t="shared" si="180"/>
        <v>275.27635199999997</v>
      </c>
      <c r="S814" s="52">
        <f t="shared" si="181"/>
        <v>0</v>
      </c>
      <c r="T814" s="52">
        <f t="shared" si="182"/>
        <v>0</v>
      </c>
      <c r="U814" s="52">
        <f t="shared" si="182"/>
        <v>0</v>
      </c>
      <c r="V814" s="52">
        <f t="shared" si="182"/>
        <v>0</v>
      </c>
      <c r="W814" s="52">
        <f t="shared" si="182"/>
        <v>25553.239296</v>
      </c>
      <c r="X814" s="52">
        <f t="shared" si="182"/>
        <v>0</v>
      </c>
      <c r="Y814" s="52">
        <f t="shared" si="182"/>
        <v>0</v>
      </c>
      <c r="Z814" s="195">
        <f t="shared" si="182"/>
        <v>25553.239296</v>
      </c>
    </row>
    <row r="815" spans="1:26" s="236" customFormat="1" x14ac:dyDescent="0.2">
      <c r="A815" s="50"/>
      <c r="B815" s="51"/>
      <c r="C815" s="241">
        <f t="shared" si="183"/>
        <v>0</v>
      </c>
      <c r="D815" s="51"/>
      <c r="E815" s="51"/>
      <c r="F815" s="51"/>
      <c r="G815" s="51"/>
      <c r="H815" s="51"/>
      <c r="I815" s="73"/>
      <c r="J815" s="51" t="s">
        <v>97</v>
      </c>
      <c r="K815" s="52"/>
      <c r="L815" s="52">
        <f t="shared" si="178"/>
        <v>8320</v>
      </c>
      <c r="M815" s="52">
        <f t="shared" si="175"/>
        <v>0</v>
      </c>
      <c r="N815" s="743">
        <f t="shared" si="179"/>
        <v>5908.2400000000007</v>
      </c>
      <c r="O815" s="52"/>
      <c r="P815" s="52">
        <f t="shared" si="176"/>
        <v>0</v>
      </c>
      <c r="Q815" s="52">
        <f t="shared" si="180"/>
        <v>1958.5815600000003</v>
      </c>
      <c r="R815" s="52">
        <f t="shared" si="180"/>
        <v>85.669480000000021</v>
      </c>
      <c r="S815" s="52">
        <f t="shared" si="181"/>
        <v>0</v>
      </c>
      <c r="T815" s="52">
        <f t="shared" ref="T815:Z824" si="184">SUMIFS(T$27:T$615,$J$27:$J$615,$J815,$H$27:$H$615,"1")</f>
        <v>0</v>
      </c>
      <c r="U815" s="52">
        <f t="shared" si="184"/>
        <v>0</v>
      </c>
      <c r="V815" s="52">
        <f t="shared" si="184"/>
        <v>0</v>
      </c>
      <c r="W815" s="52">
        <f t="shared" si="184"/>
        <v>7952.4910400000008</v>
      </c>
      <c r="X815" s="52">
        <f t="shared" si="184"/>
        <v>0</v>
      </c>
      <c r="Y815" s="52">
        <f t="shared" si="184"/>
        <v>0</v>
      </c>
      <c r="Z815" s="195">
        <f t="shared" si="184"/>
        <v>7952.4910400000008</v>
      </c>
    </row>
    <row r="816" spans="1:26" s="236" customFormat="1" x14ac:dyDescent="0.2">
      <c r="A816" s="50"/>
      <c r="B816" s="51"/>
      <c r="C816" s="241">
        <f t="shared" si="183"/>
        <v>0</v>
      </c>
      <c r="D816" s="51"/>
      <c r="E816" s="51"/>
      <c r="F816" s="51"/>
      <c r="G816" s="51"/>
      <c r="H816" s="51"/>
      <c r="I816" s="73"/>
      <c r="J816" s="51" t="s">
        <v>49</v>
      </c>
      <c r="K816" s="52"/>
      <c r="L816" s="52">
        <f t="shared" si="178"/>
        <v>4160</v>
      </c>
      <c r="M816" s="52">
        <f t="shared" si="175"/>
        <v>0</v>
      </c>
      <c r="N816" s="743">
        <f t="shared" si="179"/>
        <v>9413.0400000000009</v>
      </c>
      <c r="O816" s="52"/>
      <c r="P816" s="52">
        <f t="shared" si="176"/>
        <v>0</v>
      </c>
      <c r="Q816" s="52">
        <f t="shared" si="180"/>
        <v>3120.4227600000004</v>
      </c>
      <c r="R816" s="52">
        <f t="shared" si="180"/>
        <v>136.48908000000003</v>
      </c>
      <c r="S816" s="52">
        <f t="shared" si="181"/>
        <v>0</v>
      </c>
      <c r="T816" s="52">
        <f t="shared" si="184"/>
        <v>8379.84</v>
      </c>
      <c r="U816" s="52">
        <f t="shared" si="184"/>
        <v>400.32</v>
      </c>
      <c r="V816" s="52">
        <f t="shared" si="184"/>
        <v>0</v>
      </c>
      <c r="W816" s="52">
        <f t="shared" si="184"/>
        <v>21450.111840000001</v>
      </c>
      <c r="X816" s="52">
        <f t="shared" si="184"/>
        <v>0</v>
      </c>
      <c r="Y816" s="52">
        <f t="shared" si="184"/>
        <v>0</v>
      </c>
      <c r="Z816" s="195">
        <f t="shared" si="184"/>
        <v>21450.111840000001</v>
      </c>
    </row>
    <row r="817" spans="1:26" s="236" customFormat="1" x14ac:dyDescent="0.2">
      <c r="A817" s="50"/>
      <c r="B817" s="51"/>
      <c r="C817" s="241">
        <f t="shared" si="183"/>
        <v>0</v>
      </c>
      <c r="D817" s="51"/>
      <c r="E817" s="51"/>
      <c r="F817" s="51"/>
      <c r="G817" s="51"/>
      <c r="H817" s="51"/>
      <c r="I817" s="73"/>
      <c r="J817" s="51" t="s">
        <v>1017</v>
      </c>
      <c r="K817" s="52"/>
      <c r="L817" s="52">
        <f t="shared" si="178"/>
        <v>0</v>
      </c>
      <c r="M817" s="52">
        <f t="shared" si="175"/>
        <v>0</v>
      </c>
      <c r="N817" s="743">
        <f t="shared" si="179"/>
        <v>0</v>
      </c>
      <c r="O817" s="52"/>
      <c r="P817" s="52">
        <f t="shared" si="176"/>
        <v>0</v>
      </c>
      <c r="Q817" s="52">
        <f t="shared" si="180"/>
        <v>0</v>
      </c>
      <c r="R817" s="52">
        <f t="shared" si="180"/>
        <v>0</v>
      </c>
      <c r="S817" s="52">
        <f t="shared" si="181"/>
        <v>0</v>
      </c>
      <c r="T817" s="52">
        <f t="shared" si="184"/>
        <v>0</v>
      </c>
      <c r="U817" s="52">
        <f t="shared" si="184"/>
        <v>0</v>
      </c>
      <c r="V817" s="52">
        <f t="shared" si="184"/>
        <v>0</v>
      </c>
      <c r="W817" s="52">
        <f t="shared" si="184"/>
        <v>0</v>
      </c>
      <c r="X817" s="52">
        <f t="shared" si="184"/>
        <v>0</v>
      </c>
      <c r="Y817" s="52">
        <f t="shared" si="184"/>
        <v>0</v>
      </c>
      <c r="Z817" s="195">
        <f t="shared" si="184"/>
        <v>0</v>
      </c>
    </row>
    <row r="818" spans="1:26" s="236" customFormat="1" x14ac:dyDescent="0.2">
      <c r="A818" s="50"/>
      <c r="B818" s="51"/>
      <c r="C818" s="241">
        <f t="shared" si="183"/>
        <v>0</v>
      </c>
      <c r="D818" s="51"/>
      <c r="E818" s="51"/>
      <c r="F818" s="51"/>
      <c r="G818" s="51"/>
      <c r="H818" s="51"/>
      <c r="I818" s="73"/>
      <c r="J818" s="51" t="s">
        <v>1018</v>
      </c>
      <c r="K818" s="52"/>
      <c r="L818" s="52">
        <f t="shared" si="178"/>
        <v>0</v>
      </c>
      <c r="M818" s="52">
        <f t="shared" si="175"/>
        <v>0</v>
      </c>
      <c r="N818" s="743">
        <f t="shared" si="179"/>
        <v>0</v>
      </c>
      <c r="O818" s="52"/>
      <c r="P818" s="52">
        <f t="shared" si="176"/>
        <v>0</v>
      </c>
      <c r="Q818" s="52">
        <f t="shared" si="180"/>
        <v>0</v>
      </c>
      <c r="R818" s="52">
        <f t="shared" si="180"/>
        <v>0</v>
      </c>
      <c r="S818" s="52">
        <f t="shared" si="181"/>
        <v>0</v>
      </c>
      <c r="T818" s="52">
        <f t="shared" si="184"/>
        <v>0</v>
      </c>
      <c r="U818" s="52">
        <f t="shared" si="184"/>
        <v>0</v>
      </c>
      <c r="V818" s="52">
        <f t="shared" si="184"/>
        <v>0</v>
      </c>
      <c r="W818" s="52">
        <f t="shared" si="184"/>
        <v>0</v>
      </c>
      <c r="X818" s="52">
        <f t="shared" si="184"/>
        <v>0</v>
      </c>
      <c r="Y818" s="52">
        <f t="shared" si="184"/>
        <v>0</v>
      </c>
      <c r="Z818" s="195">
        <f t="shared" si="184"/>
        <v>0</v>
      </c>
    </row>
    <row r="819" spans="1:26" s="236" customFormat="1" x14ac:dyDescent="0.2">
      <c r="A819" s="50"/>
      <c r="B819" s="51"/>
      <c r="C819" s="241">
        <f t="shared" si="183"/>
        <v>0</v>
      </c>
      <c r="D819" s="51"/>
      <c r="E819" s="51"/>
      <c r="F819" s="51"/>
      <c r="G819" s="51"/>
      <c r="H819" s="51"/>
      <c r="I819" s="73"/>
      <c r="J819" s="51" t="s">
        <v>928</v>
      </c>
      <c r="K819" s="52"/>
      <c r="L819" s="52">
        <f t="shared" si="178"/>
        <v>10400</v>
      </c>
      <c r="M819" s="52">
        <f t="shared" ref="M819:M854" si="185">SUMIFS(M$27:M$615,$J$27:$J$615,$J819,$H$27:$H$615,"1")</f>
        <v>0</v>
      </c>
      <c r="N819" s="743">
        <f t="shared" si="179"/>
        <v>23326.784</v>
      </c>
      <c r="O819" s="52"/>
      <c r="P819" s="52">
        <f t="shared" ref="P819:P854" si="186">SUMIFS(P$27:P$615,$J$27:$J$615,$J819,$H$27:$H$615,"1")</f>
        <v>0</v>
      </c>
      <c r="Q819" s="52">
        <f t="shared" si="180"/>
        <v>7732.828896</v>
      </c>
      <c r="R819" s="52">
        <f t="shared" si="180"/>
        <v>338.23836800000004</v>
      </c>
      <c r="S819" s="52">
        <f t="shared" si="181"/>
        <v>0</v>
      </c>
      <c r="T819" s="52">
        <f t="shared" si="184"/>
        <v>0</v>
      </c>
      <c r="U819" s="52">
        <f t="shared" si="184"/>
        <v>0</v>
      </c>
      <c r="V819" s="52">
        <f t="shared" si="184"/>
        <v>0</v>
      </c>
      <c r="W819" s="52">
        <f t="shared" si="184"/>
        <v>31397.851263999997</v>
      </c>
      <c r="X819" s="52">
        <f t="shared" si="184"/>
        <v>0</v>
      </c>
      <c r="Y819" s="52">
        <f t="shared" si="184"/>
        <v>0</v>
      </c>
      <c r="Z819" s="195">
        <f t="shared" si="184"/>
        <v>31397.851263999997</v>
      </c>
    </row>
    <row r="820" spans="1:26" s="236" customFormat="1" x14ac:dyDescent="0.2">
      <c r="A820" s="50"/>
      <c r="B820" s="51"/>
      <c r="C820" s="241">
        <f t="shared" si="183"/>
        <v>0</v>
      </c>
      <c r="D820" s="51"/>
      <c r="E820" s="51"/>
      <c r="F820" s="51"/>
      <c r="G820" s="51"/>
      <c r="H820" s="51"/>
      <c r="I820" s="73"/>
      <c r="J820" s="51" t="s">
        <v>946</v>
      </c>
      <c r="K820" s="52"/>
      <c r="L820" s="52">
        <f t="shared" si="178"/>
        <v>0</v>
      </c>
      <c r="M820" s="52">
        <f t="shared" si="185"/>
        <v>0</v>
      </c>
      <c r="N820" s="743">
        <f t="shared" si="179"/>
        <v>0</v>
      </c>
      <c r="O820" s="52"/>
      <c r="P820" s="52">
        <f t="shared" si="186"/>
        <v>0</v>
      </c>
      <c r="Q820" s="52">
        <f t="shared" si="180"/>
        <v>0</v>
      </c>
      <c r="R820" s="52">
        <f t="shared" si="180"/>
        <v>0</v>
      </c>
      <c r="S820" s="52">
        <f t="shared" si="181"/>
        <v>0</v>
      </c>
      <c r="T820" s="52">
        <f t="shared" si="184"/>
        <v>0</v>
      </c>
      <c r="U820" s="52">
        <f t="shared" si="184"/>
        <v>0</v>
      </c>
      <c r="V820" s="52">
        <f t="shared" si="184"/>
        <v>0</v>
      </c>
      <c r="W820" s="52">
        <f t="shared" si="184"/>
        <v>0</v>
      </c>
      <c r="X820" s="52">
        <f t="shared" si="184"/>
        <v>0</v>
      </c>
      <c r="Y820" s="52">
        <f t="shared" si="184"/>
        <v>0</v>
      </c>
      <c r="Z820" s="195">
        <f t="shared" si="184"/>
        <v>0</v>
      </c>
    </row>
    <row r="821" spans="1:26" s="236" customFormat="1" x14ac:dyDescent="0.2">
      <c r="A821" s="50"/>
      <c r="B821" s="51"/>
      <c r="C821" s="241">
        <f t="shared" si="183"/>
        <v>0</v>
      </c>
      <c r="D821" s="51"/>
      <c r="E821" s="51"/>
      <c r="F821" s="51"/>
      <c r="G821" s="51"/>
      <c r="H821" s="51"/>
      <c r="I821" s="73"/>
      <c r="J821" s="51" t="s">
        <v>947</v>
      </c>
      <c r="K821" s="52"/>
      <c r="L821" s="52">
        <f t="shared" si="178"/>
        <v>6240</v>
      </c>
      <c r="M821" s="52">
        <f t="shared" si="185"/>
        <v>0</v>
      </c>
      <c r="N821" s="743">
        <f t="shared" si="179"/>
        <v>83364.527999999991</v>
      </c>
      <c r="O821" s="52"/>
      <c r="P821" s="52">
        <f t="shared" si="186"/>
        <v>0</v>
      </c>
      <c r="Q821" s="52">
        <f t="shared" si="180"/>
        <v>27635.341031999997</v>
      </c>
      <c r="R821" s="52">
        <f t="shared" si="180"/>
        <v>1208.785656</v>
      </c>
      <c r="S821" s="52">
        <f t="shared" si="181"/>
        <v>0</v>
      </c>
      <c r="T821" s="52">
        <f t="shared" si="184"/>
        <v>8379.84</v>
      </c>
      <c r="U821" s="52">
        <f t="shared" si="184"/>
        <v>323.04000000000002</v>
      </c>
      <c r="V821" s="52">
        <f t="shared" si="184"/>
        <v>0</v>
      </c>
      <c r="W821" s="52">
        <f t="shared" si="184"/>
        <v>120911.53468799999</v>
      </c>
      <c r="X821" s="52">
        <f t="shared" si="184"/>
        <v>0</v>
      </c>
      <c r="Y821" s="52">
        <f t="shared" si="184"/>
        <v>0</v>
      </c>
      <c r="Z821" s="195">
        <f t="shared" si="184"/>
        <v>120911.53468799999</v>
      </c>
    </row>
    <row r="822" spans="1:26" s="236" customFormat="1" x14ac:dyDescent="0.2">
      <c r="A822" s="50"/>
      <c r="B822" s="51"/>
      <c r="C822" s="241">
        <f t="shared" si="183"/>
        <v>0</v>
      </c>
      <c r="D822" s="51"/>
      <c r="E822" s="51"/>
      <c r="F822" s="51"/>
      <c r="G822" s="51"/>
      <c r="H822" s="51"/>
      <c r="I822" s="73"/>
      <c r="J822" s="51" t="s">
        <v>1020</v>
      </c>
      <c r="K822" s="52"/>
      <c r="L822" s="52">
        <f t="shared" si="178"/>
        <v>0</v>
      </c>
      <c r="M822" s="52">
        <f t="shared" si="185"/>
        <v>0</v>
      </c>
      <c r="N822" s="743">
        <f t="shared" si="179"/>
        <v>0</v>
      </c>
      <c r="O822" s="52"/>
      <c r="P822" s="52">
        <f t="shared" si="186"/>
        <v>0</v>
      </c>
      <c r="Q822" s="52">
        <f t="shared" ref="Q822:R841" si="187">SUMIFS(Q$27:Q$615,$J$27:$J$615,$J822,$H$27:$H$615,"1")</f>
        <v>0</v>
      </c>
      <c r="R822" s="52">
        <f t="shared" si="187"/>
        <v>0</v>
      </c>
      <c r="S822" s="52">
        <f t="shared" si="181"/>
        <v>0</v>
      </c>
      <c r="T822" s="52">
        <f t="shared" si="184"/>
        <v>0</v>
      </c>
      <c r="U822" s="52">
        <f t="shared" si="184"/>
        <v>0</v>
      </c>
      <c r="V822" s="52">
        <f t="shared" si="184"/>
        <v>0</v>
      </c>
      <c r="W822" s="52">
        <f t="shared" si="184"/>
        <v>0</v>
      </c>
      <c r="X822" s="52">
        <f t="shared" si="184"/>
        <v>0</v>
      </c>
      <c r="Y822" s="52">
        <f t="shared" si="184"/>
        <v>0</v>
      </c>
      <c r="Z822" s="195">
        <f t="shared" si="184"/>
        <v>0</v>
      </c>
    </row>
    <row r="823" spans="1:26" s="236" customFormat="1" x14ac:dyDescent="0.2">
      <c r="A823" s="50"/>
      <c r="B823" s="51"/>
      <c r="C823" s="241">
        <f t="shared" si="183"/>
        <v>0</v>
      </c>
      <c r="D823" s="51"/>
      <c r="E823" s="51"/>
      <c r="F823" s="51"/>
      <c r="G823" s="51"/>
      <c r="H823" s="51"/>
      <c r="I823" s="73"/>
      <c r="J823" s="51" t="s">
        <v>1021</v>
      </c>
      <c r="K823" s="52"/>
      <c r="L823" s="52">
        <f t="shared" si="178"/>
        <v>0</v>
      </c>
      <c r="M823" s="52">
        <f t="shared" si="185"/>
        <v>0</v>
      </c>
      <c r="N823" s="743">
        <f t="shared" si="179"/>
        <v>0</v>
      </c>
      <c r="O823" s="52"/>
      <c r="P823" s="52">
        <f t="shared" si="186"/>
        <v>0</v>
      </c>
      <c r="Q823" s="52">
        <f t="shared" si="187"/>
        <v>0</v>
      </c>
      <c r="R823" s="52">
        <f t="shared" si="187"/>
        <v>0</v>
      </c>
      <c r="S823" s="52">
        <f t="shared" si="181"/>
        <v>0</v>
      </c>
      <c r="T823" s="52">
        <f t="shared" si="184"/>
        <v>0</v>
      </c>
      <c r="U823" s="52">
        <f t="shared" si="184"/>
        <v>0</v>
      </c>
      <c r="V823" s="52">
        <f t="shared" si="184"/>
        <v>0</v>
      </c>
      <c r="W823" s="52">
        <f t="shared" si="184"/>
        <v>0</v>
      </c>
      <c r="X823" s="52">
        <f t="shared" si="184"/>
        <v>0</v>
      </c>
      <c r="Y823" s="52">
        <f t="shared" si="184"/>
        <v>0</v>
      </c>
      <c r="Z823" s="195">
        <f t="shared" si="184"/>
        <v>0</v>
      </c>
    </row>
    <row r="824" spans="1:26" s="236" customFormat="1" x14ac:dyDescent="0.2">
      <c r="A824" s="50"/>
      <c r="B824" s="51"/>
      <c r="C824" s="241">
        <f t="shared" si="183"/>
        <v>0</v>
      </c>
      <c r="D824" s="51"/>
      <c r="E824" s="51"/>
      <c r="F824" s="51"/>
      <c r="G824" s="51"/>
      <c r="H824" s="51"/>
      <c r="I824" s="73"/>
      <c r="J824" s="51" t="s">
        <v>489</v>
      </c>
      <c r="K824" s="52"/>
      <c r="L824" s="52">
        <f t="shared" si="178"/>
        <v>0</v>
      </c>
      <c r="M824" s="52">
        <f t="shared" si="185"/>
        <v>0</v>
      </c>
      <c r="N824" s="743">
        <f t="shared" si="179"/>
        <v>0</v>
      </c>
      <c r="O824" s="52"/>
      <c r="P824" s="52">
        <f t="shared" si="186"/>
        <v>0</v>
      </c>
      <c r="Q824" s="52">
        <f t="shared" si="187"/>
        <v>0</v>
      </c>
      <c r="R824" s="52">
        <f t="shared" si="187"/>
        <v>0</v>
      </c>
      <c r="S824" s="52">
        <f t="shared" si="181"/>
        <v>0</v>
      </c>
      <c r="T824" s="52">
        <f t="shared" si="184"/>
        <v>0</v>
      </c>
      <c r="U824" s="52">
        <f t="shared" si="184"/>
        <v>0</v>
      </c>
      <c r="V824" s="52">
        <f t="shared" si="184"/>
        <v>0</v>
      </c>
      <c r="W824" s="52">
        <f t="shared" si="184"/>
        <v>0</v>
      </c>
      <c r="X824" s="52">
        <f t="shared" si="184"/>
        <v>0</v>
      </c>
      <c r="Y824" s="52">
        <f t="shared" si="184"/>
        <v>0</v>
      </c>
      <c r="Z824" s="195">
        <f t="shared" si="184"/>
        <v>0</v>
      </c>
    </row>
    <row r="825" spans="1:26" s="236" customFormat="1" x14ac:dyDescent="0.2">
      <c r="A825" s="50"/>
      <c r="B825" s="51"/>
      <c r="C825" s="241">
        <f t="shared" si="183"/>
        <v>0</v>
      </c>
      <c r="D825" s="51"/>
      <c r="E825" s="51"/>
      <c r="F825" s="51"/>
      <c r="G825" s="51"/>
      <c r="H825" s="51"/>
      <c r="I825" s="73"/>
      <c r="J825" s="51" t="s">
        <v>968</v>
      </c>
      <c r="K825" s="52"/>
      <c r="L825" s="52">
        <f t="shared" si="178"/>
        <v>0</v>
      </c>
      <c r="M825" s="52">
        <f t="shared" si="185"/>
        <v>0</v>
      </c>
      <c r="N825" s="743">
        <f t="shared" si="179"/>
        <v>0</v>
      </c>
      <c r="O825" s="52"/>
      <c r="P825" s="52">
        <f t="shared" si="186"/>
        <v>0</v>
      </c>
      <c r="Q825" s="52">
        <f t="shared" si="187"/>
        <v>0</v>
      </c>
      <c r="R825" s="52">
        <f t="shared" si="187"/>
        <v>0</v>
      </c>
      <c r="S825" s="52">
        <f t="shared" si="181"/>
        <v>0</v>
      </c>
      <c r="T825" s="52">
        <f t="shared" ref="T825:Z834" si="188">SUMIFS(T$27:T$615,$J$27:$J$615,$J825,$H$27:$H$615,"1")</f>
        <v>0</v>
      </c>
      <c r="U825" s="52">
        <f t="shared" si="188"/>
        <v>0</v>
      </c>
      <c r="V825" s="52">
        <f t="shared" si="188"/>
        <v>0</v>
      </c>
      <c r="W825" s="52">
        <f t="shared" si="188"/>
        <v>0</v>
      </c>
      <c r="X825" s="52">
        <f t="shared" si="188"/>
        <v>0</v>
      </c>
      <c r="Y825" s="52">
        <f t="shared" si="188"/>
        <v>0</v>
      </c>
      <c r="Z825" s="195">
        <f t="shared" si="188"/>
        <v>0</v>
      </c>
    </row>
    <row r="826" spans="1:26" s="236" customFormat="1" x14ac:dyDescent="0.2">
      <c r="A826" s="50"/>
      <c r="B826" s="51"/>
      <c r="C826" s="241">
        <f t="shared" si="183"/>
        <v>0</v>
      </c>
      <c r="D826" s="51"/>
      <c r="E826" s="51"/>
      <c r="F826" s="51"/>
      <c r="G826" s="51"/>
      <c r="H826" s="51"/>
      <c r="I826" s="73"/>
      <c r="J826" s="51" t="s">
        <v>98</v>
      </c>
      <c r="K826" s="52"/>
      <c r="L826" s="52">
        <f t="shared" si="178"/>
        <v>27040</v>
      </c>
      <c r="M826" s="52">
        <f t="shared" si="185"/>
        <v>0</v>
      </c>
      <c r="N826" s="743">
        <f t="shared" si="179"/>
        <v>497896.52899999998</v>
      </c>
      <c r="O826" s="52"/>
      <c r="P826" s="52">
        <f t="shared" si="186"/>
        <v>0</v>
      </c>
      <c r="Q826" s="52">
        <f t="shared" si="187"/>
        <v>165052.69936350003</v>
      </c>
      <c r="R826" s="52">
        <f t="shared" si="187"/>
        <v>7219.4996705000003</v>
      </c>
      <c r="S826" s="52">
        <f t="shared" si="181"/>
        <v>0</v>
      </c>
      <c r="T826" s="52">
        <f t="shared" si="188"/>
        <v>43441.440000000002</v>
      </c>
      <c r="U826" s="52">
        <f t="shared" si="188"/>
        <v>2526.7200000000003</v>
      </c>
      <c r="V826" s="52">
        <f t="shared" si="188"/>
        <v>0</v>
      </c>
      <c r="W826" s="52">
        <f t="shared" si="188"/>
        <v>716136.88803400006</v>
      </c>
      <c r="X826" s="52">
        <f t="shared" si="188"/>
        <v>0</v>
      </c>
      <c r="Y826" s="52">
        <f t="shared" si="188"/>
        <v>0</v>
      </c>
      <c r="Z826" s="195">
        <f t="shared" si="188"/>
        <v>716136.88803400006</v>
      </c>
    </row>
    <row r="827" spans="1:26" s="236" customFormat="1" x14ac:dyDescent="0.2">
      <c r="A827" s="50"/>
      <c r="B827" s="51"/>
      <c r="C827" s="241">
        <f t="shared" si="183"/>
        <v>0</v>
      </c>
      <c r="D827" s="51"/>
      <c r="E827" s="51"/>
      <c r="F827" s="51"/>
      <c r="G827" s="51"/>
      <c r="H827" s="51"/>
      <c r="I827" s="73"/>
      <c r="J827" s="51" t="s">
        <v>1048</v>
      </c>
      <c r="K827" s="52"/>
      <c r="L827" s="52">
        <f t="shared" si="178"/>
        <v>0</v>
      </c>
      <c r="M827" s="52">
        <f t="shared" si="185"/>
        <v>0</v>
      </c>
      <c r="N827" s="743">
        <f t="shared" si="179"/>
        <v>0</v>
      </c>
      <c r="O827" s="52"/>
      <c r="P827" s="52">
        <f t="shared" si="186"/>
        <v>0</v>
      </c>
      <c r="Q827" s="52">
        <f t="shared" si="187"/>
        <v>0</v>
      </c>
      <c r="R827" s="52">
        <f t="shared" si="187"/>
        <v>0</v>
      </c>
      <c r="S827" s="52">
        <f t="shared" si="181"/>
        <v>0</v>
      </c>
      <c r="T827" s="52">
        <f t="shared" si="188"/>
        <v>0</v>
      </c>
      <c r="U827" s="52">
        <f t="shared" si="188"/>
        <v>0</v>
      </c>
      <c r="V827" s="52">
        <f t="shared" si="188"/>
        <v>0</v>
      </c>
      <c r="W827" s="52">
        <f t="shared" si="188"/>
        <v>0</v>
      </c>
      <c r="X827" s="52">
        <f t="shared" si="188"/>
        <v>0</v>
      </c>
      <c r="Y827" s="52">
        <f t="shared" si="188"/>
        <v>0</v>
      </c>
      <c r="Z827" s="195">
        <f t="shared" si="188"/>
        <v>0</v>
      </c>
    </row>
    <row r="828" spans="1:26" s="236" customFormat="1" x14ac:dyDescent="0.2">
      <c r="A828" s="50"/>
      <c r="B828" s="51"/>
      <c r="C828" s="241">
        <f t="shared" si="183"/>
        <v>0</v>
      </c>
      <c r="D828" s="51"/>
      <c r="E828" s="51"/>
      <c r="F828" s="51"/>
      <c r="G828" s="51"/>
      <c r="H828" s="51"/>
      <c r="I828" s="73"/>
      <c r="J828" s="51" t="s">
        <v>1030</v>
      </c>
      <c r="K828" s="52"/>
      <c r="L828" s="52">
        <f t="shared" si="178"/>
        <v>0</v>
      </c>
      <c r="M828" s="52">
        <f t="shared" si="185"/>
        <v>0</v>
      </c>
      <c r="N828" s="743">
        <f t="shared" si="179"/>
        <v>0</v>
      </c>
      <c r="O828" s="52"/>
      <c r="P828" s="52">
        <f t="shared" si="186"/>
        <v>0</v>
      </c>
      <c r="Q828" s="52">
        <f t="shared" si="187"/>
        <v>0</v>
      </c>
      <c r="R828" s="52">
        <f t="shared" si="187"/>
        <v>0</v>
      </c>
      <c r="S828" s="52">
        <f t="shared" si="181"/>
        <v>0</v>
      </c>
      <c r="T828" s="52">
        <f t="shared" si="188"/>
        <v>0</v>
      </c>
      <c r="U828" s="52">
        <f t="shared" si="188"/>
        <v>0</v>
      </c>
      <c r="V828" s="52">
        <f t="shared" si="188"/>
        <v>0</v>
      </c>
      <c r="W828" s="52">
        <f t="shared" si="188"/>
        <v>0</v>
      </c>
      <c r="X828" s="52">
        <f t="shared" si="188"/>
        <v>0</v>
      </c>
      <c r="Y828" s="52">
        <f t="shared" si="188"/>
        <v>0</v>
      </c>
      <c r="Z828" s="195">
        <f t="shared" si="188"/>
        <v>0</v>
      </c>
    </row>
    <row r="829" spans="1:26" s="236" customFormat="1" x14ac:dyDescent="0.2">
      <c r="A829" s="50"/>
      <c r="B829" s="51"/>
      <c r="C829" s="241">
        <f t="shared" si="183"/>
        <v>0</v>
      </c>
      <c r="D829" s="51"/>
      <c r="E829" s="51"/>
      <c r="F829" s="51"/>
      <c r="G829" s="51"/>
      <c r="H829" s="51"/>
      <c r="I829" s="73"/>
      <c r="J829" s="51" t="s">
        <v>977</v>
      </c>
      <c r="K829" s="52"/>
      <c r="L829" s="52">
        <f t="shared" si="178"/>
        <v>4160</v>
      </c>
      <c r="M829" s="52">
        <f t="shared" si="185"/>
        <v>0</v>
      </c>
      <c r="N829" s="743">
        <f t="shared" si="179"/>
        <v>2730.4004</v>
      </c>
      <c r="O829" s="52"/>
      <c r="P829" s="52">
        <f t="shared" si="186"/>
        <v>0</v>
      </c>
      <c r="Q829" s="52">
        <f t="shared" si="187"/>
        <v>905.12773259999994</v>
      </c>
      <c r="R829" s="52">
        <f t="shared" si="187"/>
        <v>39.590805800000005</v>
      </c>
      <c r="S829" s="52">
        <f t="shared" si="181"/>
        <v>0</v>
      </c>
      <c r="T829" s="52">
        <f t="shared" si="188"/>
        <v>0</v>
      </c>
      <c r="U829" s="52">
        <f t="shared" si="188"/>
        <v>0</v>
      </c>
      <c r="V829" s="52">
        <f t="shared" si="188"/>
        <v>0</v>
      </c>
      <c r="W829" s="52">
        <f t="shared" si="188"/>
        <v>3675.1189383999999</v>
      </c>
      <c r="X829" s="52">
        <f t="shared" si="188"/>
        <v>0</v>
      </c>
      <c r="Y829" s="52">
        <f t="shared" si="188"/>
        <v>0</v>
      </c>
      <c r="Z829" s="195">
        <f t="shared" si="188"/>
        <v>3675.1189383999999</v>
      </c>
    </row>
    <row r="830" spans="1:26" s="236" customFormat="1" x14ac:dyDescent="0.2">
      <c r="A830" s="50"/>
      <c r="B830" s="51"/>
      <c r="C830" s="241">
        <f t="shared" si="183"/>
        <v>0</v>
      </c>
      <c r="D830" s="51"/>
      <c r="E830" s="51"/>
      <c r="F830" s="51"/>
      <c r="G830" s="51"/>
      <c r="H830" s="51"/>
      <c r="I830" s="73"/>
      <c r="J830" s="51" t="s">
        <v>99</v>
      </c>
      <c r="K830" s="52"/>
      <c r="L830" s="52">
        <f t="shared" ref="L830:L854" si="189">SUMIFS(L$27:L$615,$J$27:$J$615,$J830,$H$27:$H$615,"1")</f>
        <v>54080</v>
      </c>
      <c r="M830" s="52">
        <f t="shared" si="185"/>
        <v>0</v>
      </c>
      <c r="N830" s="743">
        <f t="shared" ref="N830:N854" si="190">SUMIFS(N$27:N$615,$J$27:$J$615,$J830,$H$27:$H$615,"1")</f>
        <v>566921.26399999997</v>
      </c>
      <c r="O830" s="52"/>
      <c r="P830" s="52">
        <f t="shared" si="186"/>
        <v>0</v>
      </c>
      <c r="Q830" s="52">
        <f t="shared" si="187"/>
        <v>187275.74101600004</v>
      </c>
      <c r="R830" s="52">
        <f t="shared" si="187"/>
        <v>8220.3583280000003</v>
      </c>
      <c r="S830" s="52">
        <f t="shared" si="181"/>
        <v>0</v>
      </c>
      <c r="T830" s="52">
        <f t="shared" si="188"/>
        <v>9664.56</v>
      </c>
      <c r="U830" s="52">
        <f t="shared" si="188"/>
        <v>702.48</v>
      </c>
      <c r="V830" s="52">
        <f t="shared" si="188"/>
        <v>0</v>
      </c>
      <c r="W830" s="52">
        <f t="shared" si="188"/>
        <v>772784.40334399999</v>
      </c>
      <c r="X830" s="52">
        <f t="shared" si="188"/>
        <v>0</v>
      </c>
      <c r="Y830" s="52">
        <f t="shared" si="188"/>
        <v>0</v>
      </c>
      <c r="Z830" s="195">
        <f t="shared" si="188"/>
        <v>772784.40334399999</v>
      </c>
    </row>
    <row r="831" spans="1:26" s="236" customFormat="1" x14ac:dyDescent="0.2">
      <c r="A831" s="50"/>
      <c r="B831" s="51"/>
      <c r="C831" s="241">
        <f t="shared" si="183"/>
        <v>0</v>
      </c>
      <c r="D831" s="51"/>
      <c r="E831" s="51"/>
      <c r="F831" s="51"/>
      <c r="G831" s="51"/>
      <c r="H831" s="51"/>
      <c r="I831" s="73"/>
      <c r="J831" s="51" t="s">
        <v>1047</v>
      </c>
      <c r="K831" s="52"/>
      <c r="L831" s="52">
        <f t="shared" si="189"/>
        <v>2080</v>
      </c>
      <c r="M831" s="52">
        <f t="shared" si="185"/>
        <v>0</v>
      </c>
      <c r="N831" s="743">
        <f t="shared" si="190"/>
        <v>557.23199999999997</v>
      </c>
      <c r="O831" s="52"/>
      <c r="P831" s="52">
        <f t="shared" si="186"/>
        <v>0</v>
      </c>
      <c r="Q831" s="52">
        <f t="shared" si="187"/>
        <v>184.722408</v>
      </c>
      <c r="R831" s="52">
        <f t="shared" si="187"/>
        <v>8.0798640000000006</v>
      </c>
      <c r="S831" s="52">
        <f t="shared" si="181"/>
        <v>0</v>
      </c>
      <c r="T831" s="52">
        <f t="shared" si="188"/>
        <v>0</v>
      </c>
      <c r="U831" s="52">
        <f t="shared" si="188"/>
        <v>0</v>
      </c>
      <c r="V831" s="52">
        <f t="shared" si="188"/>
        <v>0</v>
      </c>
      <c r="W831" s="52">
        <f t="shared" si="188"/>
        <v>750.03427199999999</v>
      </c>
      <c r="X831" s="52">
        <f t="shared" si="188"/>
        <v>0</v>
      </c>
      <c r="Y831" s="52">
        <f t="shared" si="188"/>
        <v>0</v>
      </c>
      <c r="Z831" s="195">
        <f t="shared" si="188"/>
        <v>750.03427199999999</v>
      </c>
    </row>
    <row r="832" spans="1:26" s="236" customFormat="1" x14ac:dyDescent="0.2">
      <c r="A832" s="50"/>
      <c r="B832" s="51"/>
      <c r="C832" s="241">
        <f t="shared" si="183"/>
        <v>0</v>
      </c>
      <c r="D832" s="51"/>
      <c r="E832" s="51"/>
      <c r="F832" s="51"/>
      <c r="G832" s="51"/>
      <c r="H832" s="51"/>
      <c r="I832" s="73"/>
      <c r="J832" s="51" t="s">
        <v>1041</v>
      </c>
      <c r="K832" s="52"/>
      <c r="L832" s="52">
        <f t="shared" si="189"/>
        <v>2080</v>
      </c>
      <c r="M832" s="52">
        <f t="shared" si="185"/>
        <v>0</v>
      </c>
      <c r="N832" s="743">
        <f t="shared" si="190"/>
        <v>557.23199999999997</v>
      </c>
      <c r="O832" s="52"/>
      <c r="P832" s="52">
        <f t="shared" si="186"/>
        <v>0</v>
      </c>
      <c r="Q832" s="52">
        <f t="shared" si="187"/>
        <v>184.722408</v>
      </c>
      <c r="R832" s="52">
        <f t="shared" si="187"/>
        <v>8.0798640000000006</v>
      </c>
      <c r="S832" s="52">
        <f t="shared" si="181"/>
        <v>0</v>
      </c>
      <c r="T832" s="52">
        <f t="shared" si="188"/>
        <v>0</v>
      </c>
      <c r="U832" s="52">
        <f t="shared" si="188"/>
        <v>0</v>
      </c>
      <c r="V832" s="52">
        <f t="shared" si="188"/>
        <v>0</v>
      </c>
      <c r="W832" s="52">
        <f t="shared" si="188"/>
        <v>750.03427199999999</v>
      </c>
      <c r="X832" s="52">
        <f t="shared" si="188"/>
        <v>0</v>
      </c>
      <c r="Y832" s="52">
        <f t="shared" si="188"/>
        <v>0</v>
      </c>
      <c r="Z832" s="195">
        <f t="shared" si="188"/>
        <v>750.03427199999999</v>
      </c>
    </row>
    <row r="833" spans="1:26" s="236" customFormat="1" x14ac:dyDescent="0.2">
      <c r="A833" s="50"/>
      <c r="B833" s="51"/>
      <c r="C833" s="241">
        <f t="shared" si="183"/>
        <v>0</v>
      </c>
      <c r="D833" s="51"/>
      <c r="E833" s="51"/>
      <c r="F833" s="51"/>
      <c r="G833" s="51"/>
      <c r="H833" s="51"/>
      <c r="I833" s="73"/>
      <c r="J833" s="51" t="s">
        <v>102</v>
      </c>
      <c r="K833" s="52"/>
      <c r="L833" s="52">
        <f t="shared" si="189"/>
        <v>0</v>
      </c>
      <c r="M833" s="52">
        <f t="shared" si="185"/>
        <v>0</v>
      </c>
      <c r="N833" s="743">
        <f t="shared" si="190"/>
        <v>0</v>
      </c>
      <c r="O833" s="52"/>
      <c r="P833" s="52">
        <f t="shared" si="186"/>
        <v>0</v>
      </c>
      <c r="Q833" s="52">
        <f t="shared" si="187"/>
        <v>0</v>
      </c>
      <c r="R833" s="52">
        <f t="shared" si="187"/>
        <v>0</v>
      </c>
      <c r="S833" s="52">
        <f t="shared" si="181"/>
        <v>0</v>
      </c>
      <c r="T833" s="52">
        <f t="shared" si="188"/>
        <v>0</v>
      </c>
      <c r="U833" s="52">
        <f t="shared" si="188"/>
        <v>0</v>
      </c>
      <c r="V833" s="52">
        <f t="shared" si="188"/>
        <v>0</v>
      </c>
      <c r="W833" s="52">
        <f t="shared" si="188"/>
        <v>0</v>
      </c>
      <c r="X833" s="52">
        <f t="shared" si="188"/>
        <v>0</v>
      </c>
      <c r="Y833" s="52">
        <f t="shared" si="188"/>
        <v>0</v>
      </c>
      <c r="Z833" s="195">
        <f t="shared" si="188"/>
        <v>0</v>
      </c>
    </row>
    <row r="834" spans="1:26" s="236" customFormat="1" x14ac:dyDescent="0.2">
      <c r="A834" s="50"/>
      <c r="B834" s="51"/>
      <c r="C834" s="241">
        <f t="shared" si="183"/>
        <v>0</v>
      </c>
      <c r="D834" s="51"/>
      <c r="E834" s="51"/>
      <c r="F834" s="51"/>
      <c r="G834" s="51"/>
      <c r="H834" s="51"/>
      <c r="I834" s="73"/>
      <c r="J834" s="51" t="s">
        <v>124</v>
      </c>
      <c r="K834" s="52"/>
      <c r="L834" s="52">
        <f t="shared" si="189"/>
        <v>8320</v>
      </c>
      <c r="M834" s="52">
        <f t="shared" si="185"/>
        <v>0</v>
      </c>
      <c r="N834" s="743">
        <f t="shared" si="190"/>
        <v>24804.660400000001</v>
      </c>
      <c r="O834" s="52"/>
      <c r="P834" s="52">
        <f t="shared" si="186"/>
        <v>0</v>
      </c>
      <c r="Q834" s="52">
        <f t="shared" si="187"/>
        <v>8222.7449226000008</v>
      </c>
      <c r="R834" s="52">
        <f t="shared" si="187"/>
        <v>359.66757580000007</v>
      </c>
      <c r="S834" s="52">
        <f t="shared" si="181"/>
        <v>0</v>
      </c>
      <c r="T834" s="52">
        <f t="shared" si="188"/>
        <v>0</v>
      </c>
      <c r="U834" s="52">
        <f t="shared" si="188"/>
        <v>0</v>
      </c>
      <c r="V834" s="52">
        <f t="shared" si="188"/>
        <v>0</v>
      </c>
      <c r="W834" s="52">
        <f t="shared" si="188"/>
        <v>33387.072898400002</v>
      </c>
      <c r="X834" s="52">
        <f t="shared" si="188"/>
        <v>0</v>
      </c>
      <c r="Y834" s="52">
        <f t="shared" si="188"/>
        <v>0</v>
      </c>
      <c r="Z834" s="195">
        <f t="shared" si="188"/>
        <v>33387.072898400002</v>
      </c>
    </row>
    <row r="835" spans="1:26" s="236" customFormat="1" x14ac:dyDescent="0.2">
      <c r="A835" s="50"/>
      <c r="B835" s="51"/>
      <c r="C835" s="241">
        <f t="shared" si="183"/>
        <v>0</v>
      </c>
      <c r="D835" s="51"/>
      <c r="E835" s="51"/>
      <c r="F835" s="51"/>
      <c r="G835" s="51"/>
      <c r="H835" s="51"/>
      <c r="I835" s="73"/>
      <c r="J835" s="51" t="s">
        <v>103</v>
      </c>
      <c r="K835" s="52"/>
      <c r="L835" s="52">
        <f t="shared" si="189"/>
        <v>24960</v>
      </c>
      <c r="M835" s="52">
        <f t="shared" si="185"/>
        <v>0</v>
      </c>
      <c r="N835" s="743">
        <f t="shared" si="190"/>
        <v>371536.88000000012</v>
      </c>
      <c r="O835" s="52"/>
      <c r="P835" s="52">
        <f t="shared" si="186"/>
        <v>0</v>
      </c>
      <c r="Q835" s="52">
        <f t="shared" si="187"/>
        <v>123164.47572</v>
      </c>
      <c r="R835" s="52">
        <f t="shared" si="187"/>
        <v>5387.2847600000005</v>
      </c>
      <c r="S835" s="52">
        <f t="shared" ref="S835:S854" si="191">SUMIFS(S$27:S$615,$J$27:$J$615,$J835,$H$27:$H$615,"1")</f>
        <v>0</v>
      </c>
      <c r="T835" s="52">
        <f t="shared" ref="T835:Z844" si="192">SUMIFS(T$27:T$615,$J$27:$J$615,$J835,$H$27:$H$615,"1")</f>
        <v>8367.84</v>
      </c>
      <c r="U835" s="52">
        <f t="shared" si="192"/>
        <v>323.04000000000002</v>
      </c>
      <c r="V835" s="52">
        <f t="shared" si="192"/>
        <v>0</v>
      </c>
      <c r="W835" s="52">
        <f t="shared" si="192"/>
        <v>508779.52048000001</v>
      </c>
      <c r="X835" s="52">
        <f t="shared" si="192"/>
        <v>0</v>
      </c>
      <c r="Y835" s="52">
        <f t="shared" si="192"/>
        <v>0</v>
      </c>
      <c r="Z835" s="195">
        <f t="shared" si="192"/>
        <v>508779.52048000001</v>
      </c>
    </row>
    <row r="836" spans="1:26" s="236" customFormat="1" x14ac:dyDescent="0.2">
      <c r="A836" s="50"/>
      <c r="B836" s="51"/>
      <c r="C836" s="241">
        <f t="shared" si="183"/>
        <v>0</v>
      </c>
      <c r="D836" s="51"/>
      <c r="E836" s="51"/>
      <c r="F836" s="51"/>
      <c r="G836" s="51"/>
      <c r="H836" s="51"/>
      <c r="I836" s="73"/>
      <c r="J836" s="51" t="s">
        <v>104</v>
      </c>
      <c r="K836" s="52"/>
      <c r="L836" s="52">
        <f t="shared" si="189"/>
        <v>0</v>
      </c>
      <c r="M836" s="52">
        <f t="shared" si="185"/>
        <v>0</v>
      </c>
      <c r="N836" s="743">
        <f t="shared" si="190"/>
        <v>0</v>
      </c>
      <c r="O836" s="52"/>
      <c r="P836" s="52">
        <f t="shared" si="186"/>
        <v>0</v>
      </c>
      <c r="Q836" s="52">
        <f t="shared" si="187"/>
        <v>0</v>
      </c>
      <c r="R836" s="52">
        <f t="shared" si="187"/>
        <v>0</v>
      </c>
      <c r="S836" s="52">
        <f t="shared" si="191"/>
        <v>0</v>
      </c>
      <c r="T836" s="52">
        <f t="shared" si="192"/>
        <v>0</v>
      </c>
      <c r="U836" s="52">
        <f t="shared" si="192"/>
        <v>0</v>
      </c>
      <c r="V836" s="52">
        <f t="shared" si="192"/>
        <v>0</v>
      </c>
      <c r="W836" s="52">
        <f t="shared" si="192"/>
        <v>0</v>
      </c>
      <c r="X836" s="52">
        <f t="shared" si="192"/>
        <v>0</v>
      </c>
      <c r="Y836" s="52">
        <f t="shared" si="192"/>
        <v>0</v>
      </c>
      <c r="Z836" s="195">
        <f t="shared" si="192"/>
        <v>0</v>
      </c>
    </row>
    <row r="837" spans="1:26" s="236" customFormat="1" x14ac:dyDescent="0.2">
      <c r="A837" s="50"/>
      <c r="B837" s="51"/>
      <c r="C837" s="241">
        <f t="shared" si="183"/>
        <v>0</v>
      </c>
      <c r="D837" s="51"/>
      <c r="E837" s="51"/>
      <c r="F837" s="51"/>
      <c r="G837" s="51"/>
      <c r="H837" s="51"/>
      <c r="I837" s="73"/>
      <c r="J837" s="51" t="s">
        <v>491</v>
      </c>
      <c r="K837" s="52"/>
      <c r="L837" s="52">
        <f t="shared" si="189"/>
        <v>46800</v>
      </c>
      <c r="M837" s="52">
        <f t="shared" si="185"/>
        <v>0</v>
      </c>
      <c r="N837" s="743">
        <f t="shared" si="190"/>
        <v>207606.67199999999</v>
      </c>
      <c r="O837" s="52"/>
      <c r="P837" s="52">
        <f t="shared" si="186"/>
        <v>0</v>
      </c>
      <c r="Q837" s="52">
        <f t="shared" si="187"/>
        <v>68821.611768000017</v>
      </c>
      <c r="R837" s="52">
        <f t="shared" si="187"/>
        <v>3010.2967440000007</v>
      </c>
      <c r="S837" s="52">
        <f t="shared" si="191"/>
        <v>0</v>
      </c>
      <c r="T837" s="52">
        <f t="shared" si="192"/>
        <v>0</v>
      </c>
      <c r="U837" s="52">
        <f t="shared" si="192"/>
        <v>0</v>
      </c>
      <c r="V837" s="52">
        <f t="shared" si="192"/>
        <v>0</v>
      </c>
      <c r="W837" s="52">
        <f t="shared" si="192"/>
        <v>279438.58051200002</v>
      </c>
      <c r="X837" s="52">
        <f t="shared" si="192"/>
        <v>0</v>
      </c>
      <c r="Y837" s="52">
        <f t="shared" si="192"/>
        <v>0</v>
      </c>
      <c r="Z837" s="195">
        <f t="shared" si="192"/>
        <v>279438.58051200002</v>
      </c>
    </row>
    <row r="838" spans="1:26" s="236" customFormat="1" x14ac:dyDescent="0.2">
      <c r="A838" s="50"/>
      <c r="B838" s="51"/>
      <c r="C838" s="241">
        <f t="shared" ref="C838:C854" si="193">COUNTIFS($I$27:$I$615,$I838,$H$27:$H$615,"1")</f>
        <v>0</v>
      </c>
      <c r="D838" s="51"/>
      <c r="E838" s="51"/>
      <c r="F838" s="51"/>
      <c r="G838" s="51"/>
      <c r="H838" s="51"/>
      <c r="I838" s="73"/>
      <c r="J838" s="51" t="s">
        <v>105</v>
      </c>
      <c r="K838" s="52"/>
      <c r="L838" s="52">
        <f t="shared" si="189"/>
        <v>4160</v>
      </c>
      <c r="M838" s="52">
        <f t="shared" si="185"/>
        <v>0</v>
      </c>
      <c r="N838" s="743">
        <f t="shared" si="190"/>
        <v>5425.8879999999999</v>
      </c>
      <c r="O838" s="52"/>
      <c r="P838" s="52">
        <f t="shared" si="186"/>
        <v>0</v>
      </c>
      <c r="Q838" s="52">
        <f t="shared" si="187"/>
        <v>1798.6818720000001</v>
      </c>
      <c r="R838" s="52">
        <f t="shared" si="187"/>
        <v>78.675376</v>
      </c>
      <c r="S838" s="52">
        <f t="shared" si="191"/>
        <v>0</v>
      </c>
      <c r="T838" s="52">
        <f t="shared" si="192"/>
        <v>0</v>
      </c>
      <c r="U838" s="52">
        <f t="shared" si="192"/>
        <v>0</v>
      </c>
      <c r="V838" s="52">
        <f t="shared" si="192"/>
        <v>0</v>
      </c>
      <c r="W838" s="52">
        <f t="shared" si="192"/>
        <v>7303.2452480000002</v>
      </c>
      <c r="X838" s="52">
        <f t="shared" si="192"/>
        <v>0</v>
      </c>
      <c r="Y838" s="52">
        <f t="shared" si="192"/>
        <v>0</v>
      </c>
      <c r="Z838" s="195">
        <f t="shared" si="192"/>
        <v>7303.2452480000002</v>
      </c>
    </row>
    <row r="839" spans="1:26" s="236" customFormat="1" x14ac:dyDescent="0.2">
      <c r="A839" s="50"/>
      <c r="B839" s="51"/>
      <c r="C839" s="241">
        <f t="shared" si="193"/>
        <v>0</v>
      </c>
      <c r="D839" s="51"/>
      <c r="E839" s="51"/>
      <c r="F839" s="51"/>
      <c r="G839" s="51"/>
      <c r="H839" s="51"/>
      <c r="I839" s="73"/>
      <c r="J839" s="51" t="s">
        <v>129</v>
      </c>
      <c r="K839" s="52"/>
      <c r="L839" s="52">
        <f t="shared" si="189"/>
        <v>0</v>
      </c>
      <c r="M839" s="52">
        <f t="shared" si="185"/>
        <v>0</v>
      </c>
      <c r="N839" s="743">
        <f t="shared" si="190"/>
        <v>0</v>
      </c>
      <c r="O839" s="52"/>
      <c r="P839" s="52">
        <f t="shared" si="186"/>
        <v>0</v>
      </c>
      <c r="Q839" s="52">
        <f t="shared" si="187"/>
        <v>0</v>
      </c>
      <c r="R839" s="52">
        <f t="shared" si="187"/>
        <v>0</v>
      </c>
      <c r="S839" s="52">
        <f t="shared" si="191"/>
        <v>0</v>
      </c>
      <c r="T839" s="52">
        <f t="shared" si="192"/>
        <v>0</v>
      </c>
      <c r="U839" s="52">
        <f t="shared" si="192"/>
        <v>0</v>
      </c>
      <c r="V839" s="52">
        <f t="shared" si="192"/>
        <v>0</v>
      </c>
      <c r="W839" s="52">
        <f t="shared" si="192"/>
        <v>0</v>
      </c>
      <c r="X839" s="52">
        <f t="shared" si="192"/>
        <v>0</v>
      </c>
      <c r="Y839" s="52">
        <f t="shared" si="192"/>
        <v>0</v>
      </c>
      <c r="Z839" s="195">
        <f t="shared" si="192"/>
        <v>0</v>
      </c>
    </row>
    <row r="840" spans="1:26" s="236" customFormat="1" x14ac:dyDescent="0.2">
      <c r="A840" s="50"/>
      <c r="B840" s="51"/>
      <c r="C840" s="241">
        <f t="shared" si="193"/>
        <v>0</v>
      </c>
      <c r="D840" s="51"/>
      <c r="E840" s="51"/>
      <c r="F840" s="51"/>
      <c r="G840" s="51"/>
      <c r="H840" s="51"/>
      <c r="I840" s="73"/>
      <c r="J840" s="51" t="s">
        <v>108</v>
      </c>
      <c r="K840" s="52"/>
      <c r="L840" s="52">
        <f t="shared" si="189"/>
        <v>34320</v>
      </c>
      <c r="M840" s="52">
        <f t="shared" si="185"/>
        <v>0</v>
      </c>
      <c r="N840" s="743">
        <f t="shared" si="190"/>
        <v>482037.11067199998</v>
      </c>
      <c r="O840" s="52"/>
      <c r="P840" s="52">
        <f t="shared" si="186"/>
        <v>0</v>
      </c>
      <c r="Q840" s="52">
        <f t="shared" si="187"/>
        <v>159795.30218776801</v>
      </c>
      <c r="R840" s="52">
        <f t="shared" si="187"/>
        <v>6989.5381047440005</v>
      </c>
      <c r="S840" s="52">
        <f t="shared" si="191"/>
        <v>0</v>
      </c>
      <c r="T840" s="52">
        <f t="shared" si="192"/>
        <v>57182.159999999989</v>
      </c>
      <c r="U840" s="52">
        <f t="shared" si="192"/>
        <v>3813.84</v>
      </c>
      <c r="V840" s="52">
        <f t="shared" si="192"/>
        <v>0</v>
      </c>
      <c r="W840" s="52">
        <f t="shared" si="192"/>
        <v>709817.95096451195</v>
      </c>
      <c r="X840" s="52">
        <f t="shared" si="192"/>
        <v>0</v>
      </c>
      <c r="Y840" s="52">
        <f t="shared" si="192"/>
        <v>0</v>
      </c>
      <c r="Z840" s="195">
        <f t="shared" si="192"/>
        <v>709817.95096451195</v>
      </c>
    </row>
    <row r="841" spans="1:26" s="236" customFormat="1" x14ac:dyDescent="0.2">
      <c r="A841" s="50"/>
      <c r="B841" s="51"/>
      <c r="C841" s="241">
        <f t="shared" si="193"/>
        <v>0</v>
      </c>
      <c r="D841" s="51"/>
      <c r="E841" s="51"/>
      <c r="F841" s="51"/>
      <c r="G841" s="51"/>
      <c r="H841" s="51"/>
      <c r="I841" s="73"/>
      <c r="J841" s="51" t="s">
        <v>119</v>
      </c>
      <c r="K841" s="52"/>
      <c r="L841" s="52">
        <f t="shared" si="189"/>
        <v>4160</v>
      </c>
      <c r="M841" s="52">
        <f t="shared" si="185"/>
        <v>0</v>
      </c>
      <c r="N841" s="743">
        <f t="shared" si="190"/>
        <v>1365.2002</v>
      </c>
      <c r="O841" s="52"/>
      <c r="P841" s="52">
        <f t="shared" si="186"/>
        <v>0</v>
      </c>
      <c r="Q841" s="52">
        <f t="shared" si="187"/>
        <v>452.56386629999997</v>
      </c>
      <c r="R841" s="52">
        <f t="shared" si="187"/>
        <v>19.795402900000003</v>
      </c>
      <c r="S841" s="52">
        <f t="shared" si="191"/>
        <v>0</v>
      </c>
      <c r="T841" s="52">
        <f t="shared" si="192"/>
        <v>0</v>
      </c>
      <c r="U841" s="52">
        <f t="shared" si="192"/>
        <v>0</v>
      </c>
      <c r="V841" s="52">
        <f t="shared" si="192"/>
        <v>0</v>
      </c>
      <c r="W841" s="52">
        <f t="shared" si="192"/>
        <v>1837.5594692</v>
      </c>
      <c r="X841" s="52">
        <f t="shared" si="192"/>
        <v>0</v>
      </c>
      <c r="Y841" s="52">
        <f t="shared" si="192"/>
        <v>0</v>
      </c>
      <c r="Z841" s="195">
        <f t="shared" si="192"/>
        <v>1837.5594692</v>
      </c>
    </row>
    <row r="842" spans="1:26" s="236" customFormat="1" x14ac:dyDescent="0.2">
      <c r="A842" s="50"/>
      <c r="B842" s="51"/>
      <c r="C842" s="241">
        <f t="shared" si="193"/>
        <v>0</v>
      </c>
      <c r="D842" s="51"/>
      <c r="E842" s="51"/>
      <c r="F842" s="51"/>
      <c r="G842" s="51"/>
      <c r="H842" s="51"/>
      <c r="I842" s="73"/>
      <c r="J842" s="51" t="s">
        <v>954</v>
      </c>
      <c r="K842" s="52"/>
      <c r="L842" s="52">
        <f t="shared" si="189"/>
        <v>37440</v>
      </c>
      <c r="M842" s="52">
        <f t="shared" si="185"/>
        <v>0</v>
      </c>
      <c r="N842" s="743">
        <f t="shared" si="190"/>
        <v>601153.07199999993</v>
      </c>
      <c r="O842" s="52"/>
      <c r="P842" s="52">
        <f t="shared" si="186"/>
        <v>0</v>
      </c>
      <c r="Q842" s="52">
        <f t="shared" ref="Q842:R854" si="194">SUMIFS(Q$27:Q$615,$J$27:$J$615,$J842,$H$27:$H$615,"1")</f>
        <v>193928.89536800003</v>
      </c>
      <c r="R842" s="52">
        <f t="shared" si="194"/>
        <v>8716.7195440000014</v>
      </c>
      <c r="S842" s="52">
        <f t="shared" si="191"/>
        <v>0</v>
      </c>
      <c r="T842" s="52">
        <f t="shared" si="192"/>
        <v>49242.959999999992</v>
      </c>
      <c r="U842" s="52">
        <f t="shared" si="192"/>
        <v>4152.2400000000007</v>
      </c>
      <c r="V842" s="52">
        <f t="shared" si="192"/>
        <v>0</v>
      </c>
      <c r="W842" s="52">
        <f t="shared" si="192"/>
        <v>857193.88691200013</v>
      </c>
      <c r="X842" s="52">
        <f t="shared" si="192"/>
        <v>0</v>
      </c>
      <c r="Y842" s="52">
        <f t="shared" si="192"/>
        <v>0</v>
      </c>
      <c r="Z842" s="195">
        <f t="shared" si="192"/>
        <v>857193.88691200013</v>
      </c>
    </row>
    <row r="843" spans="1:26" s="236" customFormat="1" x14ac:dyDescent="0.2">
      <c r="A843" s="50"/>
      <c r="B843" s="51"/>
      <c r="C843" s="241">
        <f t="shared" si="193"/>
        <v>0</v>
      </c>
      <c r="D843" s="51"/>
      <c r="E843" s="51"/>
      <c r="F843" s="51"/>
      <c r="G843" s="51"/>
      <c r="H843" s="51"/>
      <c r="I843" s="73"/>
      <c r="J843" s="51" t="s">
        <v>1031</v>
      </c>
      <c r="K843" s="52"/>
      <c r="L843" s="52">
        <f t="shared" si="189"/>
        <v>0</v>
      </c>
      <c r="M843" s="52">
        <f t="shared" si="185"/>
        <v>0</v>
      </c>
      <c r="N843" s="743">
        <f t="shared" si="190"/>
        <v>0</v>
      </c>
      <c r="O843" s="52"/>
      <c r="P843" s="52">
        <f t="shared" si="186"/>
        <v>0</v>
      </c>
      <c r="Q843" s="52">
        <f t="shared" si="194"/>
        <v>0</v>
      </c>
      <c r="R843" s="52">
        <f t="shared" si="194"/>
        <v>0</v>
      </c>
      <c r="S843" s="52">
        <f t="shared" si="191"/>
        <v>0</v>
      </c>
      <c r="T843" s="52">
        <f t="shared" si="192"/>
        <v>0</v>
      </c>
      <c r="U843" s="52">
        <f t="shared" si="192"/>
        <v>0</v>
      </c>
      <c r="V843" s="52">
        <f t="shared" si="192"/>
        <v>0</v>
      </c>
      <c r="W843" s="52">
        <f t="shared" si="192"/>
        <v>0</v>
      </c>
      <c r="X843" s="52">
        <f t="shared" si="192"/>
        <v>0</v>
      </c>
      <c r="Y843" s="52">
        <f t="shared" si="192"/>
        <v>0</v>
      </c>
      <c r="Z843" s="195">
        <f t="shared" si="192"/>
        <v>0</v>
      </c>
    </row>
    <row r="844" spans="1:26" s="236" customFormat="1" x14ac:dyDescent="0.2">
      <c r="A844" s="50"/>
      <c r="B844" s="51"/>
      <c r="C844" s="241">
        <f t="shared" si="193"/>
        <v>0</v>
      </c>
      <c r="D844" s="51"/>
      <c r="E844" s="51"/>
      <c r="F844" s="51"/>
      <c r="G844" s="51"/>
      <c r="H844" s="51"/>
      <c r="I844" s="73"/>
      <c r="J844" s="51" t="s">
        <v>1009</v>
      </c>
      <c r="K844" s="52"/>
      <c r="L844" s="52">
        <f t="shared" si="189"/>
        <v>0</v>
      </c>
      <c r="M844" s="52">
        <f t="shared" si="185"/>
        <v>0</v>
      </c>
      <c r="N844" s="743">
        <f t="shared" si="190"/>
        <v>0</v>
      </c>
      <c r="O844" s="52"/>
      <c r="P844" s="52">
        <f t="shared" si="186"/>
        <v>0</v>
      </c>
      <c r="Q844" s="52">
        <f t="shared" si="194"/>
        <v>0</v>
      </c>
      <c r="R844" s="52">
        <f t="shared" si="194"/>
        <v>0</v>
      </c>
      <c r="S844" s="52">
        <f t="shared" si="191"/>
        <v>0</v>
      </c>
      <c r="T844" s="52">
        <f t="shared" si="192"/>
        <v>0</v>
      </c>
      <c r="U844" s="52">
        <f t="shared" si="192"/>
        <v>0</v>
      </c>
      <c r="V844" s="52">
        <f t="shared" si="192"/>
        <v>0</v>
      </c>
      <c r="W844" s="52">
        <f t="shared" si="192"/>
        <v>0</v>
      </c>
      <c r="X844" s="52">
        <f t="shared" si="192"/>
        <v>0</v>
      </c>
      <c r="Y844" s="52">
        <f t="shared" si="192"/>
        <v>0</v>
      </c>
      <c r="Z844" s="195">
        <f t="shared" si="192"/>
        <v>0</v>
      </c>
    </row>
    <row r="845" spans="1:26" s="236" customFormat="1" x14ac:dyDescent="0.2">
      <c r="A845" s="50"/>
      <c r="B845" s="51"/>
      <c r="C845" s="241">
        <f t="shared" si="193"/>
        <v>0</v>
      </c>
      <c r="D845" s="51"/>
      <c r="E845" s="51"/>
      <c r="F845" s="51"/>
      <c r="G845" s="51"/>
      <c r="H845" s="51"/>
      <c r="I845" s="73"/>
      <c r="J845" s="51" t="s">
        <v>107</v>
      </c>
      <c r="K845" s="52"/>
      <c r="L845" s="52">
        <f t="shared" si="189"/>
        <v>4160</v>
      </c>
      <c r="M845" s="52">
        <f t="shared" si="185"/>
        <v>0</v>
      </c>
      <c r="N845" s="743">
        <f t="shared" si="190"/>
        <v>3898.7520000000004</v>
      </c>
      <c r="O845" s="52"/>
      <c r="P845" s="52">
        <f t="shared" si="186"/>
        <v>0</v>
      </c>
      <c r="Q845" s="52">
        <f t="shared" si="194"/>
        <v>1292.4362880000003</v>
      </c>
      <c r="R845" s="52">
        <f t="shared" si="194"/>
        <v>56.531904000000011</v>
      </c>
      <c r="S845" s="52">
        <f t="shared" si="191"/>
        <v>0</v>
      </c>
      <c r="T845" s="52">
        <f t="shared" ref="T845:Z854" si="195">SUMIFS(T$27:T$615,$J$27:$J$615,$J845,$H$27:$H$615,"1")</f>
        <v>0</v>
      </c>
      <c r="U845" s="52">
        <f t="shared" si="195"/>
        <v>0</v>
      </c>
      <c r="V845" s="52">
        <f t="shared" si="195"/>
        <v>0</v>
      </c>
      <c r="W845" s="52">
        <f t="shared" si="195"/>
        <v>5247.7201920000007</v>
      </c>
      <c r="X845" s="52">
        <f t="shared" si="195"/>
        <v>0</v>
      </c>
      <c r="Y845" s="52">
        <f t="shared" si="195"/>
        <v>0</v>
      </c>
      <c r="Z845" s="195">
        <f t="shared" si="195"/>
        <v>5247.7201920000007</v>
      </c>
    </row>
    <row r="846" spans="1:26" s="236" customFormat="1" x14ac:dyDescent="0.2">
      <c r="A846" s="50"/>
      <c r="B846" s="51"/>
      <c r="C846" s="241">
        <f t="shared" si="193"/>
        <v>0</v>
      </c>
      <c r="D846" s="51"/>
      <c r="E846" s="51"/>
      <c r="F846" s="51"/>
      <c r="G846" s="51"/>
      <c r="H846" s="51"/>
      <c r="I846" s="73"/>
      <c r="J846" s="51" t="s">
        <v>955</v>
      </c>
      <c r="K846" s="52"/>
      <c r="L846" s="52">
        <f t="shared" si="189"/>
        <v>0</v>
      </c>
      <c r="M846" s="52">
        <f t="shared" si="185"/>
        <v>0</v>
      </c>
      <c r="N846" s="743">
        <f t="shared" si="190"/>
        <v>0</v>
      </c>
      <c r="O846" s="52"/>
      <c r="P846" s="52">
        <f t="shared" si="186"/>
        <v>0</v>
      </c>
      <c r="Q846" s="52">
        <f t="shared" si="194"/>
        <v>0</v>
      </c>
      <c r="R846" s="52">
        <f t="shared" si="194"/>
        <v>0</v>
      </c>
      <c r="S846" s="52">
        <f t="shared" si="191"/>
        <v>0</v>
      </c>
      <c r="T846" s="52">
        <f t="shared" si="195"/>
        <v>0</v>
      </c>
      <c r="U846" s="52">
        <f t="shared" si="195"/>
        <v>0</v>
      </c>
      <c r="V846" s="52">
        <f t="shared" si="195"/>
        <v>0</v>
      </c>
      <c r="W846" s="52">
        <f t="shared" si="195"/>
        <v>0</v>
      </c>
      <c r="X846" s="52">
        <f t="shared" si="195"/>
        <v>0</v>
      </c>
      <c r="Y846" s="52">
        <f t="shared" si="195"/>
        <v>0</v>
      </c>
      <c r="Z846" s="195">
        <f t="shared" si="195"/>
        <v>0</v>
      </c>
    </row>
    <row r="847" spans="1:26" s="236" customFormat="1" x14ac:dyDescent="0.2">
      <c r="A847" s="50"/>
      <c r="B847" s="51"/>
      <c r="C847" s="241">
        <f t="shared" si="193"/>
        <v>0</v>
      </c>
      <c r="D847" s="51"/>
      <c r="E847" s="51"/>
      <c r="F847" s="51"/>
      <c r="G847" s="51"/>
      <c r="H847" s="51"/>
      <c r="I847" s="73"/>
      <c r="J847" s="51" t="s">
        <v>958</v>
      </c>
      <c r="K847" s="52"/>
      <c r="L847" s="52">
        <f t="shared" si="189"/>
        <v>12480</v>
      </c>
      <c r="M847" s="52">
        <f t="shared" si="185"/>
        <v>0</v>
      </c>
      <c r="N847" s="743">
        <f t="shared" si="190"/>
        <v>57271.135999999999</v>
      </c>
      <c r="O847" s="52"/>
      <c r="P847" s="52">
        <f t="shared" si="186"/>
        <v>0</v>
      </c>
      <c r="Q847" s="52">
        <f t="shared" si="194"/>
        <v>18985.381583999999</v>
      </c>
      <c r="R847" s="52">
        <f t="shared" si="194"/>
        <v>830.43147199999999</v>
      </c>
      <c r="S847" s="52">
        <f t="shared" si="191"/>
        <v>0</v>
      </c>
      <c r="T847" s="52">
        <f t="shared" si="195"/>
        <v>5252.4</v>
      </c>
      <c r="U847" s="52">
        <f t="shared" si="195"/>
        <v>0</v>
      </c>
      <c r="V847" s="52">
        <f t="shared" si="195"/>
        <v>0</v>
      </c>
      <c r="W847" s="52">
        <f t="shared" si="195"/>
        <v>82339.349055999992</v>
      </c>
      <c r="X847" s="52">
        <f t="shared" si="195"/>
        <v>0</v>
      </c>
      <c r="Y847" s="52">
        <f t="shared" si="195"/>
        <v>0</v>
      </c>
      <c r="Z847" s="195">
        <f t="shared" si="195"/>
        <v>82339.349055999992</v>
      </c>
    </row>
    <row r="848" spans="1:26" s="236" customFormat="1" x14ac:dyDescent="0.2">
      <c r="A848" s="50"/>
      <c r="B848" s="51"/>
      <c r="C848" s="241">
        <f t="shared" si="193"/>
        <v>0</v>
      </c>
      <c r="D848" s="51"/>
      <c r="E848" s="51"/>
      <c r="F848" s="51"/>
      <c r="G848" s="51"/>
      <c r="H848" s="51"/>
      <c r="I848" s="73"/>
      <c r="J848" s="51" t="s">
        <v>1032</v>
      </c>
      <c r="K848" s="52"/>
      <c r="L848" s="52">
        <f t="shared" si="189"/>
        <v>0</v>
      </c>
      <c r="M848" s="52">
        <f t="shared" si="185"/>
        <v>0</v>
      </c>
      <c r="N848" s="743">
        <f t="shared" si="190"/>
        <v>0</v>
      </c>
      <c r="O848" s="52"/>
      <c r="P848" s="52">
        <f t="shared" si="186"/>
        <v>0</v>
      </c>
      <c r="Q848" s="52">
        <f t="shared" si="194"/>
        <v>0</v>
      </c>
      <c r="R848" s="52">
        <f t="shared" si="194"/>
        <v>0</v>
      </c>
      <c r="S848" s="52">
        <f t="shared" si="191"/>
        <v>0</v>
      </c>
      <c r="T848" s="52">
        <f t="shared" si="195"/>
        <v>0</v>
      </c>
      <c r="U848" s="52">
        <f t="shared" si="195"/>
        <v>0</v>
      </c>
      <c r="V848" s="52">
        <f t="shared" si="195"/>
        <v>0</v>
      </c>
      <c r="W848" s="52">
        <f t="shared" si="195"/>
        <v>0</v>
      </c>
      <c r="X848" s="52">
        <f t="shared" si="195"/>
        <v>0</v>
      </c>
      <c r="Y848" s="52">
        <f t="shared" si="195"/>
        <v>0</v>
      </c>
      <c r="Z848" s="195">
        <f t="shared" si="195"/>
        <v>0</v>
      </c>
    </row>
    <row r="849" spans="1:27" s="236" customFormat="1" x14ac:dyDescent="0.2">
      <c r="A849" s="50"/>
      <c r="B849" s="51"/>
      <c r="C849" s="241">
        <f t="shared" si="193"/>
        <v>0</v>
      </c>
      <c r="D849" s="51"/>
      <c r="E849" s="51"/>
      <c r="F849" s="51"/>
      <c r="G849" s="51"/>
      <c r="H849" s="51"/>
      <c r="I849" s="73"/>
      <c r="J849" s="51" t="s">
        <v>109</v>
      </c>
      <c r="K849" s="52"/>
      <c r="L849" s="52">
        <f t="shared" si="189"/>
        <v>10400</v>
      </c>
      <c r="M849" s="52">
        <f t="shared" si="185"/>
        <v>0</v>
      </c>
      <c r="N849" s="743">
        <f t="shared" si="190"/>
        <v>15308.056192</v>
      </c>
      <c r="O849" s="52"/>
      <c r="P849" s="52">
        <f t="shared" si="186"/>
        <v>0</v>
      </c>
      <c r="Q849" s="52">
        <f t="shared" si="194"/>
        <v>5074.6206276480007</v>
      </c>
      <c r="R849" s="52">
        <f t="shared" si="194"/>
        <v>221.96681478400001</v>
      </c>
      <c r="S849" s="52">
        <f t="shared" si="191"/>
        <v>0</v>
      </c>
      <c r="T849" s="52">
        <f t="shared" si="195"/>
        <v>0</v>
      </c>
      <c r="U849" s="52">
        <f t="shared" si="195"/>
        <v>0</v>
      </c>
      <c r="V849" s="52">
        <f t="shared" si="195"/>
        <v>0</v>
      </c>
      <c r="W849" s="52">
        <f t="shared" si="195"/>
        <v>20604.643634432003</v>
      </c>
      <c r="X849" s="52">
        <f t="shared" si="195"/>
        <v>0</v>
      </c>
      <c r="Y849" s="52">
        <f t="shared" si="195"/>
        <v>0</v>
      </c>
      <c r="Z849" s="195">
        <f t="shared" si="195"/>
        <v>20604.643634432003</v>
      </c>
    </row>
    <row r="850" spans="1:27" s="236" customFormat="1" x14ac:dyDescent="0.2">
      <c r="A850" s="50"/>
      <c r="B850" s="51"/>
      <c r="C850" s="241">
        <f t="shared" si="193"/>
        <v>0</v>
      </c>
      <c r="D850" s="51"/>
      <c r="E850" s="51"/>
      <c r="F850" s="51"/>
      <c r="G850" s="51"/>
      <c r="H850" s="51"/>
      <c r="I850" s="73"/>
      <c r="J850" s="51" t="s">
        <v>966</v>
      </c>
      <c r="K850" s="52"/>
      <c r="L850" s="52">
        <f t="shared" si="189"/>
        <v>0</v>
      </c>
      <c r="M850" s="52">
        <f t="shared" si="185"/>
        <v>0</v>
      </c>
      <c r="N850" s="743">
        <f t="shared" si="190"/>
        <v>0</v>
      </c>
      <c r="O850" s="52"/>
      <c r="P850" s="52">
        <f t="shared" si="186"/>
        <v>0</v>
      </c>
      <c r="Q850" s="52">
        <f t="shared" si="194"/>
        <v>0</v>
      </c>
      <c r="R850" s="52">
        <f t="shared" si="194"/>
        <v>0</v>
      </c>
      <c r="S850" s="52">
        <f t="shared" si="191"/>
        <v>0</v>
      </c>
      <c r="T850" s="52">
        <f t="shared" si="195"/>
        <v>0</v>
      </c>
      <c r="U850" s="52">
        <f t="shared" si="195"/>
        <v>0</v>
      </c>
      <c r="V850" s="52">
        <f t="shared" si="195"/>
        <v>0</v>
      </c>
      <c r="W850" s="52">
        <f t="shared" si="195"/>
        <v>0</v>
      </c>
      <c r="X850" s="52">
        <f t="shared" si="195"/>
        <v>0</v>
      </c>
      <c r="Y850" s="52">
        <f t="shared" si="195"/>
        <v>0</v>
      </c>
      <c r="Z850" s="195">
        <f t="shared" si="195"/>
        <v>0</v>
      </c>
    </row>
    <row r="851" spans="1:27" x14ac:dyDescent="0.2">
      <c r="A851" s="50"/>
      <c r="B851" s="51"/>
      <c r="C851" s="241">
        <f t="shared" si="193"/>
        <v>0</v>
      </c>
      <c r="D851" s="51"/>
      <c r="E851" s="51"/>
      <c r="F851" s="51"/>
      <c r="G851" s="51"/>
      <c r="H851" s="51"/>
      <c r="I851" s="73"/>
      <c r="J851" s="51" t="s">
        <v>981</v>
      </c>
      <c r="K851" s="52"/>
      <c r="L851" s="52">
        <f t="shared" si="189"/>
        <v>0</v>
      </c>
      <c r="M851" s="52">
        <f t="shared" si="185"/>
        <v>0</v>
      </c>
      <c r="N851" s="743">
        <f t="shared" si="190"/>
        <v>0</v>
      </c>
      <c r="O851" s="52"/>
      <c r="P851" s="52">
        <f t="shared" si="186"/>
        <v>0</v>
      </c>
      <c r="Q851" s="52">
        <f t="shared" si="194"/>
        <v>0</v>
      </c>
      <c r="R851" s="52">
        <f t="shared" si="194"/>
        <v>0</v>
      </c>
      <c r="S851" s="52">
        <f t="shared" si="191"/>
        <v>0</v>
      </c>
      <c r="T851" s="52">
        <f t="shared" si="195"/>
        <v>0</v>
      </c>
      <c r="U851" s="52">
        <f t="shared" si="195"/>
        <v>0</v>
      </c>
      <c r="V851" s="52">
        <f t="shared" si="195"/>
        <v>0</v>
      </c>
      <c r="W851" s="52">
        <f t="shared" si="195"/>
        <v>0</v>
      </c>
      <c r="X851" s="52">
        <f t="shared" si="195"/>
        <v>0</v>
      </c>
      <c r="Y851" s="52">
        <f t="shared" si="195"/>
        <v>0</v>
      </c>
      <c r="Z851" s="195">
        <f t="shared" si="195"/>
        <v>0</v>
      </c>
      <c r="AA851" s="236"/>
    </row>
    <row r="852" spans="1:27" x14ac:dyDescent="0.2">
      <c r="A852" s="50"/>
      <c r="B852" s="51"/>
      <c r="C852" s="241">
        <f t="shared" si="193"/>
        <v>0</v>
      </c>
      <c r="D852" s="51"/>
      <c r="E852" s="51"/>
      <c r="F852" s="51"/>
      <c r="G852" s="51"/>
      <c r="H852" s="51"/>
      <c r="I852" s="73"/>
      <c r="J852" s="51" t="s">
        <v>963</v>
      </c>
      <c r="K852" s="52"/>
      <c r="L852" s="52">
        <f t="shared" si="189"/>
        <v>0</v>
      </c>
      <c r="M852" s="52">
        <f t="shared" si="185"/>
        <v>0</v>
      </c>
      <c r="N852" s="52">
        <f t="shared" si="190"/>
        <v>0</v>
      </c>
      <c r="O852" s="52"/>
      <c r="P852" s="52">
        <f t="shared" si="186"/>
        <v>0</v>
      </c>
      <c r="Q852" s="52">
        <f t="shared" si="194"/>
        <v>0</v>
      </c>
      <c r="R852" s="52">
        <f t="shared" si="194"/>
        <v>0</v>
      </c>
      <c r="S852" s="52">
        <f t="shared" si="191"/>
        <v>0</v>
      </c>
      <c r="T852" s="52">
        <f t="shared" si="195"/>
        <v>0</v>
      </c>
      <c r="U852" s="52">
        <f t="shared" si="195"/>
        <v>0</v>
      </c>
      <c r="V852" s="52">
        <f t="shared" si="195"/>
        <v>0</v>
      </c>
      <c r="W852" s="52">
        <f t="shared" si="195"/>
        <v>0</v>
      </c>
      <c r="X852" s="52">
        <f t="shared" si="195"/>
        <v>0</v>
      </c>
      <c r="Y852" s="52">
        <f t="shared" si="195"/>
        <v>0</v>
      </c>
      <c r="Z852" s="195">
        <f t="shared" si="195"/>
        <v>0</v>
      </c>
      <c r="AA852" s="236"/>
    </row>
    <row r="853" spans="1:27" x14ac:dyDescent="0.2">
      <c r="A853" s="50"/>
      <c r="B853" s="51"/>
      <c r="C853" s="241">
        <f t="shared" si="193"/>
        <v>0</v>
      </c>
      <c r="D853" s="51"/>
      <c r="E853" s="51"/>
      <c r="F853" s="51"/>
      <c r="G853" s="51"/>
      <c r="H853" s="51"/>
      <c r="I853" s="73"/>
      <c r="J853" s="51" t="s">
        <v>120</v>
      </c>
      <c r="K853" s="52"/>
      <c r="L853" s="52">
        <f t="shared" si="189"/>
        <v>22880</v>
      </c>
      <c r="M853" s="52">
        <f t="shared" si="185"/>
        <v>0</v>
      </c>
      <c r="N853" s="52">
        <f t="shared" si="190"/>
        <v>58709.728999999992</v>
      </c>
      <c r="O853" s="52"/>
      <c r="P853" s="52">
        <f t="shared" si="186"/>
        <v>0</v>
      </c>
      <c r="Q853" s="52">
        <f t="shared" si="194"/>
        <v>19462.275163500006</v>
      </c>
      <c r="R853" s="52">
        <f t="shared" si="194"/>
        <v>851.29107050000005</v>
      </c>
      <c r="S853" s="52">
        <f t="shared" si="191"/>
        <v>0</v>
      </c>
      <c r="T853" s="52">
        <f t="shared" si="195"/>
        <v>4.8</v>
      </c>
      <c r="U853" s="52">
        <f t="shared" si="195"/>
        <v>0</v>
      </c>
      <c r="V853" s="52">
        <f t="shared" si="195"/>
        <v>0</v>
      </c>
      <c r="W853" s="52">
        <f t="shared" si="195"/>
        <v>79028.095234000008</v>
      </c>
      <c r="X853" s="52">
        <f t="shared" si="195"/>
        <v>0</v>
      </c>
      <c r="Y853" s="52">
        <f t="shared" si="195"/>
        <v>0</v>
      </c>
      <c r="Z853" s="195">
        <f t="shared" si="195"/>
        <v>79028.095234000008</v>
      </c>
      <c r="AA853" s="236"/>
    </row>
    <row r="854" spans="1:27" x14ac:dyDescent="0.2">
      <c r="A854" s="50"/>
      <c r="B854" s="51"/>
      <c r="C854" s="241">
        <f t="shared" si="193"/>
        <v>0</v>
      </c>
      <c r="D854" s="51"/>
      <c r="E854" s="51"/>
      <c r="F854" s="51"/>
      <c r="G854" s="51"/>
      <c r="H854" s="51"/>
      <c r="I854" s="73"/>
      <c r="J854" s="51" t="s">
        <v>989</v>
      </c>
      <c r="K854" s="52"/>
      <c r="L854" s="52">
        <f t="shared" si="189"/>
        <v>0</v>
      </c>
      <c r="M854" s="52">
        <f t="shared" si="185"/>
        <v>0</v>
      </c>
      <c r="N854" s="52">
        <f t="shared" si="190"/>
        <v>0</v>
      </c>
      <c r="O854" s="52"/>
      <c r="P854" s="52">
        <f t="shared" si="186"/>
        <v>0</v>
      </c>
      <c r="Q854" s="52">
        <f t="shared" si="194"/>
        <v>0</v>
      </c>
      <c r="R854" s="52">
        <f t="shared" si="194"/>
        <v>0</v>
      </c>
      <c r="S854" s="52">
        <f t="shared" si="191"/>
        <v>0</v>
      </c>
      <c r="T854" s="52">
        <f t="shared" si="195"/>
        <v>0</v>
      </c>
      <c r="U854" s="52">
        <f t="shared" si="195"/>
        <v>0</v>
      </c>
      <c r="V854" s="52">
        <f t="shared" si="195"/>
        <v>0</v>
      </c>
      <c r="W854" s="52">
        <f t="shared" si="195"/>
        <v>0</v>
      </c>
      <c r="X854" s="52">
        <f t="shared" si="195"/>
        <v>0</v>
      </c>
      <c r="Y854" s="52">
        <f t="shared" si="195"/>
        <v>0</v>
      </c>
      <c r="Z854" s="195">
        <f t="shared" si="195"/>
        <v>0</v>
      </c>
      <c r="AA854" s="236"/>
    </row>
    <row r="855" spans="1:27" ht="13.5" thickBot="1" x14ac:dyDescent="0.25"/>
    <row r="856" spans="1:27" ht="13.5" thickBot="1" x14ac:dyDescent="0.25">
      <c r="A856" s="150"/>
      <c r="B856" s="150"/>
      <c r="C856" s="150">
        <f>C638-SUM(C666:C854)</f>
        <v>6</v>
      </c>
      <c r="D856" s="150" t="s">
        <v>408</v>
      </c>
      <c r="E856" s="150"/>
      <c r="F856" s="150"/>
      <c r="G856" s="150"/>
      <c r="H856" s="150"/>
      <c r="I856" s="150"/>
      <c r="J856" s="150"/>
      <c r="K856" s="150"/>
      <c r="L856" s="150">
        <f>L616-SUM(L666:L854)</f>
        <v>0</v>
      </c>
      <c r="M856" s="150">
        <f>M616-SUM(M666:M854)</f>
        <v>0</v>
      </c>
      <c r="N856" s="150">
        <f>N616-SUM(N666:N854)</f>
        <v>-1.4901161193847656E-8</v>
      </c>
      <c r="O856" s="150"/>
      <c r="P856" s="150">
        <f t="shared" ref="P856:Z856" si="196">P616-SUM(P666:P854)</f>
        <v>0</v>
      </c>
      <c r="Q856" s="150">
        <f t="shared" si="196"/>
        <v>5.5879354476928711E-9</v>
      </c>
      <c r="R856" s="150">
        <f t="shared" si="196"/>
        <v>0</v>
      </c>
      <c r="S856" s="150">
        <f t="shared" si="196"/>
        <v>0</v>
      </c>
      <c r="T856" s="150">
        <f t="shared" si="196"/>
        <v>0</v>
      </c>
      <c r="U856" s="150">
        <f t="shared" si="196"/>
        <v>0</v>
      </c>
      <c r="V856" s="150">
        <f t="shared" si="196"/>
        <v>0</v>
      </c>
      <c r="W856" s="150">
        <f t="shared" si="196"/>
        <v>0</v>
      </c>
      <c r="X856" s="150">
        <f t="shared" si="196"/>
        <v>0</v>
      </c>
      <c r="Y856" s="150">
        <f t="shared" si="196"/>
        <v>0</v>
      </c>
      <c r="Z856" s="150">
        <f t="shared" si="196"/>
        <v>0</v>
      </c>
    </row>
  </sheetData>
  <autoFilter ref="A26:AA636"/>
  <sortState ref="A38:AA532">
    <sortCondition ref="I38:I532"/>
    <sortCondition ref="C38:C532"/>
    <sortCondition ref="E38:E532"/>
  </sortState>
  <dataValidations count="9">
    <dataValidation type="list" allowBlank="1" showInputMessage="1" showErrorMessage="1" errorTitle="Error" error="You must choose from the list." promptTitle="Budget Unit" prompt="Choose the appropriate budget unit for each employee.  Each employee should ONLY have 1 budget unit. Env Review has been combined with Compliance, Facilities/Fleet is combined with Operations Admin, Homeowner Repair is combined with Disaster Housing." sqref="G508 I27:I429 G503 I468:I615">
      <formula1>Budgets</formula1>
    </dataValidation>
    <dataValidation type="decimal" allowBlank="1" showInputMessage="1" showErrorMessage="1" errorTitle="Error" error="Enter the per diem rate for commissioners or the hourly rate for regular employees." promptTitle="Hourly Rate of Pay" prompt="Enter the Hourly Rate of Pay." sqref="M94 K27:K615">
      <formula1>0</formula1>
      <formula2>125</formula2>
    </dataValidation>
    <dataValidation type="decimal" errorStyle="warning" allowBlank="1" showInputMessage="1" showErrorMessage="1" errorTitle="Warning" error="Only CASH overtime hours, which must be approved by the Appointing Authority, should be entered." promptTitle="No. of Hours Worked" prompt="Estimate the number of CASH overtime hours worked.  Most overtime worked by full time employees is paid in K-time hours ONLY.  CASH overtime must be approved by the Appointing Authority to be paid." sqref="M27:M93 M95:M615">
      <formula1>0</formula1>
      <formula2>1040</formula2>
    </dataValidation>
    <dataValidation type="list" allowBlank="1" showInputMessage="1" showErrorMessage="1" promptTitle="Type of Appointment" prompt="Choose the type of appointment from the list." sqref="G27:G502 G504:G507 G509:G615">
      <formula1>EEStatus</formula1>
    </dataValidation>
    <dataValidation type="list" allowBlank="1" showInputMessage="1" showErrorMessage="1" errorTitle="Error" error="You much choose from the list." promptTitle="Level of Funding" prompt="Choose the Level of Funding._x000a_0=Not Funded_x000a_1=Funded" sqref="H27:H615 F503 F508">
      <formula1>Funded</formula1>
    </dataValidation>
    <dataValidation type="list" allowBlank="1" showInputMessage="1" showErrorMessage="1" promptTitle="Funding Source" prompt="Choose the appropriate funding sources for the employee.  A single employee may have multiple funding sources." sqref="J27:J615">
      <formula1>Funding</formula1>
    </dataValidation>
    <dataValidation type="list" allowBlank="1" showInputMessage="1" showErrorMessage="1" errorTitle="Error" error="You must choose from the list." promptTitle="Classification" prompt="Choose the appropriate classification from the list." sqref="F27:F502 F504:F507 F509:F615">
      <formula1>Classification</formula1>
    </dataValidation>
    <dataValidation type="decimal" errorStyle="warning" allowBlank="1" showInputMessage="1" showErrorMessage="1" errorTitle="Warning" error="Only CASH overtime, which must be approved by the Appointing Authority, can make this estimate more than 2,080 hrs/year" promptTitle="No. of Hours Worked" prompt="Estimate the number of hours worked.  Most full time employees work 2,080/year (40 hrs/week x 2 weeks/pay period x 26 pay periods/year)" sqref="L27:L615">
      <formula1>0</formula1>
      <formula2>2080</formula2>
    </dataValidation>
    <dataValidation type="list" allowBlank="1" showInputMessage="1" showErrorMessage="1" errorTitle="Error" error="You must choose from the list." promptTitle="Employee Name" prompt="Choose all current employees from the list and/or choose VACANT if you're requesting to fill a new position or one that is currently VACANT." sqref="C27:C615">
      <formula1>Employees</formula1>
    </dataValidation>
  </dataValidations>
  <printOptions horizontalCentered="1"/>
  <pageMargins left="0.45" right="0.45" top="0.5" bottom="0.5" header="0.3" footer="0.3"/>
  <pageSetup paperSize="5" scale="7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670"/>
  <sheetViews>
    <sheetView zoomScale="90" zoomScaleNormal="90" workbookViewId="0">
      <pane xSplit="9" ySplit="25" topLeftCell="J26" activePane="bottomRight" state="frozen"/>
      <selection pane="topRight" activeCell="J1" sqref="J1"/>
      <selection pane="bottomLeft" activeCell="A26" sqref="A26"/>
      <selection pane="bottomRight" activeCell="K330" sqref="K330"/>
    </sheetView>
  </sheetViews>
  <sheetFormatPr defaultColWidth="9.140625" defaultRowHeight="15" x14ac:dyDescent="0.25"/>
  <cols>
    <col min="1" max="1" width="9.7109375" style="4" customWidth="1"/>
    <col min="2" max="2" width="22.5703125" style="3" customWidth="1"/>
    <col min="3" max="3" width="37.85546875" style="3" customWidth="1"/>
    <col min="4" max="4" width="34.5703125" style="4" customWidth="1"/>
    <col min="5" max="5" width="35.7109375" style="4" customWidth="1"/>
    <col min="6" max="6" width="25.42578125" style="4" customWidth="1"/>
    <col min="7" max="7" width="13.28515625" style="4" customWidth="1"/>
    <col min="8" max="8" width="13.5703125" style="4" customWidth="1"/>
    <col min="9" max="9" width="14" style="4" customWidth="1"/>
    <col min="10" max="10" width="16.42578125" style="4" customWidth="1"/>
    <col min="11" max="11" width="15.42578125" style="4" customWidth="1"/>
    <col min="12" max="12" width="20.42578125" style="4" customWidth="1"/>
    <col min="13" max="15" width="16.7109375" style="4" customWidth="1"/>
    <col min="16" max="16" width="19.28515625" style="4" customWidth="1"/>
    <col min="17" max="18" width="20.140625" style="4" customWidth="1"/>
    <col min="19" max="19" width="17.42578125" style="349" customWidth="1"/>
    <col min="20" max="16384" width="9.140625" style="349"/>
  </cols>
  <sheetData>
    <row r="1" spans="1:18" ht="19.5" thickBot="1" x14ac:dyDescent="0.35">
      <c r="B1" s="14" t="s">
        <v>264</v>
      </c>
      <c r="D1" s="3"/>
      <c r="E1" s="3"/>
      <c r="F1" s="748" t="s">
        <v>503</v>
      </c>
      <c r="G1" s="749"/>
      <c r="H1" s="749"/>
      <c r="I1" s="749"/>
      <c r="J1" s="749"/>
      <c r="K1" s="749"/>
      <c r="L1" s="750"/>
      <c r="M1" s="749" t="s">
        <v>504</v>
      </c>
      <c r="N1" s="749"/>
      <c r="O1" s="749"/>
      <c r="P1" s="750"/>
    </row>
    <row r="2" spans="1:18" ht="30.75" thickBot="1" x14ac:dyDescent="0.35">
      <c r="B2" s="14"/>
      <c r="D2" s="3"/>
      <c r="E2" s="3"/>
      <c r="F2" s="427" t="s">
        <v>501</v>
      </c>
      <c r="G2" s="422"/>
      <c r="H2" s="423"/>
      <c r="I2" s="423"/>
      <c r="J2" s="424" t="s">
        <v>499</v>
      </c>
      <c r="K2" s="426" t="s">
        <v>500</v>
      </c>
      <c r="L2" s="426" t="s">
        <v>1180</v>
      </c>
      <c r="M2" s="428" t="s">
        <v>502</v>
      </c>
      <c r="N2" s="425" t="s">
        <v>1183</v>
      </c>
      <c r="O2" s="426" t="s">
        <v>500</v>
      </c>
      <c r="P2" s="426" t="s">
        <v>1180</v>
      </c>
      <c r="Q2" s="426" t="s">
        <v>1179</v>
      </c>
    </row>
    <row r="3" spans="1:18" s="16" customFormat="1" ht="18.75" x14ac:dyDescent="0.3">
      <c r="A3" s="4"/>
      <c r="B3" s="61" t="str">
        <f>HR!C3</f>
        <v>Total FY 2026 Request</v>
      </c>
      <c r="C3" s="53"/>
      <c r="D3" s="54"/>
      <c r="E3" s="158">
        <f>SUM(E4:E23)</f>
        <v>409396</v>
      </c>
      <c r="F3" s="429">
        <f>SUM(F4:F23)</f>
        <v>149060</v>
      </c>
      <c r="G3" s="430"/>
      <c r="H3" s="430"/>
      <c r="I3" s="430"/>
      <c r="J3" s="431">
        <f t="shared" ref="J3:Q3" si="0">SUM(J4:J23)</f>
        <v>91450</v>
      </c>
      <c r="K3" s="432">
        <f t="shared" si="0"/>
        <v>40920</v>
      </c>
      <c r="L3" s="432">
        <f t="shared" si="0"/>
        <v>16690</v>
      </c>
      <c r="M3" s="433">
        <f t="shared" si="0"/>
        <v>250336</v>
      </c>
      <c r="N3" s="430">
        <f t="shared" si="0"/>
        <v>29500</v>
      </c>
      <c r="O3" s="432">
        <f t="shared" si="0"/>
        <v>80516</v>
      </c>
      <c r="P3" s="432">
        <f>SUM(P4:P23)</f>
        <v>140320</v>
      </c>
      <c r="Q3" s="432">
        <f t="shared" si="0"/>
        <v>10000</v>
      </c>
      <c r="R3" s="229">
        <f>M3+F3+Q3-P181</f>
        <v>0</v>
      </c>
    </row>
    <row r="4" spans="1:18" s="16" customFormat="1" ht="18.75" x14ac:dyDescent="0.3">
      <c r="A4" s="4"/>
      <c r="B4" s="672" t="s">
        <v>27</v>
      </c>
      <c r="C4" s="666" t="s">
        <v>259</v>
      </c>
      <c r="D4" s="103"/>
      <c r="E4" s="676">
        <f t="shared" ref="E4:E15" si="1">SUM(F4,M4,Q4)</f>
        <v>0</v>
      </c>
      <c r="F4" s="429">
        <f t="shared" ref="F4:F15" si="2">SUM(J4:L4)</f>
        <v>0</v>
      </c>
      <c r="G4" s="397"/>
      <c r="H4" s="397"/>
      <c r="I4" s="397"/>
      <c r="J4" s="434">
        <f>P182</f>
        <v>0</v>
      </c>
      <c r="K4" s="452">
        <f>P202</f>
        <v>0</v>
      </c>
      <c r="L4" s="452">
        <f>P222</f>
        <v>0</v>
      </c>
      <c r="M4" s="454">
        <f t="shared" ref="M4:M13" si="3">SUM(N4:P4)</f>
        <v>0</v>
      </c>
      <c r="N4" s="453">
        <f>P242</f>
        <v>0</v>
      </c>
      <c r="O4" s="452">
        <f>P262</f>
        <v>0</v>
      </c>
      <c r="P4" s="452">
        <f>P282</f>
        <v>0</v>
      </c>
      <c r="Q4" s="452">
        <f>P302</f>
        <v>0</v>
      </c>
      <c r="R4"/>
    </row>
    <row r="5" spans="1:18" s="16" customFormat="1" ht="18.75" x14ac:dyDescent="0.3">
      <c r="A5" s="4"/>
      <c r="B5" s="672" t="s">
        <v>31</v>
      </c>
      <c r="C5" s="666" t="s">
        <v>22</v>
      </c>
      <c r="D5" s="103"/>
      <c r="E5" s="676">
        <f>SUM(F5,M5,Q5)</f>
        <v>600</v>
      </c>
      <c r="F5" s="429">
        <f>SUM(J5:L5)</f>
        <v>600</v>
      </c>
      <c r="G5" s="397"/>
      <c r="H5" s="397"/>
      <c r="I5" s="397"/>
      <c r="J5" s="434">
        <f>P184</f>
        <v>0</v>
      </c>
      <c r="K5" s="452">
        <f>P204</f>
        <v>0</v>
      </c>
      <c r="L5" s="452">
        <f>P224</f>
        <v>600</v>
      </c>
      <c r="M5" s="454">
        <f t="shared" si="3"/>
        <v>0</v>
      </c>
      <c r="N5" s="453">
        <f>P244</f>
        <v>0</v>
      </c>
      <c r="O5" s="452">
        <f>P264</f>
        <v>0</v>
      </c>
      <c r="P5" s="452">
        <f>P284</f>
        <v>0</v>
      </c>
      <c r="Q5" s="452">
        <f>P304</f>
        <v>0</v>
      </c>
      <c r="R5"/>
    </row>
    <row r="6" spans="1:18" s="16" customFormat="1" ht="18.75" x14ac:dyDescent="0.3">
      <c r="A6" s="4"/>
      <c r="B6" s="672" t="s">
        <v>29</v>
      </c>
      <c r="C6" s="666" t="s">
        <v>1182</v>
      </c>
      <c r="D6" s="103"/>
      <c r="E6" s="676">
        <f t="shared" si="1"/>
        <v>20000</v>
      </c>
      <c r="F6" s="429">
        <f t="shared" si="2"/>
        <v>5000</v>
      </c>
      <c r="G6" s="397"/>
      <c r="H6" s="397"/>
      <c r="I6" s="397"/>
      <c r="J6" s="434">
        <f>P190</f>
        <v>0</v>
      </c>
      <c r="K6" s="452">
        <f>P210</f>
        <v>5000</v>
      </c>
      <c r="L6" s="452">
        <f>P230</f>
        <v>0</v>
      </c>
      <c r="M6" s="454">
        <f t="shared" si="3"/>
        <v>15000</v>
      </c>
      <c r="N6" s="453">
        <f>P250</f>
        <v>0</v>
      </c>
      <c r="O6" s="452">
        <f>P270</f>
        <v>0</v>
      </c>
      <c r="P6" s="452">
        <f>P290</f>
        <v>15000</v>
      </c>
      <c r="Q6" s="452">
        <f>P310</f>
        <v>0</v>
      </c>
      <c r="R6"/>
    </row>
    <row r="7" spans="1:18" s="16" customFormat="1" ht="18.75" x14ac:dyDescent="0.3">
      <c r="A7" s="4"/>
      <c r="B7" s="672" t="s">
        <v>50</v>
      </c>
      <c r="C7" s="666" t="s">
        <v>272</v>
      </c>
      <c r="D7" s="103"/>
      <c r="E7" s="676">
        <f>SUM(F7,M7,Q7)</f>
        <v>8772</v>
      </c>
      <c r="F7" s="429">
        <f t="shared" si="2"/>
        <v>775</v>
      </c>
      <c r="G7" s="397"/>
      <c r="H7" s="397"/>
      <c r="I7" s="397"/>
      <c r="J7" s="434">
        <f>P193</f>
        <v>0</v>
      </c>
      <c r="K7" s="452">
        <f>P213</f>
        <v>775</v>
      </c>
      <c r="L7" s="452">
        <f>P233</f>
        <v>0</v>
      </c>
      <c r="M7" s="454">
        <f t="shared" si="3"/>
        <v>7997</v>
      </c>
      <c r="N7" s="453">
        <f>P253</f>
        <v>0</v>
      </c>
      <c r="O7" s="452">
        <f>P273</f>
        <v>7997</v>
      </c>
      <c r="P7" s="452">
        <f>P293</f>
        <v>0</v>
      </c>
      <c r="Q7" s="452">
        <f>P313</f>
        <v>0</v>
      </c>
      <c r="R7"/>
    </row>
    <row r="8" spans="1:18" s="16" customFormat="1" ht="18.75" x14ac:dyDescent="0.3">
      <c r="A8" s="4"/>
      <c r="B8" s="672">
        <v>167</v>
      </c>
      <c r="C8" s="666" t="s">
        <v>810</v>
      </c>
      <c r="D8" s="103"/>
      <c r="E8" s="676">
        <f t="shared" si="1"/>
        <v>0</v>
      </c>
      <c r="F8" s="429">
        <f t="shared" si="2"/>
        <v>0</v>
      </c>
      <c r="G8" s="397"/>
      <c r="H8" s="397"/>
      <c r="I8" s="397"/>
      <c r="J8" s="434">
        <f>P196</f>
        <v>0</v>
      </c>
      <c r="K8" s="452">
        <f>P216</f>
        <v>0</v>
      </c>
      <c r="L8" s="452">
        <f>P236</f>
        <v>0</v>
      </c>
      <c r="M8" s="454">
        <f t="shared" si="3"/>
        <v>0</v>
      </c>
      <c r="N8" s="453">
        <f>P256</f>
        <v>0</v>
      </c>
      <c r="O8" s="452">
        <f>P276</f>
        <v>0</v>
      </c>
      <c r="P8" s="452">
        <f>P296</f>
        <v>0</v>
      </c>
      <c r="Q8" s="452">
        <f>P316</f>
        <v>0</v>
      </c>
      <c r="R8"/>
    </row>
    <row r="9" spans="1:18" s="16" customFormat="1" ht="18.75" x14ac:dyDescent="0.3">
      <c r="A9" s="4"/>
      <c r="B9" s="672">
        <v>166</v>
      </c>
      <c r="C9" s="666" t="s">
        <v>23</v>
      </c>
      <c r="D9" s="103"/>
      <c r="E9" s="676">
        <f t="shared" si="1"/>
        <v>1150</v>
      </c>
      <c r="F9" s="429">
        <f t="shared" si="2"/>
        <v>1150</v>
      </c>
      <c r="G9" s="397"/>
      <c r="H9" s="397"/>
      <c r="I9" s="397"/>
      <c r="J9" s="434">
        <f>P198</f>
        <v>550</v>
      </c>
      <c r="K9" s="452">
        <f>P218</f>
        <v>0</v>
      </c>
      <c r="L9" s="452">
        <f>P238</f>
        <v>600</v>
      </c>
      <c r="M9" s="454">
        <f t="shared" si="3"/>
        <v>0</v>
      </c>
      <c r="N9" s="453">
        <f>P258</f>
        <v>0</v>
      </c>
      <c r="O9" s="452">
        <f>P278</f>
        <v>0</v>
      </c>
      <c r="P9" s="452">
        <f>P298</f>
        <v>0</v>
      </c>
      <c r="Q9" s="452">
        <f>P307</f>
        <v>0</v>
      </c>
      <c r="R9"/>
    </row>
    <row r="10" spans="1:18" s="16" customFormat="1" ht="18.75" x14ac:dyDescent="0.3">
      <c r="A10" s="4"/>
      <c r="B10" s="672">
        <v>167</v>
      </c>
      <c r="C10" s="666" t="s">
        <v>920</v>
      </c>
      <c r="D10" s="103"/>
      <c r="E10" s="676">
        <f t="shared" si="1"/>
        <v>0</v>
      </c>
      <c r="F10" s="429">
        <f t="shared" si="2"/>
        <v>0</v>
      </c>
      <c r="G10" s="397"/>
      <c r="H10" s="397"/>
      <c r="I10" s="397"/>
      <c r="J10" s="434">
        <f>P201</f>
        <v>0</v>
      </c>
      <c r="K10" s="435">
        <f>P221</f>
        <v>0</v>
      </c>
      <c r="L10" s="435">
        <f>P241</f>
        <v>0</v>
      </c>
      <c r="M10" s="433">
        <f t="shared" si="3"/>
        <v>0</v>
      </c>
      <c r="N10" s="397">
        <f>P261</f>
        <v>0</v>
      </c>
      <c r="O10" s="435">
        <f>P281</f>
        <v>0</v>
      </c>
      <c r="P10" s="435">
        <f>P301</f>
        <v>0</v>
      </c>
      <c r="Q10" s="435">
        <f>P321</f>
        <v>0</v>
      </c>
      <c r="R10"/>
    </row>
    <row r="11" spans="1:18" s="16" customFormat="1" ht="18.75" x14ac:dyDescent="0.3">
      <c r="A11" s="4"/>
      <c r="B11" s="672">
        <v>190</v>
      </c>
      <c r="C11" s="666" t="s">
        <v>24</v>
      </c>
      <c r="D11" s="103"/>
      <c r="E11" s="676">
        <f t="shared" si="1"/>
        <v>48000</v>
      </c>
      <c r="F11" s="429">
        <f t="shared" si="2"/>
        <v>28000</v>
      </c>
      <c r="G11" s="397"/>
      <c r="H11" s="397"/>
      <c r="I11" s="397"/>
      <c r="J11" s="671">
        <f>P185</f>
        <v>28000</v>
      </c>
      <c r="K11" s="452">
        <f>P205</f>
        <v>0</v>
      </c>
      <c r="L11" s="452">
        <f>P225</f>
        <v>0</v>
      </c>
      <c r="M11" s="454">
        <f t="shared" si="3"/>
        <v>12000</v>
      </c>
      <c r="N11" s="397">
        <f>P245</f>
        <v>0</v>
      </c>
      <c r="O11" s="435">
        <f>P265</f>
        <v>0</v>
      </c>
      <c r="P11" s="435">
        <f>P285</f>
        <v>12000</v>
      </c>
      <c r="Q11" s="435">
        <f>P305</f>
        <v>8000</v>
      </c>
      <c r="R11"/>
    </row>
    <row r="12" spans="1:18" s="16" customFormat="1" ht="18.75" x14ac:dyDescent="0.3">
      <c r="A12" s="4"/>
      <c r="B12" s="672">
        <v>195</v>
      </c>
      <c r="C12" s="666" t="s">
        <v>25</v>
      </c>
      <c r="D12" s="103"/>
      <c r="E12" s="676">
        <f t="shared" si="1"/>
        <v>5500</v>
      </c>
      <c r="F12" s="429">
        <f t="shared" si="2"/>
        <v>1500</v>
      </c>
      <c r="G12" s="397"/>
      <c r="H12" s="397"/>
      <c r="I12" s="397"/>
      <c r="J12" s="434">
        <f>P186</f>
        <v>0</v>
      </c>
      <c r="K12" s="435">
        <f>P206</f>
        <v>1500</v>
      </c>
      <c r="L12" s="435">
        <f>P226</f>
        <v>0</v>
      </c>
      <c r="M12" s="433">
        <f t="shared" si="3"/>
        <v>4000</v>
      </c>
      <c r="N12" s="397">
        <f>P246</f>
        <v>0</v>
      </c>
      <c r="O12" s="435">
        <f>P266</f>
        <v>4000</v>
      </c>
      <c r="P12" s="435">
        <f>P286</f>
        <v>0</v>
      </c>
      <c r="Q12" s="435">
        <f>P306</f>
        <v>0</v>
      </c>
      <c r="R12"/>
    </row>
    <row r="13" spans="1:18" s="16" customFormat="1" ht="13.5" customHeight="1" thickBot="1" x14ac:dyDescent="0.35">
      <c r="A13" s="4"/>
      <c r="B13" s="672">
        <v>136</v>
      </c>
      <c r="C13" s="666" t="s">
        <v>508</v>
      </c>
      <c r="D13" s="103"/>
      <c r="E13" s="676">
        <f t="shared" si="1"/>
        <v>0</v>
      </c>
      <c r="F13" s="429">
        <f t="shared" si="2"/>
        <v>0</v>
      </c>
      <c r="G13" s="397"/>
      <c r="H13" s="397"/>
      <c r="I13" s="397"/>
      <c r="J13" s="434">
        <f>P189</f>
        <v>0</v>
      </c>
      <c r="K13" s="435">
        <f>P209</f>
        <v>0</v>
      </c>
      <c r="L13" s="435">
        <f>P229</f>
        <v>0</v>
      </c>
      <c r="M13" s="433">
        <f t="shared" si="3"/>
        <v>0</v>
      </c>
      <c r="N13" s="397">
        <f>P249</f>
        <v>0</v>
      </c>
      <c r="O13" s="435">
        <f>P269</f>
        <v>0</v>
      </c>
      <c r="P13" s="435">
        <f>P289</f>
        <v>0</v>
      </c>
      <c r="Q13" s="435">
        <f>P309</f>
        <v>0</v>
      </c>
      <c r="R13"/>
    </row>
    <row r="14" spans="1:18" s="16" customFormat="1" ht="19.5" hidden="1" thickBot="1" x14ac:dyDescent="0.35">
      <c r="A14" s="4"/>
      <c r="B14" s="672" t="s">
        <v>507</v>
      </c>
      <c r="C14" s="666" t="s">
        <v>258</v>
      </c>
      <c r="D14" s="103"/>
      <c r="E14" s="676">
        <f t="shared" si="1"/>
        <v>94600</v>
      </c>
      <c r="F14" s="670">
        <f t="shared" si="2"/>
        <v>29800</v>
      </c>
      <c r="G14" s="397"/>
      <c r="H14" s="397"/>
      <c r="I14" s="397"/>
      <c r="J14" s="671">
        <f>P183</f>
        <v>4800</v>
      </c>
      <c r="K14" s="452">
        <f>P203</f>
        <v>25000</v>
      </c>
      <c r="L14" s="452">
        <f>P223</f>
        <v>0</v>
      </c>
      <c r="M14" s="454">
        <f t="shared" ref="M14:M23" si="4">SUM(N14:P14)</f>
        <v>64800</v>
      </c>
      <c r="N14" s="453">
        <f>P243</f>
        <v>9000</v>
      </c>
      <c r="O14" s="452">
        <f>P263</f>
        <v>0</v>
      </c>
      <c r="P14" s="452">
        <f>P283</f>
        <v>55800</v>
      </c>
      <c r="Q14" s="452">
        <f>P303</f>
        <v>0</v>
      </c>
      <c r="R14"/>
    </row>
    <row r="15" spans="1:18" s="16" customFormat="1" ht="19.5" hidden="1" thickBot="1" x14ac:dyDescent="0.35">
      <c r="A15" s="4"/>
      <c r="B15" s="672" t="s">
        <v>28</v>
      </c>
      <c r="C15" s="666" t="s">
        <v>20</v>
      </c>
      <c r="D15" s="103"/>
      <c r="E15" s="676">
        <f t="shared" si="1"/>
        <v>44500</v>
      </c>
      <c r="F15" s="429">
        <f t="shared" si="2"/>
        <v>14500</v>
      </c>
      <c r="G15" s="397"/>
      <c r="H15" s="397"/>
      <c r="I15" s="397"/>
      <c r="J15" s="434">
        <f>P191</f>
        <v>1000</v>
      </c>
      <c r="K15" s="435">
        <f>P211</f>
        <v>3500</v>
      </c>
      <c r="L15" s="435">
        <f>P231</f>
        <v>10000</v>
      </c>
      <c r="M15" s="433">
        <f t="shared" si="4"/>
        <v>30000</v>
      </c>
      <c r="N15" s="397">
        <f>P251</f>
        <v>0</v>
      </c>
      <c r="O15" s="435">
        <f>P271</f>
        <v>10000</v>
      </c>
      <c r="P15" s="435">
        <f>P291</f>
        <v>20000</v>
      </c>
      <c r="Q15" s="435">
        <f>P311</f>
        <v>0</v>
      </c>
      <c r="R15"/>
    </row>
    <row r="16" spans="1:18" s="16" customFormat="1" ht="19.5" hidden="1" thickBot="1" x14ac:dyDescent="0.35">
      <c r="A16" s="4"/>
      <c r="B16" s="672" t="s">
        <v>30</v>
      </c>
      <c r="C16" s="666" t="s">
        <v>21</v>
      </c>
      <c r="D16" s="103"/>
      <c r="E16" s="676">
        <f t="shared" ref="E16:E23" si="5">SUM(F16,M16,Q16)</f>
        <v>10000</v>
      </c>
      <c r="F16" s="429">
        <f t="shared" ref="F16:F22" si="6">SUM(J16:L16)</f>
        <v>6000</v>
      </c>
      <c r="G16" s="397"/>
      <c r="H16" s="397"/>
      <c r="I16" s="397"/>
      <c r="J16" s="434">
        <f>P194</f>
        <v>3750</v>
      </c>
      <c r="K16" s="435">
        <f>P214</f>
        <v>0</v>
      </c>
      <c r="L16" s="435">
        <f>P234</f>
        <v>2250</v>
      </c>
      <c r="M16" s="433">
        <f t="shared" si="4"/>
        <v>4000</v>
      </c>
      <c r="N16" s="397">
        <f>P254</f>
        <v>0</v>
      </c>
      <c r="O16" s="435">
        <f>P274</f>
        <v>4000</v>
      </c>
      <c r="P16" s="435">
        <f>P294</f>
        <v>0</v>
      </c>
      <c r="Q16" s="435">
        <f>P314</f>
        <v>0</v>
      </c>
      <c r="R16"/>
    </row>
    <row r="17" spans="1:18" s="16" customFormat="1" ht="19.5" hidden="1" thickBot="1" x14ac:dyDescent="0.35">
      <c r="A17" s="4"/>
      <c r="B17" s="672">
        <v>170</v>
      </c>
      <c r="C17" s="666" t="s">
        <v>394</v>
      </c>
      <c r="D17" s="103"/>
      <c r="E17" s="676">
        <f>SUM(F17,M17,Q17)</f>
        <v>8000</v>
      </c>
      <c r="F17" s="429">
        <f t="shared" si="6"/>
        <v>0</v>
      </c>
      <c r="G17" s="397"/>
      <c r="H17" s="397"/>
      <c r="I17" s="397"/>
      <c r="J17" s="434">
        <f>P187</f>
        <v>0</v>
      </c>
      <c r="K17" s="435">
        <f>P207</f>
        <v>0</v>
      </c>
      <c r="L17" s="435">
        <f>P227</f>
        <v>0</v>
      </c>
      <c r="M17" s="433">
        <f>SUM(N17:P17)</f>
        <v>8000</v>
      </c>
      <c r="N17" s="397">
        <f>P247</f>
        <v>0</v>
      </c>
      <c r="O17" s="435">
        <f>P267</f>
        <v>0</v>
      </c>
      <c r="P17" s="435">
        <f>P287</f>
        <v>8000</v>
      </c>
      <c r="Q17" s="435">
        <f>P307</f>
        <v>0</v>
      </c>
      <c r="R17"/>
    </row>
    <row r="18" spans="1:18" s="16" customFormat="1" ht="19.5" hidden="1" thickBot="1" x14ac:dyDescent="0.35">
      <c r="A18" s="4"/>
      <c r="B18" s="672">
        <v>172</v>
      </c>
      <c r="C18" s="666" t="s">
        <v>350</v>
      </c>
      <c r="D18" s="103"/>
      <c r="E18" s="676">
        <f t="shared" si="5"/>
        <v>25590</v>
      </c>
      <c r="F18" s="429">
        <f t="shared" si="6"/>
        <v>15500</v>
      </c>
      <c r="G18" s="397"/>
      <c r="H18" s="397"/>
      <c r="I18" s="397"/>
      <c r="J18" s="434">
        <f>P188</f>
        <v>14000</v>
      </c>
      <c r="K18" s="435">
        <f>P208</f>
        <v>1500</v>
      </c>
      <c r="L18" s="435">
        <f>P228</f>
        <v>0</v>
      </c>
      <c r="M18" s="433">
        <f t="shared" si="4"/>
        <v>10090</v>
      </c>
      <c r="N18" s="397">
        <f>P248</f>
        <v>0</v>
      </c>
      <c r="O18" s="435">
        <f>P268</f>
        <v>10090</v>
      </c>
      <c r="P18" s="435">
        <f>P288</f>
        <v>0</v>
      </c>
      <c r="Q18" s="435">
        <f>P308</f>
        <v>0</v>
      </c>
      <c r="R18"/>
    </row>
    <row r="19" spans="1:18" s="16" customFormat="1" ht="19.5" hidden="1" thickBot="1" x14ac:dyDescent="0.35">
      <c r="A19" s="4"/>
      <c r="B19" s="673">
        <v>150</v>
      </c>
      <c r="C19" s="387" t="s">
        <v>510</v>
      </c>
      <c r="D19" s="103"/>
      <c r="E19" s="676">
        <f t="shared" si="5"/>
        <v>84500</v>
      </c>
      <c r="F19" s="670">
        <f t="shared" si="6"/>
        <v>28000</v>
      </c>
      <c r="G19" s="397"/>
      <c r="H19" s="397"/>
      <c r="I19" s="397"/>
      <c r="J19" s="434">
        <f>P192</f>
        <v>28000</v>
      </c>
      <c r="K19" s="435">
        <f>P212</f>
        <v>0</v>
      </c>
      <c r="L19" s="435">
        <f>P232</f>
        <v>0</v>
      </c>
      <c r="M19" s="433">
        <f t="shared" si="4"/>
        <v>56500</v>
      </c>
      <c r="N19" s="453">
        <f>P252</f>
        <v>20500</v>
      </c>
      <c r="O19" s="435">
        <f>P272</f>
        <v>30000</v>
      </c>
      <c r="P19" s="435">
        <f>P292</f>
        <v>6000</v>
      </c>
      <c r="Q19" s="435">
        <f>P312</f>
        <v>0</v>
      </c>
      <c r="R19"/>
    </row>
    <row r="20" spans="1:18" s="16" customFormat="1" ht="19.5" hidden="1" thickBot="1" x14ac:dyDescent="0.35">
      <c r="A20" s="4"/>
      <c r="B20" s="673">
        <v>178</v>
      </c>
      <c r="C20" s="387" t="s">
        <v>1471</v>
      </c>
      <c r="D20" s="103"/>
      <c r="E20" s="676">
        <f t="shared" si="5"/>
        <v>11645</v>
      </c>
      <c r="F20" s="429">
        <f t="shared" si="6"/>
        <v>7645</v>
      </c>
      <c r="G20" s="397"/>
      <c r="H20" s="397"/>
      <c r="I20" s="397"/>
      <c r="J20" s="434">
        <f>P195</f>
        <v>4000</v>
      </c>
      <c r="K20" s="435">
        <f>P215</f>
        <v>3645</v>
      </c>
      <c r="L20" s="435">
        <f>P235</f>
        <v>0</v>
      </c>
      <c r="M20" s="433">
        <f t="shared" si="4"/>
        <v>4000</v>
      </c>
      <c r="N20" s="397">
        <f>P255</f>
        <v>0</v>
      </c>
      <c r="O20" s="435">
        <f>P275</f>
        <v>0</v>
      </c>
      <c r="P20" s="435">
        <f>P295</f>
        <v>4000</v>
      </c>
      <c r="Q20" s="435">
        <f>P315</f>
        <v>0</v>
      </c>
      <c r="R20"/>
    </row>
    <row r="21" spans="1:18" s="16" customFormat="1" ht="19.5" hidden="1" thickBot="1" x14ac:dyDescent="0.35">
      <c r="A21" s="4"/>
      <c r="B21" s="673" t="s">
        <v>32</v>
      </c>
      <c r="C21" s="387" t="s">
        <v>811</v>
      </c>
      <c r="D21" s="103"/>
      <c r="E21" s="676">
        <f t="shared" si="5"/>
        <v>6620</v>
      </c>
      <c r="F21" s="429">
        <f t="shared" si="6"/>
        <v>600</v>
      </c>
      <c r="G21" s="397"/>
      <c r="H21" s="397"/>
      <c r="I21" s="397"/>
      <c r="J21" s="434">
        <f>P197</f>
        <v>600</v>
      </c>
      <c r="K21" s="435">
        <f>P217</f>
        <v>0</v>
      </c>
      <c r="L21" s="435">
        <f>P237</f>
        <v>0</v>
      </c>
      <c r="M21" s="433">
        <f t="shared" si="4"/>
        <v>4020</v>
      </c>
      <c r="N21" s="397">
        <f>P257</f>
        <v>0</v>
      </c>
      <c r="O21" s="435">
        <f>P277</f>
        <v>0</v>
      </c>
      <c r="P21" s="435">
        <f>P297</f>
        <v>4020</v>
      </c>
      <c r="Q21" s="435">
        <f>P317</f>
        <v>2000</v>
      </c>
      <c r="R21"/>
    </row>
    <row r="22" spans="1:18" s="16" customFormat="1" ht="19.5" hidden="1" thickBot="1" x14ac:dyDescent="0.35">
      <c r="A22" s="4"/>
      <c r="B22" s="673">
        <v>180</v>
      </c>
      <c r="C22" s="387" t="s">
        <v>1453</v>
      </c>
      <c r="D22" s="103"/>
      <c r="E22" s="677">
        <f t="shared" si="5"/>
        <v>39919</v>
      </c>
      <c r="F22" s="429">
        <f t="shared" si="6"/>
        <v>9990</v>
      </c>
      <c r="G22" s="397"/>
      <c r="H22" s="397"/>
      <c r="I22" s="397"/>
      <c r="J22" s="434">
        <f>P199</f>
        <v>6750</v>
      </c>
      <c r="K22" s="435">
        <f>P219</f>
        <v>0</v>
      </c>
      <c r="L22" s="435">
        <f>P239</f>
        <v>3240</v>
      </c>
      <c r="M22" s="433">
        <f t="shared" si="4"/>
        <v>29929</v>
      </c>
      <c r="N22" s="397">
        <f>P259</f>
        <v>0</v>
      </c>
      <c r="O22" s="435">
        <f>P279</f>
        <v>14429</v>
      </c>
      <c r="P22" s="435">
        <f>P299</f>
        <v>15500</v>
      </c>
      <c r="Q22" s="435">
        <f>P319</f>
        <v>0</v>
      </c>
      <c r="R22"/>
    </row>
    <row r="23" spans="1:18" ht="19.5" hidden="1" thickBot="1" x14ac:dyDescent="0.35">
      <c r="A23" s="14"/>
      <c r="B23" s="674">
        <v>110</v>
      </c>
      <c r="C23" s="678" t="s">
        <v>1472</v>
      </c>
      <c r="D23" s="679"/>
      <c r="E23" s="699">
        <f t="shared" si="5"/>
        <v>0</v>
      </c>
      <c r="F23" s="455">
        <f>SUM(J23:L23)</f>
        <v>0</v>
      </c>
      <c r="G23" s="436"/>
      <c r="H23" s="436"/>
      <c r="I23" s="436"/>
      <c r="J23" s="436">
        <f>P200</f>
        <v>0</v>
      </c>
      <c r="K23" s="437">
        <f>P220</f>
        <v>0</v>
      </c>
      <c r="L23" s="437">
        <f>P240</f>
        <v>0</v>
      </c>
      <c r="M23" s="456">
        <f t="shared" si="4"/>
        <v>0</v>
      </c>
      <c r="N23" s="436">
        <f>P260</f>
        <v>0</v>
      </c>
      <c r="O23" s="437">
        <f>P280</f>
        <v>0</v>
      </c>
      <c r="P23" s="437">
        <f>P300</f>
        <v>0</v>
      </c>
      <c r="Q23" s="437">
        <f>P320</f>
        <v>0</v>
      </c>
    </row>
    <row r="24" spans="1:18" ht="19.5" hidden="1" thickBot="1" x14ac:dyDescent="0.35">
      <c r="A24" s="14"/>
      <c r="D24" s="3"/>
      <c r="E24" s="398"/>
      <c r="F24" s="398"/>
      <c r="G24" s="3"/>
      <c r="H24" s="3"/>
      <c r="I24" s="3"/>
      <c r="J24" s="3" t="s">
        <v>1178</v>
      </c>
      <c r="K24" s="3" t="s">
        <v>1177</v>
      </c>
      <c r="L24" s="3" t="s">
        <v>1173</v>
      </c>
      <c r="M24" s="3"/>
      <c r="N24" s="3" t="s">
        <v>1176</v>
      </c>
      <c r="O24" s="398" t="s">
        <v>1175</v>
      </c>
      <c r="P24" s="398" t="s">
        <v>1174</v>
      </c>
      <c r="Q24" s="3" t="s">
        <v>1181</v>
      </c>
    </row>
    <row r="25" spans="1:18" ht="30.75" thickTop="1" x14ac:dyDescent="0.25">
      <c r="A25" s="5" t="s">
        <v>219</v>
      </c>
      <c r="B25" s="8" t="s">
        <v>189</v>
      </c>
      <c r="C25" s="8" t="s">
        <v>13</v>
      </c>
      <c r="D25" s="6" t="s">
        <v>229</v>
      </c>
      <c r="E25" s="6" t="s">
        <v>230</v>
      </c>
      <c r="F25" s="6" t="s">
        <v>232</v>
      </c>
      <c r="G25" s="6" t="s">
        <v>227</v>
      </c>
      <c r="H25" s="6" t="s">
        <v>228</v>
      </c>
      <c r="I25" s="7" t="s">
        <v>231</v>
      </c>
      <c r="J25" s="6" t="s">
        <v>233</v>
      </c>
      <c r="K25" s="7" t="s">
        <v>234</v>
      </c>
      <c r="L25" s="6" t="s">
        <v>235</v>
      </c>
      <c r="M25" s="6" t="s">
        <v>236</v>
      </c>
      <c r="N25" s="6" t="s">
        <v>237</v>
      </c>
      <c r="O25" s="6" t="s">
        <v>238</v>
      </c>
      <c r="P25" s="8" t="s">
        <v>1597</v>
      </c>
      <c r="Q25" s="642" t="s">
        <v>1569</v>
      </c>
    </row>
    <row r="26" spans="1:18" x14ac:dyDescent="0.25">
      <c r="A26" s="285">
        <v>6212000</v>
      </c>
      <c r="B26" s="419" t="s">
        <v>19</v>
      </c>
      <c r="C26" s="419" t="s">
        <v>1019</v>
      </c>
      <c r="D26" s="421"/>
      <c r="E26" s="417" t="s">
        <v>1306</v>
      </c>
      <c r="F26" s="421"/>
      <c r="G26" s="416"/>
      <c r="H26" s="416"/>
      <c r="I26" s="417"/>
      <c r="J26" s="344"/>
      <c r="K26" s="420"/>
      <c r="L26" s="420"/>
      <c r="M26" s="408"/>
      <c r="N26" s="408"/>
      <c r="O26" s="408"/>
      <c r="P26" s="408">
        <f t="shared" ref="P26:P27" si="7">SUM(J26:O26)</f>
        <v>0</v>
      </c>
      <c r="Q26" s="527"/>
      <c r="R26" s="527"/>
    </row>
    <row r="27" spans="1:18" x14ac:dyDescent="0.25">
      <c r="A27" s="285">
        <v>6210000</v>
      </c>
      <c r="B27" s="419" t="s">
        <v>18</v>
      </c>
      <c r="C27" s="419" t="s">
        <v>46</v>
      </c>
      <c r="D27" s="421"/>
      <c r="E27" s="529" t="s">
        <v>1347</v>
      </c>
      <c r="F27" s="421"/>
      <c r="G27" s="416"/>
      <c r="H27" s="416"/>
      <c r="I27" s="417"/>
      <c r="J27" s="344"/>
      <c r="K27" s="420"/>
      <c r="L27" s="420"/>
      <c r="M27" s="408"/>
      <c r="N27" s="408"/>
      <c r="O27" s="408">
        <v>4800</v>
      </c>
      <c r="P27" s="408">
        <f t="shared" si="7"/>
        <v>4800</v>
      </c>
      <c r="Q27" s="648"/>
      <c r="R27" s="527"/>
    </row>
    <row r="28" spans="1:18" x14ac:dyDescent="0.25">
      <c r="A28" s="285">
        <v>6235000</v>
      </c>
      <c r="B28" s="419" t="s">
        <v>18</v>
      </c>
      <c r="C28" s="419" t="s">
        <v>46</v>
      </c>
      <c r="D28" s="421"/>
      <c r="E28" s="417" t="s">
        <v>1260</v>
      </c>
      <c r="F28" s="421"/>
      <c r="G28" s="416"/>
      <c r="H28" s="416"/>
      <c r="I28" s="417"/>
      <c r="J28" s="344">
        <v>6000</v>
      </c>
      <c r="K28" s="420"/>
      <c r="L28" s="420">
        <v>10000</v>
      </c>
      <c r="M28" s="408">
        <v>500</v>
      </c>
      <c r="N28" s="408">
        <v>500</v>
      </c>
      <c r="O28" s="408">
        <v>4000</v>
      </c>
      <c r="P28" s="408">
        <f>SUM(J28:O28)</f>
        <v>21000</v>
      </c>
      <c r="Q28" s="648"/>
      <c r="R28" s="527"/>
    </row>
    <row r="29" spans="1:18" x14ac:dyDescent="0.25">
      <c r="A29" s="285">
        <v>6235000</v>
      </c>
      <c r="B29" s="419" t="s">
        <v>18</v>
      </c>
      <c r="C29" s="419" t="s">
        <v>46</v>
      </c>
      <c r="D29" s="421"/>
      <c r="E29" s="417" t="s">
        <v>1348</v>
      </c>
      <c r="F29" s="421"/>
      <c r="G29" s="416"/>
      <c r="H29" s="416"/>
      <c r="I29" s="417"/>
      <c r="J29" s="344">
        <v>4000</v>
      </c>
      <c r="K29" s="420"/>
      <c r="L29" s="420">
        <v>9000</v>
      </c>
      <c r="M29" s="408">
        <v>500</v>
      </c>
      <c r="N29" s="408">
        <v>500</v>
      </c>
      <c r="O29" s="408">
        <v>1000</v>
      </c>
      <c r="P29" s="408">
        <f t="shared" ref="P29:P34" si="8">SUM(J29:O29)</f>
        <v>15000</v>
      </c>
      <c r="Q29" s="648"/>
      <c r="R29" s="527"/>
    </row>
    <row r="30" spans="1:18" x14ac:dyDescent="0.25">
      <c r="A30" s="285">
        <v>6235000</v>
      </c>
      <c r="B30" s="419" t="s">
        <v>18</v>
      </c>
      <c r="C30" s="419" t="s">
        <v>46</v>
      </c>
      <c r="D30" s="421"/>
      <c r="E30" s="417" t="s">
        <v>1349</v>
      </c>
      <c r="F30" s="421"/>
      <c r="G30" s="416"/>
      <c r="H30" s="416"/>
      <c r="I30" s="417"/>
      <c r="J30" s="344">
        <v>6000</v>
      </c>
      <c r="K30" s="420"/>
      <c r="L30" s="420">
        <v>8000</v>
      </c>
      <c r="M30" s="408">
        <v>750</v>
      </c>
      <c r="N30" s="408">
        <v>750</v>
      </c>
      <c r="O30" s="408">
        <v>4300</v>
      </c>
      <c r="P30" s="408">
        <f t="shared" si="8"/>
        <v>19800</v>
      </c>
      <c r="Q30" s="648"/>
      <c r="R30" s="527"/>
    </row>
    <row r="31" spans="1:18" x14ac:dyDescent="0.25">
      <c r="A31" s="285">
        <v>6220000</v>
      </c>
      <c r="B31" s="419" t="s">
        <v>18</v>
      </c>
      <c r="C31" s="419" t="s">
        <v>46</v>
      </c>
      <c r="D31" s="421"/>
      <c r="E31" s="417" t="s">
        <v>1784</v>
      </c>
      <c r="F31" s="421"/>
      <c r="G31" s="416"/>
      <c r="H31" s="416"/>
      <c r="I31" s="417"/>
      <c r="J31" s="344"/>
      <c r="K31" s="420"/>
      <c r="L31" s="420">
        <v>4500</v>
      </c>
      <c r="M31" s="408">
        <v>750</v>
      </c>
      <c r="N31" s="408">
        <v>750</v>
      </c>
      <c r="O31" s="408">
        <v>3000</v>
      </c>
      <c r="P31" s="408">
        <f t="shared" si="8"/>
        <v>9000</v>
      </c>
      <c r="Q31" s="648"/>
      <c r="R31" s="527"/>
    </row>
    <row r="32" spans="1:18" x14ac:dyDescent="0.25">
      <c r="A32" s="285">
        <v>6212000</v>
      </c>
      <c r="B32" s="419" t="s">
        <v>18</v>
      </c>
      <c r="C32" s="419" t="s">
        <v>46</v>
      </c>
      <c r="D32" s="421"/>
      <c r="E32" s="417" t="s">
        <v>1350</v>
      </c>
      <c r="F32" s="421"/>
      <c r="G32" s="416"/>
      <c r="H32" s="416"/>
      <c r="I32" s="417"/>
      <c r="J32" s="344"/>
      <c r="K32" s="420"/>
      <c r="L32" s="420"/>
      <c r="M32" s="408"/>
      <c r="N32" s="408"/>
      <c r="O32" s="408">
        <v>10000</v>
      </c>
      <c r="P32" s="408">
        <f t="shared" si="8"/>
        <v>10000</v>
      </c>
      <c r="Q32" s="527"/>
      <c r="R32" s="527"/>
    </row>
    <row r="33" spans="1:18" x14ac:dyDescent="0.25">
      <c r="A33" s="285">
        <v>6212000</v>
      </c>
      <c r="B33" s="419" t="s">
        <v>18</v>
      </c>
      <c r="C33" s="419" t="s">
        <v>46</v>
      </c>
      <c r="D33" s="421"/>
      <c r="E33" s="417" t="s">
        <v>1351</v>
      </c>
      <c r="F33" s="421"/>
      <c r="G33" s="416"/>
      <c r="H33" s="416"/>
      <c r="I33" s="417"/>
      <c r="J33" s="344"/>
      <c r="K33" s="420"/>
      <c r="L33" s="420"/>
      <c r="M33" s="408"/>
      <c r="N33" s="408"/>
      <c r="O33" s="408">
        <v>15000</v>
      </c>
      <c r="P33" s="408">
        <f t="shared" si="8"/>
        <v>15000</v>
      </c>
      <c r="Q33" s="648"/>
      <c r="R33" s="527"/>
    </row>
    <row r="34" spans="1:18" x14ac:dyDescent="0.25">
      <c r="A34" s="285">
        <v>6215000</v>
      </c>
      <c r="B34" s="419" t="s">
        <v>22</v>
      </c>
      <c r="C34" s="419" t="s">
        <v>1019</v>
      </c>
      <c r="D34" s="421" t="s">
        <v>1667</v>
      </c>
      <c r="E34" s="417" t="s">
        <v>1668</v>
      </c>
      <c r="F34" s="421"/>
      <c r="G34" s="416"/>
      <c r="H34" s="416"/>
      <c r="I34" s="417"/>
      <c r="J34" s="344"/>
      <c r="K34" s="420"/>
      <c r="L34" s="420">
        <v>600</v>
      </c>
      <c r="M34" s="408"/>
      <c r="N34" s="408"/>
      <c r="O34" s="408"/>
      <c r="P34" s="408">
        <f t="shared" si="8"/>
        <v>600</v>
      </c>
      <c r="Q34" s="527"/>
      <c r="R34" s="527"/>
    </row>
    <row r="35" spans="1:18" x14ac:dyDescent="0.25">
      <c r="A35" s="285">
        <v>6235000</v>
      </c>
      <c r="B35" s="419" t="s">
        <v>24</v>
      </c>
      <c r="C35" s="419" t="s">
        <v>99</v>
      </c>
      <c r="D35" s="417" t="s">
        <v>574</v>
      </c>
      <c r="E35" s="417" t="s">
        <v>1207</v>
      </c>
      <c r="F35" s="417"/>
      <c r="G35" s="416"/>
      <c r="H35" s="416"/>
      <c r="I35" s="417"/>
      <c r="J35" s="344">
        <v>500</v>
      </c>
      <c r="K35" s="420">
        <v>1000</v>
      </c>
      <c r="L35" s="420">
        <v>2000</v>
      </c>
      <c r="M35" s="408"/>
      <c r="N35" s="408"/>
      <c r="O35" s="408">
        <v>500</v>
      </c>
      <c r="P35" s="408">
        <f t="shared" ref="P35:P70" si="9">SUM(J35:O35)</f>
        <v>4000</v>
      </c>
      <c r="Q35" s="359"/>
      <c r="R35" s="357"/>
    </row>
    <row r="36" spans="1:18" x14ac:dyDescent="0.25">
      <c r="A36" s="285">
        <v>6235000</v>
      </c>
      <c r="B36" s="419" t="s">
        <v>24</v>
      </c>
      <c r="C36" s="419" t="s">
        <v>108</v>
      </c>
      <c r="D36" s="421" t="s">
        <v>1239</v>
      </c>
      <c r="E36" s="417" t="s">
        <v>1207</v>
      </c>
      <c r="F36" s="417"/>
      <c r="G36" s="416"/>
      <c r="H36" s="416"/>
      <c r="I36" s="417"/>
      <c r="J36" s="344">
        <v>500</v>
      </c>
      <c r="K36" s="420">
        <v>1000</v>
      </c>
      <c r="L36" s="420">
        <v>2000</v>
      </c>
      <c r="M36" s="408"/>
      <c r="N36" s="408"/>
      <c r="O36" s="408">
        <v>500</v>
      </c>
      <c r="P36" s="408">
        <f t="shared" si="9"/>
        <v>4000</v>
      </c>
      <c r="Q36" s="527"/>
      <c r="R36" s="527"/>
    </row>
    <row r="37" spans="1:18" x14ac:dyDescent="0.25">
      <c r="A37" s="285">
        <v>6210000</v>
      </c>
      <c r="B37" s="419" t="s">
        <v>24</v>
      </c>
      <c r="C37" s="419" t="s">
        <v>1019</v>
      </c>
      <c r="D37" s="419" t="s">
        <v>1650</v>
      </c>
      <c r="E37" s="417" t="s">
        <v>1241</v>
      </c>
      <c r="F37" s="417"/>
      <c r="G37" s="346"/>
      <c r="H37" s="346"/>
      <c r="I37" s="419"/>
      <c r="J37" s="344"/>
      <c r="K37" s="418"/>
      <c r="L37" s="420">
        <v>1500</v>
      </c>
      <c r="M37" s="418"/>
      <c r="N37" s="418"/>
      <c r="O37" s="418">
        <v>1500</v>
      </c>
      <c r="P37" s="408">
        <f t="shared" si="9"/>
        <v>3000</v>
      </c>
      <c r="Q37" s="527"/>
      <c r="R37" s="527"/>
    </row>
    <row r="38" spans="1:18" x14ac:dyDescent="0.25">
      <c r="A38" s="285">
        <v>6235000</v>
      </c>
      <c r="B38" s="419" t="s">
        <v>24</v>
      </c>
      <c r="C38" s="419" t="s">
        <v>96</v>
      </c>
      <c r="D38" s="419" t="s">
        <v>1240</v>
      </c>
      <c r="E38" s="417" t="s">
        <v>1207</v>
      </c>
      <c r="F38" s="417"/>
      <c r="G38" s="346"/>
      <c r="H38" s="346"/>
      <c r="I38" s="419"/>
      <c r="J38" s="344">
        <v>500</v>
      </c>
      <c r="K38" s="418">
        <v>1000</v>
      </c>
      <c r="L38" s="420">
        <v>2000</v>
      </c>
      <c r="M38" s="418"/>
      <c r="N38" s="418"/>
      <c r="O38" s="418">
        <v>500</v>
      </c>
      <c r="P38" s="408">
        <f t="shared" si="9"/>
        <v>4000</v>
      </c>
      <c r="Q38" s="648"/>
      <c r="R38" s="527"/>
    </row>
    <row r="39" spans="1:18" x14ac:dyDescent="0.25">
      <c r="A39" s="285">
        <v>6210000</v>
      </c>
      <c r="B39" s="419" t="s">
        <v>24</v>
      </c>
      <c r="C39" s="419" t="s">
        <v>1019</v>
      </c>
      <c r="D39" s="419" t="s">
        <v>1242</v>
      </c>
      <c r="E39" s="417" t="s">
        <v>1241</v>
      </c>
      <c r="F39" s="419"/>
      <c r="G39" s="346"/>
      <c r="H39" s="346"/>
      <c r="I39" s="419"/>
      <c r="J39" s="344"/>
      <c r="K39" s="418"/>
      <c r="L39" s="420">
        <v>2000</v>
      </c>
      <c r="M39" s="418"/>
      <c r="N39" s="418"/>
      <c r="O39" s="418">
        <v>4000</v>
      </c>
      <c r="P39" s="408">
        <f t="shared" si="9"/>
        <v>6000</v>
      </c>
      <c r="Q39" s="527"/>
      <c r="R39" s="527"/>
    </row>
    <row r="40" spans="1:18" x14ac:dyDescent="0.25">
      <c r="A40" s="285">
        <v>6210000</v>
      </c>
      <c r="B40" s="419" t="s">
        <v>24</v>
      </c>
      <c r="C40" s="419" t="s">
        <v>1019</v>
      </c>
      <c r="D40" s="417" t="s">
        <v>1240</v>
      </c>
      <c r="E40" s="417" t="s">
        <v>1241</v>
      </c>
      <c r="F40" s="417"/>
      <c r="G40" s="416"/>
      <c r="H40" s="416"/>
      <c r="I40" s="417"/>
      <c r="J40" s="344"/>
      <c r="K40" s="348"/>
      <c r="L40" s="420">
        <v>500</v>
      </c>
      <c r="M40" s="418"/>
      <c r="N40" s="418"/>
      <c r="O40" s="418">
        <v>500</v>
      </c>
      <c r="P40" s="408">
        <f t="shared" si="9"/>
        <v>1000</v>
      </c>
      <c r="Q40" s="527"/>
      <c r="R40" s="527"/>
    </row>
    <row r="41" spans="1:18" x14ac:dyDescent="0.25">
      <c r="A41" s="285">
        <v>6210000</v>
      </c>
      <c r="B41" s="419" t="s">
        <v>24</v>
      </c>
      <c r="C41" s="419" t="s">
        <v>1019</v>
      </c>
      <c r="D41" s="421" t="s">
        <v>696</v>
      </c>
      <c r="E41" s="417" t="s">
        <v>1241</v>
      </c>
      <c r="F41" s="417"/>
      <c r="G41" s="416"/>
      <c r="H41" s="416"/>
      <c r="I41" s="417"/>
      <c r="J41" s="344"/>
      <c r="K41" s="420"/>
      <c r="L41" s="420">
        <v>500</v>
      </c>
      <c r="M41" s="408"/>
      <c r="N41" s="408"/>
      <c r="O41" s="408">
        <v>1000</v>
      </c>
      <c r="P41" s="408">
        <f t="shared" si="9"/>
        <v>1500</v>
      </c>
      <c r="Q41" s="527"/>
      <c r="R41" s="527"/>
    </row>
    <row r="42" spans="1:18" x14ac:dyDescent="0.25">
      <c r="A42" s="211">
        <v>6210000</v>
      </c>
      <c r="B42" s="419" t="s">
        <v>24</v>
      </c>
      <c r="C42" s="419" t="s">
        <v>976</v>
      </c>
      <c r="D42" s="419" t="s">
        <v>694</v>
      </c>
      <c r="E42" s="417" t="s">
        <v>1241</v>
      </c>
      <c r="F42" s="419"/>
      <c r="G42" s="346"/>
      <c r="H42" s="346"/>
      <c r="I42" s="419"/>
      <c r="J42" s="344"/>
      <c r="K42" s="418"/>
      <c r="L42" s="420">
        <v>500</v>
      </c>
      <c r="M42" s="418"/>
      <c r="N42" s="418"/>
      <c r="O42" s="418">
        <v>1500</v>
      </c>
      <c r="P42" s="408">
        <f t="shared" si="9"/>
        <v>2000</v>
      </c>
      <c r="Q42" s="527"/>
      <c r="R42" s="527"/>
    </row>
    <row r="43" spans="1:18" x14ac:dyDescent="0.25">
      <c r="A43" s="285">
        <v>6210000</v>
      </c>
      <c r="B43" s="419" t="s">
        <v>24</v>
      </c>
      <c r="C43" s="419" t="s">
        <v>1019</v>
      </c>
      <c r="D43" s="417" t="s">
        <v>1243</v>
      </c>
      <c r="E43" s="417" t="s">
        <v>1241</v>
      </c>
      <c r="F43" s="417"/>
      <c r="G43" s="416"/>
      <c r="H43" s="416"/>
      <c r="I43" s="417"/>
      <c r="J43" s="344"/>
      <c r="K43" s="348"/>
      <c r="L43" s="420">
        <v>500</v>
      </c>
      <c r="M43" s="418"/>
      <c r="N43" s="418"/>
      <c r="O43" s="418">
        <v>1000</v>
      </c>
      <c r="P43" s="408">
        <f t="shared" si="9"/>
        <v>1500</v>
      </c>
      <c r="Q43" s="527"/>
      <c r="R43" s="527"/>
    </row>
    <row r="44" spans="1:18" x14ac:dyDescent="0.25">
      <c r="A44" s="211">
        <v>6210000</v>
      </c>
      <c r="B44" s="419" t="s">
        <v>24</v>
      </c>
      <c r="C44" s="419" t="s">
        <v>108</v>
      </c>
      <c r="D44" s="417" t="s">
        <v>1244</v>
      </c>
      <c r="E44" s="417" t="s">
        <v>1241</v>
      </c>
      <c r="F44" s="417"/>
      <c r="G44" s="416"/>
      <c r="H44" s="416"/>
      <c r="I44" s="417"/>
      <c r="J44" s="344"/>
      <c r="K44" s="348"/>
      <c r="L44" s="420">
        <v>2000</v>
      </c>
      <c r="M44" s="418"/>
      <c r="N44" s="418"/>
      <c r="O44" s="418">
        <v>3000</v>
      </c>
      <c r="P44" s="408">
        <f t="shared" si="9"/>
        <v>5000</v>
      </c>
      <c r="Q44" s="527"/>
      <c r="R44" s="527"/>
    </row>
    <row r="45" spans="1:18" x14ac:dyDescent="0.25">
      <c r="A45" s="211">
        <v>6210000</v>
      </c>
      <c r="B45" s="419" t="s">
        <v>24</v>
      </c>
      <c r="C45" s="419" t="s">
        <v>108</v>
      </c>
      <c r="D45" s="419" t="s">
        <v>1651</v>
      </c>
      <c r="E45" s="417" t="s">
        <v>1241</v>
      </c>
      <c r="F45" s="417"/>
      <c r="G45" s="346"/>
      <c r="H45" s="346"/>
      <c r="I45" s="419"/>
      <c r="J45" s="344"/>
      <c r="K45" s="418"/>
      <c r="L45" s="420">
        <v>2000</v>
      </c>
      <c r="M45" s="418"/>
      <c r="N45" s="418"/>
      <c r="O45" s="418">
        <v>3000</v>
      </c>
      <c r="P45" s="408">
        <f t="shared" si="9"/>
        <v>5000</v>
      </c>
      <c r="Q45" s="527"/>
      <c r="R45" s="527"/>
    </row>
    <row r="46" spans="1:18" x14ac:dyDescent="0.25">
      <c r="A46" s="285">
        <v>6210000</v>
      </c>
      <c r="B46" s="419" t="s">
        <v>24</v>
      </c>
      <c r="C46" s="419" t="s">
        <v>108</v>
      </c>
      <c r="D46" s="421" t="s">
        <v>574</v>
      </c>
      <c r="E46" s="417" t="s">
        <v>1241</v>
      </c>
      <c r="F46" s="421"/>
      <c r="G46" s="346"/>
      <c r="H46" s="346"/>
      <c r="I46" s="417"/>
      <c r="J46" s="344"/>
      <c r="K46" s="420"/>
      <c r="L46" s="420">
        <v>500</v>
      </c>
      <c r="M46" s="408"/>
      <c r="N46" s="408"/>
      <c r="O46" s="408">
        <v>1500</v>
      </c>
      <c r="P46" s="408">
        <f t="shared" si="9"/>
        <v>2000</v>
      </c>
      <c r="Q46" s="527"/>
      <c r="R46" s="527"/>
    </row>
    <row r="47" spans="1:18" x14ac:dyDescent="0.25">
      <c r="A47" s="285">
        <v>6210000</v>
      </c>
      <c r="B47" s="419" t="s">
        <v>24</v>
      </c>
      <c r="C47" s="419" t="s">
        <v>108</v>
      </c>
      <c r="D47" s="421" t="s">
        <v>694</v>
      </c>
      <c r="E47" s="419" t="s">
        <v>1335</v>
      </c>
      <c r="F47" s="419"/>
      <c r="G47" s="416"/>
      <c r="H47" s="416"/>
      <c r="I47" s="417"/>
      <c r="J47" s="344"/>
      <c r="K47" s="348"/>
      <c r="L47" s="420">
        <v>250</v>
      </c>
      <c r="M47" s="418"/>
      <c r="N47" s="418"/>
      <c r="O47" s="418">
        <v>750</v>
      </c>
      <c r="P47" s="408">
        <f t="shared" si="9"/>
        <v>1000</v>
      </c>
      <c r="Q47" s="527"/>
      <c r="R47" s="527"/>
    </row>
    <row r="48" spans="1:18" x14ac:dyDescent="0.25">
      <c r="A48" s="285">
        <v>6245000</v>
      </c>
      <c r="B48" s="419" t="s">
        <v>24</v>
      </c>
      <c r="C48" s="419" t="s">
        <v>1057</v>
      </c>
      <c r="D48" s="421" t="s">
        <v>694</v>
      </c>
      <c r="E48" s="419" t="s">
        <v>1682</v>
      </c>
      <c r="F48" s="419"/>
      <c r="G48" s="416"/>
      <c r="H48" s="416"/>
      <c r="I48" s="417"/>
      <c r="J48" s="344"/>
      <c r="K48" s="348"/>
      <c r="L48" s="420">
        <v>2000</v>
      </c>
      <c r="M48" s="418"/>
      <c r="N48" s="418"/>
      <c r="O48" s="418"/>
      <c r="P48" s="408">
        <f t="shared" ref="P48:P50" si="10">SUM(J48:O48)</f>
        <v>2000</v>
      </c>
      <c r="Q48" s="527"/>
      <c r="R48" s="527"/>
    </row>
    <row r="49" spans="1:18" x14ac:dyDescent="0.25">
      <c r="A49" s="285">
        <v>6245000</v>
      </c>
      <c r="B49" s="419" t="s">
        <v>24</v>
      </c>
      <c r="C49" s="419" t="s">
        <v>120</v>
      </c>
      <c r="D49" s="421" t="s">
        <v>694</v>
      </c>
      <c r="E49" s="419" t="s">
        <v>1682</v>
      </c>
      <c r="F49" s="419"/>
      <c r="G49" s="416"/>
      <c r="H49" s="416"/>
      <c r="I49" s="417"/>
      <c r="J49" s="344"/>
      <c r="K49" s="348"/>
      <c r="L49" s="420">
        <v>2000</v>
      </c>
      <c r="M49" s="418"/>
      <c r="N49" s="418"/>
      <c r="O49" s="418"/>
      <c r="P49" s="408">
        <f t="shared" si="10"/>
        <v>2000</v>
      </c>
      <c r="Q49" s="527"/>
      <c r="R49" s="527"/>
    </row>
    <row r="50" spans="1:18" x14ac:dyDescent="0.25">
      <c r="A50" s="285">
        <v>6245000</v>
      </c>
      <c r="B50" s="419" t="s">
        <v>24</v>
      </c>
      <c r="C50" s="419" t="s">
        <v>1057</v>
      </c>
      <c r="D50" s="421" t="s">
        <v>574</v>
      </c>
      <c r="E50" s="419" t="s">
        <v>1682</v>
      </c>
      <c r="F50" s="419"/>
      <c r="G50" s="416"/>
      <c r="H50" s="416"/>
      <c r="I50" s="417"/>
      <c r="J50" s="344"/>
      <c r="K50" s="348"/>
      <c r="L50" s="420">
        <v>2000</v>
      </c>
      <c r="M50" s="418"/>
      <c r="N50" s="418"/>
      <c r="O50" s="418"/>
      <c r="P50" s="408">
        <f t="shared" si="10"/>
        <v>2000</v>
      </c>
      <c r="Q50" s="527"/>
      <c r="R50" s="527"/>
    </row>
    <row r="51" spans="1:18" x14ac:dyDescent="0.25">
      <c r="A51" s="285">
        <v>6245000</v>
      </c>
      <c r="B51" s="419" t="s">
        <v>24</v>
      </c>
      <c r="C51" s="419" t="s">
        <v>120</v>
      </c>
      <c r="D51" s="421" t="s">
        <v>574</v>
      </c>
      <c r="E51" s="419" t="s">
        <v>1682</v>
      </c>
      <c r="F51" s="419"/>
      <c r="G51" s="416"/>
      <c r="H51" s="416"/>
      <c r="I51" s="417"/>
      <c r="J51" s="344"/>
      <c r="K51" s="348"/>
      <c r="L51" s="420">
        <v>2000</v>
      </c>
      <c r="M51" s="418"/>
      <c r="N51" s="418"/>
      <c r="O51" s="418"/>
      <c r="P51" s="408">
        <f>SUM(J51:O51)</f>
        <v>2000</v>
      </c>
      <c r="Q51" s="527"/>
      <c r="R51" s="527"/>
    </row>
    <row r="52" spans="1:18" x14ac:dyDescent="0.25">
      <c r="A52" s="285">
        <v>6222000</v>
      </c>
      <c r="B52" s="419" t="s">
        <v>25</v>
      </c>
      <c r="C52" s="419" t="s">
        <v>96</v>
      </c>
      <c r="D52" s="419" t="s">
        <v>1248</v>
      </c>
      <c r="E52" s="417" t="s">
        <v>1249</v>
      </c>
      <c r="F52" s="419"/>
      <c r="G52" s="346"/>
      <c r="H52" s="346"/>
      <c r="I52" s="419"/>
      <c r="J52" s="344">
        <v>500</v>
      </c>
      <c r="K52" s="418">
        <v>1000</v>
      </c>
      <c r="L52" s="420">
        <v>1500</v>
      </c>
      <c r="M52" s="418">
        <v>100</v>
      </c>
      <c r="N52" s="418">
        <v>400</v>
      </c>
      <c r="O52" s="418">
        <v>500</v>
      </c>
      <c r="P52" s="408">
        <f t="shared" si="9"/>
        <v>4000</v>
      </c>
      <c r="Q52" s="359"/>
      <c r="R52" s="357"/>
    </row>
    <row r="53" spans="1:18" x14ac:dyDescent="0.25">
      <c r="A53" s="285">
        <v>6212000</v>
      </c>
      <c r="B53" s="419" t="s">
        <v>25</v>
      </c>
      <c r="C53" s="419" t="s">
        <v>99</v>
      </c>
      <c r="D53" s="419"/>
      <c r="E53" s="419" t="s">
        <v>1702</v>
      </c>
      <c r="F53" s="419"/>
      <c r="G53" s="346"/>
      <c r="H53" s="346"/>
      <c r="I53" s="419"/>
      <c r="J53" s="344">
        <v>1000</v>
      </c>
      <c r="K53" s="418"/>
      <c r="L53" s="420"/>
      <c r="M53" s="418"/>
      <c r="N53" s="418"/>
      <c r="O53" s="418"/>
      <c r="P53" s="408">
        <f t="shared" si="9"/>
        <v>1000</v>
      </c>
      <c r="Q53" s="359"/>
      <c r="R53" s="357"/>
    </row>
    <row r="54" spans="1:18" x14ac:dyDescent="0.25">
      <c r="A54" s="285">
        <v>6212000</v>
      </c>
      <c r="B54" s="419" t="s">
        <v>25</v>
      </c>
      <c r="C54" s="419" t="s">
        <v>99</v>
      </c>
      <c r="D54" s="417"/>
      <c r="E54" s="417" t="s">
        <v>1703</v>
      </c>
      <c r="F54" s="417"/>
      <c r="G54" s="416"/>
      <c r="H54" s="416"/>
      <c r="I54" s="417"/>
      <c r="J54" s="344">
        <v>500</v>
      </c>
      <c r="K54" s="348"/>
      <c r="L54" s="420"/>
      <c r="M54" s="418"/>
      <c r="N54" s="418"/>
      <c r="O54" s="418"/>
      <c r="P54" s="408">
        <f t="shared" si="9"/>
        <v>500</v>
      </c>
      <c r="Q54" s="359"/>
      <c r="R54" s="357"/>
    </row>
    <row r="55" spans="1:18" x14ac:dyDescent="0.25">
      <c r="A55" s="285">
        <v>6235000</v>
      </c>
      <c r="B55" s="419" t="s">
        <v>394</v>
      </c>
      <c r="C55" s="419" t="s">
        <v>939</v>
      </c>
      <c r="D55" s="421" t="s">
        <v>1336</v>
      </c>
      <c r="E55" s="417" t="s">
        <v>1273</v>
      </c>
      <c r="F55" s="421"/>
      <c r="G55" s="416"/>
      <c r="H55" s="416"/>
      <c r="I55" s="417"/>
      <c r="J55" s="344">
        <v>1000</v>
      </c>
      <c r="K55" s="420"/>
      <c r="L55" s="420"/>
      <c r="M55" s="408"/>
      <c r="N55" s="408"/>
      <c r="O55" s="408"/>
      <c r="P55" s="408">
        <f t="shared" si="9"/>
        <v>1000</v>
      </c>
      <c r="Q55" s="648"/>
      <c r="R55" s="527"/>
    </row>
    <row r="56" spans="1:18" x14ac:dyDescent="0.25">
      <c r="A56" s="285">
        <v>6235000</v>
      </c>
      <c r="B56" s="419" t="s">
        <v>394</v>
      </c>
      <c r="C56" s="419" t="s">
        <v>937</v>
      </c>
      <c r="D56" s="421" t="s">
        <v>1336</v>
      </c>
      <c r="E56" s="417" t="s">
        <v>1273</v>
      </c>
      <c r="F56" s="421"/>
      <c r="G56" s="416"/>
      <c r="H56" s="416"/>
      <c r="I56" s="417"/>
      <c r="J56" s="344">
        <v>1000</v>
      </c>
      <c r="K56" s="420"/>
      <c r="L56" s="420"/>
      <c r="M56" s="408"/>
      <c r="N56" s="408"/>
      <c r="O56" s="408"/>
      <c r="P56" s="408">
        <f t="shared" si="9"/>
        <v>1000</v>
      </c>
      <c r="Q56" s="648"/>
      <c r="R56" s="527"/>
    </row>
    <row r="57" spans="1:18" x14ac:dyDescent="0.25">
      <c r="A57" s="285">
        <v>6235000</v>
      </c>
      <c r="B57" s="419" t="s">
        <v>394</v>
      </c>
      <c r="C57" s="419" t="s">
        <v>939</v>
      </c>
      <c r="D57" s="421" t="s">
        <v>1337</v>
      </c>
      <c r="E57" s="417" t="s">
        <v>1273</v>
      </c>
      <c r="F57" s="421"/>
      <c r="G57" s="416"/>
      <c r="H57" s="416"/>
      <c r="I57" s="417"/>
      <c r="J57" s="344">
        <v>1000</v>
      </c>
      <c r="K57" s="420"/>
      <c r="L57" s="420"/>
      <c r="M57" s="408"/>
      <c r="N57" s="408"/>
      <c r="O57" s="408"/>
      <c r="P57" s="408">
        <f t="shared" si="9"/>
        <v>1000</v>
      </c>
      <c r="Q57" s="648"/>
      <c r="R57" s="527"/>
    </row>
    <row r="58" spans="1:18" x14ac:dyDescent="0.25">
      <c r="A58" s="285">
        <v>6235000</v>
      </c>
      <c r="B58" s="419" t="s">
        <v>394</v>
      </c>
      <c r="C58" s="419" t="s">
        <v>937</v>
      </c>
      <c r="D58" s="421" t="s">
        <v>1337</v>
      </c>
      <c r="E58" s="417" t="s">
        <v>1273</v>
      </c>
      <c r="F58" s="421"/>
      <c r="G58" s="416"/>
      <c r="H58" s="416"/>
      <c r="I58" s="417"/>
      <c r="J58" s="344">
        <v>1000</v>
      </c>
      <c r="K58" s="420"/>
      <c r="L58" s="420"/>
      <c r="M58" s="408"/>
      <c r="N58" s="408"/>
      <c r="O58" s="408"/>
      <c r="P58" s="408">
        <f t="shared" si="9"/>
        <v>1000</v>
      </c>
      <c r="Q58" s="648"/>
      <c r="R58" s="527"/>
    </row>
    <row r="59" spans="1:18" x14ac:dyDescent="0.25">
      <c r="A59" s="285">
        <v>6235000</v>
      </c>
      <c r="B59" s="419" t="s">
        <v>394</v>
      </c>
      <c r="C59" s="419" t="s">
        <v>939</v>
      </c>
      <c r="D59" s="421" t="s">
        <v>655</v>
      </c>
      <c r="E59" s="417" t="s">
        <v>1573</v>
      </c>
      <c r="F59" s="421"/>
      <c r="G59" s="416"/>
      <c r="H59" s="416"/>
      <c r="I59" s="417"/>
      <c r="J59" s="344">
        <v>1000</v>
      </c>
      <c r="K59" s="420"/>
      <c r="L59" s="420"/>
      <c r="M59" s="408"/>
      <c r="N59" s="408"/>
      <c r="O59" s="408"/>
      <c r="P59" s="408">
        <f t="shared" si="9"/>
        <v>1000</v>
      </c>
      <c r="Q59" s="359"/>
      <c r="R59" s="357"/>
    </row>
    <row r="60" spans="1:18" x14ac:dyDescent="0.25">
      <c r="A60" s="285">
        <v>6235000</v>
      </c>
      <c r="B60" s="419" t="s">
        <v>394</v>
      </c>
      <c r="C60" s="419" t="s">
        <v>937</v>
      </c>
      <c r="D60" s="421" t="s">
        <v>655</v>
      </c>
      <c r="E60" s="417" t="s">
        <v>1573</v>
      </c>
      <c r="F60" s="421"/>
      <c r="G60" s="416"/>
      <c r="H60" s="416"/>
      <c r="I60" s="417"/>
      <c r="J60" s="344">
        <v>1000</v>
      </c>
      <c r="K60" s="420"/>
      <c r="L60" s="420"/>
      <c r="M60" s="408"/>
      <c r="N60" s="408"/>
      <c r="O60" s="408"/>
      <c r="P60" s="408">
        <f t="shared" si="9"/>
        <v>1000</v>
      </c>
      <c r="Q60" s="359"/>
      <c r="R60" s="357"/>
    </row>
    <row r="61" spans="1:18" x14ac:dyDescent="0.25">
      <c r="A61" s="285">
        <v>6235000</v>
      </c>
      <c r="B61" s="419" t="s">
        <v>394</v>
      </c>
      <c r="C61" s="419" t="s">
        <v>939</v>
      </c>
      <c r="D61" s="421" t="s">
        <v>704</v>
      </c>
      <c r="E61" s="417" t="s">
        <v>1273</v>
      </c>
      <c r="F61" s="421"/>
      <c r="G61" s="416"/>
      <c r="H61" s="416"/>
      <c r="I61" s="417"/>
      <c r="J61" s="344">
        <v>1000</v>
      </c>
      <c r="K61" s="420"/>
      <c r="L61" s="420"/>
      <c r="M61" s="408"/>
      <c r="N61" s="408"/>
      <c r="O61" s="408"/>
      <c r="P61" s="408">
        <f t="shared" si="9"/>
        <v>1000</v>
      </c>
      <c r="Q61" s="359"/>
      <c r="R61" s="357"/>
    </row>
    <row r="62" spans="1:18" x14ac:dyDescent="0.25">
      <c r="A62" s="285">
        <v>6235000</v>
      </c>
      <c r="B62" s="419" t="s">
        <v>394</v>
      </c>
      <c r="C62" s="419" t="s">
        <v>937</v>
      </c>
      <c r="D62" s="421" t="s">
        <v>704</v>
      </c>
      <c r="E62" s="417" t="s">
        <v>1273</v>
      </c>
      <c r="F62" s="421"/>
      <c r="G62" s="416"/>
      <c r="H62" s="416"/>
      <c r="I62" s="417"/>
      <c r="J62" s="344">
        <v>1000</v>
      </c>
      <c r="K62" s="420"/>
      <c r="L62" s="420"/>
      <c r="M62" s="408"/>
      <c r="N62" s="408"/>
      <c r="O62" s="408"/>
      <c r="P62" s="408">
        <f t="shared" si="9"/>
        <v>1000</v>
      </c>
      <c r="Q62" s="359"/>
      <c r="R62" s="357"/>
    </row>
    <row r="63" spans="1:18" x14ac:dyDescent="0.25">
      <c r="A63" s="285">
        <v>6210000</v>
      </c>
      <c r="B63" s="419" t="s">
        <v>350</v>
      </c>
      <c r="C63" s="419" t="s">
        <v>98</v>
      </c>
      <c r="D63" s="421" t="s">
        <v>664</v>
      </c>
      <c r="E63" s="417" t="s">
        <v>1326</v>
      </c>
      <c r="F63" s="417"/>
      <c r="G63" s="346"/>
      <c r="H63" s="346"/>
      <c r="I63" s="417"/>
      <c r="J63" s="344"/>
      <c r="K63" s="408"/>
      <c r="L63" s="420">
        <v>500</v>
      </c>
      <c r="M63" s="408"/>
      <c r="N63" s="408"/>
      <c r="O63" s="408">
        <v>500</v>
      </c>
      <c r="P63" s="408">
        <f t="shared" si="9"/>
        <v>1000</v>
      </c>
      <c r="Q63" s="527"/>
      <c r="R63" s="527"/>
    </row>
    <row r="64" spans="1:18" x14ac:dyDescent="0.25">
      <c r="A64" s="285">
        <v>6210000</v>
      </c>
      <c r="B64" s="419" t="s">
        <v>350</v>
      </c>
      <c r="C64" s="419" t="s">
        <v>98</v>
      </c>
      <c r="D64" s="419" t="s">
        <v>667</v>
      </c>
      <c r="E64" s="419" t="s">
        <v>1326</v>
      </c>
      <c r="F64" s="421"/>
      <c r="G64" s="346"/>
      <c r="H64" s="346"/>
      <c r="I64" s="419"/>
      <c r="J64" s="344"/>
      <c r="K64" s="408"/>
      <c r="L64" s="408">
        <v>500</v>
      </c>
      <c r="M64" s="408"/>
      <c r="N64" s="408"/>
      <c r="O64" s="408">
        <v>500</v>
      </c>
      <c r="P64" s="408">
        <f t="shared" si="9"/>
        <v>1000</v>
      </c>
      <c r="Q64" s="527"/>
      <c r="R64" s="527"/>
    </row>
    <row r="65" spans="1:18" x14ac:dyDescent="0.25">
      <c r="A65" s="285">
        <v>6210000</v>
      </c>
      <c r="B65" s="419" t="s">
        <v>350</v>
      </c>
      <c r="C65" s="419" t="s">
        <v>98</v>
      </c>
      <c r="D65" s="417" t="s">
        <v>663</v>
      </c>
      <c r="E65" s="417" t="s">
        <v>1326</v>
      </c>
      <c r="F65" s="417"/>
      <c r="G65" s="416"/>
      <c r="H65" s="416"/>
      <c r="I65" s="417"/>
      <c r="J65" s="344"/>
      <c r="K65" s="420"/>
      <c r="L65" s="420">
        <v>500</v>
      </c>
      <c r="M65" s="408"/>
      <c r="N65" s="408"/>
      <c r="O65" s="408">
        <v>500</v>
      </c>
      <c r="P65" s="408">
        <f t="shared" si="9"/>
        <v>1000</v>
      </c>
      <c r="Q65" s="527"/>
      <c r="R65" s="527"/>
    </row>
    <row r="66" spans="1:18" x14ac:dyDescent="0.25">
      <c r="A66" s="285">
        <v>6210000</v>
      </c>
      <c r="B66" s="419" t="s">
        <v>350</v>
      </c>
      <c r="C66" s="419" t="s">
        <v>98</v>
      </c>
      <c r="D66" s="421" t="s">
        <v>656</v>
      </c>
      <c r="E66" s="417" t="s">
        <v>1326</v>
      </c>
      <c r="F66" s="421"/>
      <c r="G66" s="416"/>
      <c r="H66" s="416"/>
      <c r="I66" s="417"/>
      <c r="J66" s="344"/>
      <c r="K66" s="420"/>
      <c r="L66" s="420">
        <v>500</v>
      </c>
      <c r="M66" s="408"/>
      <c r="N66" s="408"/>
      <c r="O66" s="408">
        <v>500</v>
      </c>
      <c r="P66" s="408">
        <f t="shared" si="9"/>
        <v>1000</v>
      </c>
      <c r="Q66" s="527"/>
      <c r="R66" s="527"/>
    </row>
    <row r="67" spans="1:18" x14ac:dyDescent="0.25">
      <c r="A67" s="285">
        <v>6210000</v>
      </c>
      <c r="B67" s="419" t="s">
        <v>350</v>
      </c>
      <c r="C67" s="419" t="s">
        <v>98</v>
      </c>
      <c r="D67" s="417" t="s">
        <v>1245</v>
      </c>
      <c r="E67" s="417" t="s">
        <v>1327</v>
      </c>
      <c r="F67" s="417"/>
      <c r="G67" s="416"/>
      <c r="H67" s="416"/>
      <c r="I67" s="417"/>
      <c r="J67" s="344"/>
      <c r="K67" s="420"/>
      <c r="L67" s="420">
        <v>500</v>
      </c>
      <c r="M67" s="408"/>
      <c r="N67" s="408"/>
      <c r="O67" s="408">
        <v>500</v>
      </c>
      <c r="P67" s="408">
        <f t="shared" si="9"/>
        <v>1000</v>
      </c>
      <c r="Q67" s="527"/>
      <c r="R67" s="527"/>
    </row>
    <row r="68" spans="1:18" x14ac:dyDescent="0.25">
      <c r="A68" s="285">
        <v>6210000</v>
      </c>
      <c r="B68" s="419" t="s">
        <v>350</v>
      </c>
      <c r="C68" s="419" t="s">
        <v>976</v>
      </c>
      <c r="D68" s="421" t="s">
        <v>1245</v>
      </c>
      <c r="E68" s="417" t="s">
        <v>1327</v>
      </c>
      <c r="F68" s="421"/>
      <c r="G68" s="416"/>
      <c r="H68" s="416"/>
      <c r="I68" s="417"/>
      <c r="J68" s="344"/>
      <c r="K68" s="420"/>
      <c r="L68" s="420">
        <v>250</v>
      </c>
      <c r="M68" s="408"/>
      <c r="N68" s="408"/>
      <c r="O68" s="408">
        <v>250</v>
      </c>
      <c r="P68" s="408">
        <f t="shared" si="9"/>
        <v>500</v>
      </c>
      <c r="Q68" s="527"/>
      <c r="R68" s="527"/>
    </row>
    <row r="69" spans="1:18" x14ac:dyDescent="0.25">
      <c r="A69" s="285">
        <v>6210000</v>
      </c>
      <c r="B69" s="419" t="s">
        <v>350</v>
      </c>
      <c r="C69" s="419" t="s">
        <v>1057</v>
      </c>
      <c r="D69" s="421" t="s">
        <v>1245</v>
      </c>
      <c r="E69" s="417" t="s">
        <v>1327</v>
      </c>
      <c r="F69" s="421"/>
      <c r="G69" s="416"/>
      <c r="H69" s="416"/>
      <c r="I69" s="417"/>
      <c r="J69" s="344"/>
      <c r="K69" s="420"/>
      <c r="L69" s="420">
        <v>250</v>
      </c>
      <c r="M69" s="408"/>
      <c r="N69" s="408"/>
      <c r="O69" s="408">
        <v>250</v>
      </c>
      <c r="P69" s="408">
        <f t="shared" si="9"/>
        <v>500</v>
      </c>
      <c r="Q69" s="527"/>
      <c r="R69" s="527"/>
    </row>
    <row r="70" spans="1:18" x14ac:dyDescent="0.25">
      <c r="A70" s="285">
        <v>6210000</v>
      </c>
      <c r="B70" s="419" t="s">
        <v>350</v>
      </c>
      <c r="C70" s="419" t="s">
        <v>98</v>
      </c>
      <c r="D70" s="421" t="s">
        <v>1328</v>
      </c>
      <c r="E70" s="417" t="s">
        <v>1329</v>
      </c>
      <c r="F70" s="421"/>
      <c r="G70" s="416"/>
      <c r="H70" s="416"/>
      <c r="I70" s="417"/>
      <c r="J70" s="344"/>
      <c r="K70" s="420"/>
      <c r="L70" s="420">
        <v>250</v>
      </c>
      <c r="M70" s="408"/>
      <c r="N70" s="408"/>
      <c r="O70" s="408">
        <v>250</v>
      </c>
      <c r="P70" s="408">
        <f t="shared" si="9"/>
        <v>500</v>
      </c>
      <c r="Q70" s="527"/>
      <c r="R70" s="527"/>
    </row>
    <row r="71" spans="1:18" x14ac:dyDescent="0.25">
      <c r="A71" s="285">
        <v>6210000</v>
      </c>
      <c r="B71" s="419" t="s">
        <v>350</v>
      </c>
      <c r="C71" s="419" t="s">
        <v>98</v>
      </c>
      <c r="D71" s="421" t="s">
        <v>1330</v>
      </c>
      <c r="E71" s="417" t="s">
        <v>1331</v>
      </c>
      <c r="F71" s="421"/>
      <c r="G71" s="346"/>
      <c r="H71" s="346"/>
      <c r="I71" s="417"/>
      <c r="J71" s="344"/>
      <c r="K71" s="408"/>
      <c r="L71" s="420">
        <v>750</v>
      </c>
      <c r="M71" s="408"/>
      <c r="N71" s="408"/>
      <c r="O71" s="408">
        <v>750</v>
      </c>
      <c r="P71" s="408">
        <f t="shared" ref="P71:P97" si="11">SUM(J71:O71)</f>
        <v>1500</v>
      </c>
      <c r="Q71" s="527"/>
      <c r="R71" s="527"/>
    </row>
    <row r="72" spans="1:18" x14ac:dyDescent="0.25">
      <c r="A72" s="285">
        <v>6210000</v>
      </c>
      <c r="B72" s="419" t="s">
        <v>350</v>
      </c>
      <c r="C72" s="419" t="s">
        <v>976</v>
      </c>
      <c r="D72" s="417" t="s">
        <v>1330</v>
      </c>
      <c r="E72" s="417" t="s">
        <v>1332</v>
      </c>
      <c r="F72" s="417"/>
      <c r="G72" s="346"/>
      <c r="H72" s="346"/>
      <c r="I72" s="417"/>
      <c r="J72" s="344"/>
      <c r="K72" s="420"/>
      <c r="L72" s="420">
        <v>750</v>
      </c>
      <c r="M72" s="408"/>
      <c r="N72" s="408"/>
      <c r="O72" s="408">
        <v>750</v>
      </c>
      <c r="P72" s="408">
        <f t="shared" si="11"/>
        <v>1500</v>
      </c>
      <c r="Q72" s="527"/>
      <c r="R72" s="527"/>
    </row>
    <row r="73" spans="1:18" x14ac:dyDescent="0.25">
      <c r="A73" s="285">
        <v>6210000</v>
      </c>
      <c r="B73" s="419" t="s">
        <v>350</v>
      </c>
      <c r="C73" s="419" t="s">
        <v>1057</v>
      </c>
      <c r="D73" s="421" t="s">
        <v>1330</v>
      </c>
      <c r="E73" s="417" t="s">
        <v>1332</v>
      </c>
      <c r="F73" s="421"/>
      <c r="G73" s="346"/>
      <c r="H73" s="346"/>
      <c r="I73" s="417"/>
      <c r="J73" s="344"/>
      <c r="K73" s="420"/>
      <c r="L73" s="420">
        <v>750</v>
      </c>
      <c r="M73" s="408"/>
      <c r="N73" s="408"/>
      <c r="O73" s="408">
        <v>750</v>
      </c>
      <c r="P73" s="408">
        <f t="shared" si="11"/>
        <v>1500</v>
      </c>
      <c r="Q73" s="527"/>
      <c r="R73" s="527"/>
    </row>
    <row r="74" spans="1:18" x14ac:dyDescent="0.25">
      <c r="A74" s="285">
        <v>6210000</v>
      </c>
      <c r="B74" s="419" t="s">
        <v>350</v>
      </c>
      <c r="C74" s="419" t="s">
        <v>976</v>
      </c>
      <c r="D74" s="417" t="s">
        <v>666</v>
      </c>
      <c r="E74" s="419" t="s">
        <v>1332</v>
      </c>
      <c r="F74" s="417"/>
      <c r="G74" s="346"/>
      <c r="H74" s="346"/>
      <c r="I74" s="417"/>
      <c r="J74" s="344"/>
      <c r="K74" s="420"/>
      <c r="L74" s="420">
        <v>750</v>
      </c>
      <c r="M74" s="408"/>
      <c r="N74" s="408"/>
      <c r="O74" s="408">
        <v>750</v>
      </c>
      <c r="P74" s="408">
        <f t="shared" si="11"/>
        <v>1500</v>
      </c>
      <c r="Q74" s="527"/>
      <c r="R74" s="527"/>
    </row>
    <row r="75" spans="1:18" x14ac:dyDescent="0.25">
      <c r="A75" s="285">
        <v>6210000</v>
      </c>
      <c r="B75" s="419" t="s">
        <v>350</v>
      </c>
      <c r="C75" s="419" t="s">
        <v>1057</v>
      </c>
      <c r="D75" s="421" t="s">
        <v>666</v>
      </c>
      <c r="E75" s="419" t="s">
        <v>1332</v>
      </c>
      <c r="F75" s="421"/>
      <c r="G75" s="346"/>
      <c r="H75" s="346"/>
      <c r="I75" s="417"/>
      <c r="J75" s="344"/>
      <c r="K75" s="420"/>
      <c r="L75" s="420">
        <v>750</v>
      </c>
      <c r="M75" s="408"/>
      <c r="N75" s="408"/>
      <c r="O75" s="408">
        <v>750</v>
      </c>
      <c r="P75" s="408">
        <f t="shared" si="11"/>
        <v>1500</v>
      </c>
      <c r="Q75" s="527"/>
      <c r="R75" s="527"/>
    </row>
    <row r="76" spans="1:18" x14ac:dyDescent="0.25">
      <c r="A76" s="285">
        <v>6222000</v>
      </c>
      <c r="B76" s="419" t="s">
        <v>350</v>
      </c>
      <c r="C76" s="419" t="s">
        <v>98</v>
      </c>
      <c r="D76" s="421"/>
      <c r="E76" s="417" t="s">
        <v>1333</v>
      </c>
      <c r="F76" s="421"/>
      <c r="G76" s="416"/>
      <c r="H76" s="416"/>
      <c r="I76" s="417"/>
      <c r="J76" s="344">
        <v>1200</v>
      </c>
      <c r="K76" s="420">
        <v>1100</v>
      </c>
      <c r="L76" s="420">
        <v>1500</v>
      </c>
      <c r="M76" s="408">
        <v>75</v>
      </c>
      <c r="N76" s="408">
        <v>120</v>
      </c>
      <c r="O76" s="408">
        <v>300</v>
      </c>
      <c r="P76" s="408">
        <f t="shared" si="11"/>
        <v>4295</v>
      </c>
      <c r="Q76" s="527"/>
      <c r="R76" s="527"/>
    </row>
    <row r="77" spans="1:18" x14ac:dyDescent="0.25">
      <c r="A77" s="285">
        <v>6222000</v>
      </c>
      <c r="B77" s="419" t="s">
        <v>350</v>
      </c>
      <c r="C77" s="419" t="s">
        <v>976</v>
      </c>
      <c r="D77" s="421"/>
      <c r="E77" s="417" t="s">
        <v>1334</v>
      </c>
      <c r="F77" s="421"/>
      <c r="G77" s="416"/>
      <c r="H77" s="416"/>
      <c r="I77" s="417"/>
      <c r="J77" s="344">
        <v>600</v>
      </c>
      <c r="K77" s="420">
        <v>550</v>
      </c>
      <c r="L77" s="420">
        <v>750</v>
      </c>
      <c r="M77" s="408">
        <v>37</v>
      </c>
      <c r="N77" s="408">
        <v>60</v>
      </c>
      <c r="O77" s="408">
        <v>150</v>
      </c>
      <c r="P77" s="408">
        <f t="shared" si="11"/>
        <v>2147</v>
      </c>
      <c r="Q77" s="527"/>
      <c r="R77" s="527"/>
    </row>
    <row r="78" spans="1:18" x14ac:dyDescent="0.25">
      <c r="A78" s="285">
        <v>6222000</v>
      </c>
      <c r="B78" s="419" t="s">
        <v>350</v>
      </c>
      <c r="C78" s="419" t="s">
        <v>1057</v>
      </c>
      <c r="D78" s="421"/>
      <c r="E78" s="417" t="s">
        <v>1334</v>
      </c>
      <c r="F78" s="421"/>
      <c r="G78" s="416"/>
      <c r="H78" s="416"/>
      <c r="I78" s="417"/>
      <c r="J78" s="344">
        <v>600</v>
      </c>
      <c r="K78" s="420">
        <v>550</v>
      </c>
      <c r="L78" s="420">
        <v>750</v>
      </c>
      <c r="M78" s="408">
        <v>38</v>
      </c>
      <c r="N78" s="408">
        <v>60</v>
      </c>
      <c r="O78" s="408">
        <v>150</v>
      </c>
      <c r="P78" s="408">
        <f t="shared" si="11"/>
        <v>2148</v>
      </c>
      <c r="Q78" s="527"/>
      <c r="R78" s="527"/>
    </row>
    <row r="79" spans="1:18" x14ac:dyDescent="0.25">
      <c r="A79" s="211">
        <v>6222000</v>
      </c>
      <c r="B79" s="419" t="s">
        <v>350</v>
      </c>
      <c r="C79" s="419" t="s">
        <v>976</v>
      </c>
      <c r="D79" s="421"/>
      <c r="E79" s="417" t="s">
        <v>1721</v>
      </c>
      <c r="F79" s="421"/>
      <c r="G79" s="346"/>
      <c r="H79" s="346"/>
      <c r="I79" s="417"/>
      <c r="J79" s="344">
        <v>1500</v>
      </c>
      <c r="K79" s="420"/>
      <c r="L79" s="420"/>
      <c r="M79" s="408"/>
      <c r="N79" s="408"/>
      <c r="O79" s="408"/>
      <c r="P79" s="408">
        <f t="shared" si="11"/>
        <v>1500</v>
      </c>
      <c r="Q79" s="527"/>
      <c r="R79" s="527"/>
    </row>
    <row r="80" spans="1:18" x14ac:dyDescent="0.25">
      <c r="A80" s="211">
        <v>6212000</v>
      </c>
      <c r="B80" s="419" t="s">
        <v>350</v>
      </c>
      <c r="C80" s="419" t="s">
        <v>1057</v>
      </c>
      <c r="D80" s="421"/>
      <c r="E80" s="419" t="s">
        <v>1721</v>
      </c>
      <c r="F80" s="419"/>
      <c r="G80" s="346"/>
      <c r="H80" s="346"/>
      <c r="I80" s="417"/>
      <c r="J80" s="344">
        <v>1500</v>
      </c>
      <c r="K80" s="348"/>
      <c r="L80" s="420"/>
      <c r="M80" s="418"/>
      <c r="N80" s="418"/>
      <c r="O80" s="418"/>
      <c r="P80" s="408">
        <f t="shared" si="11"/>
        <v>1500</v>
      </c>
      <c r="Q80" s="527"/>
      <c r="R80" s="527"/>
    </row>
    <row r="81" spans="1:18" x14ac:dyDescent="0.25">
      <c r="A81" s="285">
        <v>6235000</v>
      </c>
      <c r="B81" s="419" t="s">
        <v>1182</v>
      </c>
      <c r="C81" s="419" t="s">
        <v>1019</v>
      </c>
      <c r="D81" s="421" t="s">
        <v>1684</v>
      </c>
      <c r="E81" s="417" t="s">
        <v>1356</v>
      </c>
      <c r="F81" s="421"/>
      <c r="G81" s="416"/>
      <c r="H81" s="416"/>
      <c r="I81" s="417"/>
      <c r="J81" s="344">
        <v>550</v>
      </c>
      <c r="K81" s="420">
        <v>1500</v>
      </c>
      <c r="L81" s="420">
        <v>2500</v>
      </c>
      <c r="M81" s="408">
        <v>100</v>
      </c>
      <c r="N81" s="408">
        <v>50</v>
      </c>
      <c r="O81" s="408">
        <v>300</v>
      </c>
      <c r="P81" s="408">
        <f t="shared" si="11"/>
        <v>5000</v>
      </c>
      <c r="Q81" s="527"/>
      <c r="R81" s="527"/>
    </row>
    <row r="82" spans="1:18" x14ac:dyDescent="0.25">
      <c r="A82" s="285">
        <v>6235000</v>
      </c>
      <c r="B82" s="419" t="s">
        <v>1182</v>
      </c>
      <c r="C82" s="419" t="s">
        <v>1019</v>
      </c>
      <c r="D82" s="421" t="s">
        <v>1685</v>
      </c>
      <c r="E82" s="417" t="s">
        <v>1356</v>
      </c>
      <c r="F82" s="421"/>
      <c r="G82" s="416"/>
      <c r="H82" s="416"/>
      <c r="I82" s="417"/>
      <c r="J82" s="344">
        <v>550</v>
      </c>
      <c r="K82" s="420">
        <v>1500</v>
      </c>
      <c r="L82" s="420">
        <v>2500</v>
      </c>
      <c r="M82" s="408">
        <v>100</v>
      </c>
      <c r="N82" s="408">
        <v>50</v>
      </c>
      <c r="O82" s="408">
        <v>300</v>
      </c>
      <c r="P82" s="408">
        <f t="shared" si="11"/>
        <v>5000</v>
      </c>
      <c r="Q82" s="527"/>
      <c r="R82" s="527"/>
    </row>
    <row r="83" spans="1:18" x14ac:dyDescent="0.25">
      <c r="A83" s="285">
        <v>6235000</v>
      </c>
      <c r="B83" s="419" t="s">
        <v>1182</v>
      </c>
      <c r="C83" s="419" t="s">
        <v>1019</v>
      </c>
      <c r="D83" s="421" t="s">
        <v>1686</v>
      </c>
      <c r="E83" s="417" t="s">
        <v>1356</v>
      </c>
      <c r="F83" s="421"/>
      <c r="G83" s="416"/>
      <c r="H83" s="416"/>
      <c r="I83" s="417"/>
      <c r="J83" s="344">
        <v>550</v>
      </c>
      <c r="K83" s="420">
        <v>1500</v>
      </c>
      <c r="L83" s="420">
        <v>2500</v>
      </c>
      <c r="M83" s="408">
        <v>100</v>
      </c>
      <c r="N83" s="408">
        <v>50</v>
      </c>
      <c r="O83" s="408">
        <v>300</v>
      </c>
      <c r="P83" s="408">
        <f t="shared" si="11"/>
        <v>5000</v>
      </c>
      <c r="Q83" s="527"/>
      <c r="R83" s="527"/>
    </row>
    <row r="84" spans="1:18" x14ac:dyDescent="0.25">
      <c r="A84" s="285">
        <v>6212000</v>
      </c>
      <c r="B84" s="419" t="s">
        <v>1182</v>
      </c>
      <c r="C84" s="419" t="s">
        <v>1019</v>
      </c>
      <c r="D84" s="421" t="s">
        <v>1687</v>
      </c>
      <c r="E84" s="417" t="s">
        <v>1357</v>
      </c>
      <c r="F84" s="421"/>
      <c r="G84" s="416"/>
      <c r="H84" s="416"/>
      <c r="I84" s="417"/>
      <c r="J84" s="344">
        <v>550</v>
      </c>
      <c r="K84" s="420">
        <v>1500</v>
      </c>
      <c r="L84" s="420">
        <v>2500</v>
      </c>
      <c r="M84" s="408">
        <v>100</v>
      </c>
      <c r="N84" s="408">
        <v>50</v>
      </c>
      <c r="O84" s="408">
        <v>300</v>
      </c>
      <c r="P84" s="408">
        <f t="shared" si="11"/>
        <v>5000</v>
      </c>
      <c r="Q84" s="648"/>
      <c r="R84" s="527"/>
    </row>
    <row r="85" spans="1:18" x14ac:dyDescent="0.25">
      <c r="A85" s="285">
        <v>6215000</v>
      </c>
      <c r="B85" s="419" t="s">
        <v>20</v>
      </c>
      <c r="C85" s="419" t="s">
        <v>1019</v>
      </c>
      <c r="D85" s="421" t="s">
        <v>1785</v>
      </c>
      <c r="E85" s="417" t="s">
        <v>1260</v>
      </c>
      <c r="F85" s="421"/>
      <c r="G85" s="416"/>
      <c r="H85" s="416"/>
      <c r="I85" s="417"/>
      <c r="J85" s="344"/>
      <c r="K85" s="420"/>
      <c r="L85" s="420"/>
      <c r="M85" s="408"/>
      <c r="N85" s="408"/>
      <c r="O85" s="408">
        <v>2500</v>
      </c>
      <c r="P85" s="408">
        <f t="shared" si="11"/>
        <v>2500</v>
      </c>
      <c r="Q85" s="527"/>
      <c r="R85" s="527"/>
    </row>
    <row r="86" spans="1:18" x14ac:dyDescent="0.25">
      <c r="A86" s="285">
        <v>6235000</v>
      </c>
      <c r="B86" s="419" t="s">
        <v>20</v>
      </c>
      <c r="C86" s="419" t="s">
        <v>1019</v>
      </c>
      <c r="D86" s="421" t="s">
        <v>1785</v>
      </c>
      <c r="E86" s="417" t="s">
        <v>1260</v>
      </c>
      <c r="F86" s="421"/>
      <c r="G86" s="416"/>
      <c r="H86" s="416"/>
      <c r="I86" s="417"/>
      <c r="J86" s="344"/>
      <c r="K86" s="420"/>
      <c r="L86" s="420"/>
      <c r="M86" s="408"/>
      <c r="N86" s="408"/>
      <c r="O86" s="408">
        <v>5000</v>
      </c>
      <c r="P86" s="408">
        <f t="shared" si="11"/>
        <v>5000</v>
      </c>
      <c r="Q86" s="527"/>
      <c r="R86" s="527"/>
    </row>
    <row r="87" spans="1:18" x14ac:dyDescent="0.25">
      <c r="A87" s="285">
        <v>6215000</v>
      </c>
      <c r="B87" s="419" t="s">
        <v>20</v>
      </c>
      <c r="C87" s="419" t="s">
        <v>1019</v>
      </c>
      <c r="D87" s="421" t="s">
        <v>1684</v>
      </c>
      <c r="E87" s="417" t="s">
        <v>1260</v>
      </c>
      <c r="F87" s="421"/>
      <c r="G87" s="416"/>
      <c r="H87" s="416"/>
      <c r="I87" s="417"/>
      <c r="J87" s="344"/>
      <c r="K87" s="420"/>
      <c r="L87" s="420"/>
      <c r="M87" s="408"/>
      <c r="N87" s="408"/>
      <c r="O87" s="408">
        <v>2500</v>
      </c>
      <c r="P87" s="408">
        <f t="shared" si="11"/>
        <v>2500</v>
      </c>
      <c r="Q87" s="527"/>
      <c r="R87" s="527"/>
    </row>
    <row r="88" spans="1:18" x14ac:dyDescent="0.25">
      <c r="A88" s="285">
        <v>6235000</v>
      </c>
      <c r="B88" s="419" t="s">
        <v>20</v>
      </c>
      <c r="C88" s="419" t="s">
        <v>1019</v>
      </c>
      <c r="D88" s="421" t="s">
        <v>1684</v>
      </c>
      <c r="E88" s="417" t="s">
        <v>1260</v>
      </c>
      <c r="F88" s="421"/>
      <c r="G88" s="416"/>
      <c r="H88" s="416"/>
      <c r="I88" s="417"/>
      <c r="J88" s="344"/>
      <c r="K88" s="420"/>
      <c r="L88" s="420"/>
      <c r="M88" s="408"/>
      <c r="N88" s="408"/>
      <c r="O88" s="408">
        <v>5000</v>
      </c>
      <c r="P88" s="408">
        <f t="shared" si="11"/>
        <v>5000</v>
      </c>
      <c r="Q88" s="527"/>
      <c r="R88" s="527"/>
    </row>
    <row r="89" spans="1:18" x14ac:dyDescent="0.25">
      <c r="A89" s="285">
        <v>6215000</v>
      </c>
      <c r="B89" s="419" t="s">
        <v>20</v>
      </c>
      <c r="C89" s="419" t="s">
        <v>1019</v>
      </c>
      <c r="D89" s="421" t="s">
        <v>572</v>
      </c>
      <c r="E89" s="417" t="s">
        <v>1260</v>
      </c>
      <c r="F89" s="421"/>
      <c r="G89" s="416"/>
      <c r="H89" s="416"/>
      <c r="I89" s="417"/>
      <c r="J89" s="344"/>
      <c r="K89" s="420"/>
      <c r="L89" s="420"/>
      <c r="M89" s="408"/>
      <c r="N89" s="408"/>
      <c r="O89" s="408">
        <v>2500</v>
      </c>
      <c r="P89" s="408">
        <f t="shared" si="11"/>
        <v>2500</v>
      </c>
      <c r="Q89" s="527"/>
      <c r="R89" s="527"/>
    </row>
    <row r="90" spans="1:18" x14ac:dyDescent="0.25">
      <c r="A90" s="285">
        <v>6235000</v>
      </c>
      <c r="B90" s="419" t="s">
        <v>20</v>
      </c>
      <c r="C90" s="419" t="s">
        <v>1019</v>
      </c>
      <c r="D90" s="421" t="s">
        <v>572</v>
      </c>
      <c r="E90" s="417" t="s">
        <v>1260</v>
      </c>
      <c r="F90" s="421"/>
      <c r="G90" s="416"/>
      <c r="H90" s="416"/>
      <c r="I90" s="417"/>
      <c r="J90" s="344"/>
      <c r="K90" s="420"/>
      <c r="L90" s="420"/>
      <c r="M90" s="408"/>
      <c r="N90" s="408"/>
      <c r="O90" s="408">
        <v>5000</v>
      </c>
      <c r="P90" s="408">
        <f t="shared" si="11"/>
        <v>5000</v>
      </c>
      <c r="Q90" s="648"/>
      <c r="R90" s="527"/>
    </row>
    <row r="91" spans="1:18" x14ac:dyDescent="0.25">
      <c r="A91" s="285">
        <v>6212000</v>
      </c>
      <c r="B91" s="419" t="s">
        <v>20</v>
      </c>
      <c r="C91" s="419" t="s">
        <v>1019</v>
      </c>
      <c r="D91" s="421" t="s">
        <v>572</v>
      </c>
      <c r="E91" s="417"/>
      <c r="F91" s="421"/>
      <c r="G91" s="416"/>
      <c r="H91" s="416"/>
      <c r="I91" s="417"/>
      <c r="J91" s="344"/>
      <c r="K91" s="420"/>
      <c r="L91" s="420"/>
      <c r="M91" s="408"/>
      <c r="N91" s="408"/>
      <c r="O91" s="408">
        <v>2500</v>
      </c>
      <c r="P91" s="408">
        <f t="shared" si="11"/>
        <v>2500</v>
      </c>
      <c r="Q91" s="648"/>
      <c r="R91" s="527"/>
    </row>
    <row r="92" spans="1:18" x14ac:dyDescent="0.25">
      <c r="A92" s="285">
        <v>6215000</v>
      </c>
      <c r="B92" s="419" t="s">
        <v>20</v>
      </c>
      <c r="C92" s="419" t="s">
        <v>1019</v>
      </c>
      <c r="D92" s="421" t="s">
        <v>570</v>
      </c>
      <c r="E92" s="417" t="s">
        <v>1260</v>
      </c>
      <c r="F92" s="421"/>
      <c r="G92" s="416"/>
      <c r="H92" s="416"/>
      <c r="I92" s="417"/>
      <c r="J92" s="344"/>
      <c r="K92" s="420"/>
      <c r="L92" s="420"/>
      <c r="M92" s="408"/>
      <c r="N92" s="408"/>
      <c r="O92" s="408">
        <v>2500</v>
      </c>
      <c r="P92" s="408">
        <f t="shared" si="11"/>
        <v>2500</v>
      </c>
      <c r="Q92" s="648"/>
      <c r="R92" s="527"/>
    </row>
    <row r="93" spans="1:18" x14ac:dyDescent="0.25">
      <c r="A93" s="285">
        <v>6235000</v>
      </c>
      <c r="B93" s="419" t="s">
        <v>20</v>
      </c>
      <c r="C93" s="419" t="s">
        <v>1019</v>
      </c>
      <c r="D93" s="421" t="s">
        <v>570</v>
      </c>
      <c r="E93" s="417" t="s">
        <v>1260</v>
      </c>
      <c r="F93" s="421"/>
      <c r="G93" s="416"/>
      <c r="H93" s="416"/>
      <c r="I93" s="417"/>
      <c r="J93" s="344"/>
      <c r="K93" s="420"/>
      <c r="L93" s="420"/>
      <c r="M93" s="408"/>
      <c r="N93" s="408"/>
      <c r="O93" s="408">
        <v>5000</v>
      </c>
      <c r="P93" s="408">
        <f t="shared" si="11"/>
        <v>5000</v>
      </c>
      <c r="Q93" s="648"/>
      <c r="R93" s="527"/>
    </row>
    <row r="94" spans="1:18" x14ac:dyDescent="0.25">
      <c r="A94" s="285">
        <v>6222000</v>
      </c>
      <c r="B94" s="419" t="s">
        <v>20</v>
      </c>
      <c r="C94" s="419" t="s">
        <v>1019</v>
      </c>
      <c r="D94" s="421" t="s">
        <v>1359</v>
      </c>
      <c r="E94" s="417" t="s">
        <v>1786</v>
      </c>
      <c r="F94" s="421"/>
      <c r="G94" s="416"/>
      <c r="H94" s="416"/>
      <c r="I94" s="417"/>
      <c r="J94" s="344"/>
      <c r="K94" s="420"/>
      <c r="L94" s="420"/>
      <c r="M94" s="408"/>
      <c r="N94" s="408"/>
      <c r="O94" s="408">
        <v>5000</v>
      </c>
      <c r="P94" s="408">
        <f t="shared" si="11"/>
        <v>5000</v>
      </c>
      <c r="Q94" s="648"/>
      <c r="R94" s="527"/>
    </row>
    <row r="95" spans="1:18" x14ac:dyDescent="0.25">
      <c r="A95" s="285">
        <v>6222000</v>
      </c>
      <c r="B95" s="419" t="s">
        <v>20</v>
      </c>
      <c r="C95" s="419" t="s">
        <v>1019</v>
      </c>
      <c r="D95" s="421" t="s">
        <v>1787</v>
      </c>
      <c r="E95" s="417" t="s">
        <v>1788</v>
      </c>
      <c r="F95" s="421"/>
      <c r="G95" s="416"/>
      <c r="H95" s="416"/>
      <c r="I95" s="417"/>
      <c r="J95" s="344"/>
      <c r="K95" s="420"/>
      <c r="L95" s="420"/>
      <c r="M95" s="408"/>
      <c r="N95" s="408"/>
      <c r="O95" s="408">
        <v>5000</v>
      </c>
      <c r="P95" s="408">
        <f t="shared" si="11"/>
        <v>5000</v>
      </c>
      <c r="Q95" s="648"/>
      <c r="R95" s="527"/>
    </row>
    <row r="96" spans="1:18" x14ac:dyDescent="0.25">
      <c r="A96" s="285">
        <v>6210000</v>
      </c>
      <c r="B96" s="419" t="s">
        <v>20</v>
      </c>
      <c r="C96" s="419" t="s">
        <v>1019</v>
      </c>
      <c r="D96" s="421" t="s">
        <v>1789</v>
      </c>
      <c r="E96" s="417" t="s">
        <v>1790</v>
      </c>
      <c r="F96" s="421"/>
      <c r="G96" s="416"/>
      <c r="H96" s="416"/>
      <c r="I96" s="417"/>
      <c r="J96" s="344"/>
      <c r="K96" s="420"/>
      <c r="L96" s="420"/>
      <c r="M96" s="408"/>
      <c r="N96" s="408"/>
      <c r="O96" s="408">
        <v>1000</v>
      </c>
      <c r="P96" s="408">
        <f t="shared" si="11"/>
        <v>1000</v>
      </c>
      <c r="Q96" s="648"/>
      <c r="R96" s="527"/>
    </row>
    <row r="97" spans="1:18" x14ac:dyDescent="0.25">
      <c r="A97" s="285">
        <v>6212000</v>
      </c>
      <c r="B97" s="419" t="s">
        <v>20</v>
      </c>
      <c r="C97" s="419" t="s">
        <v>1019</v>
      </c>
      <c r="D97" s="421" t="s">
        <v>1358</v>
      </c>
      <c r="E97" s="417" t="s">
        <v>1791</v>
      </c>
      <c r="F97" s="421"/>
      <c r="G97" s="416"/>
      <c r="H97" s="416"/>
      <c r="I97" s="417"/>
      <c r="J97" s="344"/>
      <c r="K97" s="420"/>
      <c r="L97" s="420"/>
      <c r="M97" s="408"/>
      <c r="N97" s="408"/>
      <c r="O97" s="408">
        <v>1000</v>
      </c>
      <c r="P97" s="408">
        <f t="shared" si="11"/>
        <v>1000</v>
      </c>
      <c r="Q97" s="527"/>
      <c r="R97" s="527"/>
    </row>
    <row r="98" spans="1:18" x14ac:dyDescent="0.25">
      <c r="A98" s="285">
        <v>6210000</v>
      </c>
      <c r="B98" s="419" t="s">
        <v>510</v>
      </c>
      <c r="C98" s="419" t="s">
        <v>113</v>
      </c>
      <c r="D98" s="419" t="s">
        <v>1272</v>
      </c>
      <c r="E98" s="419" t="s">
        <v>1262</v>
      </c>
      <c r="F98" s="419"/>
      <c r="G98" s="346"/>
      <c r="H98" s="346"/>
      <c r="I98" s="419"/>
      <c r="J98" s="344"/>
      <c r="K98" s="418"/>
      <c r="L98" s="420">
        <v>7000</v>
      </c>
      <c r="M98" s="418"/>
      <c r="N98" s="418"/>
      <c r="O98" s="408"/>
      <c r="P98" s="408">
        <f t="shared" ref="P98:P115" si="12">SUM(J98:O98)</f>
        <v>7000</v>
      </c>
      <c r="Q98" s="527"/>
      <c r="R98" s="527"/>
    </row>
    <row r="99" spans="1:18" x14ac:dyDescent="0.25">
      <c r="A99" s="285">
        <v>6210000</v>
      </c>
      <c r="B99" s="3" t="s">
        <v>510</v>
      </c>
      <c r="C99" s="419" t="s">
        <v>994</v>
      </c>
      <c r="D99" s="421" t="s">
        <v>1263</v>
      </c>
      <c r="E99" s="417" t="s">
        <v>1264</v>
      </c>
      <c r="F99" s="421"/>
      <c r="G99" s="346"/>
      <c r="H99" s="346"/>
      <c r="I99" s="417"/>
      <c r="J99" s="344"/>
      <c r="K99" s="408"/>
      <c r="L99" s="420">
        <v>7000</v>
      </c>
      <c r="M99" s="408"/>
      <c r="N99" s="408"/>
      <c r="O99" s="408"/>
      <c r="P99" s="408">
        <f t="shared" si="12"/>
        <v>7000</v>
      </c>
      <c r="Q99" s="527"/>
      <c r="R99" s="527"/>
    </row>
    <row r="100" spans="1:18" x14ac:dyDescent="0.25">
      <c r="A100" s="285">
        <v>6210000</v>
      </c>
      <c r="B100" s="419" t="s">
        <v>510</v>
      </c>
      <c r="C100" s="419" t="s">
        <v>995</v>
      </c>
      <c r="D100" s="419" t="s">
        <v>1265</v>
      </c>
      <c r="E100" s="419" t="s">
        <v>1266</v>
      </c>
      <c r="F100" s="419"/>
      <c r="G100" s="346"/>
      <c r="H100" s="346"/>
      <c r="I100" s="419"/>
      <c r="J100" s="344"/>
      <c r="K100" s="408"/>
      <c r="L100" s="408">
        <v>3000</v>
      </c>
      <c r="M100" s="408"/>
      <c r="N100" s="408"/>
      <c r="O100" s="408"/>
      <c r="P100" s="408">
        <f t="shared" si="12"/>
        <v>3000</v>
      </c>
      <c r="Q100" s="527"/>
      <c r="R100" s="527"/>
    </row>
    <row r="101" spans="1:18" x14ac:dyDescent="0.25">
      <c r="A101" s="285">
        <v>6222000</v>
      </c>
      <c r="B101" s="419" t="s">
        <v>510</v>
      </c>
      <c r="C101" s="419" t="s">
        <v>995</v>
      </c>
      <c r="D101" s="417" t="s">
        <v>1265</v>
      </c>
      <c r="E101" s="417"/>
      <c r="F101" s="417"/>
      <c r="G101" s="416"/>
      <c r="H101" s="416"/>
      <c r="I101" s="417"/>
      <c r="J101" s="344"/>
      <c r="K101" s="408"/>
      <c r="L101" s="420">
        <v>6000</v>
      </c>
      <c r="M101" s="408"/>
      <c r="N101" s="408"/>
      <c r="O101" s="408"/>
      <c r="P101" s="408">
        <f t="shared" si="12"/>
        <v>6000</v>
      </c>
      <c r="Q101" s="527"/>
      <c r="R101" s="527"/>
    </row>
    <row r="102" spans="1:18" x14ac:dyDescent="0.25">
      <c r="A102" s="285">
        <v>6222000</v>
      </c>
      <c r="B102" s="419" t="s">
        <v>510</v>
      </c>
      <c r="C102" s="419" t="s">
        <v>995</v>
      </c>
      <c r="D102" s="421" t="s">
        <v>1267</v>
      </c>
      <c r="E102" s="417"/>
      <c r="F102" s="421"/>
      <c r="G102" s="416"/>
      <c r="H102" s="416"/>
      <c r="I102" s="417"/>
      <c r="J102" s="344"/>
      <c r="K102" s="408"/>
      <c r="L102" s="420">
        <v>6000</v>
      </c>
      <c r="M102" s="408"/>
      <c r="N102" s="408"/>
      <c r="O102" s="408"/>
      <c r="P102" s="408">
        <f t="shared" si="12"/>
        <v>6000</v>
      </c>
      <c r="Q102" s="527"/>
      <c r="R102" s="527"/>
    </row>
    <row r="103" spans="1:18" x14ac:dyDescent="0.25">
      <c r="A103" s="285">
        <v>6220000</v>
      </c>
      <c r="B103" s="419" t="s">
        <v>510</v>
      </c>
      <c r="C103" s="419" t="s">
        <v>113</v>
      </c>
      <c r="D103" s="421" t="s">
        <v>1272</v>
      </c>
      <c r="E103" s="417"/>
      <c r="F103" s="421"/>
      <c r="G103" s="416"/>
      <c r="H103" s="416"/>
      <c r="I103" s="417"/>
      <c r="J103" s="344"/>
      <c r="K103" s="408"/>
      <c r="L103" s="420">
        <v>6000</v>
      </c>
      <c r="M103" s="408"/>
      <c r="N103" s="408"/>
      <c r="O103" s="408"/>
      <c r="P103" s="408">
        <f t="shared" si="12"/>
        <v>6000</v>
      </c>
      <c r="Q103" s="527"/>
      <c r="R103" s="527"/>
    </row>
    <row r="104" spans="1:18" x14ac:dyDescent="0.25">
      <c r="A104" s="285">
        <v>6222000</v>
      </c>
      <c r="B104" s="419" t="s">
        <v>510</v>
      </c>
      <c r="C104" s="419" t="s">
        <v>993</v>
      </c>
      <c r="D104" s="421" t="s">
        <v>1270</v>
      </c>
      <c r="E104" s="417" t="s">
        <v>1778</v>
      </c>
      <c r="F104" s="421"/>
      <c r="G104" s="416"/>
      <c r="H104" s="416"/>
      <c r="I104" s="417"/>
      <c r="J104" s="344"/>
      <c r="K104" s="408"/>
      <c r="L104" s="420">
        <v>6000</v>
      </c>
      <c r="M104" s="408"/>
      <c r="N104" s="408"/>
      <c r="O104" s="408"/>
      <c r="P104" s="408">
        <f t="shared" si="12"/>
        <v>6000</v>
      </c>
      <c r="Q104" s="527"/>
      <c r="R104" s="527"/>
    </row>
    <row r="105" spans="1:18" x14ac:dyDescent="0.25">
      <c r="A105" s="285">
        <v>6222000</v>
      </c>
      <c r="B105" s="419" t="s">
        <v>510</v>
      </c>
      <c r="C105" s="419" t="s">
        <v>993</v>
      </c>
      <c r="D105" s="421" t="s">
        <v>1269</v>
      </c>
      <c r="E105" s="417" t="s">
        <v>1778</v>
      </c>
      <c r="F105" s="421"/>
      <c r="G105" s="416"/>
      <c r="H105" s="416"/>
      <c r="I105" s="417"/>
      <c r="J105" s="344"/>
      <c r="K105" s="408"/>
      <c r="L105" s="420">
        <v>6000</v>
      </c>
      <c r="M105" s="408"/>
      <c r="N105" s="408"/>
      <c r="O105" s="408"/>
      <c r="P105" s="408">
        <f t="shared" si="12"/>
        <v>6000</v>
      </c>
      <c r="Q105" s="527"/>
      <c r="R105" s="527"/>
    </row>
    <row r="106" spans="1:18" x14ac:dyDescent="0.25">
      <c r="A106" s="285">
        <v>6222000</v>
      </c>
      <c r="B106" s="419" t="s">
        <v>510</v>
      </c>
      <c r="C106" s="419" t="s">
        <v>993</v>
      </c>
      <c r="D106" s="419" t="s">
        <v>1268</v>
      </c>
      <c r="E106" s="417" t="s">
        <v>1778</v>
      </c>
      <c r="F106" s="419"/>
      <c r="G106" s="346"/>
      <c r="H106" s="346"/>
      <c r="I106" s="419"/>
      <c r="J106" s="344"/>
      <c r="K106" s="408"/>
      <c r="L106" s="408">
        <v>6000</v>
      </c>
      <c r="M106" s="408"/>
      <c r="N106" s="408"/>
      <c r="O106" s="408"/>
      <c r="P106" s="408">
        <f t="shared" si="12"/>
        <v>6000</v>
      </c>
      <c r="Q106" s="527"/>
      <c r="R106" s="527"/>
    </row>
    <row r="107" spans="1:18" x14ac:dyDescent="0.25">
      <c r="A107" s="285">
        <v>6210000</v>
      </c>
      <c r="B107" s="419" t="s">
        <v>510</v>
      </c>
      <c r="C107" s="419" t="s">
        <v>993</v>
      </c>
      <c r="D107" s="417" t="s">
        <v>1263</v>
      </c>
      <c r="E107" s="417" t="s">
        <v>1778</v>
      </c>
      <c r="F107" s="417"/>
      <c r="G107" s="416"/>
      <c r="H107" s="416"/>
      <c r="I107" s="417"/>
      <c r="J107" s="344"/>
      <c r="K107" s="420"/>
      <c r="L107" s="420">
        <v>6000</v>
      </c>
      <c r="M107" s="408"/>
      <c r="N107" s="408"/>
      <c r="O107" s="408"/>
      <c r="P107" s="408">
        <f t="shared" si="12"/>
        <v>6000</v>
      </c>
      <c r="Q107" s="527"/>
      <c r="R107" s="527"/>
    </row>
    <row r="108" spans="1:18" x14ac:dyDescent="0.25">
      <c r="A108" s="285">
        <v>6210000</v>
      </c>
      <c r="B108" s="419" t="s">
        <v>510</v>
      </c>
      <c r="C108" s="419" t="s">
        <v>993</v>
      </c>
      <c r="D108" s="421" t="s">
        <v>646</v>
      </c>
      <c r="E108" s="417" t="s">
        <v>1778</v>
      </c>
      <c r="F108" s="421"/>
      <c r="G108" s="416"/>
      <c r="H108" s="416"/>
      <c r="I108" s="417"/>
      <c r="J108" s="344"/>
      <c r="K108" s="420"/>
      <c r="L108" s="420">
        <v>5000</v>
      </c>
      <c r="M108" s="408"/>
      <c r="N108" s="408"/>
      <c r="O108" s="408"/>
      <c r="P108" s="408">
        <f t="shared" si="12"/>
        <v>5000</v>
      </c>
      <c r="Q108" s="527"/>
      <c r="R108" s="527"/>
    </row>
    <row r="109" spans="1:18" x14ac:dyDescent="0.25">
      <c r="A109" s="285">
        <v>6220000</v>
      </c>
      <c r="B109" s="419" t="s">
        <v>510</v>
      </c>
      <c r="C109" s="419" t="s">
        <v>993</v>
      </c>
      <c r="D109" s="421" t="s">
        <v>1268</v>
      </c>
      <c r="E109" s="417" t="s">
        <v>1778</v>
      </c>
      <c r="F109" s="421"/>
      <c r="G109" s="416"/>
      <c r="H109" s="416"/>
      <c r="I109" s="417"/>
      <c r="J109" s="344"/>
      <c r="K109" s="420"/>
      <c r="L109" s="420">
        <v>5000</v>
      </c>
      <c r="M109" s="408"/>
      <c r="N109" s="408"/>
      <c r="O109" s="408"/>
      <c r="P109" s="408">
        <f t="shared" si="12"/>
        <v>5000</v>
      </c>
      <c r="Q109" s="359"/>
      <c r="R109" s="357"/>
    </row>
    <row r="110" spans="1:18" x14ac:dyDescent="0.25">
      <c r="A110" s="285">
        <v>6220000</v>
      </c>
      <c r="B110" s="419" t="s">
        <v>510</v>
      </c>
      <c r="C110" s="419" t="s">
        <v>993</v>
      </c>
      <c r="D110" s="419" t="s">
        <v>646</v>
      </c>
      <c r="E110" s="417" t="s">
        <v>1779</v>
      </c>
      <c r="F110" s="421"/>
      <c r="G110" s="528"/>
      <c r="H110" s="528"/>
      <c r="I110" s="357"/>
      <c r="J110" s="344"/>
      <c r="K110" s="420"/>
      <c r="L110" s="420">
        <v>3500</v>
      </c>
      <c r="M110" s="408"/>
      <c r="N110" s="408"/>
      <c r="O110" s="408"/>
      <c r="P110" s="408">
        <f t="shared" si="12"/>
        <v>3500</v>
      </c>
      <c r="Q110" s="359"/>
      <c r="R110" s="527"/>
    </row>
    <row r="111" spans="1:18" x14ac:dyDescent="0.25">
      <c r="A111" s="285">
        <v>6220000</v>
      </c>
      <c r="B111" s="419" t="s">
        <v>510</v>
      </c>
      <c r="C111" s="419" t="s">
        <v>993</v>
      </c>
      <c r="D111" s="417" t="s">
        <v>1271</v>
      </c>
      <c r="E111" s="419" t="s">
        <v>1574</v>
      </c>
      <c r="F111" s="421"/>
      <c r="G111" s="346"/>
      <c r="H111" s="346"/>
      <c r="I111" s="357"/>
      <c r="J111" s="344"/>
      <c r="K111" s="420"/>
      <c r="L111" s="420">
        <v>6000</v>
      </c>
      <c r="M111" s="408"/>
      <c r="N111" s="408"/>
      <c r="O111" s="408"/>
      <c r="P111" s="408">
        <f t="shared" si="12"/>
        <v>6000</v>
      </c>
      <c r="Q111" s="359"/>
      <c r="R111" s="527"/>
    </row>
    <row r="112" spans="1:18" x14ac:dyDescent="0.25">
      <c r="A112" s="285">
        <v>6235000</v>
      </c>
      <c r="B112" s="419" t="s">
        <v>510</v>
      </c>
      <c r="C112" s="419" t="s">
        <v>993</v>
      </c>
      <c r="D112" s="419" t="s">
        <v>1271</v>
      </c>
      <c r="E112" s="417" t="s">
        <v>1273</v>
      </c>
      <c r="F112" s="419"/>
      <c r="G112" s="346"/>
      <c r="H112" s="346"/>
      <c r="I112" s="419"/>
      <c r="J112" s="344"/>
      <c r="K112" s="420"/>
      <c r="L112" s="420">
        <v>6000</v>
      </c>
      <c r="M112" s="408"/>
      <c r="N112" s="408"/>
      <c r="O112" s="408"/>
      <c r="P112" s="408">
        <f t="shared" si="12"/>
        <v>6000</v>
      </c>
      <c r="Q112" s="359"/>
      <c r="R112" s="357"/>
    </row>
    <row r="113" spans="1:18" s="722" customFormat="1" x14ac:dyDescent="0.25">
      <c r="A113" s="713">
        <v>6212000</v>
      </c>
      <c r="B113" s="714" t="s">
        <v>272</v>
      </c>
      <c r="C113" s="714" t="s">
        <v>1019</v>
      </c>
      <c r="D113" s="715" t="s">
        <v>1261</v>
      </c>
      <c r="E113" s="715" t="s">
        <v>1620</v>
      </c>
      <c r="F113" s="716"/>
      <c r="G113" s="717"/>
      <c r="H113" s="717"/>
      <c r="I113" s="715"/>
      <c r="J113" s="718">
        <v>455</v>
      </c>
      <c r="K113" s="719"/>
      <c r="L113" s="720">
        <v>220</v>
      </c>
      <c r="M113" s="720"/>
      <c r="N113" s="720"/>
      <c r="O113" s="720">
        <v>100</v>
      </c>
      <c r="P113" s="720">
        <f t="shared" si="12"/>
        <v>775</v>
      </c>
      <c r="Q113" s="721"/>
      <c r="R113" s="721"/>
    </row>
    <row r="114" spans="1:18" s="722" customFormat="1" x14ac:dyDescent="0.25">
      <c r="A114" s="713">
        <v>6222000</v>
      </c>
      <c r="B114" s="714" t="s">
        <v>272</v>
      </c>
      <c r="C114" s="714" t="s">
        <v>1019</v>
      </c>
      <c r="D114" s="716" t="s">
        <v>583</v>
      </c>
      <c r="E114" s="715" t="s">
        <v>1621</v>
      </c>
      <c r="F114" s="716"/>
      <c r="G114" s="717"/>
      <c r="H114" s="717"/>
      <c r="I114" s="715"/>
      <c r="J114" s="718">
        <v>2095</v>
      </c>
      <c r="K114" s="720">
        <v>400</v>
      </c>
      <c r="L114" s="720">
        <v>1120.5</v>
      </c>
      <c r="M114" s="720"/>
      <c r="N114" s="720">
        <v>72</v>
      </c>
      <c r="O114" s="720">
        <f>301+10</f>
        <v>311</v>
      </c>
      <c r="P114" s="720">
        <f t="shared" si="12"/>
        <v>3998.5</v>
      </c>
      <c r="Q114" s="723"/>
      <c r="R114" s="721"/>
    </row>
    <row r="115" spans="1:18" s="722" customFormat="1" x14ac:dyDescent="0.25">
      <c r="A115" s="713">
        <v>6222000</v>
      </c>
      <c r="B115" s="714" t="s">
        <v>272</v>
      </c>
      <c r="C115" s="714" t="s">
        <v>1019</v>
      </c>
      <c r="D115" s="716" t="s">
        <v>585</v>
      </c>
      <c r="E115" s="715" t="s">
        <v>1621</v>
      </c>
      <c r="F115" s="716"/>
      <c r="G115" s="717"/>
      <c r="H115" s="717"/>
      <c r="I115" s="715"/>
      <c r="J115" s="718">
        <v>2095</v>
      </c>
      <c r="K115" s="719">
        <v>400</v>
      </c>
      <c r="L115" s="720">
        <v>1120.5</v>
      </c>
      <c r="M115" s="720"/>
      <c r="N115" s="720">
        <v>72</v>
      </c>
      <c r="O115" s="720">
        <f>301+10</f>
        <v>311</v>
      </c>
      <c r="P115" s="720">
        <f t="shared" si="12"/>
        <v>3998.5</v>
      </c>
      <c r="Q115" s="723"/>
      <c r="R115" s="721"/>
    </row>
    <row r="116" spans="1:18" x14ac:dyDescent="0.25">
      <c r="A116" s="285">
        <v>6210000</v>
      </c>
      <c r="B116" s="419" t="s">
        <v>21</v>
      </c>
      <c r="C116" s="419" t="s">
        <v>1022</v>
      </c>
      <c r="D116" s="419"/>
      <c r="E116" s="417" t="s">
        <v>1792</v>
      </c>
      <c r="F116" s="419"/>
      <c r="G116" s="346"/>
      <c r="H116" s="346"/>
      <c r="I116" s="419"/>
      <c r="J116" s="344"/>
      <c r="K116" s="408"/>
      <c r="L116" s="420"/>
      <c r="M116" s="418"/>
      <c r="N116" s="418"/>
      <c r="O116" s="418">
        <v>750</v>
      </c>
      <c r="P116" s="408">
        <f t="shared" ref="P116:P128" si="13">SUM(J116:O116)</f>
        <v>750</v>
      </c>
      <c r="Q116" s="527"/>
      <c r="R116" s="527"/>
    </row>
    <row r="117" spans="1:18" x14ac:dyDescent="0.25">
      <c r="A117" s="285">
        <v>6210000</v>
      </c>
      <c r="B117" s="419" t="s">
        <v>21</v>
      </c>
      <c r="C117" s="419" t="s">
        <v>972</v>
      </c>
      <c r="D117" s="419"/>
      <c r="E117" s="417" t="s">
        <v>1792</v>
      </c>
      <c r="F117" s="419"/>
      <c r="G117" s="346"/>
      <c r="H117" s="346"/>
      <c r="I117" s="419"/>
      <c r="J117" s="344"/>
      <c r="K117" s="408"/>
      <c r="L117" s="420"/>
      <c r="M117" s="418"/>
      <c r="N117" s="418"/>
      <c r="O117" s="418">
        <v>750</v>
      </c>
      <c r="P117" s="408">
        <f t="shared" si="13"/>
        <v>750</v>
      </c>
      <c r="Q117" s="527"/>
      <c r="R117" s="527"/>
    </row>
    <row r="118" spans="1:18" x14ac:dyDescent="0.25">
      <c r="A118" s="285">
        <v>6210000</v>
      </c>
      <c r="B118" s="419" t="s">
        <v>21</v>
      </c>
      <c r="C118" s="419" t="s">
        <v>985</v>
      </c>
      <c r="D118" s="419"/>
      <c r="E118" s="417" t="s">
        <v>1792</v>
      </c>
      <c r="F118" s="419"/>
      <c r="G118" s="346"/>
      <c r="H118" s="346"/>
      <c r="I118" s="419"/>
      <c r="J118" s="344"/>
      <c r="K118" s="408"/>
      <c r="L118" s="420"/>
      <c r="M118" s="418"/>
      <c r="N118" s="418"/>
      <c r="O118" s="418">
        <v>750</v>
      </c>
      <c r="P118" s="408">
        <f t="shared" si="13"/>
        <v>750</v>
      </c>
      <c r="Q118" s="527"/>
      <c r="R118" s="527"/>
    </row>
    <row r="119" spans="1:18" x14ac:dyDescent="0.25">
      <c r="A119" s="285">
        <v>6210000</v>
      </c>
      <c r="B119" s="419" t="s">
        <v>21</v>
      </c>
      <c r="C119" s="419" t="s">
        <v>934</v>
      </c>
      <c r="D119" s="419"/>
      <c r="E119" s="417" t="s">
        <v>1792</v>
      </c>
      <c r="F119" s="419"/>
      <c r="G119" s="346"/>
      <c r="H119" s="346"/>
      <c r="I119" s="419"/>
      <c r="J119" s="344"/>
      <c r="K119" s="408"/>
      <c r="L119" s="420"/>
      <c r="M119" s="418"/>
      <c r="N119" s="418"/>
      <c r="O119" s="418">
        <v>750</v>
      </c>
      <c r="P119" s="408">
        <f t="shared" si="13"/>
        <v>750</v>
      </c>
      <c r="Q119" s="359"/>
      <c r="R119" s="357"/>
    </row>
    <row r="120" spans="1:18" x14ac:dyDescent="0.25">
      <c r="A120" s="285">
        <v>6210000</v>
      </c>
      <c r="B120" s="419" t="s">
        <v>21</v>
      </c>
      <c r="C120" s="419" t="s">
        <v>932</v>
      </c>
      <c r="D120" s="419"/>
      <c r="E120" s="417" t="s">
        <v>1792</v>
      </c>
      <c r="F120" s="419"/>
      <c r="G120" s="346"/>
      <c r="H120" s="346"/>
      <c r="I120" s="419"/>
      <c r="J120" s="344"/>
      <c r="K120" s="408"/>
      <c r="L120" s="420"/>
      <c r="M120" s="418"/>
      <c r="N120" s="418"/>
      <c r="O120" s="418">
        <v>750</v>
      </c>
      <c r="P120" s="408">
        <f t="shared" si="13"/>
        <v>750</v>
      </c>
      <c r="Q120" s="359"/>
      <c r="R120" s="357"/>
    </row>
    <row r="121" spans="1:18" x14ac:dyDescent="0.25">
      <c r="A121" s="285">
        <v>6222000</v>
      </c>
      <c r="B121" s="419" t="s">
        <v>21</v>
      </c>
      <c r="C121" s="419" t="s">
        <v>96</v>
      </c>
      <c r="D121" s="419"/>
      <c r="E121" s="417" t="s">
        <v>1792</v>
      </c>
      <c r="F121" s="419"/>
      <c r="G121" s="346"/>
      <c r="H121" s="346"/>
      <c r="I121" s="419"/>
      <c r="J121" s="344"/>
      <c r="K121" s="408"/>
      <c r="L121" s="420"/>
      <c r="M121" s="418"/>
      <c r="N121" s="418"/>
      <c r="O121" s="418">
        <v>1000</v>
      </c>
      <c r="P121" s="408">
        <f t="shared" si="13"/>
        <v>1000</v>
      </c>
      <c r="Q121" s="527"/>
      <c r="R121" s="527"/>
    </row>
    <row r="122" spans="1:18" x14ac:dyDescent="0.25">
      <c r="A122" s="285">
        <v>6222000</v>
      </c>
      <c r="B122" s="419" t="s">
        <v>21</v>
      </c>
      <c r="C122" s="419" t="s">
        <v>99</v>
      </c>
      <c r="D122" s="419"/>
      <c r="E122" s="417" t="s">
        <v>1792</v>
      </c>
      <c r="F122" s="419"/>
      <c r="G122" s="346"/>
      <c r="H122" s="346"/>
      <c r="I122" s="419"/>
      <c r="J122" s="344"/>
      <c r="K122" s="408"/>
      <c r="L122" s="420"/>
      <c r="M122" s="418"/>
      <c r="N122" s="418"/>
      <c r="O122" s="418">
        <v>1000</v>
      </c>
      <c r="P122" s="408">
        <f t="shared" si="13"/>
        <v>1000</v>
      </c>
      <c r="Q122" s="527"/>
      <c r="R122" s="527"/>
    </row>
    <row r="123" spans="1:18" x14ac:dyDescent="0.25">
      <c r="A123" s="285">
        <v>6222000</v>
      </c>
      <c r="B123" s="419" t="s">
        <v>21</v>
      </c>
      <c r="C123" s="419" t="s">
        <v>934</v>
      </c>
      <c r="D123" s="419"/>
      <c r="E123" s="417"/>
      <c r="F123" s="419"/>
      <c r="G123" s="346"/>
      <c r="H123" s="346"/>
      <c r="I123" s="419"/>
      <c r="J123" s="344"/>
      <c r="K123" s="408"/>
      <c r="L123" s="420"/>
      <c r="M123" s="418"/>
      <c r="N123" s="418"/>
      <c r="O123" s="418">
        <v>1000</v>
      </c>
      <c r="P123" s="408">
        <f t="shared" si="13"/>
        <v>1000</v>
      </c>
      <c r="Q123" s="527"/>
      <c r="R123" s="527"/>
    </row>
    <row r="124" spans="1:18" x14ac:dyDescent="0.25">
      <c r="A124" s="285">
        <v>6222000</v>
      </c>
      <c r="B124" s="419" t="s">
        <v>21</v>
      </c>
      <c r="C124" s="419" t="s">
        <v>932</v>
      </c>
      <c r="D124" s="419"/>
      <c r="E124" s="417"/>
      <c r="F124" s="419"/>
      <c r="G124" s="346"/>
      <c r="H124" s="346"/>
      <c r="I124" s="419"/>
      <c r="J124" s="344"/>
      <c r="K124" s="408"/>
      <c r="L124" s="420"/>
      <c r="M124" s="418"/>
      <c r="N124" s="418"/>
      <c r="O124" s="418">
        <v>1000</v>
      </c>
      <c r="P124" s="408">
        <f t="shared" si="13"/>
        <v>1000</v>
      </c>
      <c r="Q124" s="527"/>
      <c r="R124" s="527"/>
    </row>
    <row r="125" spans="1:18" x14ac:dyDescent="0.25">
      <c r="A125" s="285">
        <v>6215000</v>
      </c>
      <c r="B125" s="419" t="s">
        <v>21</v>
      </c>
      <c r="C125" s="419" t="s">
        <v>1019</v>
      </c>
      <c r="D125" s="419"/>
      <c r="E125" s="417" t="s">
        <v>1793</v>
      </c>
      <c r="F125" s="419"/>
      <c r="G125" s="346"/>
      <c r="H125" s="346"/>
      <c r="I125" s="419"/>
      <c r="J125" s="344"/>
      <c r="K125" s="408"/>
      <c r="L125" s="420"/>
      <c r="M125" s="418"/>
      <c r="N125" s="418"/>
      <c r="O125" s="418">
        <v>2250</v>
      </c>
      <c r="P125" s="408">
        <f t="shared" si="13"/>
        <v>2250</v>
      </c>
      <c r="Q125" s="527"/>
      <c r="R125" s="527"/>
    </row>
    <row r="126" spans="1:18" x14ac:dyDescent="0.25">
      <c r="A126" s="285">
        <v>6235000</v>
      </c>
      <c r="B126" s="419" t="s">
        <v>1172</v>
      </c>
      <c r="C126" s="419" t="s">
        <v>954</v>
      </c>
      <c r="D126" s="419" t="s">
        <v>677</v>
      </c>
      <c r="E126" s="417" t="s">
        <v>1700</v>
      </c>
      <c r="F126" s="419"/>
      <c r="G126" s="346"/>
      <c r="H126" s="346"/>
      <c r="I126" s="419"/>
      <c r="J126" s="344">
        <v>700</v>
      </c>
      <c r="K126" s="418">
        <v>900</v>
      </c>
      <c r="L126" s="420">
        <v>1600</v>
      </c>
      <c r="M126" s="418">
        <v>200</v>
      </c>
      <c r="N126" s="418">
        <v>400</v>
      </c>
      <c r="O126" s="408">
        <v>200</v>
      </c>
      <c r="P126" s="408">
        <f t="shared" si="13"/>
        <v>4000</v>
      </c>
      <c r="Q126" s="359"/>
      <c r="R126" s="357"/>
    </row>
    <row r="127" spans="1:18" x14ac:dyDescent="0.25">
      <c r="A127" s="285">
        <v>6210000</v>
      </c>
      <c r="B127" s="419" t="s">
        <v>1172</v>
      </c>
      <c r="C127" s="419" t="s">
        <v>954</v>
      </c>
      <c r="D127" s="419"/>
      <c r="E127" s="419" t="s">
        <v>1701</v>
      </c>
      <c r="F127" s="419"/>
      <c r="G127" s="346"/>
      <c r="H127" s="346"/>
      <c r="I127" s="419"/>
      <c r="J127" s="344"/>
      <c r="K127" s="418"/>
      <c r="L127" s="420"/>
      <c r="M127" s="418"/>
      <c r="N127" s="418"/>
      <c r="O127" s="408">
        <v>4000</v>
      </c>
      <c r="P127" s="408">
        <f t="shared" si="13"/>
        <v>4000</v>
      </c>
      <c r="Q127" s="527"/>
      <c r="R127" s="527"/>
    </row>
    <row r="128" spans="1:18" x14ac:dyDescent="0.25">
      <c r="A128" s="285">
        <v>6212000</v>
      </c>
      <c r="B128" s="419" t="s">
        <v>1172</v>
      </c>
      <c r="C128" s="419" t="s">
        <v>954</v>
      </c>
      <c r="D128" s="421"/>
      <c r="E128" s="417" t="s">
        <v>1701</v>
      </c>
      <c r="F128" s="421"/>
      <c r="G128" s="346"/>
      <c r="H128" s="346"/>
      <c r="I128" s="417"/>
      <c r="J128" s="344"/>
      <c r="K128" s="408"/>
      <c r="L128" s="420"/>
      <c r="M128" s="408"/>
      <c r="N128" s="408"/>
      <c r="O128" s="408">
        <v>3645</v>
      </c>
      <c r="P128" s="408">
        <f t="shared" si="13"/>
        <v>3645</v>
      </c>
      <c r="Q128" s="527"/>
      <c r="R128" s="527"/>
    </row>
    <row r="129" spans="1:18" x14ac:dyDescent="0.25">
      <c r="A129" s="285">
        <v>6235000</v>
      </c>
      <c r="B129" s="419" t="s">
        <v>811</v>
      </c>
      <c r="C129" s="419" t="s">
        <v>108</v>
      </c>
      <c r="D129" s="417"/>
      <c r="E129" s="417" t="s">
        <v>1273</v>
      </c>
      <c r="F129" s="417"/>
      <c r="G129" s="416"/>
      <c r="H129" s="416"/>
      <c r="I129" s="417"/>
      <c r="J129" s="344">
        <v>1100</v>
      </c>
      <c r="K129" s="420">
        <v>1000</v>
      </c>
      <c r="L129" s="420">
        <v>1350</v>
      </c>
      <c r="M129" s="408">
        <v>120</v>
      </c>
      <c r="N129" s="408">
        <v>150</v>
      </c>
      <c r="O129" s="408">
        <v>300</v>
      </c>
      <c r="P129" s="408">
        <f t="shared" ref="P129:P132" si="14">SUM(J129:O129)</f>
        <v>4020</v>
      </c>
      <c r="Q129" s="527"/>
      <c r="R129" s="527"/>
    </row>
    <row r="130" spans="1:18" x14ac:dyDescent="0.25">
      <c r="A130" s="285">
        <v>6210000</v>
      </c>
      <c r="B130" s="419" t="s">
        <v>811</v>
      </c>
      <c r="C130" s="419" t="s">
        <v>108</v>
      </c>
      <c r="D130" s="419" t="s">
        <v>1245</v>
      </c>
      <c r="E130" s="419" t="s">
        <v>1208</v>
      </c>
      <c r="F130" s="417"/>
      <c r="G130" s="346"/>
      <c r="H130" s="346"/>
      <c r="I130" s="419"/>
      <c r="J130" s="344"/>
      <c r="K130" s="418"/>
      <c r="L130" s="420">
        <v>400</v>
      </c>
      <c r="M130" s="418"/>
      <c r="N130" s="418"/>
      <c r="O130" s="418">
        <v>200</v>
      </c>
      <c r="P130" s="408">
        <f t="shared" si="14"/>
        <v>600</v>
      </c>
      <c r="Q130" s="527"/>
      <c r="R130" s="527"/>
    </row>
    <row r="131" spans="1:18" x14ac:dyDescent="0.25">
      <c r="A131" s="285">
        <v>6245000</v>
      </c>
      <c r="B131" s="419" t="s">
        <v>811</v>
      </c>
      <c r="C131" s="419" t="s">
        <v>108</v>
      </c>
      <c r="D131" s="421" t="s">
        <v>1209</v>
      </c>
      <c r="E131" s="417" t="s">
        <v>1708</v>
      </c>
      <c r="F131" s="417"/>
      <c r="G131" s="346"/>
      <c r="H131" s="346"/>
      <c r="I131" s="417"/>
      <c r="J131" s="344">
        <v>1000</v>
      </c>
      <c r="K131" s="408"/>
      <c r="L131" s="420"/>
      <c r="M131" s="408"/>
      <c r="N131" s="408"/>
      <c r="O131" s="408"/>
      <c r="P131" s="408">
        <f t="shared" si="14"/>
        <v>1000</v>
      </c>
      <c r="Q131" s="527"/>
      <c r="R131" s="527"/>
    </row>
    <row r="132" spans="1:18" x14ac:dyDescent="0.25">
      <c r="A132" s="285">
        <v>6245000</v>
      </c>
      <c r="B132" s="419" t="s">
        <v>811</v>
      </c>
      <c r="C132" s="419" t="s">
        <v>108</v>
      </c>
      <c r="D132" s="417" t="s">
        <v>1709</v>
      </c>
      <c r="E132" s="417" t="s">
        <v>1708</v>
      </c>
      <c r="F132" s="417"/>
      <c r="G132" s="416"/>
      <c r="H132" s="416"/>
      <c r="I132" s="417"/>
      <c r="J132" s="344">
        <v>1000</v>
      </c>
      <c r="K132" s="348"/>
      <c r="L132" s="420"/>
      <c r="M132" s="418"/>
      <c r="N132" s="418"/>
      <c r="O132" s="418"/>
      <c r="P132" s="408">
        <f t="shared" si="14"/>
        <v>1000</v>
      </c>
      <c r="Q132" s="527"/>
      <c r="R132" s="527"/>
    </row>
    <row r="133" spans="1:18" x14ac:dyDescent="0.25">
      <c r="A133" s="285">
        <v>6210000</v>
      </c>
      <c r="B133" s="419" t="s">
        <v>23</v>
      </c>
      <c r="C133" s="419" t="s">
        <v>1019</v>
      </c>
      <c r="D133" s="421" t="s">
        <v>1674</v>
      </c>
      <c r="E133" s="417" t="s">
        <v>1675</v>
      </c>
      <c r="F133" s="421"/>
      <c r="G133" s="416"/>
      <c r="H133" s="416"/>
      <c r="I133" s="417"/>
      <c r="J133" s="344">
        <v>550</v>
      </c>
      <c r="K133" s="420"/>
      <c r="L133" s="420"/>
      <c r="M133" s="408"/>
      <c r="N133" s="408"/>
      <c r="O133" s="408"/>
      <c r="P133" s="408">
        <f t="shared" ref="P133:P161" si="15">SUM(J133:O133)</f>
        <v>550</v>
      </c>
      <c r="Q133" s="527"/>
      <c r="R133" s="527"/>
    </row>
    <row r="134" spans="1:18" x14ac:dyDescent="0.25">
      <c r="A134" s="285">
        <v>6215000</v>
      </c>
      <c r="B134" s="419" t="s">
        <v>23</v>
      </c>
      <c r="C134" s="419" t="s">
        <v>1019</v>
      </c>
      <c r="D134" s="421" t="s">
        <v>1674</v>
      </c>
      <c r="E134" s="417" t="s">
        <v>1676</v>
      </c>
      <c r="F134" s="421"/>
      <c r="G134" s="416"/>
      <c r="H134" s="416"/>
      <c r="I134" s="417"/>
      <c r="J134" s="344"/>
      <c r="K134" s="420"/>
      <c r="L134" s="420">
        <v>600</v>
      </c>
      <c r="M134" s="408"/>
      <c r="N134" s="408"/>
      <c r="O134" s="408"/>
      <c r="P134" s="408">
        <f t="shared" si="15"/>
        <v>600</v>
      </c>
      <c r="Q134" s="527"/>
      <c r="R134" s="527"/>
    </row>
    <row r="135" spans="1:18" x14ac:dyDescent="0.25">
      <c r="A135" s="285">
        <v>6215000</v>
      </c>
      <c r="B135" s="419" t="s">
        <v>268</v>
      </c>
      <c r="C135" s="419" t="s">
        <v>99</v>
      </c>
      <c r="D135" s="421" t="s">
        <v>1361</v>
      </c>
      <c r="E135" s="417" t="s">
        <v>1363</v>
      </c>
      <c r="F135" s="421"/>
      <c r="G135" s="416"/>
      <c r="H135" s="416"/>
      <c r="I135" s="417"/>
      <c r="J135" s="344">
        <v>540</v>
      </c>
      <c r="K135" s="420"/>
      <c r="L135" s="420"/>
      <c r="M135" s="408"/>
      <c r="N135" s="408"/>
      <c r="O135" s="408"/>
      <c r="P135" s="408">
        <f t="shared" si="15"/>
        <v>540</v>
      </c>
      <c r="Q135" s="359"/>
      <c r="R135" s="527"/>
    </row>
    <row r="136" spans="1:18" x14ac:dyDescent="0.25">
      <c r="A136" s="285">
        <v>6215000</v>
      </c>
      <c r="B136" s="419" t="s">
        <v>268</v>
      </c>
      <c r="C136" s="419" t="s">
        <v>99</v>
      </c>
      <c r="D136" s="421" t="s">
        <v>689</v>
      </c>
      <c r="E136" s="417" t="s">
        <v>1363</v>
      </c>
      <c r="F136" s="421"/>
      <c r="G136" s="416"/>
      <c r="H136" s="416"/>
      <c r="I136" s="417"/>
      <c r="J136" s="344">
        <v>540</v>
      </c>
      <c r="K136" s="420"/>
      <c r="L136" s="420"/>
      <c r="M136" s="408"/>
      <c r="N136" s="408"/>
      <c r="O136" s="408"/>
      <c r="P136" s="408">
        <f t="shared" si="15"/>
        <v>540</v>
      </c>
      <c r="Q136" s="359"/>
      <c r="R136" s="357"/>
    </row>
    <row r="137" spans="1:18" x14ac:dyDescent="0.25">
      <c r="A137" s="285">
        <v>6215000</v>
      </c>
      <c r="B137" s="419" t="s">
        <v>268</v>
      </c>
      <c r="C137" s="419" t="s">
        <v>933</v>
      </c>
      <c r="D137" s="421" t="s">
        <v>1362</v>
      </c>
      <c r="E137" s="417" t="s">
        <v>1363</v>
      </c>
      <c r="F137" s="421"/>
      <c r="G137" s="416"/>
      <c r="H137" s="416"/>
      <c r="I137" s="417"/>
      <c r="J137" s="344">
        <v>540</v>
      </c>
      <c r="K137" s="420"/>
      <c r="L137" s="420"/>
      <c r="M137" s="408"/>
      <c r="N137" s="408"/>
      <c r="O137" s="408"/>
      <c r="P137" s="408">
        <f t="shared" si="15"/>
        <v>540</v>
      </c>
      <c r="Q137" s="357"/>
      <c r="R137" s="357"/>
    </row>
    <row r="138" spans="1:18" x14ac:dyDescent="0.25">
      <c r="A138" s="285">
        <v>6215000</v>
      </c>
      <c r="B138" s="419" t="s">
        <v>268</v>
      </c>
      <c r="C138" s="419" t="s">
        <v>99</v>
      </c>
      <c r="D138" s="421" t="s">
        <v>688</v>
      </c>
      <c r="E138" s="417" t="s">
        <v>1363</v>
      </c>
      <c r="F138" s="421"/>
      <c r="G138" s="416"/>
      <c r="H138" s="416"/>
      <c r="I138" s="417"/>
      <c r="J138" s="344">
        <v>540</v>
      </c>
      <c r="K138" s="420"/>
      <c r="L138" s="420"/>
      <c r="M138" s="408"/>
      <c r="N138" s="408"/>
      <c r="O138" s="408"/>
      <c r="P138" s="408">
        <f t="shared" si="15"/>
        <v>540</v>
      </c>
      <c r="Q138" s="357"/>
      <c r="R138" s="357"/>
    </row>
    <row r="139" spans="1:18" x14ac:dyDescent="0.25">
      <c r="A139" s="285">
        <v>6215000</v>
      </c>
      <c r="B139" s="419" t="s">
        <v>268</v>
      </c>
      <c r="C139" s="419" t="s">
        <v>96</v>
      </c>
      <c r="D139" s="421" t="s">
        <v>686</v>
      </c>
      <c r="E139" s="417" t="s">
        <v>1363</v>
      </c>
      <c r="F139" s="421"/>
      <c r="G139" s="416"/>
      <c r="H139" s="416"/>
      <c r="I139" s="417"/>
      <c r="J139" s="344">
        <v>540</v>
      </c>
      <c r="K139" s="420"/>
      <c r="L139" s="420"/>
      <c r="M139" s="408"/>
      <c r="N139" s="408"/>
      <c r="O139" s="408"/>
      <c r="P139" s="408">
        <f t="shared" si="15"/>
        <v>540</v>
      </c>
      <c r="Q139" s="527"/>
      <c r="R139" s="527"/>
    </row>
    <row r="140" spans="1:18" x14ac:dyDescent="0.25">
      <c r="A140" s="285">
        <v>6215000</v>
      </c>
      <c r="B140" s="419" t="s">
        <v>268</v>
      </c>
      <c r="C140" s="419" t="s">
        <v>96</v>
      </c>
      <c r="D140" s="421" t="s">
        <v>576</v>
      </c>
      <c r="E140" s="417" t="s">
        <v>1363</v>
      </c>
      <c r="F140" s="421"/>
      <c r="G140" s="416"/>
      <c r="H140" s="416"/>
      <c r="I140" s="417"/>
      <c r="J140" s="344">
        <v>540</v>
      </c>
      <c r="K140" s="420"/>
      <c r="L140" s="420"/>
      <c r="M140" s="408"/>
      <c r="N140" s="408"/>
      <c r="O140" s="408"/>
      <c r="P140" s="408">
        <f t="shared" si="15"/>
        <v>540</v>
      </c>
      <c r="Q140" s="527"/>
      <c r="R140" s="527"/>
    </row>
    <row r="141" spans="1:18" x14ac:dyDescent="0.25">
      <c r="A141" s="285">
        <v>6235000</v>
      </c>
      <c r="B141" s="419" t="s">
        <v>268</v>
      </c>
      <c r="C141" s="419" t="s">
        <v>99</v>
      </c>
      <c r="D141" s="421" t="s">
        <v>689</v>
      </c>
      <c r="E141" s="417" t="s">
        <v>1363</v>
      </c>
      <c r="F141" s="421"/>
      <c r="G141" s="416"/>
      <c r="H141" s="416"/>
      <c r="I141" s="417"/>
      <c r="J141" s="344"/>
      <c r="K141" s="420"/>
      <c r="L141" s="420"/>
      <c r="M141" s="408"/>
      <c r="N141" s="408"/>
      <c r="O141" s="408">
        <v>3000</v>
      </c>
      <c r="P141" s="408">
        <f t="shared" si="15"/>
        <v>3000</v>
      </c>
      <c r="Q141" s="527"/>
      <c r="R141" s="527"/>
    </row>
    <row r="142" spans="1:18" x14ac:dyDescent="0.25">
      <c r="A142" s="285">
        <v>6235000</v>
      </c>
      <c r="B142" s="419" t="s">
        <v>268</v>
      </c>
      <c r="C142" s="419" t="s">
        <v>99</v>
      </c>
      <c r="D142" s="421" t="s">
        <v>1361</v>
      </c>
      <c r="E142" s="417" t="s">
        <v>1363</v>
      </c>
      <c r="F142" s="421"/>
      <c r="G142" s="416"/>
      <c r="H142" s="416"/>
      <c r="I142" s="417"/>
      <c r="J142" s="344"/>
      <c r="K142" s="420"/>
      <c r="L142" s="420"/>
      <c r="M142" s="408"/>
      <c r="N142" s="408"/>
      <c r="O142" s="408">
        <v>2500</v>
      </c>
      <c r="P142" s="408">
        <f t="shared" si="15"/>
        <v>2500</v>
      </c>
      <c r="Q142" s="359"/>
      <c r="R142" s="357"/>
    </row>
    <row r="143" spans="1:18" x14ac:dyDescent="0.25">
      <c r="A143" s="285">
        <v>6235000</v>
      </c>
      <c r="B143" s="419" t="s">
        <v>268</v>
      </c>
      <c r="C143" s="419" t="s">
        <v>99</v>
      </c>
      <c r="D143" s="421" t="s">
        <v>689</v>
      </c>
      <c r="E143" s="417" t="s">
        <v>1363</v>
      </c>
      <c r="F143" s="421"/>
      <c r="G143" s="416"/>
      <c r="H143" s="416"/>
      <c r="I143" s="417"/>
      <c r="J143" s="344"/>
      <c r="K143" s="420"/>
      <c r="L143" s="420"/>
      <c r="M143" s="408"/>
      <c r="N143" s="408"/>
      <c r="O143" s="408">
        <v>2500</v>
      </c>
      <c r="P143" s="408">
        <f t="shared" si="15"/>
        <v>2500</v>
      </c>
      <c r="Q143" s="359"/>
      <c r="R143" s="357"/>
    </row>
    <row r="144" spans="1:18" x14ac:dyDescent="0.25">
      <c r="A144" s="285">
        <v>6235000</v>
      </c>
      <c r="B144" s="419" t="s">
        <v>268</v>
      </c>
      <c r="C144" s="419" t="s">
        <v>99</v>
      </c>
      <c r="D144" s="419" t="s">
        <v>1365</v>
      </c>
      <c r="E144" s="419" t="s">
        <v>1363</v>
      </c>
      <c r="F144" s="421"/>
      <c r="G144" s="346"/>
      <c r="H144" s="346"/>
      <c r="I144" s="419"/>
      <c r="J144" s="344"/>
      <c r="K144" s="408"/>
      <c r="L144" s="408"/>
      <c r="M144" s="408"/>
      <c r="N144" s="408"/>
      <c r="O144" s="408">
        <v>2500</v>
      </c>
      <c r="P144" s="408">
        <f t="shared" si="15"/>
        <v>2500</v>
      </c>
      <c r="Q144" s="359"/>
      <c r="R144" s="357"/>
    </row>
    <row r="145" spans="1:18" x14ac:dyDescent="0.25">
      <c r="A145" s="285">
        <v>6235000</v>
      </c>
      <c r="B145" s="419" t="s">
        <v>268</v>
      </c>
      <c r="C145" s="419" t="s">
        <v>99</v>
      </c>
      <c r="D145" s="417" t="s">
        <v>688</v>
      </c>
      <c r="E145" s="419" t="s">
        <v>1363</v>
      </c>
      <c r="F145" s="417"/>
      <c r="G145" s="416"/>
      <c r="H145" s="416"/>
      <c r="I145" s="417"/>
      <c r="J145" s="344"/>
      <c r="K145" s="420"/>
      <c r="L145" s="420"/>
      <c r="M145" s="408"/>
      <c r="N145" s="408"/>
      <c r="O145" s="408">
        <v>2500</v>
      </c>
      <c r="P145" s="408">
        <f t="shared" si="15"/>
        <v>2500</v>
      </c>
      <c r="Q145" s="527"/>
      <c r="R145" s="527"/>
    </row>
    <row r="146" spans="1:18" x14ac:dyDescent="0.25">
      <c r="A146" s="285">
        <v>6235000</v>
      </c>
      <c r="B146" s="419" t="s">
        <v>268</v>
      </c>
      <c r="C146" s="419" t="s">
        <v>99</v>
      </c>
      <c r="D146" s="421" t="s">
        <v>1362</v>
      </c>
      <c r="E146" s="419" t="s">
        <v>1363</v>
      </c>
      <c r="F146" s="421"/>
      <c r="G146" s="416"/>
      <c r="H146" s="416"/>
      <c r="I146" s="417"/>
      <c r="J146" s="344"/>
      <c r="K146" s="420"/>
      <c r="L146" s="420"/>
      <c r="M146" s="408"/>
      <c r="N146" s="408"/>
      <c r="O146" s="408">
        <v>2500</v>
      </c>
      <c r="P146" s="408">
        <f t="shared" si="15"/>
        <v>2500</v>
      </c>
      <c r="Q146" s="527"/>
      <c r="R146" s="527"/>
    </row>
    <row r="147" spans="1:18" x14ac:dyDescent="0.25">
      <c r="A147" s="285">
        <v>6222000</v>
      </c>
      <c r="B147" s="419" t="s">
        <v>1764</v>
      </c>
      <c r="C147" s="419" t="s">
        <v>99</v>
      </c>
      <c r="D147" s="419" t="s">
        <v>1765</v>
      </c>
      <c r="E147" s="419" t="s">
        <v>1363</v>
      </c>
      <c r="F147" s="419"/>
      <c r="G147" s="346"/>
      <c r="H147" s="346"/>
      <c r="I147" s="419"/>
      <c r="J147" s="344"/>
      <c r="K147" s="408"/>
      <c r="L147" s="408"/>
      <c r="M147" s="408"/>
      <c r="N147" s="408"/>
      <c r="O147" s="408">
        <v>2500</v>
      </c>
      <c r="P147" s="408">
        <f t="shared" si="15"/>
        <v>2500</v>
      </c>
      <c r="Q147" s="527"/>
      <c r="R147" s="527"/>
    </row>
    <row r="148" spans="1:18" x14ac:dyDescent="0.25">
      <c r="A148" s="285">
        <v>6222000</v>
      </c>
      <c r="B148" s="419" t="s">
        <v>268</v>
      </c>
      <c r="C148" s="419" t="s">
        <v>96</v>
      </c>
      <c r="D148" s="417" t="s">
        <v>576</v>
      </c>
      <c r="E148" s="419" t="s">
        <v>1363</v>
      </c>
      <c r="F148" s="417"/>
      <c r="G148" s="416"/>
      <c r="H148" s="416"/>
      <c r="I148" s="417"/>
      <c r="J148" s="344"/>
      <c r="K148" s="420"/>
      <c r="L148" s="420"/>
      <c r="M148" s="408"/>
      <c r="N148" s="408"/>
      <c r="O148" s="408">
        <v>2500</v>
      </c>
      <c r="P148" s="408">
        <f t="shared" si="15"/>
        <v>2500</v>
      </c>
      <c r="Q148" s="527"/>
      <c r="R148" s="527"/>
    </row>
    <row r="149" spans="1:18" x14ac:dyDescent="0.25">
      <c r="A149" s="285">
        <v>6222000</v>
      </c>
      <c r="B149" s="419" t="s">
        <v>268</v>
      </c>
      <c r="C149" s="419" t="s">
        <v>96</v>
      </c>
      <c r="D149" s="421" t="s">
        <v>1364</v>
      </c>
      <c r="E149" s="419" t="s">
        <v>1363</v>
      </c>
      <c r="F149" s="421"/>
      <c r="G149" s="416"/>
      <c r="H149" s="416"/>
      <c r="I149" s="417"/>
      <c r="J149" s="344"/>
      <c r="K149" s="420"/>
      <c r="L149" s="420"/>
      <c r="M149" s="408"/>
      <c r="N149" s="408"/>
      <c r="O149" s="408">
        <v>2500</v>
      </c>
      <c r="P149" s="408">
        <f t="shared" si="15"/>
        <v>2500</v>
      </c>
      <c r="Q149" s="527"/>
      <c r="R149" s="527"/>
    </row>
    <row r="150" spans="1:18" x14ac:dyDescent="0.25">
      <c r="A150" s="285">
        <v>6222000</v>
      </c>
      <c r="B150" s="419" t="s">
        <v>268</v>
      </c>
      <c r="C150" s="419" t="s">
        <v>96</v>
      </c>
      <c r="D150" s="421" t="s">
        <v>691</v>
      </c>
      <c r="E150" s="419" t="s">
        <v>1363</v>
      </c>
      <c r="F150" s="421"/>
      <c r="G150" s="346"/>
      <c r="H150" s="346"/>
      <c r="I150" s="417"/>
      <c r="J150" s="344"/>
      <c r="K150" s="408"/>
      <c r="L150" s="420"/>
      <c r="M150" s="408"/>
      <c r="N150" s="408"/>
      <c r="O150" s="408">
        <v>2500</v>
      </c>
      <c r="P150" s="408">
        <f t="shared" si="15"/>
        <v>2500</v>
      </c>
      <c r="Q150" s="527"/>
      <c r="R150" s="527"/>
    </row>
    <row r="151" spans="1:18" x14ac:dyDescent="0.25">
      <c r="A151" s="285">
        <v>6222000</v>
      </c>
      <c r="B151" s="419" t="s">
        <v>268</v>
      </c>
      <c r="C151" s="419" t="s">
        <v>96</v>
      </c>
      <c r="D151" s="421" t="s">
        <v>686</v>
      </c>
      <c r="E151" s="417" t="s">
        <v>1363</v>
      </c>
      <c r="F151" s="421"/>
      <c r="G151" s="416"/>
      <c r="H151" s="416"/>
      <c r="I151" s="417"/>
      <c r="J151" s="344"/>
      <c r="K151" s="348"/>
      <c r="L151" s="420"/>
      <c r="M151" s="418"/>
      <c r="N151" s="418"/>
      <c r="O151" s="418">
        <v>2500</v>
      </c>
      <c r="P151" s="408">
        <f t="shared" si="15"/>
        <v>2500</v>
      </c>
      <c r="Q151" s="527"/>
      <c r="R151" s="527"/>
    </row>
    <row r="152" spans="1:18" x14ac:dyDescent="0.25">
      <c r="A152" s="285">
        <v>6222000</v>
      </c>
      <c r="B152" s="419" t="s">
        <v>268</v>
      </c>
      <c r="C152" s="419" t="s">
        <v>933</v>
      </c>
      <c r="D152" s="419" t="s">
        <v>1362</v>
      </c>
      <c r="E152" s="417"/>
      <c r="F152" s="419"/>
      <c r="G152" s="346"/>
      <c r="H152" s="346"/>
      <c r="I152" s="419"/>
      <c r="J152" s="344">
        <v>550</v>
      </c>
      <c r="K152" s="418">
        <v>550</v>
      </c>
      <c r="L152" s="420">
        <v>625</v>
      </c>
      <c r="M152" s="418">
        <v>54</v>
      </c>
      <c r="N152" s="418"/>
      <c r="O152" s="418">
        <v>150</v>
      </c>
      <c r="P152" s="408">
        <f t="shared" si="15"/>
        <v>1929</v>
      </c>
      <c r="Q152" s="527"/>
      <c r="R152" s="527"/>
    </row>
    <row r="153" spans="1:18" x14ac:dyDescent="0.25">
      <c r="A153" s="285">
        <v>6210000</v>
      </c>
      <c r="B153" s="419" t="s">
        <v>268</v>
      </c>
      <c r="C153" s="419" t="s">
        <v>96</v>
      </c>
      <c r="D153" s="421" t="s">
        <v>1365</v>
      </c>
      <c r="E153" s="417"/>
      <c r="F153" s="421"/>
      <c r="G153" s="416"/>
      <c r="H153" s="416"/>
      <c r="I153" s="417"/>
      <c r="J153" s="344"/>
      <c r="K153" s="420"/>
      <c r="L153" s="348"/>
      <c r="M153" s="408"/>
      <c r="N153" s="408"/>
      <c r="O153" s="408">
        <v>1250</v>
      </c>
      <c r="P153" s="408">
        <f t="shared" si="15"/>
        <v>1250</v>
      </c>
      <c r="Q153" s="527"/>
      <c r="R153" s="527"/>
    </row>
    <row r="154" spans="1:18" x14ac:dyDescent="0.25">
      <c r="A154" s="285">
        <v>6210000</v>
      </c>
      <c r="B154" s="419" t="s">
        <v>268</v>
      </c>
      <c r="C154" s="419" t="s">
        <v>96</v>
      </c>
      <c r="D154" s="357" t="s">
        <v>691</v>
      </c>
      <c r="E154" s="357"/>
      <c r="F154" s="357"/>
      <c r="G154" s="528"/>
      <c r="H154" s="528"/>
      <c r="I154" s="357"/>
      <c r="J154" s="344"/>
      <c r="K154" s="359"/>
      <c r="L154" s="348"/>
      <c r="M154" s="359"/>
      <c r="N154" s="359"/>
      <c r="O154" s="359">
        <v>1500</v>
      </c>
      <c r="P154" s="408">
        <f t="shared" si="15"/>
        <v>1500</v>
      </c>
      <c r="Q154" s="527"/>
      <c r="R154" s="527"/>
    </row>
    <row r="155" spans="1:18" x14ac:dyDescent="0.25">
      <c r="A155" s="285">
        <v>6210000</v>
      </c>
      <c r="B155" s="419" t="s">
        <v>268</v>
      </c>
      <c r="C155" s="419" t="s">
        <v>96</v>
      </c>
      <c r="D155" s="357" t="s">
        <v>576</v>
      </c>
      <c r="E155" s="357"/>
      <c r="F155" s="357"/>
      <c r="G155" s="528"/>
      <c r="H155" s="528"/>
      <c r="I155" s="357"/>
      <c r="J155" s="530"/>
      <c r="K155" s="359"/>
      <c r="L155" s="420"/>
      <c r="M155" s="359"/>
      <c r="N155" s="359"/>
      <c r="O155" s="359">
        <v>2500</v>
      </c>
      <c r="P155" s="408">
        <f t="shared" si="15"/>
        <v>2500</v>
      </c>
      <c r="Q155" s="648"/>
      <c r="R155" s="527"/>
    </row>
    <row r="156" spans="1:18" x14ac:dyDescent="0.25">
      <c r="A156" s="285">
        <v>6210000</v>
      </c>
      <c r="B156" s="419" t="s">
        <v>268</v>
      </c>
      <c r="C156" s="419" t="s">
        <v>96</v>
      </c>
      <c r="D156" s="357" t="s">
        <v>1364</v>
      </c>
      <c r="E156" s="357" t="s">
        <v>1763</v>
      </c>
      <c r="F156" s="357"/>
      <c r="G156" s="528"/>
      <c r="H156" s="528"/>
      <c r="I156" s="357"/>
      <c r="J156" s="530"/>
      <c r="K156" s="359"/>
      <c r="L156" s="420"/>
      <c r="M156" s="359"/>
      <c r="N156" s="359"/>
      <c r="O156" s="359">
        <v>1500</v>
      </c>
      <c r="P156" s="408">
        <f t="shared" si="15"/>
        <v>1500</v>
      </c>
      <c r="Q156" s="648"/>
      <c r="R156" s="527"/>
    </row>
    <row r="157" spans="1:18" x14ac:dyDescent="0.25">
      <c r="A157" s="285">
        <v>6235000</v>
      </c>
      <c r="B157" s="419" t="s">
        <v>267</v>
      </c>
      <c r="C157" s="419" t="s">
        <v>103</v>
      </c>
      <c r="D157" s="421"/>
      <c r="E157" s="417" t="s">
        <v>1273</v>
      </c>
      <c r="F157" s="421"/>
      <c r="G157" s="416"/>
      <c r="H157" s="416"/>
      <c r="I157" s="417"/>
      <c r="J157" s="344"/>
      <c r="K157" s="420"/>
      <c r="L157" s="420"/>
      <c r="M157" s="408"/>
      <c r="N157" s="408"/>
      <c r="O157" s="408"/>
      <c r="P157" s="408">
        <f t="shared" si="15"/>
        <v>0</v>
      </c>
      <c r="Q157" s="527"/>
      <c r="R157" s="527"/>
    </row>
    <row r="158" spans="1:18" x14ac:dyDescent="0.25">
      <c r="A158" s="285">
        <v>6235000</v>
      </c>
      <c r="B158" s="419" t="s">
        <v>267</v>
      </c>
      <c r="C158" s="419" t="s">
        <v>103</v>
      </c>
      <c r="D158" s="421"/>
      <c r="E158" s="417" t="s">
        <v>1273</v>
      </c>
      <c r="F158" s="421"/>
      <c r="G158" s="416"/>
      <c r="H158" s="416"/>
      <c r="I158" s="417"/>
      <c r="J158" s="344"/>
      <c r="K158" s="420"/>
      <c r="L158" s="420"/>
      <c r="M158" s="408"/>
      <c r="N158" s="408"/>
      <c r="O158" s="408"/>
      <c r="P158" s="408">
        <f t="shared" si="15"/>
        <v>0</v>
      </c>
      <c r="Q158" s="527"/>
      <c r="R158" s="527"/>
    </row>
    <row r="159" spans="1:18" x14ac:dyDescent="0.25">
      <c r="A159" s="285">
        <v>6210000</v>
      </c>
      <c r="B159" s="419" t="s">
        <v>267</v>
      </c>
      <c r="C159" s="419" t="s">
        <v>103</v>
      </c>
      <c r="D159" s="421" t="s">
        <v>1339</v>
      </c>
      <c r="E159" s="417" t="s">
        <v>1338</v>
      </c>
      <c r="F159" s="421"/>
      <c r="G159" s="416"/>
      <c r="H159" s="416"/>
      <c r="I159" s="417"/>
      <c r="J159" s="344"/>
      <c r="K159" s="420"/>
      <c r="L159" s="420"/>
      <c r="M159" s="408"/>
      <c r="N159" s="408"/>
      <c r="O159" s="408"/>
      <c r="P159" s="408">
        <f t="shared" si="15"/>
        <v>0</v>
      </c>
      <c r="Q159" s="527"/>
      <c r="R159" s="527"/>
    </row>
    <row r="160" spans="1:18" x14ac:dyDescent="0.25">
      <c r="A160" s="285">
        <v>6210000</v>
      </c>
      <c r="B160" s="419" t="s">
        <v>267</v>
      </c>
      <c r="C160" s="419" t="s">
        <v>103</v>
      </c>
      <c r="D160" s="421" t="s">
        <v>1340</v>
      </c>
      <c r="E160" s="417" t="s">
        <v>1338</v>
      </c>
      <c r="F160" s="421"/>
      <c r="G160" s="416"/>
      <c r="H160" s="416"/>
      <c r="I160" s="417"/>
      <c r="J160" s="344"/>
      <c r="K160" s="420"/>
      <c r="L160" s="420"/>
      <c r="M160" s="408"/>
      <c r="N160" s="408"/>
      <c r="O160" s="408"/>
      <c r="P160" s="408">
        <f t="shared" si="15"/>
        <v>0</v>
      </c>
      <c r="Q160" s="527"/>
      <c r="R160" s="527"/>
    </row>
    <row r="161" spans="1:18" x14ac:dyDescent="0.25">
      <c r="A161" s="285">
        <v>6245000</v>
      </c>
      <c r="B161" s="419" t="s">
        <v>267</v>
      </c>
      <c r="C161" s="419" t="s">
        <v>983</v>
      </c>
      <c r="D161" s="419" t="s">
        <v>600</v>
      </c>
      <c r="E161" s="417" t="s">
        <v>1575</v>
      </c>
      <c r="F161" s="419"/>
      <c r="G161" s="346"/>
      <c r="H161" s="346"/>
      <c r="I161" s="419"/>
      <c r="J161" s="344"/>
      <c r="K161" s="420"/>
      <c r="L161" s="420"/>
      <c r="M161" s="408"/>
      <c r="N161" s="408"/>
      <c r="O161" s="408"/>
      <c r="P161" s="408">
        <f t="shared" si="15"/>
        <v>0</v>
      </c>
      <c r="Q161" s="648"/>
      <c r="R161" s="527"/>
    </row>
    <row r="162" spans="1:18" x14ac:dyDescent="0.25">
      <c r="A162" s="351"/>
      <c r="B162" s="288"/>
      <c r="C162" s="288"/>
      <c r="D162" s="349"/>
      <c r="E162" s="349"/>
      <c r="F162" s="349"/>
      <c r="G162" s="350"/>
      <c r="H162" s="350"/>
      <c r="I162" s="349"/>
      <c r="J162" s="352"/>
      <c r="K162" s="40"/>
      <c r="L162" s="420"/>
      <c r="M162" s="40"/>
      <c r="N162" s="40"/>
      <c r="O162" s="40"/>
      <c r="P162" s="214">
        <f t="shared" ref="P162:P176" si="16">SUM(J162:O162)</f>
        <v>0</v>
      </c>
    </row>
    <row r="163" spans="1:18" x14ac:dyDescent="0.25">
      <c r="A163" s="351"/>
      <c r="B163" s="288"/>
      <c r="C163" s="288"/>
      <c r="D163" s="349"/>
      <c r="E163" s="349"/>
      <c r="F163" s="349"/>
      <c r="G163" s="350"/>
      <c r="H163" s="350"/>
      <c r="I163" s="349"/>
      <c r="J163" s="352"/>
      <c r="K163" s="40"/>
      <c r="L163" s="420"/>
      <c r="M163" s="40"/>
      <c r="N163" s="40"/>
      <c r="O163" s="40"/>
      <c r="P163" s="214">
        <f t="shared" si="16"/>
        <v>0</v>
      </c>
    </row>
    <row r="164" spans="1:18" x14ac:dyDescent="0.25">
      <c r="A164" s="351"/>
      <c r="B164" s="288"/>
      <c r="C164" s="288"/>
      <c r="D164" s="349"/>
      <c r="E164" s="349"/>
      <c r="F164" s="349"/>
      <c r="G164" s="350"/>
      <c r="H164" s="350"/>
      <c r="I164" s="349"/>
      <c r="J164" s="352"/>
      <c r="K164" s="40"/>
      <c r="L164" s="420"/>
      <c r="M164" s="40"/>
      <c r="N164" s="40"/>
      <c r="O164" s="40"/>
      <c r="P164" s="214">
        <f t="shared" si="16"/>
        <v>0</v>
      </c>
    </row>
    <row r="165" spans="1:18" x14ac:dyDescent="0.25">
      <c r="A165" s="351"/>
      <c r="B165" s="288"/>
      <c r="C165" s="288"/>
      <c r="D165" s="349"/>
      <c r="E165" s="349"/>
      <c r="F165" s="349"/>
      <c r="G165" s="350"/>
      <c r="H165" s="350"/>
      <c r="I165" s="349"/>
      <c r="J165" s="352"/>
      <c r="K165" s="40"/>
      <c r="L165" s="420"/>
      <c r="M165" s="40"/>
      <c r="N165" s="40"/>
      <c r="O165" s="40"/>
      <c r="P165" s="214">
        <f t="shared" si="16"/>
        <v>0</v>
      </c>
    </row>
    <row r="166" spans="1:18" x14ac:dyDescent="0.25">
      <c r="A166" s="351"/>
      <c r="B166" s="288"/>
      <c r="C166" s="288"/>
      <c r="D166" s="349"/>
      <c r="E166" s="349"/>
      <c r="F166" s="349"/>
      <c r="G166" s="350"/>
      <c r="H166" s="350"/>
      <c r="I166" s="349"/>
      <c r="J166" s="352"/>
      <c r="K166" s="40"/>
      <c r="L166" s="420"/>
      <c r="M166" s="40"/>
      <c r="N166" s="40"/>
      <c r="O166" s="40"/>
      <c r="P166" s="214">
        <f t="shared" si="16"/>
        <v>0</v>
      </c>
    </row>
    <row r="167" spans="1:18" x14ac:dyDescent="0.25">
      <c r="A167" s="351"/>
      <c r="B167" s="288"/>
      <c r="C167" s="288"/>
      <c r="D167" s="349"/>
      <c r="E167" s="349"/>
      <c r="F167" s="349"/>
      <c r="G167" s="350"/>
      <c r="H167" s="350"/>
      <c r="I167" s="349"/>
      <c r="J167" s="352"/>
      <c r="K167" s="40"/>
      <c r="L167" s="420"/>
      <c r="M167" s="40"/>
      <c r="N167" s="40"/>
      <c r="O167" s="40"/>
      <c r="P167" s="214">
        <f t="shared" si="16"/>
        <v>0</v>
      </c>
    </row>
    <row r="168" spans="1:18" x14ac:dyDescent="0.25">
      <c r="A168" s="351"/>
      <c r="B168" s="288"/>
      <c r="C168" s="288"/>
      <c r="D168" s="349"/>
      <c r="E168" s="349"/>
      <c r="F168" s="349"/>
      <c r="G168" s="350"/>
      <c r="H168" s="350"/>
      <c r="I168" s="349"/>
      <c r="J168" s="352"/>
      <c r="K168" s="40"/>
      <c r="L168" s="420"/>
      <c r="M168" s="40"/>
      <c r="N168" s="40"/>
      <c r="O168" s="40"/>
      <c r="P168" s="214">
        <f t="shared" si="16"/>
        <v>0</v>
      </c>
    </row>
    <row r="169" spans="1:18" x14ac:dyDescent="0.25">
      <c r="A169" s="351"/>
      <c r="B169" s="288"/>
      <c r="C169" s="288"/>
      <c r="D169" s="349"/>
      <c r="E169" s="349"/>
      <c r="F169" s="349"/>
      <c r="G169" s="350"/>
      <c r="H169" s="350"/>
      <c r="I169" s="349"/>
      <c r="J169" s="352"/>
      <c r="K169" s="40"/>
      <c r="L169" s="420"/>
      <c r="M169" s="40"/>
      <c r="N169" s="40"/>
      <c r="O169" s="40"/>
      <c r="P169" s="214">
        <f t="shared" si="16"/>
        <v>0</v>
      </c>
    </row>
    <row r="170" spans="1:18" x14ac:dyDescent="0.25">
      <c r="A170" s="351"/>
      <c r="B170" s="288"/>
      <c r="C170" s="288"/>
      <c r="D170" s="349"/>
      <c r="E170" s="349"/>
      <c r="F170" s="349"/>
      <c r="G170" s="350"/>
      <c r="H170" s="350"/>
      <c r="I170" s="349"/>
      <c r="J170" s="352"/>
      <c r="K170" s="40"/>
      <c r="L170" s="420"/>
      <c r="M170" s="40"/>
      <c r="N170" s="40"/>
      <c r="O170" s="40"/>
      <c r="P170" s="214">
        <f t="shared" si="16"/>
        <v>0</v>
      </c>
    </row>
    <row r="171" spans="1:18" x14ac:dyDescent="0.25">
      <c r="A171" s="351"/>
      <c r="B171" s="288"/>
      <c r="C171" s="288"/>
      <c r="D171" s="349"/>
      <c r="E171" s="349"/>
      <c r="F171" s="349"/>
      <c r="G171" s="350"/>
      <c r="H171" s="350"/>
      <c r="I171" s="349"/>
      <c r="J171" s="352"/>
      <c r="K171" s="40"/>
      <c r="L171" s="420"/>
      <c r="M171" s="40"/>
      <c r="N171" s="40"/>
      <c r="O171" s="40"/>
      <c r="P171" s="214">
        <f t="shared" si="16"/>
        <v>0</v>
      </c>
    </row>
    <row r="172" spans="1:18" x14ac:dyDescent="0.25">
      <c r="A172" s="351"/>
      <c r="B172" s="288"/>
      <c r="C172" s="288"/>
      <c r="D172" s="349"/>
      <c r="E172" s="349"/>
      <c r="F172" s="349"/>
      <c r="G172" s="350"/>
      <c r="H172" s="350"/>
      <c r="I172" s="349"/>
      <c r="J172" s="352"/>
      <c r="K172" s="40"/>
      <c r="L172" s="420"/>
      <c r="M172" s="40"/>
      <c r="N172" s="40"/>
      <c r="O172" s="40"/>
      <c r="P172" s="214">
        <f t="shared" si="16"/>
        <v>0</v>
      </c>
    </row>
    <row r="173" spans="1:18" x14ac:dyDescent="0.25">
      <c r="A173" s="351"/>
      <c r="B173" s="288"/>
      <c r="C173" s="288"/>
      <c r="D173" s="349"/>
      <c r="E173" s="349"/>
      <c r="F173" s="349"/>
      <c r="G173" s="350"/>
      <c r="H173" s="350"/>
      <c r="I173" s="349"/>
      <c r="J173" s="352"/>
      <c r="K173" s="40"/>
      <c r="L173" s="420"/>
      <c r="M173" s="40"/>
      <c r="N173" s="40"/>
      <c r="O173" s="40"/>
      <c r="P173" s="214">
        <f t="shared" si="16"/>
        <v>0</v>
      </c>
    </row>
    <row r="174" spans="1:18" x14ac:dyDescent="0.25">
      <c r="A174" s="351"/>
      <c r="B174" s="288"/>
      <c r="C174" s="288"/>
      <c r="D174" s="349"/>
      <c r="E174" s="349"/>
      <c r="F174" s="349"/>
      <c r="G174" s="350"/>
      <c r="H174" s="350"/>
      <c r="I174" s="349"/>
      <c r="J174" s="352"/>
      <c r="K174" s="40"/>
      <c r="L174" s="420"/>
      <c r="M174" s="40"/>
      <c r="N174" s="40"/>
      <c r="O174" s="40"/>
      <c r="P174" s="214">
        <f t="shared" si="16"/>
        <v>0</v>
      </c>
    </row>
    <row r="175" spans="1:18" x14ac:dyDescent="0.25">
      <c r="A175" s="351"/>
      <c r="B175" s="288"/>
      <c r="C175" s="288"/>
      <c r="D175" s="349"/>
      <c r="E175" s="349"/>
      <c r="F175" s="349"/>
      <c r="G175" s="350"/>
      <c r="H175" s="350"/>
      <c r="I175" s="349"/>
      <c r="J175" s="352"/>
      <c r="K175" s="40"/>
      <c r="L175" s="420"/>
      <c r="M175" s="40"/>
      <c r="N175" s="40"/>
      <c r="O175" s="40"/>
      <c r="P175" s="214">
        <f t="shared" si="16"/>
        <v>0</v>
      </c>
    </row>
    <row r="176" spans="1:18" x14ac:dyDescent="0.25">
      <c r="A176" s="351"/>
      <c r="B176" s="288"/>
      <c r="C176" s="288"/>
      <c r="D176" s="349"/>
      <c r="E176" s="349"/>
      <c r="F176" s="349"/>
      <c r="G176" s="350"/>
      <c r="H176" s="350"/>
      <c r="I176" s="349"/>
      <c r="J176" s="352"/>
      <c r="K176" s="40"/>
      <c r="L176" s="420"/>
      <c r="M176" s="40"/>
      <c r="N176" s="40"/>
      <c r="O176" s="40"/>
      <c r="P176" s="214">
        <f t="shared" si="16"/>
        <v>0</v>
      </c>
    </row>
    <row r="177" spans="1:18" x14ac:dyDescent="0.25">
      <c r="A177" s="351"/>
      <c r="B177" s="288"/>
      <c r="C177" s="288"/>
      <c r="D177" s="349"/>
      <c r="E177" s="349"/>
      <c r="F177" s="349"/>
      <c r="G177" s="350"/>
      <c r="H177" s="350"/>
      <c r="I177" s="349"/>
      <c r="J177" s="352"/>
      <c r="K177" s="40"/>
      <c r="L177" s="420"/>
      <c r="M177" s="40"/>
      <c r="N177" s="40"/>
      <c r="O177" s="40"/>
      <c r="P177" s="214">
        <f t="shared" ref="P177:P178" si="17">SUM(J177:O177)</f>
        <v>0</v>
      </c>
    </row>
    <row r="178" spans="1:18" x14ac:dyDescent="0.25">
      <c r="A178" s="351"/>
      <c r="B178" s="288"/>
      <c r="C178" s="288"/>
      <c r="D178" s="349"/>
      <c r="E178" s="349"/>
      <c r="F178" s="349"/>
      <c r="G178" s="350"/>
      <c r="H178" s="350"/>
      <c r="I178" s="349"/>
      <c r="J178" s="352"/>
      <c r="K178" s="40"/>
      <c r="L178" s="420"/>
      <c r="M178" s="40"/>
      <c r="N178" s="40"/>
      <c r="O178" s="40"/>
      <c r="P178" s="214">
        <f t="shared" si="17"/>
        <v>0</v>
      </c>
    </row>
    <row r="179" spans="1:18" x14ac:dyDescent="0.25">
      <c r="A179" s="351"/>
      <c r="B179" s="288"/>
      <c r="C179" s="288"/>
      <c r="D179" s="349"/>
      <c r="E179" s="349"/>
      <c r="F179" s="349"/>
      <c r="G179" s="350"/>
      <c r="H179" s="350"/>
      <c r="I179" s="349"/>
      <c r="J179" s="352"/>
      <c r="K179" s="40"/>
      <c r="L179" s="345"/>
      <c r="M179" s="40"/>
      <c r="N179" s="40"/>
      <c r="O179" s="40"/>
      <c r="P179" s="40">
        <f>SUM(J179:O179)</f>
        <v>0</v>
      </c>
    </row>
    <row r="180" spans="1:18" ht="15.75" thickBot="1" x14ac:dyDescent="0.3">
      <c r="A180" s="351"/>
      <c r="B180" s="288"/>
      <c r="C180" s="288"/>
      <c r="D180" s="349"/>
      <c r="E180" s="349"/>
      <c r="F180" s="349"/>
      <c r="G180" s="350"/>
      <c r="H180" s="350"/>
      <c r="I180" s="349"/>
      <c r="J180" s="352"/>
      <c r="K180" s="40"/>
      <c r="L180" s="345"/>
      <c r="M180" s="40"/>
      <c r="N180" s="40"/>
      <c r="O180" s="40"/>
      <c r="P180" s="40">
        <f>SUM(J180:O180)</f>
        <v>0</v>
      </c>
    </row>
    <row r="181" spans="1:18" ht="15.75" thickBot="1" x14ac:dyDescent="0.3">
      <c r="A181" s="74"/>
      <c r="B181" s="75"/>
      <c r="C181" s="75"/>
      <c r="D181" s="76">
        <f>COUNTA(D26:D180)</f>
        <v>106</v>
      </c>
      <c r="E181" s="77"/>
      <c r="F181" s="77"/>
      <c r="G181" s="78"/>
      <c r="H181" s="78"/>
      <c r="I181" s="77"/>
      <c r="J181" s="79">
        <f t="shared" ref="J181:P181" si="18">SUM(J26:J180)</f>
        <v>47885</v>
      </c>
      <c r="K181" s="80">
        <f t="shared" si="18"/>
        <v>15450</v>
      </c>
      <c r="L181" s="81">
        <f t="shared" si="18"/>
        <v>169386</v>
      </c>
      <c r="M181" s="80">
        <f t="shared" si="18"/>
        <v>3524</v>
      </c>
      <c r="N181" s="80">
        <f t="shared" si="18"/>
        <v>4034</v>
      </c>
      <c r="O181" s="80">
        <f t="shared" si="18"/>
        <v>169117</v>
      </c>
      <c r="P181" s="82">
        <f t="shared" si="18"/>
        <v>409396</v>
      </c>
      <c r="Q181" s="649">
        <f>SUM(Q26:Q154)</f>
        <v>0</v>
      </c>
    </row>
    <row r="182" spans="1:18" x14ac:dyDescent="0.25">
      <c r="A182" s="151">
        <v>6210000</v>
      </c>
      <c r="B182" s="84" t="s">
        <v>19</v>
      </c>
      <c r="C182" s="85"/>
      <c r="D182" s="210">
        <f t="shared" ref="D182:D213" si="19">COUNTIFS($A$26:$A$180,$A182,$B$26:$B$180,$B182)</f>
        <v>0</v>
      </c>
      <c r="E182" s="86"/>
      <c r="F182" s="86"/>
      <c r="G182" s="86"/>
      <c r="H182" s="86"/>
      <c r="I182" s="86"/>
      <c r="J182" s="156">
        <f t="shared" ref="J182:P191" si="20">SUMIFS(J$26:J$180,$A$26:$A$180,$A182,$B$26:$B$180,$B182)</f>
        <v>0</v>
      </c>
      <c r="K182" s="156">
        <f t="shared" si="20"/>
        <v>0</v>
      </c>
      <c r="L182" s="156">
        <f t="shared" si="20"/>
        <v>0</v>
      </c>
      <c r="M182" s="156">
        <f t="shared" si="20"/>
        <v>0</v>
      </c>
      <c r="N182" s="156">
        <f t="shared" si="20"/>
        <v>0</v>
      </c>
      <c r="O182" s="156">
        <f t="shared" si="20"/>
        <v>0</v>
      </c>
      <c r="P182" s="157">
        <f t="shared" si="20"/>
        <v>0</v>
      </c>
    </row>
    <row r="183" spans="1:18" x14ac:dyDescent="0.25">
      <c r="A183" s="152">
        <v>6210000</v>
      </c>
      <c r="B183" s="73" t="s">
        <v>18</v>
      </c>
      <c r="C183" s="88"/>
      <c r="D183" s="220">
        <f t="shared" si="19"/>
        <v>1</v>
      </c>
      <c r="E183" s="89"/>
      <c r="F183" s="89"/>
      <c r="G183" s="89"/>
      <c r="H183" s="89"/>
      <c r="I183" s="89"/>
      <c r="J183" s="154">
        <f t="shared" si="20"/>
        <v>0</v>
      </c>
      <c r="K183" s="154">
        <f t="shared" si="20"/>
        <v>0</v>
      </c>
      <c r="L183" s="485">
        <f t="shared" si="20"/>
        <v>0</v>
      </c>
      <c r="M183" s="485">
        <f t="shared" si="20"/>
        <v>0</v>
      </c>
      <c r="N183" s="485">
        <f t="shared" si="20"/>
        <v>0</v>
      </c>
      <c r="O183" s="485">
        <f t="shared" si="20"/>
        <v>4800</v>
      </c>
      <c r="P183" s="155">
        <f t="shared" si="20"/>
        <v>4800</v>
      </c>
    </row>
    <row r="184" spans="1:18" x14ac:dyDescent="0.25">
      <c r="A184" s="152">
        <v>6210000</v>
      </c>
      <c r="B184" s="73" t="s">
        <v>22</v>
      </c>
      <c r="C184" s="88"/>
      <c r="D184" s="220">
        <f t="shared" si="19"/>
        <v>0</v>
      </c>
      <c r="E184" s="89"/>
      <c r="F184" s="89"/>
      <c r="G184" s="89"/>
      <c r="H184" s="89"/>
      <c r="I184" s="89"/>
      <c r="J184" s="154">
        <f t="shared" si="20"/>
        <v>0</v>
      </c>
      <c r="K184" s="154">
        <f t="shared" si="20"/>
        <v>0</v>
      </c>
      <c r="L184" s="154">
        <f t="shared" si="20"/>
        <v>0</v>
      </c>
      <c r="M184" s="154">
        <f t="shared" si="20"/>
        <v>0</v>
      </c>
      <c r="N184" s="154">
        <f t="shared" si="20"/>
        <v>0</v>
      </c>
      <c r="O184" s="154">
        <f t="shared" si="20"/>
        <v>0</v>
      </c>
      <c r="P184" s="155">
        <f t="shared" si="20"/>
        <v>0</v>
      </c>
    </row>
    <row r="185" spans="1:18" x14ac:dyDescent="0.25">
      <c r="A185" s="152">
        <v>6210000</v>
      </c>
      <c r="B185" s="419" t="s">
        <v>24</v>
      </c>
      <c r="C185" s="88"/>
      <c r="D185" s="220">
        <f t="shared" si="19"/>
        <v>10</v>
      </c>
      <c r="E185" s="89"/>
      <c r="F185" s="89"/>
      <c r="G185" s="89"/>
      <c r="H185" s="89"/>
      <c r="I185" s="89"/>
      <c r="J185" s="154">
        <f t="shared" si="20"/>
        <v>0</v>
      </c>
      <c r="K185" s="154">
        <f t="shared" si="20"/>
        <v>0</v>
      </c>
      <c r="L185" s="154">
        <f t="shared" si="20"/>
        <v>10250</v>
      </c>
      <c r="M185" s="154">
        <f t="shared" si="20"/>
        <v>0</v>
      </c>
      <c r="N185" s="154">
        <f t="shared" si="20"/>
        <v>0</v>
      </c>
      <c r="O185" s="154">
        <f t="shared" si="20"/>
        <v>17750</v>
      </c>
      <c r="P185" s="155">
        <f t="shared" si="20"/>
        <v>28000</v>
      </c>
    </row>
    <row r="186" spans="1:18" x14ac:dyDescent="0.25">
      <c r="A186" s="152">
        <v>6210000</v>
      </c>
      <c r="B186" s="73" t="s">
        <v>25</v>
      </c>
      <c r="C186" s="88"/>
      <c r="D186" s="220">
        <f t="shared" si="19"/>
        <v>0</v>
      </c>
      <c r="E186" s="89"/>
      <c r="F186" s="89"/>
      <c r="G186" s="89"/>
      <c r="H186" s="89"/>
      <c r="I186" s="89"/>
      <c r="J186" s="154">
        <f t="shared" si="20"/>
        <v>0</v>
      </c>
      <c r="K186" s="154">
        <f t="shared" si="20"/>
        <v>0</v>
      </c>
      <c r="L186" s="154">
        <f t="shared" si="20"/>
        <v>0</v>
      </c>
      <c r="M186" s="154">
        <f t="shared" si="20"/>
        <v>0</v>
      </c>
      <c r="N186" s="154">
        <f t="shared" si="20"/>
        <v>0</v>
      </c>
      <c r="O186" s="154">
        <f t="shared" si="20"/>
        <v>0</v>
      </c>
      <c r="P186" s="155">
        <f t="shared" si="20"/>
        <v>0</v>
      </c>
    </row>
    <row r="187" spans="1:18" x14ac:dyDescent="0.25">
      <c r="A187" s="152">
        <v>6210000</v>
      </c>
      <c r="B187" s="73" t="s">
        <v>394</v>
      </c>
      <c r="C187" s="88"/>
      <c r="D187" s="220">
        <f t="shared" si="19"/>
        <v>0</v>
      </c>
      <c r="E187" s="89"/>
      <c r="F187" s="89"/>
      <c r="G187" s="89"/>
      <c r="H187" s="89"/>
      <c r="I187" s="89"/>
      <c r="J187" s="154">
        <f t="shared" si="20"/>
        <v>0</v>
      </c>
      <c r="K187" s="154">
        <f t="shared" si="20"/>
        <v>0</v>
      </c>
      <c r="L187" s="154">
        <f t="shared" si="20"/>
        <v>0</v>
      </c>
      <c r="M187" s="154">
        <f t="shared" si="20"/>
        <v>0</v>
      </c>
      <c r="N187" s="154">
        <f t="shared" si="20"/>
        <v>0</v>
      </c>
      <c r="O187" s="154">
        <f t="shared" si="20"/>
        <v>0</v>
      </c>
      <c r="P187" s="155">
        <f t="shared" si="20"/>
        <v>0</v>
      </c>
    </row>
    <row r="188" spans="1:18" x14ac:dyDescent="0.25">
      <c r="A188" s="152">
        <v>6210000</v>
      </c>
      <c r="B188" s="73" t="s">
        <v>350</v>
      </c>
      <c r="C188" s="88"/>
      <c r="D188" s="220">
        <f t="shared" si="19"/>
        <v>13</v>
      </c>
      <c r="E188" s="89"/>
      <c r="F188" s="89"/>
      <c r="G188" s="89"/>
      <c r="H188" s="89"/>
      <c r="I188" s="89"/>
      <c r="J188" s="154">
        <f t="shared" si="20"/>
        <v>0</v>
      </c>
      <c r="K188" s="154">
        <f t="shared" si="20"/>
        <v>0</v>
      </c>
      <c r="L188" s="154">
        <f t="shared" si="20"/>
        <v>7000</v>
      </c>
      <c r="M188" s="154">
        <f t="shared" si="20"/>
        <v>0</v>
      </c>
      <c r="N188" s="154">
        <f t="shared" si="20"/>
        <v>0</v>
      </c>
      <c r="O188" s="154">
        <f t="shared" si="20"/>
        <v>7000</v>
      </c>
      <c r="P188" s="155">
        <f t="shared" si="20"/>
        <v>14000</v>
      </c>
    </row>
    <row r="189" spans="1:18" x14ac:dyDescent="0.25">
      <c r="A189" s="152">
        <v>6210000</v>
      </c>
      <c r="B189" s="73" t="s">
        <v>1171</v>
      </c>
      <c r="C189" s="88"/>
      <c r="D189" s="220">
        <f t="shared" si="19"/>
        <v>0</v>
      </c>
      <c r="E189" s="89"/>
      <c r="F189" s="89"/>
      <c r="G189" s="89"/>
      <c r="H189" s="89"/>
      <c r="I189" s="89"/>
      <c r="J189" s="212">
        <f t="shared" si="20"/>
        <v>0</v>
      </c>
      <c r="K189" s="212">
        <f t="shared" si="20"/>
        <v>0</v>
      </c>
      <c r="L189" s="212">
        <f t="shared" si="20"/>
        <v>0</v>
      </c>
      <c r="M189" s="212">
        <f t="shared" si="20"/>
        <v>0</v>
      </c>
      <c r="N189" s="212">
        <f t="shared" si="20"/>
        <v>0</v>
      </c>
      <c r="O189" s="212">
        <f t="shared" si="20"/>
        <v>0</v>
      </c>
      <c r="P189" s="155">
        <f t="shared" si="20"/>
        <v>0</v>
      </c>
      <c r="R189" s="407"/>
    </row>
    <row r="190" spans="1:18" x14ac:dyDescent="0.25">
      <c r="A190" s="152">
        <v>6210000</v>
      </c>
      <c r="B190" s="73" t="s">
        <v>1182</v>
      </c>
      <c r="C190" s="88"/>
      <c r="D190" s="220">
        <f t="shared" si="19"/>
        <v>0</v>
      </c>
      <c r="E190" s="89"/>
      <c r="F190" s="89"/>
      <c r="G190" s="89"/>
      <c r="H190" s="89"/>
      <c r="I190" s="89"/>
      <c r="J190" s="154">
        <f t="shared" si="20"/>
        <v>0</v>
      </c>
      <c r="K190" s="154">
        <f t="shared" si="20"/>
        <v>0</v>
      </c>
      <c r="L190" s="154">
        <f t="shared" si="20"/>
        <v>0</v>
      </c>
      <c r="M190" s="154">
        <f t="shared" si="20"/>
        <v>0</v>
      </c>
      <c r="N190" s="154">
        <f t="shared" si="20"/>
        <v>0</v>
      </c>
      <c r="O190" s="154">
        <f t="shared" si="20"/>
        <v>0</v>
      </c>
      <c r="P190" s="155">
        <f t="shared" si="20"/>
        <v>0</v>
      </c>
      <c r="Q190" s="407"/>
    </row>
    <row r="191" spans="1:18" x14ac:dyDescent="0.25">
      <c r="A191" s="152">
        <v>6210000</v>
      </c>
      <c r="B191" s="73" t="s">
        <v>20</v>
      </c>
      <c r="C191" s="88"/>
      <c r="D191" s="220">
        <f t="shared" si="19"/>
        <v>1</v>
      </c>
      <c r="E191" s="89"/>
      <c r="F191" s="89"/>
      <c r="G191" s="89"/>
      <c r="H191" s="89"/>
      <c r="I191" s="89"/>
      <c r="J191" s="154">
        <f t="shared" si="20"/>
        <v>0</v>
      </c>
      <c r="K191" s="154">
        <f t="shared" si="20"/>
        <v>0</v>
      </c>
      <c r="L191" s="154">
        <f t="shared" si="20"/>
        <v>0</v>
      </c>
      <c r="M191" s="154">
        <f t="shared" si="20"/>
        <v>0</v>
      </c>
      <c r="N191" s="154">
        <f t="shared" si="20"/>
        <v>0</v>
      </c>
      <c r="O191" s="154">
        <f t="shared" si="20"/>
        <v>1000</v>
      </c>
      <c r="P191" s="155">
        <f t="shared" si="20"/>
        <v>1000</v>
      </c>
    </row>
    <row r="192" spans="1:18" x14ac:dyDescent="0.25">
      <c r="A192" s="152">
        <v>6210000</v>
      </c>
      <c r="B192" s="73" t="s">
        <v>510</v>
      </c>
      <c r="C192" s="88"/>
      <c r="D192" s="220">
        <f t="shared" si="19"/>
        <v>5</v>
      </c>
      <c r="E192" s="89"/>
      <c r="F192" s="89"/>
      <c r="G192" s="89"/>
      <c r="H192" s="89"/>
      <c r="I192" s="89"/>
      <c r="J192" s="212">
        <f t="shared" ref="J192:P201" si="21">SUMIFS(J$26:J$180,$A$26:$A$180,$A192,$B$26:$B$180,$B192)</f>
        <v>0</v>
      </c>
      <c r="K192" s="212">
        <f t="shared" si="21"/>
        <v>0</v>
      </c>
      <c r="L192" s="212">
        <f t="shared" si="21"/>
        <v>28000</v>
      </c>
      <c r="M192" s="212">
        <f t="shared" si="21"/>
        <v>0</v>
      </c>
      <c r="N192" s="212">
        <f t="shared" si="21"/>
        <v>0</v>
      </c>
      <c r="O192" s="212">
        <f t="shared" si="21"/>
        <v>0</v>
      </c>
      <c r="P192" s="155">
        <f t="shared" si="21"/>
        <v>28000</v>
      </c>
      <c r="R192" s="407"/>
    </row>
    <row r="193" spans="1:17" x14ac:dyDescent="0.25">
      <c r="A193" s="152">
        <v>6210000</v>
      </c>
      <c r="B193" s="73" t="s">
        <v>272</v>
      </c>
      <c r="C193" s="88"/>
      <c r="D193" s="220">
        <f t="shared" si="19"/>
        <v>0</v>
      </c>
      <c r="E193" s="89"/>
      <c r="F193" s="89"/>
      <c r="G193" s="89"/>
      <c r="H193" s="89"/>
      <c r="I193" s="89"/>
      <c r="J193" s="669">
        <f t="shared" si="21"/>
        <v>0</v>
      </c>
      <c r="K193" s="154">
        <f t="shared" si="21"/>
        <v>0</v>
      </c>
      <c r="L193" s="154">
        <f t="shared" si="21"/>
        <v>0</v>
      </c>
      <c r="M193" s="154">
        <f t="shared" si="21"/>
        <v>0</v>
      </c>
      <c r="N193" s="154">
        <f t="shared" si="21"/>
        <v>0</v>
      </c>
      <c r="O193" s="154">
        <f t="shared" si="21"/>
        <v>0</v>
      </c>
      <c r="P193" s="675">
        <f t="shared" si="21"/>
        <v>0</v>
      </c>
      <c r="Q193" s="407"/>
    </row>
    <row r="194" spans="1:17" x14ac:dyDescent="0.25">
      <c r="A194" s="152">
        <v>6210000</v>
      </c>
      <c r="B194" s="51" t="s">
        <v>21</v>
      </c>
      <c r="C194" s="88"/>
      <c r="D194" s="220">
        <f t="shared" si="19"/>
        <v>5</v>
      </c>
      <c r="E194" s="89"/>
      <c r="F194" s="89"/>
      <c r="G194" s="89"/>
      <c r="H194" s="89"/>
      <c r="I194" s="89"/>
      <c r="J194" s="154">
        <f t="shared" si="21"/>
        <v>0</v>
      </c>
      <c r="K194" s="154">
        <f t="shared" si="21"/>
        <v>0</v>
      </c>
      <c r="L194" s="154">
        <f t="shared" si="21"/>
        <v>0</v>
      </c>
      <c r="M194" s="154">
        <f t="shared" si="21"/>
        <v>0</v>
      </c>
      <c r="N194" s="154">
        <f t="shared" si="21"/>
        <v>0</v>
      </c>
      <c r="O194" s="154">
        <f t="shared" si="21"/>
        <v>3750</v>
      </c>
      <c r="P194" s="155">
        <f t="shared" si="21"/>
        <v>3750</v>
      </c>
    </row>
    <row r="195" spans="1:17" x14ac:dyDescent="0.25">
      <c r="A195" s="152">
        <v>6210000</v>
      </c>
      <c r="B195" s="73" t="s">
        <v>1172</v>
      </c>
      <c r="C195" s="88"/>
      <c r="D195" s="220">
        <f t="shared" si="19"/>
        <v>1</v>
      </c>
      <c r="E195" s="89"/>
      <c r="F195" s="89"/>
      <c r="G195" s="89"/>
      <c r="H195" s="89"/>
      <c r="I195" s="89"/>
      <c r="J195" s="154">
        <f t="shared" si="21"/>
        <v>0</v>
      </c>
      <c r="K195" s="154">
        <f t="shared" si="21"/>
        <v>0</v>
      </c>
      <c r="L195" s="154">
        <f t="shared" si="21"/>
        <v>0</v>
      </c>
      <c r="M195" s="154">
        <f t="shared" si="21"/>
        <v>0</v>
      </c>
      <c r="N195" s="154">
        <f t="shared" si="21"/>
        <v>0</v>
      </c>
      <c r="O195" s="154">
        <f t="shared" si="21"/>
        <v>4000</v>
      </c>
      <c r="P195" s="155">
        <f t="shared" si="21"/>
        <v>4000</v>
      </c>
    </row>
    <row r="196" spans="1:17" x14ac:dyDescent="0.25">
      <c r="A196" s="152">
        <v>6210000</v>
      </c>
      <c r="B196" s="73" t="s">
        <v>810</v>
      </c>
      <c r="C196" s="88"/>
      <c r="D196" s="220">
        <f t="shared" si="19"/>
        <v>0</v>
      </c>
      <c r="E196" s="89"/>
      <c r="F196" s="89"/>
      <c r="G196" s="89"/>
      <c r="H196" s="89"/>
      <c r="I196" s="89"/>
      <c r="J196" s="154">
        <f t="shared" si="21"/>
        <v>0</v>
      </c>
      <c r="K196" s="154">
        <f t="shared" si="21"/>
        <v>0</v>
      </c>
      <c r="L196" s="154">
        <f t="shared" si="21"/>
        <v>0</v>
      </c>
      <c r="M196" s="154">
        <f t="shared" si="21"/>
        <v>0</v>
      </c>
      <c r="N196" s="154">
        <f t="shared" si="21"/>
        <v>0</v>
      </c>
      <c r="O196" s="154">
        <f t="shared" si="21"/>
        <v>0</v>
      </c>
      <c r="P196" s="155">
        <f t="shared" si="21"/>
        <v>0</v>
      </c>
    </row>
    <row r="197" spans="1:17" x14ac:dyDescent="0.25">
      <c r="A197" s="152">
        <v>6210000</v>
      </c>
      <c r="B197" s="51" t="s">
        <v>811</v>
      </c>
      <c r="C197" s="88"/>
      <c r="D197" s="220">
        <f t="shared" si="19"/>
        <v>1</v>
      </c>
      <c r="E197" s="89"/>
      <c r="F197" s="89"/>
      <c r="G197" s="89"/>
      <c r="H197" s="89"/>
      <c r="I197" s="89"/>
      <c r="J197" s="154">
        <f t="shared" si="21"/>
        <v>0</v>
      </c>
      <c r="K197" s="154">
        <f t="shared" si="21"/>
        <v>0</v>
      </c>
      <c r="L197" s="154">
        <f t="shared" si="21"/>
        <v>400</v>
      </c>
      <c r="M197" s="154">
        <f t="shared" si="21"/>
        <v>0</v>
      </c>
      <c r="N197" s="154">
        <f t="shared" si="21"/>
        <v>0</v>
      </c>
      <c r="O197" s="154">
        <f t="shared" si="21"/>
        <v>200</v>
      </c>
      <c r="P197" s="155">
        <f t="shared" si="21"/>
        <v>600</v>
      </c>
    </row>
    <row r="198" spans="1:17" x14ac:dyDescent="0.25">
      <c r="A198" s="152">
        <v>6210000</v>
      </c>
      <c r="B198" s="51" t="s">
        <v>23</v>
      </c>
      <c r="C198" s="88"/>
      <c r="D198" s="220">
        <f t="shared" si="19"/>
        <v>1</v>
      </c>
      <c r="E198" s="89"/>
      <c r="F198" s="89"/>
      <c r="G198" s="89"/>
      <c r="H198" s="89"/>
      <c r="I198" s="89"/>
      <c r="J198" s="154">
        <f t="shared" si="21"/>
        <v>550</v>
      </c>
      <c r="K198" s="154">
        <f t="shared" si="21"/>
        <v>0</v>
      </c>
      <c r="L198" s="154">
        <f t="shared" si="21"/>
        <v>0</v>
      </c>
      <c r="M198" s="154">
        <f t="shared" si="21"/>
        <v>0</v>
      </c>
      <c r="N198" s="154">
        <f t="shared" si="21"/>
        <v>0</v>
      </c>
      <c r="O198" s="154">
        <f t="shared" si="21"/>
        <v>0</v>
      </c>
      <c r="P198" s="155">
        <f t="shared" si="21"/>
        <v>550</v>
      </c>
    </row>
    <row r="199" spans="1:17" x14ac:dyDescent="0.25">
      <c r="A199" s="152">
        <v>6210000</v>
      </c>
      <c r="B199" s="73" t="s">
        <v>268</v>
      </c>
      <c r="C199" s="88"/>
      <c r="D199" s="220">
        <f t="shared" si="19"/>
        <v>4</v>
      </c>
      <c r="E199" s="89"/>
      <c r="F199" s="89"/>
      <c r="G199" s="89"/>
      <c r="H199" s="89"/>
      <c r="I199" s="89"/>
      <c r="J199" s="154">
        <f t="shared" si="21"/>
        <v>0</v>
      </c>
      <c r="K199" s="154">
        <f t="shared" si="21"/>
        <v>0</v>
      </c>
      <c r="L199" s="154">
        <f t="shared" si="21"/>
        <v>0</v>
      </c>
      <c r="M199" s="154">
        <f t="shared" si="21"/>
        <v>0</v>
      </c>
      <c r="N199" s="154">
        <f t="shared" si="21"/>
        <v>0</v>
      </c>
      <c r="O199" s="154">
        <f t="shared" si="21"/>
        <v>6750</v>
      </c>
      <c r="P199" s="155">
        <f t="shared" si="21"/>
        <v>6750</v>
      </c>
    </row>
    <row r="200" spans="1:17" x14ac:dyDescent="0.25">
      <c r="A200" s="152">
        <v>6210000</v>
      </c>
      <c r="B200" s="73" t="s">
        <v>267</v>
      </c>
      <c r="C200" s="88"/>
      <c r="D200" s="220">
        <f t="shared" si="19"/>
        <v>2</v>
      </c>
      <c r="E200" s="89"/>
      <c r="F200" s="89"/>
      <c r="G200" s="89"/>
      <c r="H200" s="89"/>
      <c r="I200" s="89"/>
      <c r="J200" s="154">
        <f t="shared" si="21"/>
        <v>0</v>
      </c>
      <c r="K200" s="154">
        <f t="shared" si="21"/>
        <v>0</v>
      </c>
      <c r="L200" s="154">
        <f t="shared" si="21"/>
        <v>0</v>
      </c>
      <c r="M200" s="154">
        <f t="shared" si="21"/>
        <v>0</v>
      </c>
      <c r="N200" s="154">
        <f t="shared" si="21"/>
        <v>0</v>
      </c>
      <c r="O200" s="154">
        <f t="shared" si="21"/>
        <v>0</v>
      </c>
      <c r="P200" s="155">
        <f t="shared" si="21"/>
        <v>0</v>
      </c>
    </row>
    <row r="201" spans="1:17" ht="15.75" thickBot="1" x14ac:dyDescent="0.3">
      <c r="A201" s="152">
        <v>6210000</v>
      </c>
      <c r="B201" s="73" t="s">
        <v>920</v>
      </c>
      <c r="C201" s="88"/>
      <c r="D201" s="220">
        <f t="shared" si="19"/>
        <v>0</v>
      </c>
      <c r="E201" s="89"/>
      <c r="F201" s="89"/>
      <c r="G201" s="89"/>
      <c r="H201" s="89"/>
      <c r="I201" s="89"/>
      <c r="J201" s="154">
        <f t="shared" si="21"/>
        <v>0</v>
      </c>
      <c r="K201" s="154">
        <f t="shared" si="21"/>
        <v>0</v>
      </c>
      <c r="L201" s="154">
        <f t="shared" si="21"/>
        <v>0</v>
      </c>
      <c r="M201" s="154">
        <f t="shared" si="21"/>
        <v>0</v>
      </c>
      <c r="N201" s="154">
        <f t="shared" si="21"/>
        <v>0</v>
      </c>
      <c r="O201" s="154">
        <f t="shared" si="21"/>
        <v>0</v>
      </c>
      <c r="P201" s="155">
        <f t="shared" si="21"/>
        <v>0</v>
      </c>
    </row>
    <row r="202" spans="1:17" x14ac:dyDescent="0.25">
      <c r="A202" s="151">
        <v>6212000</v>
      </c>
      <c r="B202" s="84" t="s">
        <v>19</v>
      </c>
      <c r="C202" s="85"/>
      <c r="D202" s="210">
        <f t="shared" si="19"/>
        <v>1</v>
      </c>
      <c r="E202" s="86"/>
      <c r="F202" s="86"/>
      <c r="G202" s="86"/>
      <c r="H202" s="86"/>
      <c r="I202" s="86"/>
      <c r="J202" s="156">
        <f t="shared" ref="J202:P211" si="22">SUMIFS(J$26:J$180,$A$26:$A$180,$A202,$B$26:$B$180,$B202)</f>
        <v>0</v>
      </c>
      <c r="K202" s="156">
        <f t="shared" si="22"/>
        <v>0</v>
      </c>
      <c r="L202" s="156">
        <f t="shared" si="22"/>
        <v>0</v>
      </c>
      <c r="M202" s="156">
        <f t="shared" si="22"/>
        <v>0</v>
      </c>
      <c r="N202" s="156">
        <f t="shared" si="22"/>
        <v>0</v>
      </c>
      <c r="O202" s="156">
        <f t="shared" si="22"/>
        <v>0</v>
      </c>
      <c r="P202" s="157">
        <f t="shared" si="22"/>
        <v>0</v>
      </c>
    </row>
    <row r="203" spans="1:17" x14ac:dyDescent="0.25">
      <c r="A203" s="152">
        <v>6212000</v>
      </c>
      <c r="B203" s="73" t="s">
        <v>18</v>
      </c>
      <c r="C203" s="88"/>
      <c r="D203" s="220">
        <f t="shared" si="19"/>
        <v>2</v>
      </c>
      <c r="E203" s="89"/>
      <c r="F203" s="89"/>
      <c r="G203" s="89"/>
      <c r="H203" s="89"/>
      <c r="I203" s="89"/>
      <c r="J203" s="154">
        <f t="shared" si="22"/>
        <v>0</v>
      </c>
      <c r="K203" s="154">
        <f t="shared" si="22"/>
        <v>0</v>
      </c>
      <c r="L203" s="485">
        <f t="shared" si="22"/>
        <v>0</v>
      </c>
      <c r="M203" s="485">
        <f t="shared" si="22"/>
        <v>0</v>
      </c>
      <c r="N203" s="485">
        <f t="shared" si="22"/>
        <v>0</v>
      </c>
      <c r="O203" s="485">
        <f t="shared" si="22"/>
        <v>25000</v>
      </c>
      <c r="P203" s="155">
        <f t="shared" si="22"/>
        <v>25000</v>
      </c>
    </row>
    <row r="204" spans="1:17" x14ac:dyDescent="0.25">
      <c r="A204" s="152">
        <v>6212000</v>
      </c>
      <c r="B204" s="73" t="s">
        <v>22</v>
      </c>
      <c r="C204" s="88"/>
      <c r="D204" s="220">
        <f t="shared" si="19"/>
        <v>0</v>
      </c>
      <c r="E204" s="89"/>
      <c r="F204" s="89"/>
      <c r="G204" s="89"/>
      <c r="H204" s="89"/>
      <c r="I204" s="89"/>
      <c r="J204" s="154">
        <f t="shared" si="22"/>
        <v>0</v>
      </c>
      <c r="K204" s="154">
        <f t="shared" si="22"/>
        <v>0</v>
      </c>
      <c r="L204" s="154">
        <f t="shared" si="22"/>
        <v>0</v>
      </c>
      <c r="M204" s="154">
        <f t="shared" si="22"/>
        <v>0</v>
      </c>
      <c r="N204" s="154">
        <f t="shared" si="22"/>
        <v>0</v>
      </c>
      <c r="O204" s="154">
        <f t="shared" si="22"/>
        <v>0</v>
      </c>
      <c r="P204" s="155">
        <f t="shared" si="22"/>
        <v>0</v>
      </c>
    </row>
    <row r="205" spans="1:17" x14ac:dyDescent="0.25">
      <c r="A205" s="152">
        <v>6212000</v>
      </c>
      <c r="B205" s="419" t="s">
        <v>24</v>
      </c>
      <c r="C205" s="88"/>
      <c r="D205" s="220">
        <f t="shared" si="19"/>
        <v>0</v>
      </c>
      <c r="E205" s="89"/>
      <c r="F205" s="89"/>
      <c r="G205" s="89"/>
      <c r="H205" s="89"/>
      <c r="I205" s="89"/>
      <c r="J205" s="485">
        <f t="shared" si="22"/>
        <v>0</v>
      </c>
      <c r="K205" s="154">
        <f t="shared" si="22"/>
        <v>0</v>
      </c>
      <c r="L205" s="154">
        <f t="shared" si="22"/>
        <v>0</v>
      </c>
      <c r="M205" s="154">
        <f t="shared" si="22"/>
        <v>0</v>
      </c>
      <c r="N205" s="154">
        <f t="shared" si="22"/>
        <v>0</v>
      </c>
      <c r="O205" s="154">
        <f t="shared" si="22"/>
        <v>0</v>
      </c>
      <c r="P205" s="155">
        <f t="shared" si="22"/>
        <v>0</v>
      </c>
    </row>
    <row r="206" spans="1:17" x14ac:dyDescent="0.25">
      <c r="A206" s="152">
        <v>6212000</v>
      </c>
      <c r="B206" s="73" t="s">
        <v>25</v>
      </c>
      <c r="C206" s="88"/>
      <c r="D206" s="220">
        <f t="shared" si="19"/>
        <v>2</v>
      </c>
      <c r="E206" s="89"/>
      <c r="F206" s="89"/>
      <c r="G206" s="89"/>
      <c r="H206" s="89"/>
      <c r="I206" s="89"/>
      <c r="J206" s="154">
        <f t="shared" si="22"/>
        <v>1500</v>
      </c>
      <c r="K206" s="154">
        <f t="shared" si="22"/>
        <v>0</v>
      </c>
      <c r="L206" s="154">
        <f t="shared" si="22"/>
        <v>0</v>
      </c>
      <c r="M206" s="154">
        <f t="shared" si="22"/>
        <v>0</v>
      </c>
      <c r="N206" s="154">
        <f t="shared" si="22"/>
        <v>0</v>
      </c>
      <c r="O206" s="154">
        <f t="shared" si="22"/>
        <v>0</v>
      </c>
      <c r="P206" s="155">
        <f t="shared" si="22"/>
        <v>1500</v>
      </c>
    </row>
    <row r="207" spans="1:17" x14ac:dyDescent="0.25">
      <c r="A207" s="152">
        <v>6212000</v>
      </c>
      <c r="B207" s="73" t="s">
        <v>394</v>
      </c>
      <c r="C207" s="88"/>
      <c r="D207" s="220">
        <f t="shared" si="19"/>
        <v>0</v>
      </c>
      <c r="E207" s="89"/>
      <c r="F207" s="89"/>
      <c r="G207" s="89"/>
      <c r="H207" s="89"/>
      <c r="I207" s="89"/>
      <c r="J207" s="154">
        <f t="shared" si="22"/>
        <v>0</v>
      </c>
      <c r="K207" s="154">
        <f t="shared" si="22"/>
        <v>0</v>
      </c>
      <c r="L207" s="154">
        <f t="shared" si="22"/>
        <v>0</v>
      </c>
      <c r="M207" s="154">
        <f t="shared" si="22"/>
        <v>0</v>
      </c>
      <c r="N207" s="154">
        <f t="shared" si="22"/>
        <v>0</v>
      </c>
      <c r="O207" s="154">
        <f t="shared" si="22"/>
        <v>0</v>
      </c>
      <c r="P207" s="155">
        <f t="shared" si="22"/>
        <v>0</v>
      </c>
    </row>
    <row r="208" spans="1:17" x14ac:dyDescent="0.25">
      <c r="A208" s="152">
        <v>6212000</v>
      </c>
      <c r="B208" s="73" t="s">
        <v>350</v>
      </c>
      <c r="C208" s="88"/>
      <c r="D208" s="220">
        <f t="shared" si="19"/>
        <v>1</v>
      </c>
      <c r="E208" s="89"/>
      <c r="F208" s="89"/>
      <c r="G208" s="89"/>
      <c r="H208" s="89"/>
      <c r="I208" s="89"/>
      <c r="J208" s="154">
        <f t="shared" si="22"/>
        <v>1500</v>
      </c>
      <c r="K208" s="154">
        <f t="shared" si="22"/>
        <v>0</v>
      </c>
      <c r="L208" s="154">
        <f t="shared" si="22"/>
        <v>0</v>
      </c>
      <c r="M208" s="154">
        <f t="shared" si="22"/>
        <v>0</v>
      </c>
      <c r="N208" s="154">
        <f t="shared" si="22"/>
        <v>0</v>
      </c>
      <c r="O208" s="154">
        <f t="shared" si="22"/>
        <v>0</v>
      </c>
      <c r="P208" s="155">
        <f t="shared" si="22"/>
        <v>1500</v>
      </c>
    </row>
    <row r="209" spans="1:18" x14ac:dyDescent="0.25">
      <c r="A209" s="152">
        <v>6212000</v>
      </c>
      <c r="B209" s="73" t="s">
        <v>1171</v>
      </c>
      <c r="C209" s="88"/>
      <c r="D209" s="220">
        <f t="shared" si="19"/>
        <v>0</v>
      </c>
      <c r="E209" s="89"/>
      <c r="F209" s="89"/>
      <c r="G209" s="89"/>
      <c r="H209" s="89"/>
      <c r="I209" s="89"/>
      <c r="J209" s="212">
        <f t="shared" si="22"/>
        <v>0</v>
      </c>
      <c r="K209" s="212">
        <f t="shared" si="22"/>
        <v>0</v>
      </c>
      <c r="L209" s="212">
        <f t="shared" si="22"/>
        <v>0</v>
      </c>
      <c r="M209" s="212">
        <f t="shared" si="22"/>
        <v>0</v>
      </c>
      <c r="N209" s="212">
        <f t="shared" si="22"/>
        <v>0</v>
      </c>
      <c r="O209" s="212">
        <f t="shared" si="22"/>
        <v>0</v>
      </c>
      <c r="P209" s="155">
        <f t="shared" si="22"/>
        <v>0</v>
      </c>
      <c r="R209" s="407"/>
    </row>
    <row r="210" spans="1:18" x14ac:dyDescent="0.25">
      <c r="A210" s="152">
        <v>6212000</v>
      </c>
      <c r="B210" s="73" t="s">
        <v>1182</v>
      </c>
      <c r="C210" s="88"/>
      <c r="D210" s="220">
        <f t="shared" si="19"/>
        <v>1</v>
      </c>
      <c r="E210" s="89"/>
      <c r="F210" s="89"/>
      <c r="G210" s="89"/>
      <c r="H210" s="89"/>
      <c r="I210" s="89"/>
      <c r="J210" s="212">
        <f t="shared" si="22"/>
        <v>550</v>
      </c>
      <c r="K210" s="212">
        <f t="shared" si="22"/>
        <v>1500</v>
      </c>
      <c r="L210" s="212">
        <f t="shared" si="22"/>
        <v>2500</v>
      </c>
      <c r="M210" s="212">
        <f t="shared" si="22"/>
        <v>100</v>
      </c>
      <c r="N210" s="212">
        <f t="shared" si="22"/>
        <v>50</v>
      </c>
      <c r="O210" s="212">
        <f t="shared" si="22"/>
        <v>300</v>
      </c>
      <c r="P210" s="155">
        <f t="shared" si="22"/>
        <v>5000</v>
      </c>
      <c r="Q210" s="407"/>
      <c r="R210" s="407"/>
    </row>
    <row r="211" spans="1:18" x14ac:dyDescent="0.25">
      <c r="A211" s="152">
        <v>6212000</v>
      </c>
      <c r="B211" s="73" t="s">
        <v>20</v>
      </c>
      <c r="C211" s="88"/>
      <c r="D211" s="220">
        <f t="shared" si="19"/>
        <v>2</v>
      </c>
      <c r="E211" s="89"/>
      <c r="F211" s="89"/>
      <c r="G211" s="89"/>
      <c r="H211" s="89"/>
      <c r="I211" s="89"/>
      <c r="J211" s="154">
        <f t="shared" si="22"/>
        <v>0</v>
      </c>
      <c r="K211" s="154">
        <f t="shared" si="22"/>
        <v>0</v>
      </c>
      <c r="L211" s="154">
        <f t="shared" si="22"/>
        <v>0</v>
      </c>
      <c r="M211" s="154">
        <f t="shared" si="22"/>
        <v>0</v>
      </c>
      <c r="N211" s="154">
        <f t="shared" si="22"/>
        <v>0</v>
      </c>
      <c r="O211" s="154">
        <f t="shared" si="22"/>
        <v>3500</v>
      </c>
      <c r="P211" s="155">
        <f t="shared" si="22"/>
        <v>3500</v>
      </c>
      <c r="Q211" s="407"/>
    </row>
    <row r="212" spans="1:18" x14ac:dyDescent="0.25">
      <c r="A212" s="152">
        <v>6212000</v>
      </c>
      <c r="B212" s="73" t="s">
        <v>510</v>
      </c>
      <c r="C212" s="88"/>
      <c r="D212" s="220">
        <f t="shared" si="19"/>
        <v>0</v>
      </c>
      <c r="E212" s="89"/>
      <c r="F212" s="89"/>
      <c r="G212" s="89"/>
      <c r="H212" s="89"/>
      <c r="I212" s="89"/>
      <c r="J212" s="154">
        <f t="shared" ref="J212:P221" si="23">SUMIFS(J$26:J$180,$A$26:$A$180,$A212,$B$26:$B$180,$B212)</f>
        <v>0</v>
      </c>
      <c r="K212" s="154">
        <f t="shared" si="23"/>
        <v>0</v>
      </c>
      <c r="L212" s="154">
        <f t="shared" si="23"/>
        <v>0</v>
      </c>
      <c r="M212" s="154">
        <f t="shared" si="23"/>
        <v>0</v>
      </c>
      <c r="N212" s="154">
        <f t="shared" si="23"/>
        <v>0</v>
      </c>
      <c r="O212" s="154">
        <f t="shared" si="23"/>
        <v>0</v>
      </c>
      <c r="P212" s="155">
        <f t="shared" si="23"/>
        <v>0</v>
      </c>
    </row>
    <row r="213" spans="1:18" x14ac:dyDescent="0.25">
      <c r="A213" s="152">
        <v>6212000</v>
      </c>
      <c r="B213" s="73" t="s">
        <v>272</v>
      </c>
      <c r="C213" s="88"/>
      <c r="D213" s="220">
        <f t="shared" si="19"/>
        <v>1</v>
      </c>
      <c r="E213" s="89"/>
      <c r="F213" s="89"/>
      <c r="G213" s="89"/>
      <c r="H213" s="89"/>
      <c r="I213" s="89"/>
      <c r="J213" s="154">
        <f t="shared" si="23"/>
        <v>455</v>
      </c>
      <c r="K213" s="154">
        <f t="shared" si="23"/>
        <v>0</v>
      </c>
      <c r="L213" s="154">
        <f t="shared" si="23"/>
        <v>220</v>
      </c>
      <c r="M213" s="154">
        <f t="shared" si="23"/>
        <v>0</v>
      </c>
      <c r="N213" s="154">
        <f t="shared" si="23"/>
        <v>0</v>
      </c>
      <c r="O213" s="154">
        <f t="shared" si="23"/>
        <v>100</v>
      </c>
      <c r="P213" s="155">
        <f t="shared" si="23"/>
        <v>775</v>
      </c>
    </row>
    <row r="214" spans="1:18" x14ac:dyDescent="0.25">
      <c r="A214" s="152">
        <v>6212000</v>
      </c>
      <c r="B214" s="51" t="s">
        <v>21</v>
      </c>
      <c r="C214" s="88"/>
      <c r="D214" s="220">
        <f t="shared" ref="D214:D245" si="24">COUNTIFS($A$26:$A$180,$A214,$B$26:$B$180,$B214)</f>
        <v>0</v>
      </c>
      <c r="E214" s="89"/>
      <c r="F214" s="89"/>
      <c r="G214" s="89"/>
      <c r="H214" s="89"/>
      <c r="I214" s="89"/>
      <c r="J214" s="154">
        <f t="shared" si="23"/>
        <v>0</v>
      </c>
      <c r="K214" s="154">
        <f t="shared" si="23"/>
        <v>0</v>
      </c>
      <c r="L214" s="154">
        <f t="shared" si="23"/>
        <v>0</v>
      </c>
      <c r="M214" s="154">
        <f t="shared" si="23"/>
        <v>0</v>
      </c>
      <c r="N214" s="154">
        <f t="shared" si="23"/>
        <v>0</v>
      </c>
      <c r="O214" s="154">
        <f t="shared" si="23"/>
        <v>0</v>
      </c>
      <c r="P214" s="155">
        <f t="shared" si="23"/>
        <v>0</v>
      </c>
    </row>
    <row r="215" spans="1:18" x14ac:dyDescent="0.25">
      <c r="A215" s="152">
        <v>6212000</v>
      </c>
      <c r="B215" s="73" t="s">
        <v>1172</v>
      </c>
      <c r="C215" s="88"/>
      <c r="D215" s="220">
        <f t="shared" si="24"/>
        <v>1</v>
      </c>
      <c r="E215" s="89"/>
      <c r="F215" s="89"/>
      <c r="G215" s="89"/>
      <c r="H215" s="89"/>
      <c r="I215" s="89"/>
      <c r="J215" s="154">
        <f t="shared" si="23"/>
        <v>0</v>
      </c>
      <c r="K215" s="154">
        <f t="shared" si="23"/>
        <v>0</v>
      </c>
      <c r="L215" s="154">
        <f t="shared" si="23"/>
        <v>0</v>
      </c>
      <c r="M215" s="154">
        <f t="shared" si="23"/>
        <v>0</v>
      </c>
      <c r="N215" s="154">
        <f t="shared" si="23"/>
        <v>0</v>
      </c>
      <c r="O215" s="154">
        <f t="shared" si="23"/>
        <v>3645</v>
      </c>
      <c r="P215" s="155">
        <f t="shared" si="23"/>
        <v>3645</v>
      </c>
    </row>
    <row r="216" spans="1:18" x14ac:dyDescent="0.25">
      <c r="A216" s="152">
        <v>6212000</v>
      </c>
      <c r="B216" s="73" t="s">
        <v>810</v>
      </c>
      <c r="C216" s="88"/>
      <c r="D216" s="220">
        <f t="shared" si="24"/>
        <v>0</v>
      </c>
      <c r="E216" s="89"/>
      <c r="F216" s="89"/>
      <c r="G216" s="89"/>
      <c r="H216" s="89"/>
      <c r="I216" s="89"/>
      <c r="J216" s="154">
        <f t="shared" si="23"/>
        <v>0</v>
      </c>
      <c r="K216" s="154">
        <f t="shared" si="23"/>
        <v>0</v>
      </c>
      <c r="L216" s="154">
        <f t="shared" si="23"/>
        <v>0</v>
      </c>
      <c r="M216" s="154">
        <f t="shared" si="23"/>
        <v>0</v>
      </c>
      <c r="N216" s="154">
        <f t="shared" si="23"/>
        <v>0</v>
      </c>
      <c r="O216" s="154">
        <f t="shared" si="23"/>
        <v>0</v>
      </c>
      <c r="P216" s="155">
        <f t="shared" si="23"/>
        <v>0</v>
      </c>
    </row>
    <row r="217" spans="1:18" x14ac:dyDescent="0.25">
      <c r="A217" s="152">
        <v>6212000</v>
      </c>
      <c r="B217" s="51" t="s">
        <v>811</v>
      </c>
      <c r="C217" s="88"/>
      <c r="D217" s="220">
        <f t="shared" si="24"/>
        <v>0</v>
      </c>
      <c r="E217" s="89"/>
      <c r="F217" s="89"/>
      <c r="G217" s="89"/>
      <c r="H217" s="89"/>
      <c r="I217" s="89"/>
      <c r="J217" s="154">
        <f t="shared" si="23"/>
        <v>0</v>
      </c>
      <c r="K217" s="154">
        <f t="shared" si="23"/>
        <v>0</v>
      </c>
      <c r="L217" s="154">
        <f t="shared" si="23"/>
        <v>0</v>
      </c>
      <c r="M217" s="154">
        <f t="shared" si="23"/>
        <v>0</v>
      </c>
      <c r="N217" s="154">
        <f t="shared" si="23"/>
        <v>0</v>
      </c>
      <c r="O217" s="154">
        <f t="shared" si="23"/>
        <v>0</v>
      </c>
      <c r="P217" s="155">
        <f t="shared" si="23"/>
        <v>0</v>
      </c>
    </row>
    <row r="218" spans="1:18" x14ac:dyDescent="0.25">
      <c r="A218" s="152">
        <v>6212000</v>
      </c>
      <c r="B218" s="51" t="s">
        <v>23</v>
      </c>
      <c r="C218" s="88"/>
      <c r="D218" s="220">
        <f t="shared" si="24"/>
        <v>0</v>
      </c>
      <c r="E218" s="89"/>
      <c r="F218" s="89"/>
      <c r="G218" s="89"/>
      <c r="H218" s="89"/>
      <c r="I218" s="89"/>
      <c r="J218" s="154">
        <f t="shared" si="23"/>
        <v>0</v>
      </c>
      <c r="K218" s="154">
        <f t="shared" si="23"/>
        <v>0</v>
      </c>
      <c r="L218" s="154">
        <f t="shared" si="23"/>
        <v>0</v>
      </c>
      <c r="M218" s="154">
        <f t="shared" si="23"/>
        <v>0</v>
      </c>
      <c r="N218" s="154">
        <f t="shared" si="23"/>
        <v>0</v>
      </c>
      <c r="O218" s="154">
        <f t="shared" si="23"/>
        <v>0</v>
      </c>
      <c r="P218" s="155">
        <f t="shared" si="23"/>
        <v>0</v>
      </c>
    </row>
    <row r="219" spans="1:18" x14ac:dyDescent="0.25">
      <c r="A219" s="152">
        <v>6212000</v>
      </c>
      <c r="B219" s="73" t="s">
        <v>268</v>
      </c>
      <c r="C219" s="88"/>
      <c r="D219" s="220">
        <f t="shared" si="24"/>
        <v>0</v>
      </c>
      <c r="E219" s="89"/>
      <c r="F219" s="89"/>
      <c r="G219" s="89"/>
      <c r="H219" s="89"/>
      <c r="I219" s="89"/>
      <c r="J219" s="154">
        <f t="shared" si="23"/>
        <v>0</v>
      </c>
      <c r="K219" s="154">
        <f t="shared" si="23"/>
        <v>0</v>
      </c>
      <c r="L219" s="154">
        <f t="shared" si="23"/>
        <v>0</v>
      </c>
      <c r="M219" s="154">
        <f t="shared" si="23"/>
        <v>0</v>
      </c>
      <c r="N219" s="154">
        <f t="shared" si="23"/>
        <v>0</v>
      </c>
      <c r="O219" s="154">
        <f t="shared" si="23"/>
        <v>0</v>
      </c>
      <c r="P219" s="155">
        <f t="shared" si="23"/>
        <v>0</v>
      </c>
    </row>
    <row r="220" spans="1:18" x14ac:dyDescent="0.25">
      <c r="A220" s="152">
        <v>6212000</v>
      </c>
      <c r="B220" s="73" t="s">
        <v>267</v>
      </c>
      <c r="C220" s="88"/>
      <c r="D220" s="220">
        <f t="shared" si="24"/>
        <v>0</v>
      </c>
      <c r="E220" s="89"/>
      <c r="F220" s="89"/>
      <c r="G220" s="89"/>
      <c r="H220" s="89"/>
      <c r="I220" s="89"/>
      <c r="J220" s="154">
        <f t="shared" si="23"/>
        <v>0</v>
      </c>
      <c r="K220" s="154">
        <f t="shared" si="23"/>
        <v>0</v>
      </c>
      <c r="L220" s="154">
        <f t="shared" si="23"/>
        <v>0</v>
      </c>
      <c r="M220" s="154">
        <f t="shared" si="23"/>
        <v>0</v>
      </c>
      <c r="N220" s="154">
        <f t="shared" si="23"/>
        <v>0</v>
      </c>
      <c r="O220" s="154">
        <f t="shared" si="23"/>
        <v>0</v>
      </c>
      <c r="P220" s="155">
        <f t="shared" si="23"/>
        <v>0</v>
      </c>
    </row>
    <row r="221" spans="1:18" ht="15.75" thickBot="1" x14ac:dyDescent="0.3">
      <c r="A221" s="152">
        <v>6212000</v>
      </c>
      <c r="B221" s="73" t="s">
        <v>920</v>
      </c>
      <c r="C221" s="88"/>
      <c r="D221" s="220">
        <f t="shared" si="24"/>
        <v>0</v>
      </c>
      <c r="E221" s="89"/>
      <c r="F221" s="89"/>
      <c r="G221" s="89"/>
      <c r="H221" s="89"/>
      <c r="I221" s="89"/>
      <c r="J221" s="154">
        <f t="shared" si="23"/>
        <v>0</v>
      </c>
      <c r="K221" s="154">
        <f t="shared" si="23"/>
        <v>0</v>
      </c>
      <c r="L221" s="154">
        <f t="shared" si="23"/>
        <v>0</v>
      </c>
      <c r="M221" s="154">
        <f t="shared" si="23"/>
        <v>0</v>
      </c>
      <c r="N221" s="154">
        <f t="shared" si="23"/>
        <v>0</v>
      </c>
      <c r="O221" s="154">
        <f t="shared" si="23"/>
        <v>0</v>
      </c>
      <c r="P221" s="155">
        <f t="shared" si="23"/>
        <v>0</v>
      </c>
    </row>
    <row r="222" spans="1:18" x14ac:dyDescent="0.25">
      <c r="A222" s="153">
        <v>6215000</v>
      </c>
      <c r="B222" s="84" t="s">
        <v>19</v>
      </c>
      <c r="C222" s="85"/>
      <c r="D222" s="210">
        <f t="shared" si="24"/>
        <v>0</v>
      </c>
      <c r="E222" s="86"/>
      <c r="F222" s="86"/>
      <c r="G222" s="86"/>
      <c r="H222" s="86"/>
      <c r="I222" s="86"/>
      <c r="J222" s="156">
        <f t="shared" ref="J222:P231" si="25">SUMIFS(J$26:J$180,$A$26:$A$180,$A222,$B$26:$B$180,$B222)</f>
        <v>0</v>
      </c>
      <c r="K222" s="156">
        <f t="shared" si="25"/>
        <v>0</v>
      </c>
      <c r="L222" s="156">
        <f t="shared" si="25"/>
        <v>0</v>
      </c>
      <c r="M222" s="156">
        <f t="shared" si="25"/>
        <v>0</v>
      </c>
      <c r="N222" s="156">
        <f t="shared" si="25"/>
        <v>0</v>
      </c>
      <c r="O222" s="156">
        <f t="shared" si="25"/>
        <v>0</v>
      </c>
      <c r="P222" s="157">
        <f t="shared" si="25"/>
        <v>0</v>
      </c>
    </row>
    <row r="223" spans="1:18" x14ac:dyDescent="0.25">
      <c r="A223" s="152">
        <v>6215000</v>
      </c>
      <c r="B223" s="73" t="s">
        <v>18</v>
      </c>
      <c r="C223" s="88"/>
      <c r="D223" s="220">
        <f t="shared" si="24"/>
        <v>0</v>
      </c>
      <c r="E223" s="89"/>
      <c r="F223" s="89"/>
      <c r="G223" s="89"/>
      <c r="H223" s="89"/>
      <c r="I223" s="89"/>
      <c r="J223" s="154">
        <f t="shared" si="25"/>
        <v>0</v>
      </c>
      <c r="K223" s="154">
        <f t="shared" si="25"/>
        <v>0</v>
      </c>
      <c r="L223" s="485">
        <f t="shared" si="25"/>
        <v>0</v>
      </c>
      <c r="M223" s="485">
        <f t="shared" si="25"/>
        <v>0</v>
      </c>
      <c r="N223" s="485">
        <f t="shared" si="25"/>
        <v>0</v>
      </c>
      <c r="O223" s="485">
        <f t="shared" si="25"/>
        <v>0</v>
      </c>
      <c r="P223" s="155">
        <f t="shared" si="25"/>
        <v>0</v>
      </c>
    </row>
    <row r="224" spans="1:18" x14ac:dyDescent="0.25">
      <c r="A224" s="152">
        <v>6215000</v>
      </c>
      <c r="B224" s="73" t="s">
        <v>22</v>
      </c>
      <c r="C224" s="88"/>
      <c r="D224" s="220">
        <f t="shared" si="24"/>
        <v>1</v>
      </c>
      <c r="E224" s="89"/>
      <c r="F224" s="89"/>
      <c r="G224" s="89"/>
      <c r="H224" s="89"/>
      <c r="I224" s="89"/>
      <c r="J224" s="154">
        <f t="shared" si="25"/>
        <v>0</v>
      </c>
      <c r="K224" s="154">
        <f t="shared" si="25"/>
        <v>0</v>
      </c>
      <c r="L224" s="154">
        <f t="shared" si="25"/>
        <v>600</v>
      </c>
      <c r="M224" s="154">
        <f t="shared" si="25"/>
        <v>0</v>
      </c>
      <c r="N224" s="154">
        <f t="shared" si="25"/>
        <v>0</v>
      </c>
      <c r="O224" s="154">
        <f t="shared" si="25"/>
        <v>0</v>
      </c>
      <c r="P224" s="155">
        <f t="shared" si="25"/>
        <v>600</v>
      </c>
    </row>
    <row r="225" spans="1:18" x14ac:dyDescent="0.25">
      <c r="A225" s="152">
        <v>6215000</v>
      </c>
      <c r="B225" s="419" t="s">
        <v>24</v>
      </c>
      <c r="C225" s="88"/>
      <c r="D225" s="220">
        <f t="shared" si="24"/>
        <v>0</v>
      </c>
      <c r="E225" s="89"/>
      <c r="F225" s="89"/>
      <c r="G225" s="89"/>
      <c r="H225" s="89"/>
      <c r="I225" s="89"/>
      <c r="J225" s="154">
        <f t="shared" si="25"/>
        <v>0</v>
      </c>
      <c r="K225" s="154">
        <f t="shared" si="25"/>
        <v>0</v>
      </c>
      <c r="L225" s="154">
        <f t="shared" si="25"/>
        <v>0</v>
      </c>
      <c r="M225" s="154">
        <f t="shared" si="25"/>
        <v>0</v>
      </c>
      <c r="N225" s="154">
        <f t="shared" si="25"/>
        <v>0</v>
      </c>
      <c r="O225" s="154">
        <f t="shared" si="25"/>
        <v>0</v>
      </c>
      <c r="P225" s="155">
        <f t="shared" si="25"/>
        <v>0</v>
      </c>
    </row>
    <row r="226" spans="1:18" x14ac:dyDescent="0.25">
      <c r="A226" s="152">
        <v>6215000</v>
      </c>
      <c r="B226" s="73" t="s">
        <v>25</v>
      </c>
      <c r="C226" s="88"/>
      <c r="D226" s="220">
        <f t="shared" si="24"/>
        <v>0</v>
      </c>
      <c r="E226" s="89"/>
      <c r="F226" s="89"/>
      <c r="G226" s="89"/>
      <c r="H226" s="89"/>
      <c r="I226" s="89"/>
      <c r="J226" s="154">
        <f t="shared" si="25"/>
        <v>0</v>
      </c>
      <c r="K226" s="154">
        <f t="shared" si="25"/>
        <v>0</v>
      </c>
      <c r="L226" s="154">
        <f t="shared" si="25"/>
        <v>0</v>
      </c>
      <c r="M226" s="154">
        <f t="shared" si="25"/>
        <v>0</v>
      </c>
      <c r="N226" s="154">
        <f t="shared" si="25"/>
        <v>0</v>
      </c>
      <c r="O226" s="154">
        <f t="shared" si="25"/>
        <v>0</v>
      </c>
      <c r="P226" s="155">
        <f t="shared" si="25"/>
        <v>0</v>
      </c>
    </row>
    <row r="227" spans="1:18" x14ac:dyDescent="0.25">
      <c r="A227" s="152">
        <v>6215000</v>
      </c>
      <c r="B227" s="73" t="s">
        <v>394</v>
      </c>
      <c r="C227" s="88"/>
      <c r="D227" s="220">
        <f t="shared" si="24"/>
        <v>0</v>
      </c>
      <c r="E227" s="89"/>
      <c r="F227" s="89"/>
      <c r="G227" s="89"/>
      <c r="H227" s="89"/>
      <c r="I227" s="89"/>
      <c r="J227" s="154">
        <f t="shared" si="25"/>
        <v>0</v>
      </c>
      <c r="K227" s="154">
        <f t="shared" si="25"/>
        <v>0</v>
      </c>
      <c r="L227" s="154">
        <f t="shared" si="25"/>
        <v>0</v>
      </c>
      <c r="M227" s="154">
        <f t="shared" si="25"/>
        <v>0</v>
      </c>
      <c r="N227" s="154">
        <f t="shared" si="25"/>
        <v>0</v>
      </c>
      <c r="O227" s="154">
        <f t="shared" si="25"/>
        <v>0</v>
      </c>
      <c r="P227" s="155">
        <f t="shared" si="25"/>
        <v>0</v>
      </c>
    </row>
    <row r="228" spans="1:18" x14ac:dyDescent="0.25">
      <c r="A228" s="152">
        <v>6215000</v>
      </c>
      <c r="B228" s="73" t="s">
        <v>350</v>
      </c>
      <c r="C228" s="88"/>
      <c r="D228" s="220">
        <f t="shared" si="24"/>
        <v>0</v>
      </c>
      <c r="E228" s="89"/>
      <c r="F228" s="89"/>
      <c r="G228" s="89"/>
      <c r="H228" s="89"/>
      <c r="I228" s="89"/>
      <c r="J228" s="154">
        <f t="shared" si="25"/>
        <v>0</v>
      </c>
      <c r="K228" s="154">
        <f t="shared" si="25"/>
        <v>0</v>
      </c>
      <c r="L228" s="154">
        <f t="shared" si="25"/>
        <v>0</v>
      </c>
      <c r="M228" s="154">
        <f t="shared" si="25"/>
        <v>0</v>
      </c>
      <c r="N228" s="154">
        <f t="shared" si="25"/>
        <v>0</v>
      </c>
      <c r="O228" s="154">
        <f t="shared" si="25"/>
        <v>0</v>
      </c>
      <c r="P228" s="155">
        <f t="shared" si="25"/>
        <v>0</v>
      </c>
    </row>
    <row r="229" spans="1:18" x14ac:dyDescent="0.25">
      <c r="A229" s="152">
        <v>6215000</v>
      </c>
      <c r="B229" s="73" t="s">
        <v>1171</v>
      </c>
      <c r="C229" s="88"/>
      <c r="D229" s="220">
        <f t="shared" si="24"/>
        <v>0</v>
      </c>
      <c r="E229" s="89"/>
      <c r="F229" s="89"/>
      <c r="G229" s="89"/>
      <c r="H229" s="89"/>
      <c r="I229" s="89"/>
      <c r="J229" s="212">
        <f t="shared" si="25"/>
        <v>0</v>
      </c>
      <c r="K229" s="212">
        <f t="shared" si="25"/>
        <v>0</v>
      </c>
      <c r="L229" s="212">
        <f t="shared" si="25"/>
        <v>0</v>
      </c>
      <c r="M229" s="212">
        <f t="shared" si="25"/>
        <v>0</v>
      </c>
      <c r="N229" s="212">
        <f t="shared" si="25"/>
        <v>0</v>
      </c>
      <c r="O229" s="212">
        <f t="shared" si="25"/>
        <v>0</v>
      </c>
      <c r="P229" s="155">
        <f t="shared" si="25"/>
        <v>0</v>
      </c>
      <c r="R229" s="407"/>
    </row>
    <row r="230" spans="1:18" x14ac:dyDescent="0.25">
      <c r="A230" s="152">
        <v>6215000</v>
      </c>
      <c r="B230" s="73" t="s">
        <v>1182</v>
      </c>
      <c r="C230" s="88"/>
      <c r="D230" s="220">
        <f t="shared" si="24"/>
        <v>0</v>
      </c>
      <c r="E230" s="89"/>
      <c r="F230" s="89"/>
      <c r="G230" s="89"/>
      <c r="H230" s="89"/>
      <c r="I230" s="89"/>
      <c r="J230" s="212">
        <f t="shared" si="25"/>
        <v>0</v>
      </c>
      <c r="K230" s="212">
        <f t="shared" si="25"/>
        <v>0</v>
      </c>
      <c r="L230" s="212">
        <f t="shared" si="25"/>
        <v>0</v>
      </c>
      <c r="M230" s="212">
        <f t="shared" si="25"/>
        <v>0</v>
      </c>
      <c r="N230" s="212">
        <f t="shared" si="25"/>
        <v>0</v>
      </c>
      <c r="O230" s="212">
        <f t="shared" si="25"/>
        <v>0</v>
      </c>
      <c r="P230" s="155">
        <f t="shared" si="25"/>
        <v>0</v>
      </c>
      <c r="Q230" s="407"/>
      <c r="R230" s="407"/>
    </row>
    <row r="231" spans="1:18" x14ac:dyDescent="0.25">
      <c r="A231" s="152">
        <v>6215000</v>
      </c>
      <c r="B231" s="73" t="s">
        <v>20</v>
      </c>
      <c r="C231" s="88"/>
      <c r="D231" s="220">
        <f t="shared" si="24"/>
        <v>4</v>
      </c>
      <c r="E231" s="89"/>
      <c r="F231" s="89"/>
      <c r="G231" s="89"/>
      <c r="H231" s="89"/>
      <c r="I231" s="89"/>
      <c r="J231" s="154">
        <f t="shared" si="25"/>
        <v>0</v>
      </c>
      <c r="K231" s="154">
        <f t="shared" si="25"/>
        <v>0</v>
      </c>
      <c r="L231" s="154">
        <f t="shared" si="25"/>
        <v>0</v>
      </c>
      <c r="M231" s="154">
        <f t="shared" si="25"/>
        <v>0</v>
      </c>
      <c r="N231" s="154">
        <f t="shared" si="25"/>
        <v>0</v>
      </c>
      <c r="O231" s="154">
        <f t="shared" si="25"/>
        <v>10000</v>
      </c>
      <c r="P231" s="155">
        <f t="shared" si="25"/>
        <v>10000</v>
      </c>
      <c r="Q231" s="407"/>
    </row>
    <row r="232" spans="1:18" x14ac:dyDescent="0.25">
      <c r="A232" s="152">
        <v>6215000</v>
      </c>
      <c r="B232" s="73" t="s">
        <v>510</v>
      </c>
      <c r="C232" s="88"/>
      <c r="D232" s="220">
        <f t="shared" si="24"/>
        <v>0</v>
      </c>
      <c r="E232" s="89"/>
      <c r="F232" s="89"/>
      <c r="G232" s="89"/>
      <c r="H232" s="89"/>
      <c r="I232" s="89"/>
      <c r="J232" s="154">
        <f t="shared" ref="J232:P241" si="26">SUMIFS(J$26:J$180,$A$26:$A$180,$A232,$B$26:$B$180,$B232)</f>
        <v>0</v>
      </c>
      <c r="K232" s="154">
        <f t="shared" si="26"/>
        <v>0</v>
      </c>
      <c r="L232" s="154">
        <f t="shared" si="26"/>
        <v>0</v>
      </c>
      <c r="M232" s="154">
        <f t="shared" si="26"/>
        <v>0</v>
      </c>
      <c r="N232" s="154">
        <f t="shared" si="26"/>
        <v>0</v>
      </c>
      <c r="O232" s="154">
        <f t="shared" si="26"/>
        <v>0</v>
      </c>
      <c r="P232" s="155">
        <f t="shared" si="26"/>
        <v>0</v>
      </c>
    </row>
    <row r="233" spans="1:18" x14ac:dyDescent="0.25">
      <c r="A233" s="152">
        <v>6215000</v>
      </c>
      <c r="B233" s="73" t="s">
        <v>272</v>
      </c>
      <c r="C233" s="88"/>
      <c r="D233" s="220">
        <f t="shared" si="24"/>
        <v>0</v>
      </c>
      <c r="E233" s="89"/>
      <c r="F233" s="89"/>
      <c r="G233" s="89"/>
      <c r="H233" s="89"/>
      <c r="I233" s="89"/>
      <c r="J233" s="154">
        <f t="shared" si="26"/>
        <v>0</v>
      </c>
      <c r="K233" s="154">
        <f t="shared" si="26"/>
        <v>0</v>
      </c>
      <c r="L233" s="154">
        <f t="shared" si="26"/>
        <v>0</v>
      </c>
      <c r="M233" s="154">
        <f t="shared" si="26"/>
        <v>0</v>
      </c>
      <c r="N233" s="154">
        <f t="shared" si="26"/>
        <v>0</v>
      </c>
      <c r="O233" s="154">
        <f t="shared" si="26"/>
        <v>0</v>
      </c>
      <c r="P233" s="155">
        <f t="shared" si="26"/>
        <v>0</v>
      </c>
    </row>
    <row r="234" spans="1:18" x14ac:dyDescent="0.25">
      <c r="A234" s="152">
        <v>6215000</v>
      </c>
      <c r="B234" s="51" t="s">
        <v>21</v>
      </c>
      <c r="C234" s="88"/>
      <c r="D234" s="220">
        <f t="shared" si="24"/>
        <v>1</v>
      </c>
      <c r="E234" s="89"/>
      <c r="F234" s="89"/>
      <c r="G234" s="89"/>
      <c r="H234" s="89"/>
      <c r="I234" s="89"/>
      <c r="J234" s="154">
        <f t="shared" si="26"/>
        <v>0</v>
      </c>
      <c r="K234" s="154">
        <f t="shared" si="26"/>
        <v>0</v>
      </c>
      <c r="L234" s="154">
        <f t="shared" si="26"/>
        <v>0</v>
      </c>
      <c r="M234" s="154">
        <f t="shared" si="26"/>
        <v>0</v>
      </c>
      <c r="N234" s="154">
        <f t="shared" si="26"/>
        <v>0</v>
      </c>
      <c r="O234" s="154">
        <f t="shared" si="26"/>
        <v>2250</v>
      </c>
      <c r="P234" s="155">
        <f t="shared" si="26"/>
        <v>2250</v>
      </c>
    </row>
    <row r="235" spans="1:18" x14ac:dyDescent="0.25">
      <c r="A235" s="152">
        <v>6215000</v>
      </c>
      <c r="B235" s="73" t="s">
        <v>1172</v>
      </c>
      <c r="C235" s="88"/>
      <c r="D235" s="220">
        <f t="shared" si="24"/>
        <v>0</v>
      </c>
      <c r="E235" s="89"/>
      <c r="F235" s="89"/>
      <c r="G235" s="89"/>
      <c r="H235" s="89"/>
      <c r="I235" s="89"/>
      <c r="J235" s="154">
        <f t="shared" si="26"/>
        <v>0</v>
      </c>
      <c r="K235" s="154">
        <f t="shared" si="26"/>
        <v>0</v>
      </c>
      <c r="L235" s="154">
        <f t="shared" si="26"/>
        <v>0</v>
      </c>
      <c r="M235" s="154">
        <f t="shared" si="26"/>
        <v>0</v>
      </c>
      <c r="N235" s="154">
        <f t="shared" si="26"/>
        <v>0</v>
      </c>
      <c r="O235" s="154">
        <f t="shared" si="26"/>
        <v>0</v>
      </c>
      <c r="P235" s="155">
        <f t="shared" si="26"/>
        <v>0</v>
      </c>
    </row>
    <row r="236" spans="1:18" x14ac:dyDescent="0.25">
      <c r="A236" s="152">
        <v>6215000</v>
      </c>
      <c r="B236" s="73" t="s">
        <v>810</v>
      </c>
      <c r="C236" s="88"/>
      <c r="D236" s="220">
        <f t="shared" si="24"/>
        <v>0</v>
      </c>
      <c r="E236" s="89"/>
      <c r="F236" s="89"/>
      <c r="G236" s="89"/>
      <c r="H236" s="89"/>
      <c r="I236" s="89"/>
      <c r="J236" s="154">
        <f t="shared" si="26"/>
        <v>0</v>
      </c>
      <c r="K236" s="154">
        <f t="shared" si="26"/>
        <v>0</v>
      </c>
      <c r="L236" s="154">
        <f t="shared" si="26"/>
        <v>0</v>
      </c>
      <c r="M236" s="154">
        <f t="shared" si="26"/>
        <v>0</v>
      </c>
      <c r="N236" s="154">
        <f t="shared" si="26"/>
        <v>0</v>
      </c>
      <c r="O236" s="154">
        <f t="shared" si="26"/>
        <v>0</v>
      </c>
      <c r="P236" s="155">
        <f t="shared" si="26"/>
        <v>0</v>
      </c>
    </row>
    <row r="237" spans="1:18" x14ac:dyDescent="0.25">
      <c r="A237" s="152">
        <v>6215000</v>
      </c>
      <c r="B237" s="51" t="s">
        <v>811</v>
      </c>
      <c r="C237" s="88"/>
      <c r="D237" s="220">
        <f t="shared" si="24"/>
        <v>0</v>
      </c>
      <c r="E237" s="89"/>
      <c r="F237" s="89"/>
      <c r="G237" s="89"/>
      <c r="H237" s="89"/>
      <c r="I237" s="89"/>
      <c r="J237" s="154">
        <f t="shared" si="26"/>
        <v>0</v>
      </c>
      <c r="K237" s="154">
        <f t="shared" si="26"/>
        <v>0</v>
      </c>
      <c r="L237" s="154">
        <f t="shared" si="26"/>
        <v>0</v>
      </c>
      <c r="M237" s="154">
        <f t="shared" si="26"/>
        <v>0</v>
      </c>
      <c r="N237" s="154">
        <f t="shared" si="26"/>
        <v>0</v>
      </c>
      <c r="O237" s="154">
        <f t="shared" si="26"/>
        <v>0</v>
      </c>
      <c r="P237" s="155">
        <f t="shared" si="26"/>
        <v>0</v>
      </c>
    </row>
    <row r="238" spans="1:18" x14ac:dyDescent="0.25">
      <c r="A238" s="152">
        <v>6215000</v>
      </c>
      <c r="B238" s="51" t="s">
        <v>23</v>
      </c>
      <c r="C238" s="88"/>
      <c r="D238" s="220">
        <f t="shared" si="24"/>
        <v>1</v>
      </c>
      <c r="E238" s="89"/>
      <c r="F238" s="89"/>
      <c r="G238" s="89"/>
      <c r="H238" s="89"/>
      <c r="I238" s="89"/>
      <c r="J238" s="154">
        <f t="shared" si="26"/>
        <v>0</v>
      </c>
      <c r="K238" s="154">
        <f t="shared" si="26"/>
        <v>0</v>
      </c>
      <c r="L238" s="154">
        <f t="shared" si="26"/>
        <v>600</v>
      </c>
      <c r="M238" s="154">
        <f t="shared" si="26"/>
        <v>0</v>
      </c>
      <c r="N238" s="154">
        <f t="shared" si="26"/>
        <v>0</v>
      </c>
      <c r="O238" s="154">
        <f t="shared" si="26"/>
        <v>0</v>
      </c>
      <c r="P238" s="155">
        <f t="shared" si="26"/>
        <v>600</v>
      </c>
    </row>
    <row r="239" spans="1:18" x14ac:dyDescent="0.25">
      <c r="A239" s="152">
        <v>6215000</v>
      </c>
      <c r="B239" s="73" t="s">
        <v>268</v>
      </c>
      <c r="C239" s="88"/>
      <c r="D239" s="220">
        <f t="shared" si="24"/>
        <v>6</v>
      </c>
      <c r="E239" s="89"/>
      <c r="F239" s="89"/>
      <c r="G239" s="89"/>
      <c r="H239" s="89"/>
      <c r="I239" s="89"/>
      <c r="J239" s="154">
        <f t="shared" si="26"/>
        <v>3240</v>
      </c>
      <c r="K239" s="154">
        <f t="shared" si="26"/>
        <v>0</v>
      </c>
      <c r="L239" s="154">
        <f t="shared" si="26"/>
        <v>0</v>
      </c>
      <c r="M239" s="154">
        <f t="shared" si="26"/>
        <v>0</v>
      </c>
      <c r="N239" s="154">
        <f t="shared" si="26"/>
        <v>0</v>
      </c>
      <c r="O239" s="154">
        <f t="shared" si="26"/>
        <v>0</v>
      </c>
      <c r="P239" s="155">
        <f t="shared" si="26"/>
        <v>3240</v>
      </c>
    </row>
    <row r="240" spans="1:18" x14ac:dyDescent="0.25">
      <c r="A240" s="152">
        <v>6215000</v>
      </c>
      <c r="B240" s="73" t="s">
        <v>267</v>
      </c>
      <c r="C240" s="88"/>
      <c r="D240" s="220">
        <f t="shared" si="24"/>
        <v>0</v>
      </c>
      <c r="E240" s="89"/>
      <c r="F240" s="89"/>
      <c r="G240" s="89"/>
      <c r="H240" s="89"/>
      <c r="I240" s="89"/>
      <c r="J240" s="154">
        <f t="shared" si="26"/>
        <v>0</v>
      </c>
      <c r="K240" s="154">
        <f t="shared" si="26"/>
        <v>0</v>
      </c>
      <c r="L240" s="154">
        <f t="shared" si="26"/>
        <v>0</v>
      </c>
      <c r="M240" s="154">
        <f t="shared" si="26"/>
        <v>0</v>
      </c>
      <c r="N240" s="154">
        <f t="shared" si="26"/>
        <v>0</v>
      </c>
      <c r="O240" s="154">
        <f t="shared" si="26"/>
        <v>0</v>
      </c>
      <c r="P240" s="155">
        <f t="shared" si="26"/>
        <v>0</v>
      </c>
    </row>
    <row r="241" spans="1:18" ht="15.75" thickBot="1" x14ac:dyDescent="0.3">
      <c r="A241" s="152">
        <v>6215000</v>
      </c>
      <c r="B241" s="73" t="s">
        <v>920</v>
      </c>
      <c r="C241" s="88"/>
      <c r="D241" s="220">
        <f t="shared" si="24"/>
        <v>0</v>
      </c>
      <c r="E241" s="89"/>
      <c r="F241" s="89"/>
      <c r="G241" s="89"/>
      <c r="H241" s="89"/>
      <c r="I241" s="89"/>
      <c r="J241" s="154">
        <f t="shared" si="26"/>
        <v>0</v>
      </c>
      <c r="K241" s="154">
        <f t="shared" si="26"/>
        <v>0</v>
      </c>
      <c r="L241" s="154">
        <f t="shared" si="26"/>
        <v>0</v>
      </c>
      <c r="M241" s="154">
        <f t="shared" si="26"/>
        <v>0</v>
      </c>
      <c r="N241" s="154">
        <f t="shared" si="26"/>
        <v>0</v>
      </c>
      <c r="O241" s="154">
        <f t="shared" si="26"/>
        <v>0</v>
      </c>
      <c r="P241" s="155">
        <f t="shared" si="26"/>
        <v>0</v>
      </c>
    </row>
    <row r="242" spans="1:18" x14ac:dyDescent="0.25">
      <c r="A242" s="151">
        <v>6220000</v>
      </c>
      <c r="B242" s="84" t="s">
        <v>19</v>
      </c>
      <c r="C242" s="85"/>
      <c r="D242" s="210">
        <f t="shared" si="24"/>
        <v>0</v>
      </c>
      <c r="E242" s="86"/>
      <c r="F242" s="86"/>
      <c r="G242" s="86"/>
      <c r="H242" s="86"/>
      <c r="I242" s="86"/>
      <c r="J242" s="156">
        <f t="shared" ref="J242:P251" si="27">SUMIFS(J$26:J$180,$A$26:$A$180,$A242,$B$26:$B$180,$B242)</f>
        <v>0</v>
      </c>
      <c r="K242" s="156">
        <f t="shared" si="27"/>
        <v>0</v>
      </c>
      <c r="L242" s="156">
        <f t="shared" si="27"/>
        <v>0</v>
      </c>
      <c r="M242" s="156">
        <f t="shared" si="27"/>
        <v>0</v>
      </c>
      <c r="N242" s="156">
        <f t="shared" si="27"/>
        <v>0</v>
      </c>
      <c r="O242" s="156">
        <f t="shared" si="27"/>
        <v>0</v>
      </c>
      <c r="P242" s="157">
        <f t="shared" si="27"/>
        <v>0</v>
      </c>
    </row>
    <row r="243" spans="1:18" x14ac:dyDescent="0.25">
      <c r="A243" s="152">
        <v>6220000</v>
      </c>
      <c r="B243" s="73" t="s">
        <v>18</v>
      </c>
      <c r="C243" s="88"/>
      <c r="D243" s="220">
        <f t="shared" si="24"/>
        <v>1</v>
      </c>
      <c r="E243" s="89"/>
      <c r="F243" s="89"/>
      <c r="G243" s="89"/>
      <c r="H243" s="89"/>
      <c r="I243" s="89"/>
      <c r="J243" s="154">
        <f t="shared" si="27"/>
        <v>0</v>
      </c>
      <c r="K243" s="154">
        <f t="shared" si="27"/>
        <v>0</v>
      </c>
      <c r="L243" s="485">
        <f t="shared" si="27"/>
        <v>4500</v>
      </c>
      <c r="M243" s="485">
        <f t="shared" si="27"/>
        <v>750</v>
      </c>
      <c r="N243" s="485">
        <f t="shared" si="27"/>
        <v>750</v>
      </c>
      <c r="O243" s="485">
        <f t="shared" si="27"/>
        <v>3000</v>
      </c>
      <c r="P243" s="155">
        <f t="shared" si="27"/>
        <v>9000</v>
      </c>
    </row>
    <row r="244" spans="1:18" x14ac:dyDescent="0.25">
      <c r="A244" s="152">
        <v>6220000</v>
      </c>
      <c r="B244" s="73" t="s">
        <v>22</v>
      </c>
      <c r="C244" s="88"/>
      <c r="D244" s="220">
        <f t="shared" si="24"/>
        <v>0</v>
      </c>
      <c r="E244" s="89"/>
      <c r="F244" s="89"/>
      <c r="G244" s="89"/>
      <c r="H244" s="89"/>
      <c r="I244" s="89"/>
      <c r="J244" s="154">
        <f t="shared" si="27"/>
        <v>0</v>
      </c>
      <c r="K244" s="154">
        <f t="shared" si="27"/>
        <v>0</v>
      </c>
      <c r="L244" s="154">
        <f t="shared" si="27"/>
        <v>0</v>
      </c>
      <c r="M244" s="154">
        <f t="shared" si="27"/>
        <v>0</v>
      </c>
      <c r="N244" s="154">
        <f t="shared" si="27"/>
        <v>0</v>
      </c>
      <c r="O244" s="154">
        <f t="shared" si="27"/>
        <v>0</v>
      </c>
      <c r="P244" s="155">
        <f t="shared" si="27"/>
        <v>0</v>
      </c>
    </row>
    <row r="245" spans="1:18" x14ac:dyDescent="0.25">
      <c r="A245" s="152">
        <v>6220000</v>
      </c>
      <c r="B245" s="419" t="s">
        <v>24</v>
      </c>
      <c r="C245" s="88"/>
      <c r="D245" s="220">
        <f t="shared" si="24"/>
        <v>0</v>
      </c>
      <c r="E245" s="89"/>
      <c r="F245" s="89"/>
      <c r="G245" s="89"/>
      <c r="H245" s="89"/>
      <c r="I245" s="89"/>
      <c r="J245" s="154">
        <f t="shared" si="27"/>
        <v>0</v>
      </c>
      <c r="K245" s="154">
        <f t="shared" si="27"/>
        <v>0</v>
      </c>
      <c r="L245" s="154">
        <f t="shared" si="27"/>
        <v>0</v>
      </c>
      <c r="M245" s="154">
        <f t="shared" si="27"/>
        <v>0</v>
      </c>
      <c r="N245" s="154">
        <f t="shared" si="27"/>
        <v>0</v>
      </c>
      <c r="O245" s="154">
        <f t="shared" si="27"/>
        <v>0</v>
      </c>
      <c r="P245" s="155">
        <f t="shared" si="27"/>
        <v>0</v>
      </c>
    </row>
    <row r="246" spans="1:18" x14ac:dyDescent="0.25">
      <c r="A246" s="152">
        <v>6220000</v>
      </c>
      <c r="B246" s="73" t="s">
        <v>25</v>
      </c>
      <c r="C246" s="88"/>
      <c r="D246" s="220">
        <f t="shared" ref="D246:D277" si="28">COUNTIFS($A$26:$A$180,$A246,$B$26:$B$180,$B246)</f>
        <v>0</v>
      </c>
      <c r="E246" s="89"/>
      <c r="F246" s="89"/>
      <c r="G246" s="89"/>
      <c r="H246" s="89"/>
      <c r="I246" s="89"/>
      <c r="J246" s="154">
        <f t="shared" si="27"/>
        <v>0</v>
      </c>
      <c r="K246" s="154">
        <f t="shared" si="27"/>
        <v>0</v>
      </c>
      <c r="L246" s="154">
        <f t="shared" si="27"/>
        <v>0</v>
      </c>
      <c r="M246" s="154">
        <f t="shared" si="27"/>
        <v>0</v>
      </c>
      <c r="N246" s="154">
        <f t="shared" si="27"/>
        <v>0</v>
      </c>
      <c r="O246" s="154">
        <f t="shared" si="27"/>
        <v>0</v>
      </c>
      <c r="P246" s="155">
        <f t="shared" si="27"/>
        <v>0</v>
      </c>
    </row>
    <row r="247" spans="1:18" x14ac:dyDescent="0.25">
      <c r="A247" s="152">
        <v>6220000</v>
      </c>
      <c r="B247" s="73" t="s">
        <v>394</v>
      </c>
      <c r="C247" s="88"/>
      <c r="D247" s="220">
        <f t="shared" si="28"/>
        <v>0</v>
      </c>
      <c r="E247" s="89"/>
      <c r="F247" s="89"/>
      <c r="G247" s="89"/>
      <c r="H247" s="89"/>
      <c r="I247" s="89"/>
      <c r="J247" s="154">
        <f t="shared" si="27"/>
        <v>0</v>
      </c>
      <c r="K247" s="154">
        <f t="shared" si="27"/>
        <v>0</v>
      </c>
      <c r="L247" s="154">
        <f t="shared" si="27"/>
        <v>0</v>
      </c>
      <c r="M247" s="154">
        <f t="shared" si="27"/>
        <v>0</v>
      </c>
      <c r="N247" s="154">
        <f t="shared" si="27"/>
        <v>0</v>
      </c>
      <c r="O247" s="154">
        <f t="shared" si="27"/>
        <v>0</v>
      </c>
      <c r="P247" s="155">
        <f t="shared" si="27"/>
        <v>0</v>
      </c>
    </row>
    <row r="248" spans="1:18" x14ac:dyDescent="0.25">
      <c r="A248" s="152">
        <v>6220000</v>
      </c>
      <c r="B248" s="73" t="s">
        <v>350</v>
      </c>
      <c r="C248" s="88"/>
      <c r="D248" s="220">
        <f t="shared" si="28"/>
        <v>0</v>
      </c>
      <c r="E248" s="89"/>
      <c r="F248" s="89"/>
      <c r="G248" s="89"/>
      <c r="H248" s="89"/>
      <c r="I248" s="89"/>
      <c r="J248" s="154">
        <f t="shared" si="27"/>
        <v>0</v>
      </c>
      <c r="K248" s="154">
        <f t="shared" si="27"/>
        <v>0</v>
      </c>
      <c r="L248" s="154">
        <f t="shared" si="27"/>
        <v>0</v>
      </c>
      <c r="M248" s="154">
        <f t="shared" si="27"/>
        <v>0</v>
      </c>
      <c r="N248" s="154">
        <f t="shared" si="27"/>
        <v>0</v>
      </c>
      <c r="O248" s="154">
        <f t="shared" si="27"/>
        <v>0</v>
      </c>
      <c r="P248" s="155">
        <f t="shared" si="27"/>
        <v>0</v>
      </c>
    </row>
    <row r="249" spans="1:18" x14ac:dyDescent="0.25">
      <c r="A249" s="152">
        <v>6220000</v>
      </c>
      <c r="B249" s="73" t="s">
        <v>1171</v>
      </c>
      <c r="C249" s="88"/>
      <c r="D249" s="220">
        <f t="shared" si="28"/>
        <v>0</v>
      </c>
      <c r="E249" s="89"/>
      <c r="F249" s="89"/>
      <c r="G249" s="89"/>
      <c r="H249" s="89"/>
      <c r="I249" s="89"/>
      <c r="J249" s="212">
        <f t="shared" si="27"/>
        <v>0</v>
      </c>
      <c r="K249" s="212">
        <f t="shared" si="27"/>
        <v>0</v>
      </c>
      <c r="L249" s="212">
        <f t="shared" si="27"/>
        <v>0</v>
      </c>
      <c r="M249" s="212">
        <f t="shared" si="27"/>
        <v>0</v>
      </c>
      <c r="N249" s="212">
        <f t="shared" si="27"/>
        <v>0</v>
      </c>
      <c r="O249" s="212">
        <f t="shared" si="27"/>
        <v>0</v>
      </c>
      <c r="P249" s="155">
        <f t="shared" si="27"/>
        <v>0</v>
      </c>
      <c r="R249" s="407"/>
    </row>
    <row r="250" spans="1:18" x14ac:dyDescent="0.25">
      <c r="A250" s="152">
        <v>6220000</v>
      </c>
      <c r="B250" s="73" t="s">
        <v>1182</v>
      </c>
      <c r="C250" s="88"/>
      <c r="D250" s="220">
        <f t="shared" si="28"/>
        <v>0</v>
      </c>
      <c r="E250" s="89"/>
      <c r="F250" s="89"/>
      <c r="G250" s="89"/>
      <c r="H250" s="89"/>
      <c r="I250" s="89"/>
      <c r="J250" s="212">
        <f t="shared" si="27"/>
        <v>0</v>
      </c>
      <c r="K250" s="212">
        <f t="shared" si="27"/>
        <v>0</v>
      </c>
      <c r="L250" s="212">
        <f t="shared" si="27"/>
        <v>0</v>
      </c>
      <c r="M250" s="212">
        <f t="shared" si="27"/>
        <v>0</v>
      </c>
      <c r="N250" s="212">
        <f t="shared" si="27"/>
        <v>0</v>
      </c>
      <c r="O250" s="212">
        <f t="shared" si="27"/>
        <v>0</v>
      </c>
      <c r="P250" s="155">
        <f t="shared" si="27"/>
        <v>0</v>
      </c>
      <c r="Q250" s="407"/>
      <c r="R250" s="407"/>
    </row>
    <row r="251" spans="1:18" x14ac:dyDescent="0.25">
      <c r="A251" s="152">
        <v>6220000</v>
      </c>
      <c r="B251" s="73" t="s">
        <v>20</v>
      </c>
      <c r="C251" s="88"/>
      <c r="D251" s="220">
        <f t="shared" si="28"/>
        <v>0</v>
      </c>
      <c r="E251" s="89"/>
      <c r="F251" s="89"/>
      <c r="G251" s="89"/>
      <c r="H251" s="89"/>
      <c r="I251" s="89"/>
      <c r="J251" s="154">
        <f t="shared" si="27"/>
        <v>0</v>
      </c>
      <c r="K251" s="154">
        <f t="shared" si="27"/>
        <v>0</v>
      </c>
      <c r="L251" s="154">
        <f t="shared" si="27"/>
        <v>0</v>
      </c>
      <c r="M251" s="154">
        <f t="shared" si="27"/>
        <v>0</v>
      </c>
      <c r="N251" s="154">
        <f t="shared" si="27"/>
        <v>0</v>
      </c>
      <c r="O251" s="154">
        <f t="shared" si="27"/>
        <v>0</v>
      </c>
      <c r="P251" s="155">
        <f t="shared" si="27"/>
        <v>0</v>
      </c>
      <c r="Q251" s="407"/>
    </row>
    <row r="252" spans="1:18" x14ac:dyDescent="0.25">
      <c r="A252" s="152">
        <v>6220000</v>
      </c>
      <c r="B252" s="73" t="s">
        <v>510</v>
      </c>
      <c r="C252" s="88"/>
      <c r="D252" s="220">
        <f t="shared" si="28"/>
        <v>4</v>
      </c>
      <c r="E252" s="89"/>
      <c r="F252" s="89"/>
      <c r="G252" s="89"/>
      <c r="H252" s="89"/>
      <c r="I252" s="89"/>
      <c r="J252" s="154">
        <f t="shared" ref="J252:P261" si="29">SUMIFS(J$26:J$180,$A$26:$A$180,$A252,$B$26:$B$180,$B252)</f>
        <v>0</v>
      </c>
      <c r="K252" s="154">
        <f t="shared" si="29"/>
        <v>0</v>
      </c>
      <c r="L252" s="154">
        <f t="shared" si="29"/>
        <v>20500</v>
      </c>
      <c r="M252" s="154">
        <f t="shared" si="29"/>
        <v>0</v>
      </c>
      <c r="N252" s="154">
        <f t="shared" si="29"/>
        <v>0</v>
      </c>
      <c r="O252" s="154">
        <f t="shared" si="29"/>
        <v>0</v>
      </c>
      <c r="P252" s="155">
        <f t="shared" si="29"/>
        <v>20500</v>
      </c>
    </row>
    <row r="253" spans="1:18" x14ac:dyDescent="0.25">
      <c r="A253" s="152">
        <v>6220000</v>
      </c>
      <c r="B253" s="73" t="s">
        <v>272</v>
      </c>
      <c r="C253" s="88"/>
      <c r="D253" s="220">
        <f t="shared" si="28"/>
        <v>0</v>
      </c>
      <c r="E253" s="89"/>
      <c r="F253" s="89"/>
      <c r="G253" s="89"/>
      <c r="H253" s="89"/>
      <c r="I253" s="89"/>
      <c r="J253" s="154">
        <f t="shared" si="29"/>
        <v>0</v>
      </c>
      <c r="K253" s="154">
        <f t="shared" si="29"/>
        <v>0</v>
      </c>
      <c r="L253" s="154">
        <f t="shared" si="29"/>
        <v>0</v>
      </c>
      <c r="M253" s="154">
        <f t="shared" si="29"/>
        <v>0</v>
      </c>
      <c r="N253" s="154">
        <f t="shared" si="29"/>
        <v>0</v>
      </c>
      <c r="O253" s="154">
        <f t="shared" si="29"/>
        <v>0</v>
      </c>
      <c r="P253" s="155">
        <f t="shared" si="29"/>
        <v>0</v>
      </c>
    </row>
    <row r="254" spans="1:18" x14ac:dyDescent="0.25">
      <c r="A254" s="152">
        <v>6220000</v>
      </c>
      <c r="B254" s="51" t="s">
        <v>21</v>
      </c>
      <c r="C254" s="88"/>
      <c r="D254" s="220">
        <f t="shared" si="28"/>
        <v>0</v>
      </c>
      <c r="E254" s="89"/>
      <c r="F254" s="89"/>
      <c r="G254" s="89"/>
      <c r="H254" s="89"/>
      <c r="I254" s="89"/>
      <c r="J254" s="154">
        <f t="shared" si="29"/>
        <v>0</v>
      </c>
      <c r="K254" s="154">
        <f t="shared" si="29"/>
        <v>0</v>
      </c>
      <c r="L254" s="154">
        <f t="shared" si="29"/>
        <v>0</v>
      </c>
      <c r="M254" s="154">
        <f t="shared" si="29"/>
        <v>0</v>
      </c>
      <c r="N254" s="154">
        <f t="shared" si="29"/>
        <v>0</v>
      </c>
      <c r="O254" s="154">
        <f t="shared" si="29"/>
        <v>0</v>
      </c>
      <c r="P254" s="155">
        <f t="shared" si="29"/>
        <v>0</v>
      </c>
    </row>
    <row r="255" spans="1:18" x14ac:dyDescent="0.25">
      <c r="A255" s="152">
        <v>6220000</v>
      </c>
      <c r="B255" s="73" t="s">
        <v>1172</v>
      </c>
      <c r="C255" s="88"/>
      <c r="D255" s="220">
        <f t="shared" si="28"/>
        <v>0</v>
      </c>
      <c r="E255" s="89"/>
      <c r="F255" s="89"/>
      <c r="G255" s="89"/>
      <c r="H255" s="89"/>
      <c r="I255" s="89"/>
      <c r="J255" s="154">
        <f t="shared" si="29"/>
        <v>0</v>
      </c>
      <c r="K255" s="154">
        <f t="shared" si="29"/>
        <v>0</v>
      </c>
      <c r="L255" s="154">
        <f t="shared" si="29"/>
        <v>0</v>
      </c>
      <c r="M255" s="154">
        <f t="shared" si="29"/>
        <v>0</v>
      </c>
      <c r="N255" s="154">
        <f t="shared" si="29"/>
        <v>0</v>
      </c>
      <c r="O255" s="154">
        <f t="shared" si="29"/>
        <v>0</v>
      </c>
      <c r="P255" s="155">
        <f t="shared" si="29"/>
        <v>0</v>
      </c>
    </row>
    <row r="256" spans="1:18" x14ac:dyDescent="0.25">
      <c r="A256" s="152">
        <v>6220000</v>
      </c>
      <c r="B256" s="73" t="s">
        <v>810</v>
      </c>
      <c r="C256" s="88"/>
      <c r="D256" s="220">
        <f t="shared" si="28"/>
        <v>0</v>
      </c>
      <c r="E256" s="89"/>
      <c r="F256" s="89"/>
      <c r="G256" s="89"/>
      <c r="H256" s="89"/>
      <c r="I256" s="89"/>
      <c r="J256" s="154">
        <f t="shared" si="29"/>
        <v>0</v>
      </c>
      <c r="K256" s="154">
        <f t="shared" si="29"/>
        <v>0</v>
      </c>
      <c r="L256" s="154">
        <f t="shared" si="29"/>
        <v>0</v>
      </c>
      <c r="M256" s="154">
        <f t="shared" si="29"/>
        <v>0</v>
      </c>
      <c r="N256" s="154">
        <f t="shared" si="29"/>
        <v>0</v>
      </c>
      <c r="O256" s="154">
        <f t="shared" si="29"/>
        <v>0</v>
      </c>
      <c r="P256" s="155">
        <f t="shared" si="29"/>
        <v>0</v>
      </c>
    </row>
    <row r="257" spans="1:18" x14ac:dyDescent="0.25">
      <c r="A257" s="152">
        <v>6220000</v>
      </c>
      <c r="B257" s="51" t="s">
        <v>811</v>
      </c>
      <c r="C257" s="88"/>
      <c r="D257" s="220">
        <f t="shared" si="28"/>
        <v>0</v>
      </c>
      <c r="E257" s="89"/>
      <c r="F257" s="89"/>
      <c r="G257" s="89"/>
      <c r="H257" s="89"/>
      <c r="I257" s="89"/>
      <c r="J257" s="154">
        <f t="shared" si="29"/>
        <v>0</v>
      </c>
      <c r="K257" s="154">
        <f t="shared" si="29"/>
        <v>0</v>
      </c>
      <c r="L257" s="154">
        <f t="shared" si="29"/>
        <v>0</v>
      </c>
      <c r="M257" s="154">
        <f t="shared" si="29"/>
        <v>0</v>
      </c>
      <c r="N257" s="154">
        <f t="shared" si="29"/>
        <v>0</v>
      </c>
      <c r="O257" s="154">
        <f t="shared" si="29"/>
        <v>0</v>
      </c>
      <c r="P257" s="155">
        <f t="shared" si="29"/>
        <v>0</v>
      </c>
    </row>
    <row r="258" spans="1:18" x14ac:dyDescent="0.25">
      <c r="A258" s="152">
        <v>6220000</v>
      </c>
      <c r="B258" s="51" t="s">
        <v>23</v>
      </c>
      <c r="C258" s="88"/>
      <c r="D258" s="220">
        <f t="shared" si="28"/>
        <v>0</v>
      </c>
      <c r="E258" s="89"/>
      <c r="F258" s="89"/>
      <c r="G258" s="89"/>
      <c r="H258" s="89"/>
      <c r="I258" s="89"/>
      <c r="J258" s="154">
        <f t="shared" si="29"/>
        <v>0</v>
      </c>
      <c r="K258" s="154">
        <f t="shared" si="29"/>
        <v>0</v>
      </c>
      <c r="L258" s="154">
        <f t="shared" si="29"/>
        <v>0</v>
      </c>
      <c r="M258" s="154">
        <f t="shared" si="29"/>
        <v>0</v>
      </c>
      <c r="N258" s="154">
        <f t="shared" si="29"/>
        <v>0</v>
      </c>
      <c r="O258" s="154">
        <f t="shared" si="29"/>
        <v>0</v>
      </c>
      <c r="P258" s="155">
        <f t="shared" si="29"/>
        <v>0</v>
      </c>
    </row>
    <row r="259" spans="1:18" x14ac:dyDescent="0.25">
      <c r="A259" s="152">
        <v>6220000</v>
      </c>
      <c r="B259" s="73" t="s">
        <v>268</v>
      </c>
      <c r="C259" s="88"/>
      <c r="D259" s="220">
        <f t="shared" si="28"/>
        <v>0</v>
      </c>
      <c r="E259" s="89"/>
      <c r="F259" s="89"/>
      <c r="G259" s="89"/>
      <c r="H259" s="89"/>
      <c r="I259" s="89"/>
      <c r="J259" s="154">
        <f t="shared" si="29"/>
        <v>0</v>
      </c>
      <c r="K259" s="154">
        <f t="shared" si="29"/>
        <v>0</v>
      </c>
      <c r="L259" s="154">
        <f t="shared" si="29"/>
        <v>0</v>
      </c>
      <c r="M259" s="154">
        <f t="shared" si="29"/>
        <v>0</v>
      </c>
      <c r="N259" s="154">
        <f t="shared" si="29"/>
        <v>0</v>
      </c>
      <c r="O259" s="154">
        <f t="shared" si="29"/>
        <v>0</v>
      </c>
      <c r="P259" s="155">
        <f t="shared" si="29"/>
        <v>0</v>
      </c>
    </row>
    <row r="260" spans="1:18" x14ac:dyDescent="0.25">
      <c r="A260" s="152">
        <v>6220000</v>
      </c>
      <c r="B260" s="73" t="s">
        <v>267</v>
      </c>
      <c r="C260" s="88"/>
      <c r="D260" s="220">
        <f t="shared" si="28"/>
        <v>0</v>
      </c>
      <c r="E260" s="89"/>
      <c r="F260" s="89"/>
      <c r="G260" s="89"/>
      <c r="H260" s="89"/>
      <c r="I260" s="89"/>
      <c r="J260" s="154">
        <f t="shared" si="29"/>
        <v>0</v>
      </c>
      <c r="K260" s="154">
        <f t="shared" si="29"/>
        <v>0</v>
      </c>
      <c r="L260" s="154">
        <f t="shared" si="29"/>
        <v>0</v>
      </c>
      <c r="M260" s="154">
        <f t="shared" si="29"/>
        <v>0</v>
      </c>
      <c r="N260" s="154">
        <f t="shared" si="29"/>
        <v>0</v>
      </c>
      <c r="O260" s="154">
        <f t="shared" si="29"/>
        <v>0</v>
      </c>
      <c r="P260" s="155">
        <f t="shared" si="29"/>
        <v>0</v>
      </c>
    </row>
    <row r="261" spans="1:18" ht="15.75" thickBot="1" x14ac:dyDescent="0.3">
      <c r="A261" s="152">
        <v>6220000</v>
      </c>
      <c r="B261" s="73" t="s">
        <v>920</v>
      </c>
      <c r="C261" s="88"/>
      <c r="D261" s="220">
        <f t="shared" si="28"/>
        <v>0</v>
      </c>
      <c r="E261" s="89"/>
      <c r="F261" s="89"/>
      <c r="G261" s="89"/>
      <c r="H261" s="89"/>
      <c r="I261" s="89"/>
      <c r="J261" s="154">
        <f t="shared" si="29"/>
        <v>0</v>
      </c>
      <c r="K261" s="154">
        <f t="shared" si="29"/>
        <v>0</v>
      </c>
      <c r="L261" s="154">
        <f t="shared" si="29"/>
        <v>0</v>
      </c>
      <c r="M261" s="154">
        <f t="shared" si="29"/>
        <v>0</v>
      </c>
      <c r="N261" s="154">
        <f t="shared" si="29"/>
        <v>0</v>
      </c>
      <c r="O261" s="154">
        <f t="shared" si="29"/>
        <v>0</v>
      </c>
      <c r="P261" s="155">
        <f t="shared" si="29"/>
        <v>0</v>
      </c>
    </row>
    <row r="262" spans="1:18" x14ac:dyDescent="0.25">
      <c r="A262" s="151">
        <v>6222000</v>
      </c>
      <c r="B262" s="84" t="s">
        <v>19</v>
      </c>
      <c r="C262" s="85"/>
      <c r="D262" s="210">
        <f t="shared" si="28"/>
        <v>0</v>
      </c>
      <c r="E262" s="86"/>
      <c r="F262" s="86"/>
      <c r="G262" s="86"/>
      <c r="H262" s="86"/>
      <c r="I262" s="86"/>
      <c r="J262" s="156">
        <f t="shared" ref="J262:P271" si="30">SUMIFS(J$26:J$180,$A$26:$A$180,$A262,$B$26:$B$180,$B262)</f>
        <v>0</v>
      </c>
      <c r="K262" s="156">
        <f t="shared" si="30"/>
        <v>0</v>
      </c>
      <c r="L262" s="156">
        <f t="shared" si="30"/>
        <v>0</v>
      </c>
      <c r="M262" s="156">
        <f t="shared" si="30"/>
        <v>0</v>
      </c>
      <c r="N262" s="156">
        <f t="shared" si="30"/>
        <v>0</v>
      </c>
      <c r="O262" s="156">
        <f t="shared" si="30"/>
        <v>0</v>
      </c>
      <c r="P262" s="157">
        <f t="shared" si="30"/>
        <v>0</v>
      </c>
    </row>
    <row r="263" spans="1:18" x14ac:dyDescent="0.25">
      <c r="A263" s="152">
        <v>6222000</v>
      </c>
      <c r="B263" s="73" t="s">
        <v>18</v>
      </c>
      <c r="C263" s="88"/>
      <c r="D263" s="220">
        <f t="shared" si="28"/>
        <v>0</v>
      </c>
      <c r="E263" s="89"/>
      <c r="F263" s="89"/>
      <c r="G263" s="89"/>
      <c r="H263" s="89"/>
      <c r="I263" s="89"/>
      <c r="J263" s="154">
        <f t="shared" si="30"/>
        <v>0</v>
      </c>
      <c r="K263" s="154">
        <f t="shared" si="30"/>
        <v>0</v>
      </c>
      <c r="L263" s="485">
        <f t="shared" si="30"/>
        <v>0</v>
      </c>
      <c r="M263" s="485">
        <f t="shared" si="30"/>
        <v>0</v>
      </c>
      <c r="N263" s="485">
        <f t="shared" si="30"/>
        <v>0</v>
      </c>
      <c r="O263" s="485">
        <f t="shared" si="30"/>
        <v>0</v>
      </c>
      <c r="P263" s="155">
        <f t="shared" si="30"/>
        <v>0</v>
      </c>
    </row>
    <row r="264" spans="1:18" x14ac:dyDescent="0.25">
      <c r="A264" s="152">
        <v>6222000</v>
      </c>
      <c r="B264" s="73" t="s">
        <v>22</v>
      </c>
      <c r="C264" s="88"/>
      <c r="D264" s="220">
        <f t="shared" si="28"/>
        <v>0</v>
      </c>
      <c r="E264" s="89"/>
      <c r="F264" s="89"/>
      <c r="G264" s="89"/>
      <c r="H264" s="89"/>
      <c r="I264" s="89"/>
      <c r="J264" s="154">
        <f t="shared" si="30"/>
        <v>0</v>
      </c>
      <c r="K264" s="154">
        <f t="shared" si="30"/>
        <v>0</v>
      </c>
      <c r="L264" s="154">
        <f t="shared" si="30"/>
        <v>0</v>
      </c>
      <c r="M264" s="154">
        <f t="shared" si="30"/>
        <v>0</v>
      </c>
      <c r="N264" s="154">
        <f t="shared" si="30"/>
        <v>0</v>
      </c>
      <c r="O264" s="154">
        <f t="shared" si="30"/>
        <v>0</v>
      </c>
      <c r="P264" s="155">
        <f t="shared" si="30"/>
        <v>0</v>
      </c>
    </row>
    <row r="265" spans="1:18" x14ac:dyDescent="0.25">
      <c r="A265" s="152">
        <v>6222000</v>
      </c>
      <c r="B265" s="419" t="s">
        <v>24</v>
      </c>
      <c r="C265" s="88"/>
      <c r="D265" s="220">
        <f t="shared" si="28"/>
        <v>0</v>
      </c>
      <c r="E265" s="89"/>
      <c r="F265" s="89"/>
      <c r="G265" s="89"/>
      <c r="H265" s="89"/>
      <c r="I265" s="89"/>
      <c r="J265" s="154">
        <f t="shared" si="30"/>
        <v>0</v>
      </c>
      <c r="K265" s="154">
        <f t="shared" si="30"/>
        <v>0</v>
      </c>
      <c r="L265" s="154">
        <f t="shared" si="30"/>
        <v>0</v>
      </c>
      <c r="M265" s="154">
        <f t="shared" si="30"/>
        <v>0</v>
      </c>
      <c r="N265" s="154">
        <f t="shared" si="30"/>
        <v>0</v>
      </c>
      <c r="O265" s="154">
        <f t="shared" si="30"/>
        <v>0</v>
      </c>
      <c r="P265" s="155">
        <f t="shared" si="30"/>
        <v>0</v>
      </c>
    </row>
    <row r="266" spans="1:18" x14ac:dyDescent="0.25">
      <c r="A266" s="152">
        <v>6222000</v>
      </c>
      <c r="B266" s="73" t="s">
        <v>25</v>
      </c>
      <c r="C266" s="88"/>
      <c r="D266" s="220">
        <f t="shared" si="28"/>
        <v>1</v>
      </c>
      <c r="E266" s="89"/>
      <c r="F266" s="89"/>
      <c r="G266" s="89"/>
      <c r="H266" s="89"/>
      <c r="I266" s="89"/>
      <c r="J266" s="154">
        <f t="shared" si="30"/>
        <v>500</v>
      </c>
      <c r="K266" s="154">
        <f t="shared" si="30"/>
        <v>1000</v>
      </c>
      <c r="L266" s="154">
        <f t="shared" si="30"/>
        <v>1500</v>
      </c>
      <c r="M266" s="154">
        <f t="shared" si="30"/>
        <v>100</v>
      </c>
      <c r="N266" s="154">
        <f t="shared" si="30"/>
        <v>400</v>
      </c>
      <c r="O266" s="154">
        <f t="shared" si="30"/>
        <v>500</v>
      </c>
      <c r="P266" s="155">
        <f t="shared" si="30"/>
        <v>4000</v>
      </c>
    </row>
    <row r="267" spans="1:18" x14ac:dyDescent="0.25">
      <c r="A267" s="152">
        <v>6222000</v>
      </c>
      <c r="B267" s="73" t="s">
        <v>394</v>
      </c>
      <c r="C267" s="88"/>
      <c r="D267" s="220">
        <f t="shared" si="28"/>
        <v>0</v>
      </c>
      <c r="E267" s="89"/>
      <c r="F267" s="89"/>
      <c r="G267" s="89"/>
      <c r="H267" s="89"/>
      <c r="I267" s="89"/>
      <c r="J267" s="154">
        <f t="shared" si="30"/>
        <v>0</v>
      </c>
      <c r="K267" s="154">
        <f t="shared" si="30"/>
        <v>0</v>
      </c>
      <c r="L267" s="154">
        <f t="shared" si="30"/>
        <v>0</v>
      </c>
      <c r="M267" s="154">
        <f t="shared" si="30"/>
        <v>0</v>
      </c>
      <c r="N267" s="154">
        <f t="shared" si="30"/>
        <v>0</v>
      </c>
      <c r="O267" s="154">
        <f t="shared" si="30"/>
        <v>0</v>
      </c>
      <c r="P267" s="155">
        <f t="shared" si="30"/>
        <v>0</v>
      </c>
    </row>
    <row r="268" spans="1:18" x14ac:dyDescent="0.25">
      <c r="A268" s="152">
        <v>6222000</v>
      </c>
      <c r="B268" s="73" t="s">
        <v>350</v>
      </c>
      <c r="C268" s="88"/>
      <c r="D268" s="220">
        <f t="shared" si="28"/>
        <v>4</v>
      </c>
      <c r="E268" s="89"/>
      <c r="F268" s="89"/>
      <c r="G268" s="89"/>
      <c r="H268" s="89"/>
      <c r="I268" s="89"/>
      <c r="J268" s="154">
        <f t="shared" si="30"/>
        <v>3900</v>
      </c>
      <c r="K268" s="154">
        <f t="shared" si="30"/>
        <v>2200</v>
      </c>
      <c r="L268" s="154">
        <f t="shared" si="30"/>
        <v>3000</v>
      </c>
      <c r="M268" s="154">
        <f t="shared" si="30"/>
        <v>150</v>
      </c>
      <c r="N268" s="154">
        <f t="shared" si="30"/>
        <v>240</v>
      </c>
      <c r="O268" s="154">
        <f t="shared" si="30"/>
        <v>600</v>
      </c>
      <c r="P268" s="155">
        <f t="shared" si="30"/>
        <v>10090</v>
      </c>
    </row>
    <row r="269" spans="1:18" x14ac:dyDescent="0.25">
      <c r="A269" s="152">
        <v>6222000</v>
      </c>
      <c r="B269" s="73" t="s">
        <v>1171</v>
      </c>
      <c r="C269" s="88"/>
      <c r="D269" s="220">
        <f t="shared" si="28"/>
        <v>0</v>
      </c>
      <c r="E269" s="89"/>
      <c r="F269" s="89"/>
      <c r="G269" s="89"/>
      <c r="H269" s="89"/>
      <c r="I269" s="89"/>
      <c r="J269" s="212">
        <f t="shared" si="30"/>
        <v>0</v>
      </c>
      <c r="K269" s="212">
        <f t="shared" si="30"/>
        <v>0</v>
      </c>
      <c r="L269" s="212">
        <f t="shared" si="30"/>
        <v>0</v>
      </c>
      <c r="M269" s="212">
        <f t="shared" si="30"/>
        <v>0</v>
      </c>
      <c r="N269" s="212">
        <f t="shared" si="30"/>
        <v>0</v>
      </c>
      <c r="O269" s="212">
        <f t="shared" si="30"/>
        <v>0</v>
      </c>
      <c r="P269" s="155">
        <f t="shared" si="30"/>
        <v>0</v>
      </c>
      <c r="R269" s="407"/>
    </row>
    <row r="270" spans="1:18" x14ac:dyDescent="0.25">
      <c r="A270" s="152">
        <v>6222000</v>
      </c>
      <c r="B270" s="73" t="s">
        <v>1182</v>
      </c>
      <c r="C270" s="88"/>
      <c r="D270" s="220">
        <f t="shared" si="28"/>
        <v>0</v>
      </c>
      <c r="E270" s="89"/>
      <c r="F270" s="89"/>
      <c r="G270" s="89"/>
      <c r="H270" s="89"/>
      <c r="I270" s="89"/>
      <c r="J270" s="212">
        <f t="shared" si="30"/>
        <v>0</v>
      </c>
      <c r="K270" s="212">
        <f t="shared" si="30"/>
        <v>0</v>
      </c>
      <c r="L270" s="212">
        <f t="shared" si="30"/>
        <v>0</v>
      </c>
      <c r="M270" s="212">
        <f t="shared" si="30"/>
        <v>0</v>
      </c>
      <c r="N270" s="212">
        <f t="shared" si="30"/>
        <v>0</v>
      </c>
      <c r="O270" s="212">
        <f t="shared" si="30"/>
        <v>0</v>
      </c>
      <c r="P270" s="155">
        <f t="shared" si="30"/>
        <v>0</v>
      </c>
      <c r="Q270" s="407"/>
      <c r="R270" s="407"/>
    </row>
    <row r="271" spans="1:18" x14ac:dyDescent="0.25">
      <c r="A271" s="152">
        <v>6222000</v>
      </c>
      <c r="B271" s="73" t="s">
        <v>20</v>
      </c>
      <c r="C271" s="88"/>
      <c r="D271" s="220">
        <f t="shared" si="28"/>
        <v>2</v>
      </c>
      <c r="E271" s="89"/>
      <c r="F271" s="89"/>
      <c r="G271" s="89"/>
      <c r="H271" s="89"/>
      <c r="I271" s="89"/>
      <c r="J271" s="154">
        <f t="shared" si="30"/>
        <v>0</v>
      </c>
      <c r="K271" s="154">
        <f t="shared" si="30"/>
        <v>0</v>
      </c>
      <c r="L271" s="154">
        <f t="shared" si="30"/>
        <v>0</v>
      </c>
      <c r="M271" s="154">
        <f t="shared" si="30"/>
        <v>0</v>
      </c>
      <c r="N271" s="154">
        <f t="shared" si="30"/>
        <v>0</v>
      </c>
      <c r="O271" s="154">
        <f t="shared" si="30"/>
        <v>10000</v>
      </c>
      <c r="P271" s="155">
        <f t="shared" si="30"/>
        <v>10000</v>
      </c>
      <c r="Q271" s="407"/>
    </row>
    <row r="272" spans="1:18" x14ac:dyDescent="0.25">
      <c r="A272" s="152">
        <v>6222000</v>
      </c>
      <c r="B272" s="73" t="s">
        <v>510</v>
      </c>
      <c r="C272" s="88"/>
      <c r="D272" s="220">
        <f t="shared" si="28"/>
        <v>5</v>
      </c>
      <c r="E272" s="89"/>
      <c r="F272" s="89"/>
      <c r="G272" s="89"/>
      <c r="H272" s="89"/>
      <c r="I272" s="89"/>
      <c r="J272" s="154">
        <f t="shared" ref="J272:P281" si="31">SUMIFS(J$26:J$180,$A$26:$A$180,$A272,$B$26:$B$180,$B272)</f>
        <v>0</v>
      </c>
      <c r="K272" s="154">
        <f t="shared" si="31"/>
        <v>0</v>
      </c>
      <c r="L272" s="154">
        <f t="shared" si="31"/>
        <v>30000</v>
      </c>
      <c r="M272" s="154">
        <f t="shared" si="31"/>
        <v>0</v>
      </c>
      <c r="N272" s="154">
        <f t="shared" si="31"/>
        <v>0</v>
      </c>
      <c r="O272" s="154">
        <f t="shared" si="31"/>
        <v>0</v>
      </c>
      <c r="P272" s="155">
        <f t="shared" si="31"/>
        <v>30000</v>
      </c>
    </row>
    <row r="273" spans="1:16" x14ac:dyDescent="0.25">
      <c r="A273" s="152">
        <v>6222000</v>
      </c>
      <c r="B273" s="73" t="s">
        <v>272</v>
      </c>
      <c r="C273" s="88"/>
      <c r="D273" s="220">
        <f t="shared" si="28"/>
        <v>2</v>
      </c>
      <c r="E273" s="89"/>
      <c r="F273" s="89"/>
      <c r="G273" s="89"/>
      <c r="H273" s="89"/>
      <c r="I273" s="89"/>
      <c r="J273" s="154">
        <f t="shared" si="31"/>
        <v>4190</v>
      </c>
      <c r="K273" s="154">
        <f t="shared" si="31"/>
        <v>800</v>
      </c>
      <c r="L273" s="154">
        <f t="shared" si="31"/>
        <v>2241</v>
      </c>
      <c r="M273" s="154">
        <f t="shared" si="31"/>
        <v>0</v>
      </c>
      <c r="N273" s="154">
        <f t="shared" si="31"/>
        <v>144</v>
      </c>
      <c r="O273" s="154">
        <f t="shared" si="31"/>
        <v>622</v>
      </c>
      <c r="P273" s="155">
        <f t="shared" si="31"/>
        <v>7997</v>
      </c>
    </row>
    <row r="274" spans="1:16" x14ac:dyDescent="0.25">
      <c r="A274" s="152">
        <v>6222000</v>
      </c>
      <c r="B274" s="51" t="s">
        <v>21</v>
      </c>
      <c r="C274" s="88"/>
      <c r="D274" s="220">
        <f t="shared" si="28"/>
        <v>4</v>
      </c>
      <c r="E274" s="89"/>
      <c r="F274" s="89"/>
      <c r="G274" s="89"/>
      <c r="H274" s="89"/>
      <c r="I274" s="89"/>
      <c r="J274" s="154">
        <f t="shared" si="31"/>
        <v>0</v>
      </c>
      <c r="K274" s="154">
        <f t="shared" si="31"/>
        <v>0</v>
      </c>
      <c r="L274" s="154">
        <f t="shared" si="31"/>
        <v>0</v>
      </c>
      <c r="M274" s="154">
        <f t="shared" si="31"/>
        <v>0</v>
      </c>
      <c r="N274" s="154">
        <f t="shared" si="31"/>
        <v>0</v>
      </c>
      <c r="O274" s="154">
        <f t="shared" si="31"/>
        <v>4000</v>
      </c>
      <c r="P274" s="155">
        <f t="shared" si="31"/>
        <v>4000</v>
      </c>
    </row>
    <row r="275" spans="1:16" x14ac:dyDescent="0.25">
      <c r="A275" s="152">
        <v>6222000</v>
      </c>
      <c r="B275" s="73" t="s">
        <v>1172</v>
      </c>
      <c r="C275" s="88"/>
      <c r="D275" s="220">
        <f t="shared" si="28"/>
        <v>0</v>
      </c>
      <c r="E275" s="89"/>
      <c r="F275" s="89"/>
      <c r="G275" s="89"/>
      <c r="H275" s="89"/>
      <c r="I275" s="89"/>
      <c r="J275" s="154">
        <f t="shared" si="31"/>
        <v>0</v>
      </c>
      <c r="K275" s="154">
        <f t="shared" si="31"/>
        <v>0</v>
      </c>
      <c r="L275" s="154">
        <f t="shared" si="31"/>
        <v>0</v>
      </c>
      <c r="M275" s="154">
        <f t="shared" si="31"/>
        <v>0</v>
      </c>
      <c r="N275" s="154">
        <f t="shared" si="31"/>
        <v>0</v>
      </c>
      <c r="O275" s="154">
        <f t="shared" si="31"/>
        <v>0</v>
      </c>
      <c r="P275" s="155">
        <f t="shared" si="31"/>
        <v>0</v>
      </c>
    </row>
    <row r="276" spans="1:16" x14ac:dyDescent="0.25">
      <c r="A276" s="152">
        <v>6222000</v>
      </c>
      <c r="B276" s="73" t="s">
        <v>810</v>
      </c>
      <c r="C276" s="88"/>
      <c r="D276" s="220">
        <f t="shared" si="28"/>
        <v>0</v>
      </c>
      <c r="E276" s="89"/>
      <c r="F276" s="89"/>
      <c r="G276" s="89"/>
      <c r="H276" s="89"/>
      <c r="I276" s="89"/>
      <c r="J276" s="154">
        <f t="shared" si="31"/>
        <v>0</v>
      </c>
      <c r="K276" s="154">
        <f t="shared" si="31"/>
        <v>0</v>
      </c>
      <c r="L276" s="154">
        <f t="shared" si="31"/>
        <v>0</v>
      </c>
      <c r="M276" s="154">
        <f t="shared" si="31"/>
        <v>0</v>
      </c>
      <c r="N276" s="154">
        <f t="shared" si="31"/>
        <v>0</v>
      </c>
      <c r="O276" s="154">
        <f t="shared" si="31"/>
        <v>0</v>
      </c>
      <c r="P276" s="155">
        <f t="shared" si="31"/>
        <v>0</v>
      </c>
    </row>
    <row r="277" spans="1:16" x14ac:dyDescent="0.25">
      <c r="A277" s="152">
        <v>6222000</v>
      </c>
      <c r="B277" s="51" t="s">
        <v>811</v>
      </c>
      <c r="C277" s="88"/>
      <c r="D277" s="220">
        <f t="shared" si="28"/>
        <v>0</v>
      </c>
      <c r="E277" s="89"/>
      <c r="F277" s="89"/>
      <c r="G277" s="89"/>
      <c r="H277" s="89"/>
      <c r="I277" s="89"/>
      <c r="J277" s="154">
        <f t="shared" si="31"/>
        <v>0</v>
      </c>
      <c r="K277" s="154">
        <f t="shared" si="31"/>
        <v>0</v>
      </c>
      <c r="L277" s="154">
        <f t="shared" si="31"/>
        <v>0</v>
      </c>
      <c r="M277" s="154">
        <f t="shared" si="31"/>
        <v>0</v>
      </c>
      <c r="N277" s="154">
        <f t="shared" si="31"/>
        <v>0</v>
      </c>
      <c r="O277" s="154">
        <f t="shared" si="31"/>
        <v>0</v>
      </c>
      <c r="P277" s="155">
        <f t="shared" si="31"/>
        <v>0</v>
      </c>
    </row>
    <row r="278" spans="1:16" x14ac:dyDescent="0.25">
      <c r="A278" s="152">
        <v>6222000</v>
      </c>
      <c r="B278" s="51" t="s">
        <v>23</v>
      </c>
      <c r="C278" s="88"/>
      <c r="D278" s="220">
        <f t="shared" ref="D278:D309" si="32">COUNTIFS($A$26:$A$180,$A278,$B$26:$B$180,$B278)</f>
        <v>0</v>
      </c>
      <c r="E278" s="89"/>
      <c r="F278" s="89"/>
      <c r="G278" s="89"/>
      <c r="H278" s="89"/>
      <c r="I278" s="89"/>
      <c r="J278" s="154">
        <f t="shared" si="31"/>
        <v>0</v>
      </c>
      <c r="K278" s="154">
        <f t="shared" si="31"/>
        <v>0</v>
      </c>
      <c r="L278" s="154">
        <f t="shared" si="31"/>
        <v>0</v>
      </c>
      <c r="M278" s="154">
        <f t="shared" si="31"/>
        <v>0</v>
      </c>
      <c r="N278" s="154">
        <f t="shared" si="31"/>
        <v>0</v>
      </c>
      <c r="O278" s="154">
        <f t="shared" si="31"/>
        <v>0</v>
      </c>
      <c r="P278" s="155">
        <f t="shared" si="31"/>
        <v>0</v>
      </c>
    </row>
    <row r="279" spans="1:16" x14ac:dyDescent="0.25">
      <c r="A279" s="152">
        <v>6222000</v>
      </c>
      <c r="B279" s="73" t="s">
        <v>268</v>
      </c>
      <c r="C279" s="88"/>
      <c r="D279" s="220">
        <f t="shared" si="32"/>
        <v>6</v>
      </c>
      <c r="E279" s="89"/>
      <c r="F279" s="89"/>
      <c r="G279" s="89"/>
      <c r="H279" s="89"/>
      <c r="I279" s="89"/>
      <c r="J279" s="154">
        <f t="shared" si="31"/>
        <v>550</v>
      </c>
      <c r="K279" s="154">
        <f t="shared" si="31"/>
        <v>550</v>
      </c>
      <c r="L279" s="154">
        <f t="shared" si="31"/>
        <v>625</v>
      </c>
      <c r="M279" s="154">
        <f t="shared" si="31"/>
        <v>54</v>
      </c>
      <c r="N279" s="154">
        <f t="shared" si="31"/>
        <v>0</v>
      </c>
      <c r="O279" s="154">
        <f t="shared" si="31"/>
        <v>12650</v>
      </c>
      <c r="P279" s="155">
        <f t="shared" si="31"/>
        <v>14429</v>
      </c>
    </row>
    <row r="280" spans="1:16" x14ac:dyDescent="0.25">
      <c r="A280" s="152">
        <v>6222000</v>
      </c>
      <c r="B280" s="73" t="s">
        <v>267</v>
      </c>
      <c r="C280" s="88"/>
      <c r="D280" s="220">
        <f t="shared" si="32"/>
        <v>0</v>
      </c>
      <c r="E280" s="89"/>
      <c r="F280" s="89"/>
      <c r="G280" s="89"/>
      <c r="H280" s="89"/>
      <c r="I280" s="89"/>
      <c r="J280" s="154">
        <f t="shared" si="31"/>
        <v>0</v>
      </c>
      <c r="K280" s="154">
        <f t="shared" si="31"/>
        <v>0</v>
      </c>
      <c r="L280" s="154">
        <f t="shared" si="31"/>
        <v>0</v>
      </c>
      <c r="M280" s="154">
        <f t="shared" si="31"/>
        <v>0</v>
      </c>
      <c r="N280" s="154">
        <f t="shared" si="31"/>
        <v>0</v>
      </c>
      <c r="O280" s="154">
        <f t="shared" si="31"/>
        <v>0</v>
      </c>
      <c r="P280" s="155">
        <f t="shared" si="31"/>
        <v>0</v>
      </c>
    </row>
    <row r="281" spans="1:16" ht="15.75" thickBot="1" x14ac:dyDescent="0.3">
      <c r="A281" s="152">
        <v>6222000</v>
      </c>
      <c r="B281" s="73" t="s">
        <v>920</v>
      </c>
      <c r="C281" s="88"/>
      <c r="D281" s="220">
        <f t="shared" si="32"/>
        <v>0</v>
      </c>
      <c r="E281" s="89"/>
      <c r="F281" s="89"/>
      <c r="G281" s="89"/>
      <c r="H281" s="89"/>
      <c r="I281" s="89"/>
      <c r="J281" s="154">
        <f t="shared" si="31"/>
        <v>0</v>
      </c>
      <c r="K281" s="154">
        <f t="shared" si="31"/>
        <v>0</v>
      </c>
      <c r="L281" s="154">
        <f t="shared" si="31"/>
        <v>0</v>
      </c>
      <c r="M281" s="154">
        <f t="shared" si="31"/>
        <v>0</v>
      </c>
      <c r="N281" s="154">
        <f t="shared" si="31"/>
        <v>0</v>
      </c>
      <c r="O281" s="154">
        <f t="shared" si="31"/>
        <v>0</v>
      </c>
      <c r="P281" s="155">
        <f t="shared" si="31"/>
        <v>0</v>
      </c>
    </row>
    <row r="282" spans="1:16" x14ac:dyDescent="0.25">
      <c r="A282" s="151">
        <v>6235000</v>
      </c>
      <c r="B282" s="84" t="s">
        <v>19</v>
      </c>
      <c r="C282" s="85"/>
      <c r="D282" s="210">
        <f t="shared" si="32"/>
        <v>0</v>
      </c>
      <c r="E282" s="86"/>
      <c r="F282" s="86"/>
      <c r="G282" s="86"/>
      <c r="H282" s="86"/>
      <c r="I282" s="86"/>
      <c r="J282" s="156">
        <f t="shared" ref="J282:P291" si="33">SUMIFS(J$26:J$180,$A$26:$A$180,$A282,$B$26:$B$180,$B282)</f>
        <v>0</v>
      </c>
      <c r="K282" s="156">
        <f t="shared" si="33"/>
        <v>0</v>
      </c>
      <c r="L282" s="156">
        <f t="shared" si="33"/>
        <v>0</v>
      </c>
      <c r="M282" s="156">
        <f t="shared" si="33"/>
        <v>0</v>
      </c>
      <c r="N282" s="156">
        <f t="shared" si="33"/>
        <v>0</v>
      </c>
      <c r="O282" s="156">
        <f t="shared" si="33"/>
        <v>0</v>
      </c>
      <c r="P282" s="157">
        <f t="shared" si="33"/>
        <v>0</v>
      </c>
    </row>
    <row r="283" spans="1:16" x14ac:dyDescent="0.25">
      <c r="A283" s="152">
        <v>6235000</v>
      </c>
      <c r="B283" s="73" t="s">
        <v>18</v>
      </c>
      <c r="C283" s="88"/>
      <c r="D283" s="220">
        <f t="shared" si="32"/>
        <v>3</v>
      </c>
      <c r="E283" s="89"/>
      <c r="F283" s="89"/>
      <c r="G283" s="89"/>
      <c r="H283" s="89"/>
      <c r="I283" s="89"/>
      <c r="J283" s="485">
        <f t="shared" si="33"/>
        <v>16000</v>
      </c>
      <c r="K283" s="485">
        <f t="shared" si="33"/>
        <v>0</v>
      </c>
      <c r="L283" s="485">
        <f t="shared" si="33"/>
        <v>27000</v>
      </c>
      <c r="M283" s="485">
        <f t="shared" si="33"/>
        <v>1750</v>
      </c>
      <c r="N283" s="485">
        <f t="shared" si="33"/>
        <v>1750</v>
      </c>
      <c r="O283" s="485">
        <f t="shared" si="33"/>
        <v>9300</v>
      </c>
      <c r="P283" s="155">
        <f t="shared" si="33"/>
        <v>55800</v>
      </c>
    </row>
    <row r="284" spans="1:16" x14ac:dyDescent="0.25">
      <c r="A284" s="152">
        <v>6235000</v>
      </c>
      <c r="B284" s="73" t="s">
        <v>22</v>
      </c>
      <c r="C284" s="88"/>
      <c r="D284" s="220">
        <f t="shared" si="32"/>
        <v>0</v>
      </c>
      <c r="E284" s="89"/>
      <c r="F284" s="89"/>
      <c r="G284" s="89"/>
      <c r="H284" s="89"/>
      <c r="I284" s="89"/>
      <c r="J284" s="154">
        <f t="shared" si="33"/>
        <v>0</v>
      </c>
      <c r="K284" s="154">
        <f t="shared" si="33"/>
        <v>0</v>
      </c>
      <c r="L284" s="154">
        <f t="shared" si="33"/>
        <v>0</v>
      </c>
      <c r="M284" s="154">
        <f t="shared" si="33"/>
        <v>0</v>
      </c>
      <c r="N284" s="154">
        <f t="shared" si="33"/>
        <v>0</v>
      </c>
      <c r="O284" s="154">
        <f t="shared" si="33"/>
        <v>0</v>
      </c>
      <c r="P284" s="155">
        <f t="shared" si="33"/>
        <v>0</v>
      </c>
    </row>
    <row r="285" spans="1:16" x14ac:dyDescent="0.25">
      <c r="A285" s="152">
        <v>6235000</v>
      </c>
      <c r="B285" s="419" t="s">
        <v>24</v>
      </c>
      <c r="C285" s="88"/>
      <c r="D285" s="220">
        <f t="shared" si="32"/>
        <v>3</v>
      </c>
      <c r="E285" s="89"/>
      <c r="F285" s="89"/>
      <c r="G285" s="89"/>
      <c r="H285" s="89"/>
      <c r="I285" s="89"/>
      <c r="J285" s="154">
        <f t="shared" si="33"/>
        <v>1500</v>
      </c>
      <c r="K285" s="154">
        <f t="shared" si="33"/>
        <v>3000</v>
      </c>
      <c r="L285" s="154">
        <f t="shared" si="33"/>
        <v>6000</v>
      </c>
      <c r="M285" s="154">
        <f t="shared" si="33"/>
        <v>0</v>
      </c>
      <c r="N285" s="154">
        <f t="shared" si="33"/>
        <v>0</v>
      </c>
      <c r="O285" s="154">
        <f t="shared" si="33"/>
        <v>1500</v>
      </c>
      <c r="P285" s="155">
        <f t="shared" si="33"/>
        <v>12000</v>
      </c>
    </row>
    <row r="286" spans="1:16" x14ac:dyDescent="0.25">
      <c r="A286" s="152">
        <v>6235000</v>
      </c>
      <c r="B286" s="73" t="s">
        <v>25</v>
      </c>
      <c r="C286" s="88"/>
      <c r="D286" s="220">
        <f t="shared" si="32"/>
        <v>0</v>
      </c>
      <c r="E286" s="89"/>
      <c r="F286" s="89"/>
      <c r="G286" s="89"/>
      <c r="H286" s="89"/>
      <c r="I286" s="89"/>
      <c r="J286" s="154">
        <f t="shared" si="33"/>
        <v>0</v>
      </c>
      <c r="K286" s="154">
        <f t="shared" si="33"/>
        <v>0</v>
      </c>
      <c r="L286" s="154">
        <f t="shared" si="33"/>
        <v>0</v>
      </c>
      <c r="M286" s="154">
        <f t="shared" si="33"/>
        <v>0</v>
      </c>
      <c r="N286" s="154">
        <f t="shared" si="33"/>
        <v>0</v>
      </c>
      <c r="O286" s="154">
        <f t="shared" si="33"/>
        <v>0</v>
      </c>
      <c r="P286" s="155">
        <f t="shared" si="33"/>
        <v>0</v>
      </c>
    </row>
    <row r="287" spans="1:16" x14ac:dyDescent="0.25">
      <c r="A287" s="152">
        <v>6235000</v>
      </c>
      <c r="B287" s="73" t="s">
        <v>394</v>
      </c>
      <c r="C287" s="88"/>
      <c r="D287" s="220">
        <f t="shared" si="32"/>
        <v>8</v>
      </c>
      <c r="E287" s="89"/>
      <c r="F287" s="89"/>
      <c r="G287" s="89"/>
      <c r="H287" s="89"/>
      <c r="I287" s="89"/>
      <c r="J287" s="154">
        <f t="shared" si="33"/>
        <v>8000</v>
      </c>
      <c r="K287" s="154">
        <f t="shared" si="33"/>
        <v>0</v>
      </c>
      <c r="L287" s="154">
        <f t="shared" si="33"/>
        <v>0</v>
      </c>
      <c r="M287" s="154">
        <f t="shared" si="33"/>
        <v>0</v>
      </c>
      <c r="N287" s="154">
        <f t="shared" si="33"/>
        <v>0</v>
      </c>
      <c r="O287" s="154">
        <f t="shared" si="33"/>
        <v>0</v>
      </c>
      <c r="P287" s="155">
        <f t="shared" si="33"/>
        <v>8000</v>
      </c>
    </row>
    <row r="288" spans="1:16" x14ac:dyDescent="0.25">
      <c r="A288" s="152">
        <v>6235000</v>
      </c>
      <c r="B288" s="73" t="s">
        <v>350</v>
      </c>
      <c r="C288" s="88"/>
      <c r="D288" s="220">
        <f t="shared" si="32"/>
        <v>0</v>
      </c>
      <c r="E288" s="89"/>
      <c r="F288" s="89"/>
      <c r="G288" s="89"/>
      <c r="H288" s="89"/>
      <c r="I288" s="89"/>
      <c r="J288" s="154">
        <f t="shared" si="33"/>
        <v>0</v>
      </c>
      <c r="K288" s="154">
        <f t="shared" si="33"/>
        <v>0</v>
      </c>
      <c r="L288" s="154">
        <f t="shared" si="33"/>
        <v>0</v>
      </c>
      <c r="M288" s="154">
        <f t="shared" si="33"/>
        <v>0</v>
      </c>
      <c r="N288" s="154">
        <f t="shared" si="33"/>
        <v>0</v>
      </c>
      <c r="O288" s="154">
        <f t="shared" si="33"/>
        <v>0</v>
      </c>
      <c r="P288" s="155">
        <f t="shared" si="33"/>
        <v>0</v>
      </c>
    </row>
    <row r="289" spans="1:18" x14ac:dyDescent="0.25">
      <c r="A289" s="152">
        <v>6235000</v>
      </c>
      <c r="B289" s="73" t="s">
        <v>1171</v>
      </c>
      <c r="C289" s="88"/>
      <c r="D289" s="220">
        <f t="shared" si="32"/>
        <v>0</v>
      </c>
      <c r="E289" s="89"/>
      <c r="F289" s="89"/>
      <c r="G289" s="89"/>
      <c r="H289" s="89"/>
      <c r="I289" s="89"/>
      <c r="J289" s="212">
        <f t="shared" si="33"/>
        <v>0</v>
      </c>
      <c r="K289" s="212">
        <f t="shared" si="33"/>
        <v>0</v>
      </c>
      <c r="L289" s="212">
        <f t="shared" si="33"/>
        <v>0</v>
      </c>
      <c r="M289" s="212">
        <f t="shared" si="33"/>
        <v>0</v>
      </c>
      <c r="N289" s="212">
        <f t="shared" si="33"/>
        <v>0</v>
      </c>
      <c r="O289" s="212">
        <f t="shared" si="33"/>
        <v>0</v>
      </c>
      <c r="P289" s="155">
        <f t="shared" si="33"/>
        <v>0</v>
      </c>
      <c r="R289" s="407"/>
    </row>
    <row r="290" spans="1:18" x14ac:dyDescent="0.25">
      <c r="A290" s="152">
        <v>6235000</v>
      </c>
      <c r="B290" s="73" t="s">
        <v>1182</v>
      </c>
      <c r="C290" s="88"/>
      <c r="D290" s="220">
        <f t="shared" si="32"/>
        <v>3</v>
      </c>
      <c r="E290" s="89"/>
      <c r="F290" s="89"/>
      <c r="G290" s="89"/>
      <c r="H290" s="89"/>
      <c r="I290" s="89"/>
      <c r="J290" s="212">
        <f t="shared" si="33"/>
        <v>1650</v>
      </c>
      <c r="K290" s="212">
        <f t="shared" si="33"/>
        <v>4500</v>
      </c>
      <c r="L290" s="212">
        <f t="shared" si="33"/>
        <v>7500</v>
      </c>
      <c r="M290" s="212">
        <f t="shared" si="33"/>
        <v>300</v>
      </c>
      <c r="N290" s="212">
        <f t="shared" si="33"/>
        <v>150</v>
      </c>
      <c r="O290" s="212">
        <f t="shared" si="33"/>
        <v>900</v>
      </c>
      <c r="P290" s="155">
        <f t="shared" si="33"/>
        <v>15000</v>
      </c>
      <c r="Q290" s="407"/>
      <c r="R290" s="407"/>
    </row>
    <row r="291" spans="1:18" x14ac:dyDescent="0.25">
      <c r="A291" s="152">
        <v>6235000</v>
      </c>
      <c r="B291" s="73" t="s">
        <v>20</v>
      </c>
      <c r="C291" s="88"/>
      <c r="D291" s="220">
        <f t="shared" si="32"/>
        <v>4</v>
      </c>
      <c r="E291" s="89"/>
      <c r="F291" s="89"/>
      <c r="G291" s="89"/>
      <c r="H291" s="89"/>
      <c r="I291" s="89"/>
      <c r="J291" s="154">
        <f t="shared" si="33"/>
        <v>0</v>
      </c>
      <c r="K291" s="154">
        <f t="shared" si="33"/>
        <v>0</v>
      </c>
      <c r="L291" s="154">
        <f t="shared" si="33"/>
        <v>0</v>
      </c>
      <c r="M291" s="154">
        <f t="shared" si="33"/>
        <v>0</v>
      </c>
      <c r="N291" s="154">
        <f t="shared" si="33"/>
        <v>0</v>
      </c>
      <c r="O291" s="154">
        <f t="shared" si="33"/>
        <v>20000</v>
      </c>
      <c r="P291" s="155">
        <f t="shared" si="33"/>
        <v>20000</v>
      </c>
      <c r="Q291" s="407"/>
    </row>
    <row r="292" spans="1:18" x14ac:dyDescent="0.25">
      <c r="A292" s="152">
        <v>6235000</v>
      </c>
      <c r="B292" s="73" t="s">
        <v>510</v>
      </c>
      <c r="C292" s="88"/>
      <c r="D292" s="220">
        <f t="shared" si="32"/>
        <v>1</v>
      </c>
      <c r="E292" s="89"/>
      <c r="F292" s="89"/>
      <c r="G292" s="89"/>
      <c r="H292" s="89"/>
      <c r="I292" s="89"/>
      <c r="J292" s="154">
        <f t="shared" ref="J292:P301" si="34">SUMIFS(J$26:J$180,$A$26:$A$180,$A292,$B$26:$B$180,$B292)</f>
        <v>0</v>
      </c>
      <c r="K292" s="154">
        <f t="shared" si="34"/>
        <v>0</v>
      </c>
      <c r="L292" s="154">
        <f t="shared" si="34"/>
        <v>6000</v>
      </c>
      <c r="M292" s="154">
        <f t="shared" si="34"/>
        <v>0</v>
      </c>
      <c r="N292" s="154">
        <f t="shared" si="34"/>
        <v>0</v>
      </c>
      <c r="O292" s="154">
        <f t="shared" si="34"/>
        <v>0</v>
      </c>
      <c r="P292" s="155">
        <f t="shared" si="34"/>
        <v>6000</v>
      </c>
    </row>
    <row r="293" spans="1:18" x14ac:dyDescent="0.25">
      <c r="A293" s="152">
        <v>6235000</v>
      </c>
      <c r="B293" s="73" t="s">
        <v>272</v>
      </c>
      <c r="C293" s="88"/>
      <c r="D293" s="220">
        <f t="shared" si="32"/>
        <v>0</v>
      </c>
      <c r="E293" s="89"/>
      <c r="F293" s="89"/>
      <c r="G293" s="89"/>
      <c r="H293" s="89"/>
      <c r="I293" s="89"/>
      <c r="J293" s="154">
        <f t="shared" si="34"/>
        <v>0</v>
      </c>
      <c r="K293" s="154">
        <f t="shared" si="34"/>
        <v>0</v>
      </c>
      <c r="L293" s="154">
        <f t="shared" si="34"/>
        <v>0</v>
      </c>
      <c r="M293" s="154">
        <f t="shared" si="34"/>
        <v>0</v>
      </c>
      <c r="N293" s="154">
        <f t="shared" si="34"/>
        <v>0</v>
      </c>
      <c r="O293" s="154">
        <f t="shared" si="34"/>
        <v>0</v>
      </c>
      <c r="P293" s="155">
        <f t="shared" si="34"/>
        <v>0</v>
      </c>
    </row>
    <row r="294" spans="1:18" x14ac:dyDescent="0.25">
      <c r="A294" s="152">
        <v>6235000</v>
      </c>
      <c r="B294" s="51" t="s">
        <v>21</v>
      </c>
      <c r="C294" s="88"/>
      <c r="D294" s="220">
        <f t="shared" si="32"/>
        <v>0</v>
      </c>
      <c r="E294" s="89"/>
      <c r="F294" s="89"/>
      <c r="G294" s="89"/>
      <c r="H294" s="89"/>
      <c r="I294" s="89"/>
      <c r="J294" s="154">
        <f t="shared" si="34"/>
        <v>0</v>
      </c>
      <c r="K294" s="154">
        <f t="shared" si="34"/>
        <v>0</v>
      </c>
      <c r="L294" s="154">
        <f t="shared" si="34"/>
        <v>0</v>
      </c>
      <c r="M294" s="154">
        <f t="shared" si="34"/>
        <v>0</v>
      </c>
      <c r="N294" s="154">
        <f t="shared" si="34"/>
        <v>0</v>
      </c>
      <c r="O294" s="154">
        <f t="shared" si="34"/>
        <v>0</v>
      </c>
      <c r="P294" s="155">
        <f t="shared" si="34"/>
        <v>0</v>
      </c>
    </row>
    <row r="295" spans="1:18" x14ac:dyDescent="0.25">
      <c r="A295" s="152">
        <v>6235000</v>
      </c>
      <c r="B295" s="73" t="s">
        <v>1172</v>
      </c>
      <c r="C295" s="88"/>
      <c r="D295" s="220">
        <f t="shared" si="32"/>
        <v>1</v>
      </c>
      <c r="E295" s="89"/>
      <c r="F295" s="89"/>
      <c r="G295" s="89"/>
      <c r="H295" s="89"/>
      <c r="I295" s="89"/>
      <c r="J295" s="154">
        <f t="shared" si="34"/>
        <v>700</v>
      </c>
      <c r="K295" s="154">
        <f t="shared" si="34"/>
        <v>900</v>
      </c>
      <c r="L295" s="154">
        <f t="shared" si="34"/>
        <v>1600</v>
      </c>
      <c r="M295" s="154">
        <f t="shared" si="34"/>
        <v>200</v>
      </c>
      <c r="N295" s="154">
        <f t="shared" si="34"/>
        <v>400</v>
      </c>
      <c r="O295" s="154">
        <f t="shared" si="34"/>
        <v>200</v>
      </c>
      <c r="P295" s="155">
        <f t="shared" si="34"/>
        <v>4000</v>
      </c>
    </row>
    <row r="296" spans="1:18" x14ac:dyDescent="0.25">
      <c r="A296" s="152">
        <v>6235000</v>
      </c>
      <c r="B296" s="73" t="s">
        <v>810</v>
      </c>
      <c r="C296" s="88"/>
      <c r="D296" s="220">
        <f t="shared" si="32"/>
        <v>0</v>
      </c>
      <c r="E296" s="89"/>
      <c r="F296" s="89"/>
      <c r="G296" s="89"/>
      <c r="H296" s="89"/>
      <c r="I296" s="89"/>
      <c r="J296" s="154">
        <f t="shared" si="34"/>
        <v>0</v>
      </c>
      <c r="K296" s="154">
        <f t="shared" si="34"/>
        <v>0</v>
      </c>
      <c r="L296" s="154">
        <f t="shared" si="34"/>
        <v>0</v>
      </c>
      <c r="M296" s="154">
        <f t="shared" si="34"/>
        <v>0</v>
      </c>
      <c r="N296" s="154">
        <f t="shared" si="34"/>
        <v>0</v>
      </c>
      <c r="O296" s="154">
        <f t="shared" si="34"/>
        <v>0</v>
      </c>
      <c r="P296" s="155">
        <f t="shared" si="34"/>
        <v>0</v>
      </c>
    </row>
    <row r="297" spans="1:18" x14ac:dyDescent="0.25">
      <c r="A297" s="152">
        <v>6235000</v>
      </c>
      <c r="B297" s="51" t="s">
        <v>811</v>
      </c>
      <c r="C297" s="88"/>
      <c r="D297" s="220">
        <f t="shared" si="32"/>
        <v>1</v>
      </c>
      <c r="E297" s="89"/>
      <c r="F297" s="89"/>
      <c r="G297" s="89"/>
      <c r="H297" s="89"/>
      <c r="I297" s="89"/>
      <c r="J297" s="154">
        <f t="shared" si="34"/>
        <v>1100</v>
      </c>
      <c r="K297" s="154">
        <f t="shared" si="34"/>
        <v>1000</v>
      </c>
      <c r="L297" s="154">
        <f t="shared" si="34"/>
        <v>1350</v>
      </c>
      <c r="M297" s="154">
        <f t="shared" si="34"/>
        <v>120</v>
      </c>
      <c r="N297" s="154">
        <f t="shared" si="34"/>
        <v>150</v>
      </c>
      <c r="O297" s="154">
        <f t="shared" si="34"/>
        <v>300</v>
      </c>
      <c r="P297" s="155">
        <f t="shared" si="34"/>
        <v>4020</v>
      </c>
    </row>
    <row r="298" spans="1:18" x14ac:dyDescent="0.25">
      <c r="A298" s="152">
        <v>6235000</v>
      </c>
      <c r="B298" s="51" t="s">
        <v>23</v>
      </c>
      <c r="C298" s="88"/>
      <c r="D298" s="220">
        <f t="shared" si="32"/>
        <v>0</v>
      </c>
      <c r="E298" s="89"/>
      <c r="F298" s="89"/>
      <c r="G298" s="89"/>
      <c r="H298" s="89"/>
      <c r="I298" s="89"/>
      <c r="J298" s="154">
        <f t="shared" si="34"/>
        <v>0</v>
      </c>
      <c r="K298" s="154">
        <f t="shared" si="34"/>
        <v>0</v>
      </c>
      <c r="L298" s="154">
        <f t="shared" si="34"/>
        <v>0</v>
      </c>
      <c r="M298" s="154">
        <f t="shared" si="34"/>
        <v>0</v>
      </c>
      <c r="N298" s="154">
        <f t="shared" si="34"/>
        <v>0</v>
      </c>
      <c r="O298" s="154">
        <f t="shared" si="34"/>
        <v>0</v>
      </c>
      <c r="P298" s="155">
        <f t="shared" si="34"/>
        <v>0</v>
      </c>
    </row>
    <row r="299" spans="1:18" x14ac:dyDescent="0.25">
      <c r="A299" s="152">
        <v>6235000</v>
      </c>
      <c r="B299" s="73" t="s">
        <v>268</v>
      </c>
      <c r="C299" s="88"/>
      <c r="D299" s="220">
        <f t="shared" si="32"/>
        <v>6</v>
      </c>
      <c r="E299" s="89"/>
      <c r="F299" s="89"/>
      <c r="G299" s="89"/>
      <c r="H299" s="89"/>
      <c r="I299" s="89"/>
      <c r="J299" s="154">
        <f t="shared" si="34"/>
        <v>0</v>
      </c>
      <c r="K299" s="154">
        <f t="shared" si="34"/>
        <v>0</v>
      </c>
      <c r="L299" s="154">
        <f t="shared" si="34"/>
        <v>0</v>
      </c>
      <c r="M299" s="154">
        <f t="shared" si="34"/>
        <v>0</v>
      </c>
      <c r="N299" s="154">
        <f t="shared" si="34"/>
        <v>0</v>
      </c>
      <c r="O299" s="154">
        <f t="shared" si="34"/>
        <v>15500</v>
      </c>
      <c r="P299" s="155">
        <f t="shared" si="34"/>
        <v>15500</v>
      </c>
    </row>
    <row r="300" spans="1:18" x14ac:dyDescent="0.25">
      <c r="A300" s="152">
        <v>6235000</v>
      </c>
      <c r="B300" s="73" t="s">
        <v>267</v>
      </c>
      <c r="C300" s="88"/>
      <c r="D300" s="220">
        <f t="shared" si="32"/>
        <v>2</v>
      </c>
      <c r="E300" s="89"/>
      <c r="F300" s="89"/>
      <c r="G300" s="89"/>
      <c r="H300" s="89"/>
      <c r="I300" s="89"/>
      <c r="J300" s="154">
        <f t="shared" si="34"/>
        <v>0</v>
      </c>
      <c r="K300" s="154">
        <f t="shared" si="34"/>
        <v>0</v>
      </c>
      <c r="L300" s="154">
        <f t="shared" si="34"/>
        <v>0</v>
      </c>
      <c r="M300" s="154">
        <f t="shared" si="34"/>
        <v>0</v>
      </c>
      <c r="N300" s="154">
        <f t="shared" si="34"/>
        <v>0</v>
      </c>
      <c r="O300" s="154">
        <f t="shared" si="34"/>
        <v>0</v>
      </c>
      <c r="P300" s="155">
        <f t="shared" si="34"/>
        <v>0</v>
      </c>
    </row>
    <row r="301" spans="1:18" ht="15.75" thickBot="1" x14ac:dyDescent="0.3">
      <c r="A301" s="152">
        <v>6235000</v>
      </c>
      <c r="B301" s="73" t="s">
        <v>920</v>
      </c>
      <c r="C301" s="88"/>
      <c r="D301" s="220">
        <f t="shared" si="32"/>
        <v>0</v>
      </c>
      <c r="E301" s="89"/>
      <c r="F301" s="89"/>
      <c r="G301" s="89"/>
      <c r="H301" s="89"/>
      <c r="I301" s="89"/>
      <c r="J301" s="154">
        <f t="shared" si="34"/>
        <v>0</v>
      </c>
      <c r="K301" s="154">
        <f t="shared" si="34"/>
        <v>0</v>
      </c>
      <c r="L301" s="154">
        <f t="shared" si="34"/>
        <v>0</v>
      </c>
      <c r="M301" s="154">
        <f t="shared" si="34"/>
        <v>0</v>
      </c>
      <c r="N301" s="154">
        <f t="shared" si="34"/>
        <v>0</v>
      </c>
      <c r="O301" s="154">
        <f t="shared" si="34"/>
        <v>0</v>
      </c>
      <c r="P301" s="155">
        <f t="shared" si="34"/>
        <v>0</v>
      </c>
    </row>
    <row r="302" spans="1:18" x14ac:dyDescent="0.25">
      <c r="A302" s="151">
        <v>6245000</v>
      </c>
      <c r="B302" s="84" t="s">
        <v>19</v>
      </c>
      <c r="C302" s="85"/>
      <c r="D302" s="210">
        <f t="shared" si="32"/>
        <v>0</v>
      </c>
      <c r="E302" s="86"/>
      <c r="F302" s="86"/>
      <c r="G302" s="86"/>
      <c r="H302" s="86"/>
      <c r="I302" s="86"/>
      <c r="J302" s="213">
        <f t="shared" ref="J302:P311" si="35">SUMIFS(J$26:J$180,$A$26:$A$180,$A302,$B$26:$B$180,$B302)</f>
        <v>0</v>
      </c>
      <c r="K302" s="213">
        <f t="shared" si="35"/>
        <v>0</v>
      </c>
      <c r="L302" s="213">
        <f t="shared" si="35"/>
        <v>0</v>
      </c>
      <c r="M302" s="213">
        <f t="shared" si="35"/>
        <v>0</v>
      </c>
      <c r="N302" s="213">
        <f t="shared" si="35"/>
        <v>0</v>
      </c>
      <c r="O302" s="213">
        <f t="shared" si="35"/>
        <v>0</v>
      </c>
      <c r="P302" s="157">
        <f t="shared" si="35"/>
        <v>0</v>
      </c>
      <c r="R302" s="407"/>
    </row>
    <row r="303" spans="1:18" x14ac:dyDescent="0.25">
      <c r="A303" s="152">
        <v>6245000</v>
      </c>
      <c r="B303" s="73" t="s">
        <v>18</v>
      </c>
      <c r="C303" s="88"/>
      <c r="D303" s="220">
        <f t="shared" si="32"/>
        <v>0</v>
      </c>
      <c r="E303" s="89"/>
      <c r="F303" s="89"/>
      <c r="G303" s="89"/>
      <c r="H303" s="89"/>
      <c r="I303" s="89"/>
      <c r="J303" s="212">
        <f t="shared" si="35"/>
        <v>0</v>
      </c>
      <c r="K303" s="212">
        <f t="shared" si="35"/>
        <v>0</v>
      </c>
      <c r="L303" s="212">
        <f t="shared" si="35"/>
        <v>0</v>
      </c>
      <c r="M303" s="212">
        <f t="shared" si="35"/>
        <v>0</v>
      </c>
      <c r="N303" s="212">
        <f t="shared" si="35"/>
        <v>0</v>
      </c>
      <c r="O303" s="212">
        <f t="shared" si="35"/>
        <v>0</v>
      </c>
      <c r="P303" s="155">
        <f t="shared" si="35"/>
        <v>0</v>
      </c>
      <c r="Q303" s="407"/>
      <c r="R303" s="407"/>
    </row>
    <row r="304" spans="1:18" x14ac:dyDescent="0.25">
      <c r="A304" s="152">
        <v>6245000</v>
      </c>
      <c r="B304" s="73" t="s">
        <v>22</v>
      </c>
      <c r="C304" s="88"/>
      <c r="D304" s="220">
        <f t="shared" si="32"/>
        <v>0</v>
      </c>
      <c r="E304" s="89"/>
      <c r="F304" s="89"/>
      <c r="G304" s="89"/>
      <c r="H304" s="89"/>
      <c r="I304" s="89"/>
      <c r="J304" s="212">
        <f t="shared" si="35"/>
        <v>0</v>
      </c>
      <c r="K304" s="212">
        <f t="shared" si="35"/>
        <v>0</v>
      </c>
      <c r="L304" s="212">
        <f t="shared" si="35"/>
        <v>0</v>
      </c>
      <c r="M304" s="212">
        <f t="shared" si="35"/>
        <v>0</v>
      </c>
      <c r="N304" s="212">
        <f t="shared" si="35"/>
        <v>0</v>
      </c>
      <c r="O304" s="212">
        <f t="shared" si="35"/>
        <v>0</v>
      </c>
      <c r="P304" s="155">
        <f t="shared" si="35"/>
        <v>0</v>
      </c>
      <c r="Q304" s="407"/>
      <c r="R304" s="407"/>
    </row>
    <row r="305" spans="1:18" x14ac:dyDescent="0.25">
      <c r="A305" s="152">
        <v>6245000</v>
      </c>
      <c r="B305" s="419" t="s">
        <v>24</v>
      </c>
      <c r="C305" s="88"/>
      <c r="D305" s="220">
        <f t="shared" si="32"/>
        <v>4</v>
      </c>
      <c r="E305" s="89"/>
      <c r="F305" s="89"/>
      <c r="G305" s="89"/>
      <c r="H305" s="89"/>
      <c r="I305" s="89"/>
      <c r="J305" s="212">
        <f t="shared" si="35"/>
        <v>0</v>
      </c>
      <c r="K305" s="212">
        <f t="shared" si="35"/>
        <v>0</v>
      </c>
      <c r="L305" s="212">
        <f t="shared" si="35"/>
        <v>8000</v>
      </c>
      <c r="M305" s="212">
        <f t="shared" si="35"/>
        <v>0</v>
      </c>
      <c r="N305" s="212">
        <f t="shared" si="35"/>
        <v>0</v>
      </c>
      <c r="O305" s="212">
        <f t="shared" si="35"/>
        <v>0</v>
      </c>
      <c r="P305" s="155">
        <f t="shared" si="35"/>
        <v>8000</v>
      </c>
      <c r="Q305" s="407"/>
      <c r="R305" s="407"/>
    </row>
    <row r="306" spans="1:18" x14ac:dyDescent="0.25">
      <c r="A306" s="152">
        <v>6245000</v>
      </c>
      <c r="B306" s="73" t="s">
        <v>25</v>
      </c>
      <c r="C306" s="88"/>
      <c r="D306" s="220">
        <f t="shared" si="32"/>
        <v>0</v>
      </c>
      <c r="E306" s="89"/>
      <c r="F306" s="89"/>
      <c r="G306" s="89"/>
      <c r="H306" s="89"/>
      <c r="I306" s="89"/>
      <c r="J306" s="212">
        <f t="shared" si="35"/>
        <v>0</v>
      </c>
      <c r="K306" s="212">
        <f t="shared" si="35"/>
        <v>0</v>
      </c>
      <c r="L306" s="212">
        <f t="shared" si="35"/>
        <v>0</v>
      </c>
      <c r="M306" s="212">
        <f t="shared" si="35"/>
        <v>0</v>
      </c>
      <c r="N306" s="212">
        <f t="shared" si="35"/>
        <v>0</v>
      </c>
      <c r="O306" s="212">
        <f t="shared" si="35"/>
        <v>0</v>
      </c>
      <c r="P306" s="155">
        <f t="shared" si="35"/>
        <v>0</v>
      </c>
      <c r="Q306" s="407"/>
      <c r="R306" s="407"/>
    </row>
    <row r="307" spans="1:18" x14ac:dyDescent="0.25">
      <c r="A307" s="152">
        <v>6245000</v>
      </c>
      <c r="B307" s="73" t="s">
        <v>394</v>
      </c>
      <c r="C307" s="88"/>
      <c r="D307" s="220">
        <f t="shared" si="32"/>
        <v>0</v>
      </c>
      <c r="E307" s="89"/>
      <c r="F307" s="89"/>
      <c r="G307" s="89"/>
      <c r="H307" s="89"/>
      <c r="I307" s="89"/>
      <c r="J307" s="212">
        <f t="shared" si="35"/>
        <v>0</v>
      </c>
      <c r="K307" s="212">
        <f t="shared" si="35"/>
        <v>0</v>
      </c>
      <c r="L307" s="212">
        <f t="shared" si="35"/>
        <v>0</v>
      </c>
      <c r="M307" s="212">
        <f t="shared" si="35"/>
        <v>0</v>
      </c>
      <c r="N307" s="212">
        <f t="shared" si="35"/>
        <v>0</v>
      </c>
      <c r="O307" s="212">
        <f t="shared" si="35"/>
        <v>0</v>
      </c>
      <c r="P307" s="155">
        <f t="shared" si="35"/>
        <v>0</v>
      </c>
      <c r="Q307" s="407"/>
      <c r="R307" s="407"/>
    </row>
    <row r="308" spans="1:18" x14ac:dyDescent="0.25">
      <c r="A308" s="152">
        <v>6245000</v>
      </c>
      <c r="B308" s="73" t="s">
        <v>350</v>
      </c>
      <c r="C308" s="88"/>
      <c r="D308" s="220">
        <f t="shared" si="32"/>
        <v>0</v>
      </c>
      <c r="E308" s="89"/>
      <c r="F308" s="89"/>
      <c r="G308" s="89"/>
      <c r="H308" s="89"/>
      <c r="I308" s="89"/>
      <c r="J308" s="212">
        <f t="shared" si="35"/>
        <v>0</v>
      </c>
      <c r="K308" s="212">
        <f t="shared" si="35"/>
        <v>0</v>
      </c>
      <c r="L308" s="212">
        <f t="shared" si="35"/>
        <v>0</v>
      </c>
      <c r="M308" s="212">
        <f t="shared" si="35"/>
        <v>0</v>
      </c>
      <c r="N308" s="212">
        <f t="shared" si="35"/>
        <v>0</v>
      </c>
      <c r="O308" s="212">
        <f t="shared" si="35"/>
        <v>0</v>
      </c>
      <c r="P308" s="155">
        <f t="shared" si="35"/>
        <v>0</v>
      </c>
      <c r="Q308" s="407"/>
      <c r="R308" s="407"/>
    </row>
    <row r="309" spans="1:18" x14ac:dyDescent="0.25">
      <c r="A309" s="152">
        <v>6245000</v>
      </c>
      <c r="B309" s="73" t="s">
        <v>1171</v>
      </c>
      <c r="C309" s="88"/>
      <c r="D309" s="220">
        <f t="shared" si="32"/>
        <v>0</v>
      </c>
      <c r="E309" s="89"/>
      <c r="F309" s="89"/>
      <c r="G309" s="89"/>
      <c r="H309" s="89"/>
      <c r="I309" s="89"/>
      <c r="J309" s="212">
        <f t="shared" si="35"/>
        <v>0</v>
      </c>
      <c r="K309" s="212">
        <f t="shared" si="35"/>
        <v>0</v>
      </c>
      <c r="L309" s="212">
        <f t="shared" si="35"/>
        <v>0</v>
      </c>
      <c r="M309" s="212">
        <f t="shared" si="35"/>
        <v>0</v>
      </c>
      <c r="N309" s="212">
        <f t="shared" si="35"/>
        <v>0</v>
      </c>
      <c r="O309" s="212">
        <f t="shared" si="35"/>
        <v>0</v>
      </c>
      <c r="P309" s="155">
        <f t="shared" si="35"/>
        <v>0</v>
      </c>
      <c r="Q309" s="407"/>
      <c r="R309" s="407"/>
    </row>
    <row r="310" spans="1:18" x14ac:dyDescent="0.25">
      <c r="A310" s="152">
        <v>6245000</v>
      </c>
      <c r="B310" s="73" t="s">
        <v>1182</v>
      </c>
      <c r="C310" s="88"/>
      <c r="D310" s="220">
        <f t="shared" ref="D310:D321" si="36">COUNTIFS($A$26:$A$180,$A310,$B$26:$B$180,$B310)</f>
        <v>0</v>
      </c>
      <c r="E310" s="89"/>
      <c r="F310" s="89"/>
      <c r="G310" s="89"/>
      <c r="H310" s="89"/>
      <c r="I310" s="89"/>
      <c r="J310" s="212">
        <f t="shared" si="35"/>
        <v>0</v>
      </c>
      <c r="K310" s="212">
        <f t="shared" si="35"/>
        <v>0</v>
      </c>
      <c r="L310" s="212">
        <f t="shared" si="35"/>
        <v>0</v>
      </c>
      <c r="M310" s="212">
        <f t="shared" si="35"/>
        <v>0</v>
      </c>
      <c r="N310" s="212">
        <f t="shared" si="35"/>
        <v>0</v>
      </c>
      <c r="O310" s="212">
        <f t="shared" si="35"/>
        <v>0</v>
      </c>
      <c r="P310" s="155">
        <f t="shared" si="35"/>
        <v>0</v>
      </c>
      <c r="Q310" s="407"/>
      <c r="R310" s="407"/>
    </row>
    <row r="311" spans="1:18" x14ac:dyDescent="0.25">
      <c r="A311" s="152">
        <v>6245000</v>
      </c>
      <c r="B311" s="73" t="s">
        <v>20</v>
      </c>
      <c r="C311" s="88"/>
      <c r="D311" s="220">
        <f t="shared" si="36"/>
        <v>0</v>
      </c>
      <c r="E311" s="89"/>
      <c r="F311" s="89"/>
      <c r="G311" s="89"/>
      <c r="H311" s="89"/>
      <c r="I311" s="89"/>
      <c r="J311" s="212">
        <f t="shared" si="35"/>
        <v>0</v>
      </c>
      <c r="K311" s="212">
        <f t="shared" si="35"/>
        <v>0</v>
      </c>
      <c r="L311" s="212">
        <f t="shared" si="35"/>
        <v>0</v>
      </c>
      <c r="M311" s="212">
        <f t="shared" si="35"/>
        <v>0</v>
      </c>
      <c r="N311" s="212">
        <f t="shared" si="35"/>
        <v>0</v>
      </c>
      <c r="O311" s="212">
        <f t="shared" si="35"/>
        <v>0</v>
      </c>
      <c r="P311" s="155">
        <f t="shared" si="35"/>
        <v>0</v>
      </c>
      <c r="Q311" s="407"/>
      <c r="R311" s="407"/>
    </row>
    <row r="312" spans="1:18" x14ac:dyDescent="0.25">
      <c r="A312" s="152">
        <v>6245000</v>
      </c>
      <c r="B312" s="73" t="s">
        <v>510</v>
      </c>
      <c r="C312" s="88"/>
      <c r="D312" s="220">
        <f t="shared" si="36"/>
        <v>0</v>
      </c>
      <c r="E312" s="89"/>
      <c r="F312" s="89"/>
      <c r="G312" s="89"/>
      <c r="H312" s="89"/>
      <c r="I312" s="89"/>
      <c r="J312" s="212">
        <f t="shared" ref="J312:P321" si="37">SUMIFS(J$26:J$180,$A$26:$A$180,$A312,$B$26:$B$180,$B312)</f>
        <v>0</v>
      </c>
      <c r="K312" s="212">
        <f t="shared" si="37"/>
        <v>0</v>
      </c>
      <c r="L312" s="212">
        <f t="shared" si="37"/>
        <v>0</v>
      </c>
      <c r="M312" s="212">
        <f t="shared" si="37"/>
        <v>0</v>
      </c>
      <c r="N312" s="212">
        <f t="shared" si="37"/>
        <v>0</v>
      </c>
      <c r="O312" s="212">
        <f t="shared" si="37"/>
        <v>0</v>
      </c>
      <c r="P312" s="155">
        <f t="shared" si="37"/>
        <v>0</v>
      </c>
      <c r="Q312" s="407"/>
      <c r="R312" s="407"/>
    </row>
    <row r="313" spans="1:18" x14ac:dyDescent="0.25">
      <c r="A313" s="152">
        <v>6245000</v>
      </c>
      <c r="B313" s="73" t="s">
        <v>272</v>
      </c>
      <c r="C313" s="88"/>
      <c r="D313" s="220">
        <f t="shared" si="36"/>
        <v>0</v>
      </c>
      <c r="E313" s="89"/>
      <c r="F313" s="89"/>
      <c r="G313" s="89"/>
      <c r="H313" s="89"/>
      <c r="I313" s="89"/>
      <c r="J313" s="212">
        <f t="shared" si="37"/>
        <v>0</v>
      </c>
      <c r="K313" s="212">
        <f t="shared" si="37"/>
        <v>0</v>
      </c>
      <c r="L313" s="212">
        <f t="shared" si="37"/>
        <v>0</v>
      </c>
      <c r="M313" s="212">
        <f t="shared" si="37"/>
        <v>0</v>
      </c>
      <c r="N313" s="212">
        <f t="shared" si="37"/>
        <v>0</v>
      </c>
      <c r="O313" s="212">
        <f t="shared" si="37"/>
        <v>0</v>
      </c>
      <c r="P313" s="155">
        <f t="shared" si="37"/>
        <v>0</v>
      </c>
      <c r="Q313" s="407"/>
      <c r="R313" s="407"/>
    </row>
    <row r="314" spans="1:18" x14ac:dyDescent="0.25">
      <c r="A314" s="152">
        <v>6245000</v>
      </c>
      <c r="B314" s="51" t="s">
        <v>21</v>
      </c>
      <c r="C314" s="88"/>
      <c r="D314" s="220">
        <f t="shared" si="36"/>
        <v>0</v>
      </c>
      <c r="E314" s="89"/>
      <c r="F314" s="89"/>
      <c r="G314" s="89"/>
      <c r="H314" s="89"/>
      <c r="I314" s="89"/>
      <c r="J314" s="212">
        <f t="shared" si="37"/>
        <v>0</v>
      </c>
      <c r="K314" s="212">
        <f t="shared" si="37"/>
        <v>0</v>
      </c>
      <c r="L314" s="212">
        <f t="shared" si="37"/>
        <v>0</v>
      </c>
      <c r="M314" s="212">
        <f t="shared" si="37"/>
        <v>0</v>
      </c>
      <c r="N314" s="212">
        <f t="shared" si="37"/>
        <v>0</v>
      </c>
      <c r="O314" s="212">
        <f t="shared" si="37"/>
        <v>0</v>
      </c>
      <c r="P314" s="155">
        <f t="shared" si="37"/>
        <v>0</v>
      </c>
      <c r="Q314" s="407"/>
      <c r="R314" s="407"/>
    </row>
    <row r="315" spans="1:18" x14ac:dyDescent="0.25">
      <c r="A315" s="152">
        <v>6245000</v>
      </c>
      <c r="B315" s="73" t="s">
        <v>1172</v>
      </c>
      <c r="C315" s="88"/>
      <c r="D315" s="220">
        <f t="shared" si="36"/>
        <v>0</v>
      </c>
      <c r="E315" s="89"/>
      <c r="F315" s="89"/>
      <c r="G315" s="89"/>
      <c r="H315" s="89"/>
      <c r="I315" s="89"/>
      <c r="J315" s="212">
        <f t="shared" si="37"/>
        <v>0</v>
      </c>
      <c r="K315" s="212">
        <f t="shared" si="37"/>
        <v>0</v>
      </c>
      <c r="L315" s="212">
        <f t="shared" si="37"/>
        <v>0</v>
      </c>
      <c r="M315" s="212">
        <f t="shared" si="37"/>
        <v>0</v>
      </c>
      <c r="N315" s="212">
        <f t="shared" si="37"/>
        <v>0</v>
      </c>
      <c r="O315" s="212">
        <f t="shared" si="37"/>
        <v>0</v>
      </c>
      <c r="P315" s="155">
        <f t="shared" si="37"/>
        <v>0</v>
      </c>
      <c r="Q315" s="407"/>
      <c r="R315" s="407"/>
    </row>
    <row r="316" spans="1:18" x14ac:dyDescent="0.25">
      <c r="A316" s="152">
        <v>6245000</v>
      </c>
      <c r="B316" s="73" t="s">
        <v>810</v>
      </c>
      <c r="C316" s="88"/>
      <c r="D316" s="220">
        <f t="shared" si="36"/>
        <v>0</v>
      </c>
      <c r="E316" s="89"/>
      <c r="F316" s="89"/>
      <c r="G316" s="89"/>
      <c r="H316" s="89"/>
      <c r="I316" s="89"/>
      <c r="J316" s="212">
        <f t="shared" si="37"/>
        <v>0</v>
      </c>
      <c r="K316" s="212">
        <f t="shared" si="37"/>
        <v>0</v>
      </c>
      <c r="L316" s="212">
        <f t="shared" si="37"/>
        <v>0</v>
      </c>
      <c r="M316" s="212">
        <f t="shared" si="37"/>
        <v>0</v>
      </c>
      <c r="N316" s="212">
        <f t="shared" si="37"/>
        <v>0</v>
      </c>
      <c r="O316" s="212">
        <f t="shared" si="37"/>
        <v>0</v>
      </c>
      <c r="P316" s="155">
        <f t="shared" si="37"/>
        <v>0</v>
      </c>
      <c r="Q316" s="407"/>
      <c r="R316" s="407"/>
    </row>
    <row r="317" spans="1:18" x14ac:dyDescent="0.25">
      <c r="A317" s="152">
        <v>6245000</v>
      </c>
      <c r="B317" s="51" t="s">
        <v>811</v>
      </c>
      <c r="C317" s="88"/>
      <c r="D317" s="220">
        <f t="shared" si="36"/>
        <v>2</v>
      </c>
      <c r="E317" s="89"/>
      <c r="F317" s="89"/>
      <c r="G317" s="89"/>
      <c r="H317" s="89"/>
      <c r="I317" s="89"/>
      <c r="J317" s="212">
        <f t="shared" si="37"/>
        <v>2000</v>
      </c>
      <c r="K317" s="212">
        <f t="shared" si="37"/>
        <v>0</v>
      </c>
      <c r="L317" s="212">
        <f t="shared" si="37"/>
        <v>0</v>
      </c>
      <c r="M317" s="212">
        <f t="shared" si="37"/>
        <v>0</v>
      </c>
      <c r="N317" s="212">
        <f t="shared" si="37"/>
        <v>0</v>
      </c>
      <c r="O317" s="212">
        <f t="shared" si="37"/>
        <v>0</v>
      </c>
      <c r="P317" s="155">
        <f t="shared" si="37"/>
        <v>2000</v>
      </c>
      <c r="Q317" s="407"/>
      <c r="R317" s="407"/>
    </row>
    <row r="318" spans="1:18" x14ac:dyDescent="0.25">
      <c r="A318" s="152">
        <v>6245000</v>
      </c>
      <c r="B318" s="51" t="s">
        <v>23</v>
      </c>
      <c r="C318" s="88"/>
      <c r="D318" s="220">
        <f t="shared" si="36"/>
        <v>0</v>
      </c>
      <c r="E318" s="89"/>
      <c r="F318" s="89"/>
      <c r="G318" s="89"/>
      <c r="H318" s="89"/>
      <c r="I318" s="89"/>
      <c r="J318" s="212">
        <f t="shared" si="37"/>
        <v>0</v>
      </c>
      <c r="K318" s="212">
        <f t="shared" si="37"/>
        <v>0</v>
      </c>
      <c r="L318" s="212">
        <f t="shared" si="37"/>
        <v>0</v>
      </c>
      <c r="M318" s="212">
        <f t="shared" si="37"/>
        <v>0</v>
      </c>
      <c r="N318" s="212">
        <f t="shared" si="37"/>
        <v>0</v>
      </c>
      <c r="O318" s="212">
        <f t="shared" si="37"/>
        <v>0</v>
      </c>
      <c r="P318" s="155">
        <f t="shared" si="37"/>
        <v>0</v>
      </c>
      <c r="Q318" s="407"/>
      <c r="R318" s="407"/>
    </row>
    <row r="319" spans="1:18" x14ac:dyDescent="0.25">
      <c r="A319" s="152">
        <v>6245000</v>
      </c>
      <c r="B319" s="73" t="s">
        <v>268</v>
      </c>
      <c r="C319" s="88"/>
      <c r="D319" s="220">
        <f t="shared" si="36"/>
        <v>0</v>
      </c>
      <c r="E319" s="89"/>
      <c r="F319" s="89"/>
      <c r="G319" s="89"/>
      <c r="H319" s="89"/>
      <c r="I319" s="89"/>
      <c r="J319" s="212">
        <f t="shared" si="37"/>
        <v>0</v>
      </c>
      <c r="K319" s="212">
        <f t="shared" si="37"/>
        <v>0</v>
      </c>
      <c r="L319" s="212">
        <f t="shared" si="37"/>
        <v>0</v>
      </c>
      <c r="M319" s="212">
        <f t="shared" si="37"/>
        <v>0</v>
      </c>
      <c r="N319" s="212">
        <f t="shared" si="37"/>
        <v>0</v>
      </c>
      <c r="O319" s="212">
        <f t="shared" si="37"/>
        <v>0</v>
      </c>
      <c r="P319" s="155">
        <f t="shared" si="37"/>
        <v>0</v>
      </c>
      <c r="Q319" s="407"/>
      <c r="R319" s="407"/>
    </row>
    <row r="320" spans="1:18" x14ac:dyDescent="0.25">
      <c r="A320" s="152">
        <v>6245000</v>
      </c>
      <c r="B320" s="73" t="s">
        <v>267</v>
      </c>
      <c r="C320" s="88"/>
      <c r="D320" s="220">
        <f t="shared" si="36"/>
        <v>1</v>
      </c>
      <c r="E320" s="89"/>
      <c r="F320" s="89"/>
      <c r="G320" s="89"/>
      <c r="H320" s="89"/>
      <c r="I320" s="89"/>
      <c r="J320" s="212">
        <f t="shared" si="37"/>
        <v>0</v>
      </c>
      <c r="K320" s="212">
        <f t="shared" si="37"/>
        <v>0</v>
      </c>
      <c r="L320" s="212">
        <f t="shared" si="37"/>
        <v>0</v>
      </c>
      <c r="M320" s="212">
        <f t="shared" si="37"/>
        <v>0</v>
      </c>
      <c r="N320" s="212">
        <f t="shared" si="37"/>
        <v>0</v>
      </c>
      <c r="O320" s="212">
        <f t="shared" si="37"/>
        <v>0</v>
      </c>
      <c r="P320" s="155">
        <f t="shared" si="37"/>
        <v>0</v>
      </c>
      <c r="Q320" s="407"/>
      <c r="R320" s="407"/>
    </row>
    <row r="321" spans="1:18" x14ac:dyDescent="0.25">
      <c r="A321" s="152">
        <v>6245000</v>
      </c>
      <c r="B321" s="73" t="s">
        <v>920</v>
      </c>
      <c r="C321" s="88"/>
      <c r="D321" s="220">
        <f t="shared" si="36"/>
        <v>0</v>
      </c>
      <c r="E321" s="89"/>
      <c r="F321" s="89"/>
      <c r="G321" s="89"/>
      <c r="H321" s="89"/>
      <c r="I321" s="89"/>
      <c r="J321" s="212">
        <f t="shared" si="37"/>
        <v>0</v>
      </c>
      <c r="K321" s="212">
        <f t="shared" si="37"/>
        <v>0</v>
      </c>
      <c r="L321" s="212">
        <f t="shared" si="37"/>
        <v>0</v>
      </c>
      <c r="M321" s="212">
        <f t="shared" si="37"/>
        <v>0</v>
      </c>
      <c r="N321" s="212">
        <f t="shared" si="37"/>
        <v>0</v>
      </c>
      <c r="O321" s="212">
        <f t="shared" si="37"/>
        <v>0</v>
      </c>
      <c r="P321" s="155">
        <f t="shared" si="37"/>
        <v>0</v>
      </c>
      <c r="Q321" s="407"/>
      <c r="R321" s="407"/>
    </row>
    <row r="322" spans="1:18" ht="15.75" thickBot="1" x14ac:dyDescent="0.3">
      <c r="Q322" s="407"/>
    </row>
    <row r="323" spans="1:18" ht="15.75" thickBot="1" x14ac:dyDescent="0.3">
      <c r="A323" s="218"/>
      <c r="B323" s="219"/>
      <c r="C323" s="219"/>
      <c r="D323" s="221">
        <f>D181-SUM(D182:D301)</f>
        <v>-23</v>
      </c>
      <c r="E323" s="218"/>
      <c r="F323" s="218"/>
      <c r="G323" s="218"/>
      <c r="H323" s="218"/>
      <c r="I323" s="218"/>
      <c r="J323" s="217">
        <f>J181-SUM(J182:J321)</f>
        <v>0</v>
      </c>
      <c r="K323" s="217">
        <f t="shared" ref="K323:P323" si="38">K181-SUM(K182:K321)</f>
        <v>0</v>
      </c>
      <c r="L323" s="217">
        <f>L181-SUM(L182:L321)</f>
        <v>0</v>
      </c>
      <c r="M323" s="217">
        <f t="shared" si="38"/>
        <v>0</v>
      </c>
      <c r="N323" s="217">
        <f t="shared" si="38"/>
        <v>0</v>
      </c>
      <c r="O323" s="217">
        <f t="shared" si="38"/>
        <v>0</v>
      </c>
      <c r="P323" s="217">
        <f t="shared" si="38"/>
        <v>0</v>
      </c>
    </row>
    <row r="324" spans="1:18" s="16" customFormat="1" x14ac:dyDescent="0.25">
      <c r="A324" s="4"/>
      <c r="B324" s="3"/>
      <c r="C324" s="3"/>
      <c r="D324" s="4"/>
      <c r="E324" s="4"/>
      <c r="F324" s="4"/>
      <c r="G324" s="4"/>
      <c r="H324" s="4"/>
      <c r="I324" s="4"/>
      <c r="J324" s="4"/>
      <c r="K324" s="4"/>
      <c r="L324" s="4"/>
      <c r="M324" s="4"/>
      <c r="N324" s="4"/>
      <c r="O324" s="4"/>
      <c r="P324" s="4"/>
      <c r="Q324" s="4"/>
      <c r="R324"/>
    </row>
    <row r="325" spans="1:18" s="16" customFormat="1" ht="12.75" x14ac:dyDescent="0.2">
      <c r="A325" s="21" t="s">
        <v>186</v>
      </c>
      <c r="B325" s="21"/>
      <c r="C325"/>
      <c r="D325"/>
      <c r="E325" s="21"/>
      <c r="F325"/>
      <c r="G325"/>
      <c r="H325"/>
      <c r="I325"/>
      <c r="J325"/>
      <c r="K325"/>
      <c r="L325"/>
      <c r="M325"/>
      <c r="N325"/>
      <c r="O325"/>
      <c r="P325"/>
      <c r="Q325"/>
      <c r="R325"/>
    </row>
    <row r="326" spans="1:18" s="16" customFormat="1" ht="12.75" x14ac:dyDescent="0.2">
      <c r="A326"/>
      <c r="B326"/>
      <c r="C326"/>
      <c r="D326"/>
      <c r="E326"/>
      <c r="F326"/>
      <c r="G326"/>
      <c r="H326"/>
      <c r="I326"/>
      <c r="J326"/>
      <c r="K326"/>
      <c r="L326"/>
      <c r="M326"/>
      <c r="N326"/>
      <c r="O326"/>
      <c r="P326"/>
      <c r="Q326"/>
      <c r="R326"/>
    </row>
    <row r="327" spans="1:18" s="16" customFormat="1" ht="12.75" x14ac:dyDescent="0.2">
      <c r="A327" s="1" t="s">
        <v>187</v>
      </c>
      <c r="B327" s="1"/>
      <c r="C327"/>
      <c r="D327"/>
      <c r="E327" s="1"/>
      <c r="F327"/>
      <c r="G327"/>
      <c r="H327"/>
      <c r="I327"/>
      <c r="J327"/>
      <c r="K327"/>
      <c r="L327"/>
      <c r="M327"/>
      <c r="N327"/>
      <c r="O327"/>
      <c r="P327"/>
      <c r="Q327"/>
      <c r="R327"/>
    </row>
    <row r="328" spans="1:18" s="16" customFormat="1" ht="12.75" x14ac:dyDescent="0.2">
      <c r="A328" s="1" t="s">
        <v>188</v>
      </c>
      <c r="B328" s="1"/>
      <c r="C328"/>
      <c r="D328"/>
      <c r="E328" s="1"/>
      <c r="F328"/>
      <c r="G328"/>
      <c r="H328"/>
      <c r="I328"/>
      <c r="J328"/>
      <c r="K328"/>
      <c r="L328"/>
      <c r="M328"/>
      <c r="N328"/>
      <c r="O328"/>
      <c r="P328"/>
      <c r="Q328"/>
      <c r="R328"/>
    </row>
    <row r="329" spans="1:18" s="16" customFormat="1" ht="12.75" x14ac:dyDescent="0.2">
      <c r="A329"/>
      <c r="B329"/>
      <c r="C329"/>
      <c r="D329"/>
      <c r="E329"/>
      <c r="F329"/>
      <c r="G329"/>
      <c r="H329"/>
      <c r="I329"/>
      <c r="J329"/>
      <c r="K329"/>
      <c r="L329"/>
      <c r="M329"/>
      <c r="N329"/>
      <c r="O329"/>
      <c r="P329"/>
      <c r="Q329"/>
      <c r="R329"/>
    </row>
    <row r="330" spans="1:18" s="16" customFormat="1" ht="12.75" x14ac:dyDescent="0.2">
      <c r="A330"/>
      <c r="B330"/>
      <c r="C330"/>
      <c r="D330"/>
      <c r="E330"/>
      <c r="F330"/>
      <c r="G330"/>
      <c r="H330"/>
      <c r="I330"/>
      <c r="J330"/>
      <c r="K330"/>
      <c r="L330"/>
      <c r="M330"/>
      <c r="N330"/>
      <c r="O330"/>
      <c r="P330"/>
      <c r="Q330"/>
      <c r="R330"/>
    </row>
    <row r="331" spans="1:18" s="16" customFormat="1" ht="12.75" x14ac:dyDescent="0.2">
      <c r="A331"/>
      <c r="B331"/>
      <c r="C331"/>
      <c r="D331"/>
      <c r="E331"/>
      <c r="F331"/>
      <c r="G331"/>
      <c r="H331"/>
      <c r="I331"/>
      <c r="J331"/>
      <c r="K331"/>
      <c r="L331"/>
      <c r="M331"/>
      <c r="N331"/>
      <c r="O331"/>
      <c r="P331"/>
      <c r="Q331"/>
      <c r="R331"/>
    </row>
    <row r="332" spans="1:18" s="16" customFormat="1" ht="12.75" x14ac:dyDescent="0.2">
      <c r="A332"/>
      <c r="B332"/>
      <c r="C332"/>
      <c r="D332"/>
      <c r="E332"/>
      <c r="F332"/>
      <c r="G332"/>
      <c r="H332"/>
      <c r="I332"/>
      <c r="J332"/>
      <c r="K332"/>
      <c r="L332"/>
      <c r="M332"/>
      <c r="N332"/>
      <c r="O332"/>
      <c r="P332"/>
      <c r="Q332"/>
      <c r="R332"/>
    </row>
    <row r="333" spans="1:18" s="16" customFormat="1" ht="12.75" x14ac:dyDescent="0.2">
      <c r="A333"/>
      <c r="B333"/>
      <c r="C333"/>
      <c r="D333"/>
      <c r="E333"/>
      <c r="F333"/>
      <c r="G333"/>
      <c r="H333"/>
      <c r="I333"/>
      <c r="J333"/>
      <c r="K333"/>
      <c r="L333"/>
      <c r="M333"/>
      <c r="N333"/>
      <c r="O333"/>
      <c r="P333"/>
      <c r="Q333"/>
      <c r="R333"/>
    </row>
    <row r="334" spans="1:18" s="16" customFormat="1" ht="12.75" x14ac:dyDescent="0.2">
      <c r="A334"/>
      <c r="B334"/>
      <c r="C334"/>
      <c r="D334"/>
      <c r="E334"/>
      <c r="F334"/>
      <c r="G334"/>
      <c r="H334"/>
      <c r="I334"/>
      <c r="J334"/>
      <c r="K334"/>
      <c r="L334"/>
      <c r="M334"/>
      <c r="N334"/>
      <c r="O334"/>
      <c r="P334"/>
      <c r="Q334"/>
      <c r="R334"/>
    </row>
    <row r="335" spans="1:18" s="16" customFormat="1" ht="12.75" x14ac:dyDescent="0.2">
      <c r="A335" s="21" t="s">
        <v>190</v>
      </c>
      <c r="B335"/>
      <c r="C335"/>
      <c r="D335" s="23" t="s">
        <v>191</v>
      </c>
      <c r="E335"/>
      <c r="F335" s="23" t="s">
        <v>192</v>
      </c>
      <c r="G335"/>
      <c r="H335"/>
      <c r="I335"/>
      <c r="J335" s="23"/>
      <c r="K335" s="23"/>
      <c r="L335" s="23"/>
      <c r="M335" s="23"/>
      <c r="N335" s="23"/>
      <c r="O335"/>
      <c r="P335"/>
      <c r="Q335"/>
      <c r="R335"/>
    </row>
    <row r="336" spans="1:18" s="16" customFormat="1" ht="12.75" x14ac:dyDescent="0.2">
      <c r="A336" s="1" t="s">
        <v>187</v>
      </c>
      <c r="B336"/>
      <c r="C336"/>
      <c r="D336"/>
      <c r="E336"/>
      <c r="F336"/>
      <c r="G336"/>
      <c r="H336"/>
      <c r="I336"/>
      <c r="J336"/>
      <c r="K336"/>
      <c r="L336"/>
      <c r="M336"/>
      <c r="N336"/>
      <c r="O336"/>
      <c r="P336"/>
      <c r="Q336"/>
      <c r="R336"/>
    </row>
    <row r="337" spans="1:18" s="16" customFormat="1" ht="12.75" x14ac:dyDescent="0.2">
      <c r="A337" s="1" t="s">
        <v>188</v>
      </c>
      <c r="B337"/>
      <c r="C337"/>
      <c r="D337"/>
      <c r="E337"/>
      <c r="F337"/>
      <c r="G337"/>
      <c r="H337"/>
      <c r="I337"/>
      <c r="J337"/>
      <c r="K337"/>
      <c r="L337"/>
      <c r="M337"/>
      <c r="N337"/>
      <c r="O337"/>
      <c r="P337"/>
      <c r="Q337"/>
      <c r="R337"/>
    </row>
    <row r="338" spans="1:18" ht="12.75" x14ac:dyDescent="0.2">
      <c r="A338"/>
      <c r="B338"/>
      <c r="C338"/>
      <c r="D338"/>
      <c r="E338"/>
      <c r="F338"/>
      <c r="G338"/>
      <c r="H338"/>
      <c r="I338"/>
      <c r="J338"/>
      <c r="K338"/>
      <c r="L338"/>
      <c r="M338"/>
      <c r="N338"/>
      <c r="O338"/>
      <c r="P338"/>
      <c r="Q338"/>
    </row>
    <row r="353" spans="1:18" ht="12.75" x14ac:dyDescent="0.2">
      <c r="A353" s="152">
        <v>6210000</v>
      </c>
      <c r="B353" s="73"/>
      <c r="C353" s="51" t="s">
        <v>986</v>
      </c>
      <c r="D353" s="89"/>
      <c r="E353" s="89"/>
      <c r="F353" s="89"/>
      <c r="G353" s="89"/>
      <c r="H353" s="89"/>
      <c r="I353" s="89"/>
      <c r="J353" s="212">
        <f t="shared" ref="J353:P362" si="39">SUMIFS(J$26:J$180,$A$26:$A$180,$A353,$C$26:$C$180,$C353)</f>
        <v>0</v>
      </c>
      <c r="K353" s="212">
        <f t="shared" si="39"/>
        <v>0</v>
      </c>
      <c r="L353" s="212">
        <f t="shared" si="39"/>
        <v>0</v>
      </c>
      <c r="M353" s="212">
        <f t="shared" si="39"/>
        <v>0</v>
      </c>
      <c r="N353" s="212">
        <f t="shared" si="39"/>
        <v>0</v>
      </c>
      <c r="O353" s="212">
        <f t="shared" si="39"/>
        <v>0</v>
      </c>
      <c r="P353" s="155">
        <f t="shared" si="39"/>
        <v>0</v>
      </c>
    </row>
    <row r="354" spans="1:18" ht="12.75" x14ac:dyDescent="0.2">
      <c r="A354" s="152">
        <v>6210000</v>
      </c>
      <c r="B354" s="73"/>
      <c r="C354" s="51" t="s">
        <v>988</v>
      </c>
      <c r="D354" s="89"/>
      <c r="E354" s="89"/>
      <c r="F354" s="89"/>
      <c r="G354" s="89"/>
      <c r="H354" s="89"/>
      <c r="I354" s="89"/>
      <c r="J354" s="212">
        <f t="shared" si="39"/>
        <v>0</v>
      </c>
      <c r="K354" s="212">
        <f t="shared" si="39"/>
        <v>0</v>
      </c>
      <c r="L354" s="212">
        <f t="shared" si="39"/>
        <v>0</v>
      </c>
      <c r="M354" s="212">
        <f t="shared" si="39"/>
        <v>0</v>
      </c>
      <c r="N354" s="212">
        <f t="shared" si="39"/>
        <v>0</v>
      </c>
      <c r="O354" s="212">
        <f t="shared" si="39"/>
        <v>0</v>
      </c>
      <c r="P354" s="155">
        <f t="shared" si="39"/>
        <v>0</v>
      </c>
    </row>
    <row r="355" spans="1:18" ht="12.75" x14ac:dyDescent="0.2">
      <c r="A355" s="152">
        <v>6210000</v>
      </c>
      <c r="B355" s="73"/>
      <c r="C355" s="51" t="s">
        <v>1058</v>
      </c>
      <c r="D355" s="89"/>
      <c r="E355" s="89"/>
      <c r="F355" s="89"/>
      <c r="G355" s="89"/>
      <c r="H355" s="89"/>
      <c r="I355" s="89"/>
      <c r="J355" s="212">
        <f t="shared" si="39"/>
        <v>0</v>
      </c>
      <c r="K355" s="212">
        <f t="shared" si="39"/>
        <v>0</v>
      </c>
      <c r="L355" s="212">
        <f t="shared" si="39"/>
        <v>0</v>
      </c>
      <c r="M355" s="212">
        <f t="shared" si="39"/>
        <v>0</v>
      </c>
      <c r="N355" s="212">
        <f t="shared" si="39"/>
        <v>0</v>
      </c>
      <c r="O355" s="212">
        <f t="shared" si="39"/>
        <v>0</v>
      </c>
      <c r="P355" s="155">
        <f t="shared" si="39"/>
        <v>0</v>
      </c>
    </row>
    <row r="356" spans="1:18" ht="12.75" x14ac:dyDescent="0.2">
      <c r="A356" s="152">
        <v>6210000</v>
      </c>
      <c r="B356" s="73"/>
      <c r="C356" s="51" t="s">
        <v>972</v>
      </c>
      <c r="D356" s="89"/>
      <c r="E356" s="89"/>
      <c r="F356" s="89"/>
      <c r="G356" s="89"/>
      <c r="H356" s="89"/>
      <c r="I356" s="89"/>
      <c r="J356" s="212">
        <f t="shared" si="39"/>
        <v>0</v>
      </c>
      <c r="K356" s="212">
        <f t="shared" si="39"/>
        <v>0</v>
      </c>
      <c r="L356" s="212">
        <f t="shared" si="39"/>
        <v>0</v>
      </c>
      <c r="M356" s="212">
        <f t="shared" si="39"/>
        <v>0</v>
      </c>
      <c r="N356" s="212">
        <f t="shared" si="39"/>
        <v>0</v>
      </c>
      <c r="O356" s="212">
        <f t="shared" si="39"/>
        <v>750</v>
      </c>
      <c r="P356" s="155">
        <f t="shared" si="39"/>
        <v>750</v>
      </c>
    </row>
    <row r="357" spans="1:18" ht="12.75" x14ac:dyDescent="0.2">
      <c r="A357" s="152">
        <v>6210000</v>
      </c>
      <c r="B357" s="73"/>
      <c r="C357" s="51" t="s">
        <v>973</v>
      </c>
      <c r="D357" s="89"/>
      <c r="E357" s="89"/>
      <c r="F357" s="89"/>
      <c r="G357" s="89"/>
      <c r="H357" s="89"/>
      <c r="I357" s="89"/>
      <c r="J357" s="212">
        <f t="shared" si="39"/>
        <v>0</v>
      </c>
      <c r="K357" s="212">
        <f t="shared" si="39"/>
        <v>0</v>
      </c>
      <c r="L357" s="212">
        <f t="shared" si="39"/>
        <v>0</v>
      </c>
      <c r="M357" s="212">
        <f t="shared" si="39"/>
        <v>0</v>
      </c>
      <c r="N357" s="212">
        <f t="shared" si="39"/>
        <v>0</v>
      </c>
      <c r="O357" s="212">
        <f t="shared" si="39"/>
        <v>0</v>
      </c>
      <c r="P357" s="155">
        <f t="shared" si="39"/>
        <v>0</v>
      </c>
    </row>
    <row r="358" spans="1:18" ht="12.75" x14ac:dyDescent="0.2">
      <c r="A358" s="152">
        <v>6210000</v>
      </c>
      <c r="B358" s="73"/>
      <c r="C358" s="51" t="s">
        <v>980</v>
      </c>
      <c r="D358" s="89"/>
      <c r="E358" s="89"/>
      <c r="F358" s="89"/>
      <c r="G358" s="89"/>
      <c r="H358" s="89"/>
      <c r="I358" s="89"/>
      <c r="J358" s="212">
        <f t="shared" si="39"/>
        <v>0</v>
      </c>
      <c r="K358" s="212">
        <f t="shared" si="39"/>
        <v>0</v>
      </c>
      <c r="L358" s="212">
        <f t="shared" si="39"/>
        <v>0</v>
      </c>
      <c r="M358" s="212">
        <f t="shared" si="39"/>
        <v>0</v>
      </c>
      <c r="N358" s="212">
        <f t="shared" si="39"/>
        <v>0</v>
      </c>
      <c r="O358" s="212">
        <f t="shared" si="39"/>
        <v>0</v>
      </c>
      <c r="P358" s="155">
        <f t="shared" si="39"/>
        <v>0</v>
      </c>
      <c r="R358" s="284"/>
    </row>
    <row r="359" spans="1:18" ht="12.75" x14ac:dyDescent="0.2">
      <c r="A359" s="152">
        <v>6210000</v>
      </c>
      <c r="B359" s="73"/>
      <c r="C359" s="404" t="s">
        <v>982</v>
      </c>
      <c r="D359" s="89"/>
      <c r="E359" s="89"/>
      <c r="F359" s="89"/>
      <c r="G359" s="89"/>
      <c r="H359" s="89"/>
      <c r="I359" s="89"/>
      <c r="J359" s="212">
        <f t="shared" si="39"/>
        <v>0</v>
      </c>
      <c r="K359" s="212">
        <f t="shared" si="39"/>
        <v>0</v>
      </c>
      <c r="L359" s="212">
        <f t="shared" si="39"/>
        <v>0</v>
      </c>
      <c r="M359" s="212">
        <f t="shared" si="39"/>
        <v>0</v>
      </c>
      <c r="N359" s="212">
        <f t="shared" si="39"/>
        <v>0</v>
      </c>
      <c r="O359" s="212">
        <f t="shared" si="39"/>
        <v>0</v>
      </c>
      <c r="P359" s="155">
        <f t="shared" si="39"/>
        <v>0</v>
      </c>
      <c r="Q359" s="284"/>
    </row>
    <row r="360" spans="1:18" ht="12.75" x14ac:dyDescent="0.2">
      <c r="A360" s="152">
        <v>6210000</v>
      </c>
      <c r="B360" s="73"/>
      <c r="C360" s="51" t="s">
        <v>46</v>
      </c>
      <c r="D360" s="89"/>
      <c r="E360" s="89"/>
      <c r="F360" s="89"/>
      <c r="G360" s="89"/>
      <c r="H360" s="89"/>
      <c r="I360" s="89"/>
      <c r="J360" s="212">
        <f t="shared" si="39"/>
        <v>0</v>
      </c>
      <c r="K360" s="212">
        <f t="shared" si="39"/>
        <v>0</v>
      </c>
      <c r="L360" s="212">
        <f t="shared" si="39"/>
        <v>0</v>
      </c>
      <c r="M360" s="212">
        <f t="shared" si="39"/>
        <v>0</v>
      </c>
      <c r="N360" s="212">
        <f t="shared" si="39"/>
        <v>0</v>
      </c>
      <c r="O360" s="212">
        <f t="shared" si="39"/>
        <v>4800</v>
      </c>
      <c r="P360" s="155">
        <f t="shared" si="39"/>
        <v>4800</v>
      </c>
    </row>
    <row r="361" spans="1:18" ht="12.75" x14ac:dyDescent="0.2">
      <c r="A361" s="152">
        <v>6210000</v>
      </c>
      <c r="B361" s="73"/>
      <c r="C361" s="51" t="s">
        <v>1019</v>
      </c>
      <c r="D361" s="89"/>
      <c r="E361" s="89"/>
      <c r="F361" s="89"/>
      <c r="G361" s="89"/>
      <c r="H361" s="89"/>
      <c r="I361" s="89"/>
      <c r="J361" s="212">
        <f t="shared" si="39"/>
        <v>550</v>
      </c>
      <c r="K361" s="212">
        <f t="shared" si="39"/>
        <v>0</v>
      </c>
      <c r="L361" s="485">
        <f t="shared" si="39"/>
        <v>5000</v>
      </c>
      <c r="M361" s="212">
        <f t="shared" si="39"/>
        <v>0</v>
      </c>
      <c r="N361" s="212">
        <f t="shared" si="39"/>
        <v>0</v>
      </c>
      <c r="O361" s="212">
        <f t="shared" si="39"/>
        <v>9000</v>
      </c>
      <c r="P361" s="155">
        <f t="shared" si="39"/>
        <v>14550</v>
      </c>
    </row>
    <row r="362" spans="1:18" ht="12.75" x14ac:dyDescent="0.2">
      <c r="A362" s="152">
        <v>6210000</v>
      </c>
      <c r="B362" s="73"/>
      <c r="C362" s="51" t="s">
        <v>1050</v>
      </c>
      <c r="D362" s="89"/>
      <c r="E362" s="89"/>
      <c r="F362" s="89"/>
      <c r="G362" s="89"/>
      <c r="H362" s="89"/>
      <c r="I362" s="89"/>
      <c r="J362" s="212">
        <f t="shared" si="39"/>
        <v>0</v>
      </c>
      <c r="K362" s="212">
        <f t="shared" si="39"/>
        <v>0</v>
      </c>
      <c r="L362" s="212">
        <f t="shared" si="39"/>
        <v>0</v>
      </c>
      <c r="M362" s="212">
        <f t="shared" si="39"/>
        <v>0</v>
      </c>
      <c r="N362" s="212">
        <f t="shared" si="39"/>
        <v>0</v>
      </c>
      <c r="O362" s="212">
        <f t="shared" si="39"/>
        <v>0</v>
      </c>
      <c r="P362" s="155">
        <f t="shared" si="39"/>
        <v>0</v>
      </c>
    </row>
    <row r="363" spans="1:18" ht="12.75" x14ac:dyDescent="0.2">
      <c r="A363" s="152">
        <v>6210000</v>
      </c>
      <c r="B363" s="73"/>
      <c r="C363" s="51" t="s">
        <v>100</v>
      </c>
      <c r="D363" s="89"/>
      <c r="E363" s="89"/>
      <c r="F363" s="89"/>
      <c r="G363" s="89"/>
      <c r="H363" s="89"/>
      <c r="I363" s="89"/>
      <c r="J363" s="212">
        <f t="shared" ref="J363:P372" si="40">SUMIFS(J$26:J$180,$A$26:$A$180,$A363,$C$26:$C$180,$C363)</f>
        <v>0</v>
      </c>
      <c r="K363" s="212">
        <f t="shared" si="40"/>
        <v>0</v>
      </c>
      <c r="L363" s="212">
        <f t="shared" si="40"/>
        <v>0</v>
      </c>
      <c r="M363" s="212">
        <f t="shared" si="40"/>
        <v>0</v>
      </c>
      <c r="N363" s="212">
        <f t="shared" si="40"/>
        <v>0</v>
      </c>
      <c r="O363" s="212">
        <f t="shared" si="40"/>
        <v>0</v>
      </c>
      <c r="P363" s="155">
        <f t="shared" si="40"/>
        <v>0</v>
      </c>
    </row>
    <row r="364" spans="1:18" ht="12.75" x14ac:dyDescent="0.2">
      <c r="A364" s="152">
        <v>6210000</v>
      </c>
      <c r="B364" s="73"/>
      <c r="C364" s="51" t="s">
        <v>101</v>
      </c>
      <c r="D364" s="89"/>
      <c r="E364" s="89"/>
      <c r="F364" s="89"/>
      <c r="G364" s="89"/>
      <c r="H364" s="89"/>
      <c r="I364" s="89"/>
      <c r="J364" s="212">
        <f t="shared" si="40"/>
        <v>0</v>
      </c>
      <c r="K364" s="212">
        <f t="shared" si="40"/>
        <v>0</v>
      </c>
      <c r="L364" s="212">
        <f t="shared" si="40"/>
        <v>0</v>
      </c>
      <c r="M364" s="212">
        <f t="shared" si="40"/>
        <v>0</v>
      </c>
      <c r="N364" s="212">
        <f t="shared" si="40"/>
        <v>0</v>
      </c>
      <c r="O364" s="212">
        <f t="shared" si="40"/>
        <v>0</v>
      </c>
      <c r="P364" s="155">
        <f t="shared" si="40"/>
        <v>0</v>
      </c>
    </row>
    <row r="365" spans="1:18" ht="12.75" x14ac:dyDescent="0.2">
      <c r="A365" s="152">
        <v>6210000</v>
      </c>
      <c r="B365" s="73"/>
      <c r="C365" s="51" t="s">
        <v>1056</v>
      </c>
      <c r="D365" s="89"/>
      <c r="E365" s="89"/>
      <c r="F365" s="89"/>
      <c r="G365" s="89"/>
      <c r="H365" s="89"/>
      <c r="I365" s="89"/>
      <c r="J365" s="212">
        <f t="shared" si="40"/>
        <v>0</v>
      </c>
      <c r="K365" s="212">
        <f t="shared" si="40"/>
        <v>0</v>
      </c>
      <c r="L365" s="212">
        <f t="shared" si="40"/>
        <v>0</v>
      </c>
      <c r="M365" s="212">
        <f t="shared" si="40"/>
        <v>0</v>
      </c>
      <c r="N365" s="212">
        <f t="shared" si="40"/>
        <v>0</v>
      </c>
      <c r="O365" s="212">
        <f t="shared" si="40"/>
        <v>0</v>
      </c>
      <c r="P365" s="155">
        <f t="shared" si="40"/>
        <v>0</v>
      </c>
    </row>
    <row r="366" spans="1:18" ht="12.75" x14ac:dyDescent="0.2">
      <c r="A366" s="152">
        <v>6210000</v>
      </c>
      <c r="B366" s="73"/>
      <c r="C366" s="51" t="s">
        <v>1057</v>
      </c>
      <c r="D366" s="89"/>
      <c r="E366" s="89"/>
      <c r="F366" s="89"/>
      <c r="G366" s="89"/>
      <c r="H366" s="89"/>
      <c r="I366" s="89"/>
      <c r="J366" s="212">
        <f t="shared" si="40"/>
        <v>0</v>
      </c>
      <c r="K366" s="212">
        <f t="shared" si="40"/>
        <v>0</v>
      </c>
      <c r="L366" s="212">
        <f t="shared" si="40"/>
        <v>1750</v>
      </c>
      <c r="M366" s="212">
        <f t="shared" si="40"/>
        <v>0</v>
      </c>
      <c r="N366" s="212">
        <f t="shared" si="40"/>
        <v>0</v>
      </c>
      <c r="O366" s="212">
        <f t="shared" si="40"/>
        <v>1750</v>
      </c>
      <c r="P366" s="155">
        <f t="shared" si="40"/>
        <v>3500</v>
      </c>
    </row>
    <row r="367" spans="1:18" ht="12.75" x14ac:dyDescent="0.2">
      <c r="A367" s="152">
        <v>6210000</v>
      </c>
      <c r="B367" s="73"/>
      <c r="C367" s="51" t="s">
        <v>944</v>
      </c>
      <c r="D367" s="89"/>
      <c r="E367" s="89"/>
      <c r="F367" s="89"/>
      <c r="G367" s="89"/>
      <c r="H367" s="89"/>
      <c r="I367" s="89"/>
      <c r="J367" s="212">
        <f t="shared" si="40"/>
        <v>0</v>
      </c>
      <c r="K367" s="212">
        <f t="shared" si="40"/>
        <v>0</v>
      </c>
      <c r="L367" s="212">
        <f t="shared" si="40"/>
        <v>0</v>
      </c>
      <c r="M367" s="212">
        <f t="shared" si="40"/>
        <v>0</v>
      </c>
      <c r="N367" s="212">
        <f t="shared" si="40"/>
        <v>0</v>
      </c>
      <c r="O367" s="212">
        <f t="shared" si="40"/>
        <v>0</v>
      </c>
      <c r="P367" s="155">
        <f t="shared" si="40"/>
        <v>0</v>
      </c>
    </row>
    <row r="368" spans="1:18" ht="12.75" x14ac:dyDescent="0.2">
      <c r="A368" s="152">
        <v>6210000</v>
      </c>
      <c r="B368" s="73"/>
      <c r="C368" s="51" t="s">
        <v>945</v>
      </c>
      <c r="D368" s="89"/>
      <c r="E368" s="89"/>
      <c r="F368" s="89"/>
      <c r="G368" s="89"/>
      <c r="H368" s="89"/>
      <c r="I368" s="89"/>
      <c r="J368" s="212">
        <f t="shared" si="40"/>
        <v>0</v>
      </c>
      <c r="K368" s="212">
        <f t="shared" si="40"/>
        <v>0</v>
      </c>
      <c r="L368" s="212">
        <f t="shared" si="40"/>
        <v>0</v>
      </c>
      <c r="M368" s="212">
        <f t="shared" si="40"/>
        <v>0</v>
      </c>
      <c r="N368" s="212">
        <f t="shared" si="40"/>
        <v>0</v>
      </c>
      <c r="O368" s="212">
        <f t="shared" si="40"/>
        <v>0</v>
      </c>
      <c r="P368" s="155">
        <f t="shared" si="40"/>
        <v>0</v>
      </c>
    </row>
    <row r="369" spans="1:16" ht="12.75" x14ac:dyDescent="0.2">
      <c r="A369" s="152">
        <v>6210000</v>
      </c>
      <c r="B369" s="73"/>
      <c r="C369" s="51" t="s">
        <v>965</v>
      </c>
      <c r="D369" s="89"/>
      <c r="E369" s="89"/>
      <c r="F369" s="89"/>
      <c r="G369" s="89"/>
      <c r="H369" s="89"/>
      <c r="I369" s="89"/>
      <c r="J369" s="212">
        <f t="shared" si="40"/>
        <v>0</v>
      </c>
      <c r="K369" s="212">
        <f t="shared" si="40"/>
        <v>0</v>
      </c>
      <c r="L369" s="212">
        <f t="shared" si="40"/>
        <v>0</v>
      </c>
      <c r="M369" s="212">
        <f t="shared" si="40"/>
        <v>0</v>
      </c>
      <c r="N369" s="212">
        <f t="shared" si="40"/>
        <v>0</v>
      </c>
      <c r="O369" s="212">
        <f t="shared" si="40"/>
        <v>0</v>
      </c>
      <c r="P369" s="155">
        <f t="shared" si="40"/>
        <v>0</v>
      </c>
    </row>
    <row r="370" spans="1:16" ht="12.75" x14ac:dyDescent="0.2">
      <c r="A370" s="152">
        <v>6210000</v>
      </c>
      <c r="B370" s="73"/>
      <c r="C370" s="51" t="s">
        <v>1011</v>
      </c>
      <c r="D370" s="89"/>
      <c r="E370" s="89"/>
      <c r="F370" s="89"/>
      <c r="G370" s="89"/>
      <c r="H370" s="89"/>
      <c r="I370" s="89"/>
      <c r="J370" s="212">
        <f t="shared" si="40"/>
        <v>0</v>
      </c>
      <c r="K370" s="212">
        <f t="shared" si="40"/>
        <v>0</v>
      </c>
      <c r="L370" s="212">
        <f t="shared" si="40"/>
        <v>0</v>
      </c>
      <c r="M370" s="212">
        <f t="shared" si="40"/>
        <v>0</v>
      </c>
      <c r="N370" s="212">
        <f t="shared" si="40"/>
        <v>0</v>
      </c>
      <c r="O370" s="212">
        <f t="shared" si="40"/>
        <v>0</v>
      </c>
      <c r="P370" s="155">
        <f t="shared" si="40"/>
        <v>0</v>
      </c>
    </row>
    <row r="371" spans="1:16" ht="12.75" x14ac:dyDescent="0.2">
      <c r="A371" s="152">
        <v>6210000</v>
      </c>
      <c r="B371" s="73"/>
      <c r="C371" s="51" t="s">
        <v>1010</v>
      </c>
      <c r="D371" s="89"/>
      <c r="E371" s="89"/>
      <c r="F371" s="89"/>
      <c r="G371" s="89"/>
      <c r="H371" s="89"/>
      <c r="I371" s="89"/>
      <c r="J371" s="212">
        <f t="shared" si="40"/>
        <v>0</v>
      </c>
      <c r="K371" s="212">
        <f t="shared" si="40"/>
        <v>0</v>
      </c>
      <c r="L371" s="212">
        <f t="shared" si="40"/>
        <v>0</v>
      </c>
      <c r="M371" s="212">
        <f t="shared" si="40"/>
        <v>0</v>
      </c>
      <c r="N371" s="212">
        <f t="shared" si="40"/>
        <v>0</v>
      </c>
      <c r="O371" s="212">
        <f t="shared" si="40"/>
        <v>0</v>
      </c>
      <c r="P371" s="155">
        <f t="shared" si="40"/>
        <v>0</v>
      </c>
    </row>
    <row r="372" spans="1:16" ht="12.75" x14ac:dyDescent="0.2">
      <c r="A372" s="152">
        <v>6210000</v>
      </c>
      <c r="B372" s="73"/>
      <c r="C372" s="51" t="s">
        <v>1013</v>
      </c>
      <c r="D372" s="89"/>
      <c r="E372" s="89"/>
      <c r="F372" s="89"/>
      <c r="G372" s="89"/>
      <c r="H372" s="89"/>
      <c r="I372" s="89"/>
      <c r="J372" s="212">
        <f t="shared" si="40"/>
        <v>0</v>
      </c>
      <c r="K372" s="212">
        <f t="shared" si="40"/>
        <v>0</v>
      </c>
      <c r="L372" s="212">
        <f t="shared" si="40"/>
        <v>0</v>
      </c>
      <c r="M372" s="212">
        <f t="shared" si="40"/>
        <v>0</v>
      </c>
      <c r="N372" s="212">
        <f t="shared" si="40"/>
        <v>0</v>
      </c>
      <c r="O372" s="212">
        <f t="shared" si="40"/>
        <v>0</v>
      </c>
      <c r="P372" s="155">
        <f t="shared" si="40"/>
        <v>0</v>
      </c>
    </row>
    <row r="373" spans="1:16" ht="12.75" x14ac:dyDescent="0.2">
      <c r="A373" s="152">
        <v>6210000</v>
      </c>
      <c r="B373" s="73"/>
      <c r="C373" s="51" t="s">
        <v>1012</v>
      </c>
      <c r="D373" s="89"/>
      <c r="E373" s="89"/>
      <c r="F373" s="89"/>
      <c r="G373" s="89"/>
      <c r="H373" s="89"/>
      <c r="I373" s="89"/>
      <c r="J373" s="212">
        <f t="shared" ref="J373:P382" si="41">SUMIFS(J$26:J$180,$A$26:$A$180,$A373,$C$26:$C$180,$C373)</f>
        <v>0</v>
      </c>
      <c r="K373" s="212">
        <f t="shared" si="41"/>
        <v>0</v>
      </c>
      <c r="L373" s="212">
        <f t="shared" si="41"/>
        <v>0</v>
      </c>
      <c r="M373" s="212">
        <f t="shared" si="41"/>
        <v>0</v>
      </c>
      <c r="N373" s="212">
        <f t="shared" si="41"/>
        <v>0</v>
      </c>
      <c r="O373" s="212">
        <f t="shared" si="41"/>
        <v>0</v>
      </c>
      <c r="P373" s="155">
        <f t="shared" si="41"/>
        <v>0</v>
      </c>
    </row>
    <row r="374" spans="1:16" ht="12.75" x14ac:dyDescent="0.2">
      <c r="A374" s="152">
        <v>6210000</v>
      </c>
      <c r="B374" s="73"/>
      <c r="C374" s="51" t="s">
        <v>1052</v>
      </c>
      <c r="D374" s="89"/>
      <c r="E374" s="89"/>
      <c r="F374" s="89"/>
      <c r="G374" s="89"/>
      <c r="H374" s="89"/>
      <c r="I374" s="89"/>
      <c r="J374" s="212">
        <f t="shared" si="41"/>
        <v>0</v>
      </c>
      <c r="K374" s="212">
        <f t="shared" si="41"/>
        <v>0</v>
      </c>
      <c r="L374" s="212">
        <f t="shared" si="41"/>
        <v>0</v>
      </c>
      <c r="M374" s="212">
        <f t="shared" si="41"/>
        <v>0</v>
      </c>
      <c r="N374" s="212">
        <f t="shared" si="41"/>
        <v>0</v>
      </c>
      <c r="O374" s="212">
        <f t="shared" si="41"/>
        <v>0</v>
      </c>
      <c r="P374" s="155">
        <f t="shared" si="41"/>
        <v>0</v>
      </c>
    </row>
    <row r="375" spans="1:16" ht="12.75" x14ac:dyDescent="0.2">
      <c r="A375" s="152">
        <v>6210000</v>
      </c>
      <c r="B375" s="73"/>
      <c r="C375" s="51" t="s">
        <v>1053</v>
      </c>
      <c r="D375" s="89"/>
      <c r="E375" s="89"/>
      <c r="F375" s="89"/>
      <c r="G375" s="89"/>
      <c r="H375" s="89"/>
      <c r="I375" s="89"/>
      <c r="J375" s="212">
        <f t="shared" si="41"/>
        <v>0</v>
      </c>
      <c r="K375" s="212">
        <f t="shared" si="41"/>
        <v>0</v>
      </c>
      <c r="L375" s="212">
        <f t="shared" si="41"/>
        <v>0</v>
      </c>
      <c r="M375" s="212">
        <f t="shared" si="41"/>
        <v>0</v>
      </c>
      <c r="N375" s="212">
        <f t="shared" si="41"/>
        <v>0</v>
      </c>
      <c r="O375" s="212">
        <f t="shared" si="41"/>
        <v>0</v>
      </c>
      <c r="P375" s="155">
        <f t="shared" si="41"/>
        <v>0</v>
      </c>
    </row>
    <row r="376" spans="1:16" ht="12.75" x14ac:dyDescent="0.2">
      <c r="A376" s="152">
        <v>6210000</v>
      </c>
      <c r="B376" s="73"/>
      <c r="C376" s="51" t="s">
        <v>984</v>
      </c>
      <c r="D376" s="89"/>
      <c r="E376" s="89"/>
      <c r="F376" s="89"/>
      <c r="G376" s="89"/>
      <c r="H376" s="89"/>
      <c r="I376" s="89"/>
      <c r="J376" s="212">
        <f t="shared" si="41"/>
        <v>0</v>
      </c>
      <c r="K376" s="212">
        <f t="shared" si="41"/>
        <v>0</v>
      </c>
      <c r="L376" s="212">
        <f t="shared" si="41"/>
        <v>0</v>
      </c>
      <c r="M376" s="212">
        <f t="shared" si="41"/>
        <v>0</v>
      </c>
      <c r="N376" s="212">
        <f t="shared" si="41"/>
        <v>0</v>
      </c>
      <c r="O376" s="212">
        <f t="shared" si="41"/>
        <v>0</v>
      </c>
      <c r="P376" s="155">
        <f t="shared" si="41"/>
        <v>0</v>
      </c>
    </row>
    <row r="377" spans="1:16" ht="12.75" x14ac:dyDescent="0.2">
      <c r="A377" s="152">
        <v>6210000</v>
      </c>
      <c r="B377" s="73"/>
      <c r="C377" s="51" t="s">
        <v>985</v>
      </c>
      <c r="D377" s="89"/>
      <c r="E377" s="89"/>
      <c r="F377" s="89"/>
      <c r="G377" s="89"/>
      <c r="H377" s="89"/>
      <c r="I377" s="89"/>
      <c r="J377" s="212">
        <f t="shared" si="41"/>
        <v>0</v>
      </c>
      <c r="K377" s="212">
        <f t="shared" si="41"/>
        <v>0</v>
      </c>
      <c r="L377" s="212">
        <f t="shared" si="41"/>
        <v>0</v>
      </c>
      <c r="M377" s="212">
        <f t="shared" si="41"/>
        <v>0</v>
      </c>
      <c r="N377" s="212">
        <f t="shared" si="41"/>
        <v>0</v>
      </c>
      <c r="O377" s="212">
        <f t="shared" si="41"/>
        <v>750</v>
      </c>
      <c r="P377" s="155">
        <f t="shared" si="41"/>
        <v>750</v>
      </c>
    </row>
    <row r="378" spans="1:16" ht="12.75" x14ac:dyDescent="0.2">
      <c r="A378" s="152">
        <v>6210000</v>
      </c>
      <c r="B378" s="73"/>
      <c r="C378" s="51" t="s">
        <v>1005</v>
      </c>
      <c r="D378" s="89"/>
      <c r="E378" s="89"/>
      <c r="F378" s="89"/>
      <c r="G378" s="89"/>
      <c r="H378" s="89"/>
      <c r="I378" s="89"/>
      <c r="J378" s="212">
        <f t="shared" si="41"/>
        <v>0</v>
      </c>
      <c r="K378" s="212">
        <f t="shared" si="41"/>
        <v>0</v>
      </c>
      <c r="L378" s="212">
        <f t="shared" si="41"/>
        <v>0</v>
      </c>
      <c r="M378" s="212">
        <f t="shared" si="41"/>
        <v>0</v>
      </c>
      <c r="N378" s="212">
        <f t="shared" si="41"/>
        <v>0</v>
      </c>
      <c r="O378" s="212">
        <f t="shared" si="41"/>
        <v>0</v>
      </c>
      <c r="P378" s="155">
        <f t="shared" si="41"/>
        <v>0</v>
      </c>
    </row>
    <row r="379" spans="1:16" ht="12.75" x14ac:dyDescent="0.2">
      <c r="A379" s="152">
        <v>6210000</v>
      </c>
      <c r="B379" s="73"/>
      <c r="C379" s="51" t="s">
        <v>1004</v>
      </c>
      <c r="D379" s="89"/>
      <c r="E379" s="89"/>
      <c r="F379" s="89"/>
      <c r="G379" s="89"/>
      <c r="H379" s="89"/>
      <c r="I379" s="89"/>
      <c r="J379" s="212">
        <f t="shared" si="41"/>
        <v>0</v>
      </c>
      <c r="K379" s="212">
        <f t="shared" si="41"/>
        <v>0</v>
      </c>
      <c r="L379" s="212">
        <f t="shared" si="41"/>
        <v>0</v>
      </c>
      <c r="M379" s="212">
        <f t="shared" si="41"/>
        <v>0</v>
      </c>
      <c r="N379" s="212">
        <f t="shared" si="41"/>
        <v>0</v>
      </c>
      <c r="O379" s="212">
        <f t="shared" si="41"/>
        <v>0</v>
      </c>
      <c r="P379" s="155">
        <f t="shared" si="41"/>
        <v>0</v>
      </c>
    </row>
    <row r="380" spans="1:16" ht="12.75" x14ac:dyDescent="0.2">
      <c r="A380" s="152">
        <v>6210000</v>
      </c>
      <c r="B380" s="73"/>
      <c r="C380" s="51" t="s">
        <v>1008</v>
      </c>
      <c r="D380" s="89"/>
      <c r="E380" s="89"/>
      <c r="F380" s="89"/>
      <c r="G380" s="89"/>
      <c r="H380" s="89"/>
      <c r="I380" s="89"/>
      <c r="J380" s="212">
        <f t="shared" si="41"/>
        <v>0</v>
      </c>
      <c r="K380" s="212">
        <f t="shared" si="41"/>
        <v>0</v>
      </c>
      <c r="L380" s="212">
        <f t="shared" si="41"/>
        <v>0</v>
      </c>
      <c r="M380" s="212">
        <f t="shared" si="41"/>
        <v>0</v>
      </c>
      <c r="N380" s="212">
        <f t="shared" si="41"/>
        <v>0</v>
      </c>
      <c r="O380" s="212">
        <f t="shared" si="41"/>
        <v>0</v>
      </c>
      <c r="P380" s="155">
        <f t="shared" si="41"/>
        <v>0</v>
      </c>
    </row>
    <row r="381" spans="1:16" ht="12.75" x14ac:dyDescent="0.2">
      <c r="A381" s="152">
        <v>6210000</v>
      </c>
      <c r="B381" s="73"/>
      <c r="C381" s="51" t="s">
        <v>1006</v>
      </c>
      <c r="D381" s="89"/>
      <c r="E381" s="89"/>
      <c r="F381" s="89"/>
      <c r="G381" s="89"/>
      <c r="H381" s="89"/>
      <c r="I381" s="89"/>
      <c r="J381" s="212">
        <f t="shared" si="41"/>
        <v>0</v>
      </c>
      <c r="K381" s="212">
        <f t="shared" si="41"/>
        <v>0</v>
      </c>
      <c r="L381" s="212">
        <f t="shared" si="41"/>
        <v>0</v>
      </c>
      <c r="M381" s="212">
        <f t="shared" si="41"/>
        <v>0</v>
      </c>
      <c r="N381" s="212">
        <f t="shared" si="41"/>
        <v>0</v>
      </c>
      <c r="O381" s="212">
        <f t="shared" si="41"/>
        <v>0</v>
      </c>
      <c r="P381" s="155">
        <f t="shared" si="41"/>
        <v>0</v>
      </c>
    </row>
    <row r="382" spans="1:16" ht="12.75" x14ac:dyDescent="0.2">
      <c r="A382" s="152">
        <v>6210000</v>
      </c>
      <c r="B382" s="73"/>
      <c r="C382" s="51" t="s">
        <v>1034</v>
      </c>
      <c r="D382" s="89"/>
      <c r="E382" s="89"/>
      <c r="F382" s="89"/>
      <c r="G382" s="89"/>
      <c r="H382" s="89"/>
      <c r="I382" s="89"/>
      <c r="J382" s="212">
        <f t="shared" si="41"/>
        <v>0</v>
      </c>
      <c r="K382" s="212">
        <f t="shared" si="41"/>
        <v>0</v>
      </c>
      <c r="L382" s="212">
        <f t="shared" si="41"/>
        <v>0</v>
      </c>
      <c r="M382" s="212">
        <f t="shared" si="41"/>
        <v>0</v>
      </c>
      <c r="N382" s="212">
        <f t="shared" si="41"/>
        <v>0</v>
      </c>
      <c r="O382" s="212">
        <f t="shared" si="41"/>
        <v>0</v>
      </c>
      <c r="P382" s="155">
        <f t="shared" si="41"/>
        <v>0</v>
      </c>
    </row>
    <row r="383" spans="1:16" ht="12.75" x14ac:dyDescent="0.2">
      <c r="A383" s="152">
        <v>6210000</v>
      </c>
      <c r="B383" s="73"/>
      <c r="C383" s="51" t="s">
        <v>1035</v>
      </c>
      <c r="D383" s="89"/>
      <c r="E383" s="89"/>
      <c r="F383" s="89"/>
      <c r="G383" s="89"/>
      <c r="H383" s="89"/>
      <c r="I383" s="89"/>
      <c r="J383" s="212">
        <f t="shared" ref="J383:P392" si="42">SUMIFS(J$26:J$180,$A$26:$A$180,$A383,$C$26:$C$180,$C383)</f>
        <v>0</v>
      </c>
      <c r="K383" s="212">
        <f t="shared" si="42"/>
        <v>0</v>
      </c>
      <c r="L383" s="212">
        <f t="shared" si="42"/>
        <v>0</v>
      </c>
      <c r="M383" s="212">
        <f t="shared" si="42"/>
        <v>0</v>
      </c>
      <c r="N383" s="212">
        <f t="shared" si="42"/>
        <v>0</v>
      </c>
      <c r="O383" s="212">
        <f t="shared" si="42"/>
        <v>0</v>
      </c>
      <c r="P383" s="155">
        <f t="shared" si="42"/>
        <v>0</v>
      </c>
    </row>
    <row r="384" spans="1:16" ht="12.75" x14ac:dyDescent="0.2">
      <c r="A384" s="152">
        <v>6210000</v>
      </c>
      <c r="B384" s="73"/>
      <c r="C384" s="51" t="s">
        <v>922</v>
      </c>
      <c r="D384" s="89"/>
      <c r="E384" s="89"/>
      <c r="F384" s="89"/>
      <c r="G384" s="89"/>
      <c r="H384" s="89"/>
      <c r="I384" s="89"/>
      <c r="J384" s="212">
        <f t="shared" si="42"/>
        <v>0</v>
      </c>
      <c r="K384" s="212">
        <f t="shared" si="42"/>
        <v>0</v>
      </c>
      <c r="L384" s="212">
        <f t="shared" si="42"/>
        <v>0</v>
      </c>
      <c r="M384" s="212">
        <f t="shared" si="42"/>
        <v>0</v>
      </c>
      <c r="N384" s="212">
        <f t="shared" si="42"/>
        <v>0</v>
      </c>
      <c r="O384" s="212">
        <f t="shared" si="42"/>
        <v>0</v>
      </c>
      <c r="P384" s="155">
        <f t="shared" si="42"/>
        <v>0</v>
      </c>
    </row>
    <row r="385" spans="1:18" ht="12.75" x14ac:dyDescent="0.2">
      <c r="A385" s="152">
        <v>6210000</v>
      </c>
      <c r="B385" s="73"/>
      <c r="C385" s="51" t="s">
        <v>942</v>
      </c>
      <c r="D385" s="89"/>
      <c r="E385" s="89"/>
      <c r="F385" s="89"/>
      <c r="G385" s="89"/>
      <c r="H385" s="89"/>
      <c r="I385" s="89"/>
      <c r="J385" s="212">
        <f t="shared" si="42"/>
        <v>0</v>
      </c>
      <c r="K385" s="212">
        <f t="shared" si="42"/>
        <v>0</v>
      </c>
      <c r="L385" s="212">
        <f t="shared" si="42"/>
        <v>0</v>
      </c>
      <c r="M385" s="212">
        <f t="shared" si="42"/>
        <v>0</v>
      </c>
      <c r="N385" s="212">
        <f t="shared" si="42"/>
        <v>0</v>
      </c>
      <c r="O385" s="212">
        <f t="shared" si="42"/>
        <v>0</v>
      </c>
      <c r="P385" s="155">
        <f t="shared" si="42"/>
        <v>0</v>
      </c>
    </row>
    <row r="386" spans="1:18" ht="12.75" x14ac:dyDescent="0.2">
      <c r="A386" s="152">
        <v>6210000</v>
      </c>
      <c r="B386" s="73"/>
      <c r="C386" s="51" t="s">
        <v>943</v>
      </c>
      <c r="D386" s="89"/>
      <c r="E386" s="89"/>
      <c r="F386" s="89"/>
      <c r="G386" s="89"/>
      <c r="H386" s="89"/>
      <c r="I386" s="89"/>
      <c r="J386" s="212">
        <f t="shared" si="42"/>
        <v>0</v>
      </c>
      <c r="K386" s="212">
        <f t="shared" si="42"/>
        <v>0</v>
      </c>
      <c r="L386" s="212">
        <f t="shared" si="42"/>
        <v>0</v>
      </c>
      <c r="M386" s="212">
        <f t="shared" si="42"/>
        <v>0</v>
      </c>
      <c r="N386" s="212">
        <f t="shared" si="42"/>
        <v>0</v>
      </c>
      <c r="O386" s="212">
        <f t="shared" si="42"/>
        <v>0</v>
      </c>
      <c r="P386" s="155">
        <f t="shared" si="42"/>
        <v>0</v>
      </c>
    </row>
    <row r="387" spans="1:18" ht="12.75" x14ac:dyDescent="0.2">
      <c r="A387" s="152">
        <v>6210000</v>
      </c>
      <c r="B387" s="73"/>
      <c r="C387" s="51" t="s">
        <v>938</v>
      </c>
      <c r="D387" s="89"/>
      <c r="E387" s="89"/>
      <c r="F387" s="89"/>
      <c r="G387" s="89"/>
      <c r="H387" s="89"/>
      <c r="I387" s="89"/>
      <c r="J387" s="212">
        <f t="shared" si="42"/>
        <v>0</v>
      </c>
      <c r="K387" s="212">
        <f t="shared" si="42"/>
        <v>0</v>
      </c>
      <c r="L387" s="212">
        <f t="shared" si="42"/>
        <v>0</v>
      </c>
      <c r="M387" s="212">
        <f t="shared" si="42"/>
        <v>0</v>
      </c>
      <c r="N387" s="212">
        <f t="shared" si="42"/>
        <v>0</v>
      </c>
      <c r="O387" s="212">
        <f t="shared" si="42"/>
        <v>0</v>
      </c>
      <c r="P387" s="155">
        <f t="shared" si="42"/>
        <v>0</v>
      </c>
    </row>
    <row r="388" spans="1:18" ht="12.75" x14ac:dyDescent="0.2">
      <c r="A388" s="152">
        <v>6210000</v>
      </c>
      <c r="B388" s="73"/>
      <c r="C388" s="51" t="s">
        <v>939</v>
      </c>
      <c r="D388" s="89"/>
      <c r="E388" s="89"/>
      <c r="F388" s="89"/>
      <c r="G388" s="89"/>
      <c r="H388" s="89"/>
      <c r="I388" s="89"/>
      <c r="J388" s="212">
        <f t="shared" si="42"/>
        <v>0</v>
      </c>
      <c r="K388" s="212">
        <f t="shared" si="42"/>
        <v>0</v>
      </c>
      <c r="L388" s="212">
        <f t="shared" si="42"/>
        <v>0</v>
      </c>
      <c r="M388" s="212">
        <f t="shared" si="42"/>
        <v>0</v>
      </c>
      <c r="N388" s="212">
        <f t="shared" si="42"/>
        <v>0</v>
      </c>
      <c r="O388" s="212">
        <f t="shared" si="42"/>
        <v>0</v>
      </c>
      <c r="P388" s="155">
        <f t="shared" si="42"/>
        <v>0</v>
      </c>
    </row>
    <row r="389" spans="1:18" ht="12.75" x14ac:dyDescent="0.2">
      <c r="A389" s="152">
        <v>6210000</v>
      </c>
      <c r="B389" s="73"/>
      <c r="C389" s="51" t="s">
        <v>934</v>
      </c>
      <c r="D389" s="89"/>
      <c r="E389" s="89"/>
      <c r="F389" s="89"/>
      <c r="G389" s="89"/>
      <c r="H389" s="89"/>
      <c r="I389" s="89"/>
      <c r="J389" s="212">
        <f t="shared" si="42"/>
        <v>0</v>
      </c>
      <c r="K389" s="212">
        <f t="shared" si="42"/>
        <v>0</v>
      </c>
      <c r="L389" s="212">
        <f t="shared" si="42"/>
        <v>0</v>
      </c>
      <c r="M389" s="212">
        <f t="shared" si="42"/>
        <v>0</v>
      </c>
      <c r="N389" s="212">
        <f t="shared" si="42"/>
        <v>0</v>
      </c>
      <c r="O389" s="212">
        <f t="shared" si="42"/>
        <v>750</v>
      </c>
      <c r="P389" s="155">
        <f t="shared" si="42"/>
        <v>750</v>
      </c>
    </row>
    <row r="390" spans="1:18" ht="12.75" x14ac:dyDescent="0.2">
      <c r="A390" s="152">
        <v>6210000</v>
      </c>
      <c r="B390" s="73"/>
      <c r="C390" s="51" t="s">
        <v>935</v>
      </c>
      <c r="D390" s="89"/>
      <c r="E390" s="89"/>
      <c r="F390" s="89"/>
      <c r="G390" s="89"/>
      <c r="H390" s="89"/>
      <c r="I390" s="89"/>
      <c r="J390" s="212">
        <f t="shared" si="42"/>
        <v>0</v>
      </c>
      <c r="K390" s="212">
        <f t="shared" si="42"/>
        <v>0</v>
      </c>
      <c r="L390" s="212">
        <f t="shared" si="42"/>
        <v>0</v>
      </c>
      <c r="M390" s="212">
        <f t="shared" si="42"/>
        <v>0</v>
      </c>
      <c r="N390" s="212">
        <f t="shared" si="42"/>
        <v>0</v>
      </c>
      <c r="O390" s="212">
        <f t="shared" si="42"/>
        <v>0</v>
      </c>
      <c r="P390" s="155">
        <f t="shared" si="42"/>
        <v>0</v>
      </c>
    </row>
    <row r="391" spans="1:18" ht="12.75" x14ac:dyDescent="0.2">
      <c r="A391" s="152">
        <v>6210000</v>
      </c>
      <c r="B391" s="73"/>
      <c r="C391" s="51" t="s">
        <v>953</v>
      </c>
      <c r="D391" s="89"/>
      <c r="E391" s="89"/>
      <c r="F391" s="89"/>
      <c r="G391" s="89"/>
      <c r="H391" s="89"/>
      <c r="I391" s="89"/>
      <c r="J391" s="212">
        <f t="shared" si="42"/>
        <v>0</v>
      </c>
      <c r="K391" s="212">
        <f t="shared" si="42"/>
        <v>0</v>
      </c>
      <c r="L391" s="212">
        <f t="shared" si="42"/>
        <v>0</v>
      </c>
      <c r="M391" s="212">
        <f t="shared" si="42"/>
        <v>0</v>
      </c>
      <c r="N391" s="212">
        <f t="shared" si="42"/>
        <v>0</v>
      </c>
      <c r="O391" s="212">
        <f t="shared" si="42"/>
        <v>0</v>
      </c>
      <c r="P391" s="155">
        <f t="shared" si="42"/>
        <v>0</v>
      </c>
    </row>
    <row r="392" spans="1:18" ht="12.75" x14ac:dyDescent="0.2">
      <c r="A392" s="152">
        <v>6210000</v>
      </c>
      <c r="B392" s="73"/>
      <c r="C392" s="51" t="s">
        <v>924</v>
      </c>
      <c r="D392" s="89"/>
      <c r="E392" s="89"/>
      <c r="F392" s="89"/>
      <c r="G392" s="89"/>
      <c r="H392" s="89"/>
      <c r="I392" s="89"/>
      <c r="J392" s="212">
        <f t="shared" si="42"/>
        <v>0</v>
      </c>
      <c r="K392" s="212">
        <f t="shared" si="42"/>
        <v>0</v>
      </c>
      <c r="L392" s="212">
        <f t="shared" si="42"/>
        <v>0</v>
      </c>
      <c r="M392" s="212">
        <f t="shared" si="42"/>
        <v>0</v>
      </c>
      <c r="N392" s="212">
        <f t="shared" si="42"/>
        <v>0</v>
      </c>
      <c r="O392" s="212">
        <f t="shared" si="42"/>
        <v>0</v>
      </c>
      <c r="P392" s="155">
        <f t="shared" si="42"/>
        <v>0</v>
      </c>
    </row>
    <row r="393" spans="1:18" ht="12.75" x14ac:dyDescent="0.2">
      <c r="A393" s="152">
        <v>6210000</v>
      </c>
      <c r="B393" s="73"/>
      <c r="C393" s="51" t="s">
        <v>927</v>
      </c>
      <c r="D393" s="89"/>
      <c r="E393" s="89"/>
      <c r="F393" s="89"/>
      <c r="G393" s="89"/>
      <c r="H393" s="89"/>
      <c r="I393" s="89"/>
      <c r="J393" s="212">
        <f t="shared" ref="J393:P402" si="43">SUMIFS(J$26:J$180,$A$26:$A$180,$A393,$C$26:$C$180,$C393)</f>
        <v>0</v>
      </c>
      <c r="K393" s="212">
        <f t="shared" si="43"/>
        <v>0</v>
      </c>
      <c r="L393" s="212">
        <f t="shared" si="43"/>
        <v>0</v>
      </c>
      <c r="M393" s="212">
        <f t="shared" si="43"/>
        <v>0</v>
      </c>
      <c r="N393" s="212">
        <f t="shared" si="43"/>
        <v>0</v>
      </c>
      <c r="O393" s="212">
        <f t="shared" si="43"/>
        <v>0</v>
      </c>
      <c r="P393" s="155">
        <f t="shared" si="43"/>
        <v>0</v>
      </c>
    </row>
    <row r="394" spans="1:18" ht="12.75" x14ac:dyDescent="0.2">
      <c r="A394" s="152">
        <v>6210000</v>
      </c>
      <c r="B394" s="73"/>
      <c r="C394" s="51" t="s">
        <v>951</v>
      </c>
      <c r="D394" s="89"/>
      <c r="E394" s="89"/>
      <c r="F394" s="89"/>
      <c r="G394" s="89"/>
      <c r="H394" s="89"/>
      <c r="I394" s="89"/>
      <c r="J394" s="212">
        <f t="shared" si="43"/>
        <v>0</v>
      </c>
      <c r="K394" s="212">
        <f t="shared" si="43"/>
        <v>0</v>
      </c>
      <c r="L394" s="212">
        <f t="shared" si="43"/>
        <v>0</v>
      </c>
      <c r="M394" s="212">
        <f t="shared" si="43"/>
        <v>0</v>
      </c>
      <c r="N394" s="212">
        <f t="shared" si="43"/>
        <v>0</v>
      </c>
      <c r="O394" s="212">
        <f t="shared" si="43"/>
        <v>0</v>
      </c>
      <c r="P394" s="155">
        <f t="shared" si="43"/>
        <v>0</v>
      </c>
    </row>
    <row r="395" spans="1:18" ht="12.75" x14ac:dyDescent="0.2">
      <c r="A395" s="152">
        <v>6210000</v>
      </c>
      <c r="B395" s="73"/>
      <c r="C395" s="51" t="s">
        <v>1055</v>
      </c>
      <c r="D395" s="89"/>
      <c r="E395" s="89"/>
      <c r="F395" s="89"/>
      <c r="G395" s="89"/>
      <c r="H395" s="89"/>
      <c r="I395" s="89"/>
      <c r="J395" s="212">
        <f t="shared" si="43"/>
        <v>0</v>
      </c>
      <c r="K395" s="212">
        <f t="shared" si="43"/>
        <v>0</v>
      </c>
      <c r="L395" s="212">
        <f t="shared" si="43"/>
        <v>0</v>
      </c>
      <c r="M395" s="212">
        <f t="shared" si="43"/>
        <v>0</v>
      </c>
      <c r="N395" s="212">
        <f t="shared" si="43"/>
        <v>0</v>
      </c>
      <c r="O395" s="212">
        <f t="shared" si="43"/>
        <v>0</v>
      </c>
      <c r="P395" s="155">
        <f t="shared" si="43"/>
        <v>0</v>
      </c>
      <c r="R395" s="284"/>
    </row>
    <row r="396" spans="1:18" ht="12.75" x14ac:dyDescent="0.2">
      <c r="A396" s="152">
        <v>6210000</v>
      </c>
      <c r="B396" s="73"/>
      <c r="C396" s="405" t="s">
        <v>940</v>
      </c>
      <c r="D396" s="89"/>
      <c r="E396" s="89"/>
      <c r="F396" s="89"/>
      <c r="G396" s="89"/>
      <c r="H396" s="89"/>
      <c r="I396" s="89"/>
      <c r="J396" s="212">
        <f t="shared" si="43"/>
        <v>0</v>
      </c>
      <c r="K396" s="212">
        <f t="shared" si="43"/>
        <v>0</v>
      </c>
      <c r="L396" s="212">
        <f t="shared" si="43"/>
        <v>0</v>
      </c>
      <c r="M396" s="212">
        <f t="shared" si="43"/>
        <v>0</v>
      </c>
      <c r="N396" s="212">
        <f t="shared" si="43"/>
        <v>0</v>
      </c>
      <c r="O396" s="212">
        <f t="shared" si="43"/>
        <v>0</v>
      </c>
      <c r="P396" s="155">
        <f t="shared" si="43"/>
        <v>0</v>
      </c>
      <c r="Q396" s="284"/>
    </row>
    <row r="397" spans="1:18" ht="12.75" x14ac:dyDescent="0.2">
      <c r="A397" s="152">
        <v>6210000</v>
      </c>
      <c r="B397" s="73"/>
      <c r="C397" s="51" t="s">
        <v>941</v>
      </c>
      <c r="D397" s="89"/>
      <c r="E397" s="89"/>
      <c r="F397" s="89"/>
      <c r="G397" s="89"/>
      <c r="H397" s="89"/>
      <c r="I397" s="89"/>
      <c r="J397" s="212">
        <f t="shared" si="43"/>
        <v>0</v>
      </c>
      <c r="K397" s="212">
        <f t="shared" si="43"/>
        <v>0</v>
      </c>
      <c r="L397" s="212">
        <f t="shared" si="43"/>
        <v>0</v>
      </c>
      <c r="M397" s="212">
        <f t="shared" si="43"/>
        <v>0</v>
      </c>
      <c r="N397" s="212">
        <f t="shared" si="43"/>
        <v>0</v>
      </c>
      <c r="O397" s="212">
        <f t="shared" si="43"/>
        <v>0</v>
      </c>
      <c r="P397" s="155">
        <f t="shared" si="43"/>
        <v>0</v>
      </c>
    </row>
    <row r="398" spans="1:18" ht="12.75" x14ac:dyDescent="0.2">
      <c r="A398" s="152">
        <v>6210000</v>
      </c>
      <c r="B398" s="73"/>
      <c r="C398" s="51" t="s">
        <v>936</v>
      </c>
      <c r="D398" s="89"/>
      <c r="E398" s="89"/>
      <c r="F398" s="89"/>
      <c r="G398" s="89"/>
      <c r="H398" s="89"/>
      <c r="I398" s="89"/>
      <c r="J398" s="212">
        <f t="shared" si="43"/>
        <v>0</v>
      </c>
      <c r="K398" s="212">
        <f t="shared" si="43"/>
        <v>0</v>
      </c>
      <c r="L398" s="212">
        <f t="shared" si="43"/>
        <v>0</v>
      </c>
      <c r="M398" s="212">
        <f t="shared" si="43"/>
        <v>0</v>
      </c>
      <c r="N398" s="212">
        <f t="shared" si="43"/>
        <v>0</v>
      </c>
      <c r="O398" s="212">
        <f t="shared" si="43"/>
        <v>0</v>
      </c>
      <c r="P398" s="155">
        <f t="shared" si="43"/>
        <v>0</v>
      </c>
    </row>
    <row r="399" spans="1:18" ht="12.75" x14ac:dyDescent="0.2">
      <c r="A399" s="152">
        <v>6210000</v>
      </c>
      <c r="B399" s="73"/>
      <c r="C399" s="51" t="s">
        <v>937</v>
      </c>
      <c r="D399" s="89"/>
      <c r="E399" s="89"/>
      <c r="F399" s="89"/>
      <c r="G399" s="89"/>
      <c r="H399" s="89"/>
      <c r="I399" s="89"/>
      <c r="J399" s="212">
        <f t="shared" si="43"/>
        <v>0</v>
      </c>
      <c r="K399" s="212">
        <f t="shared" si="43"/>
        <v>0</v>
      </c>
      <c r="L399" s="212">
        <f t="shared" si="43"/>
        <v>0</v>
      </c>
      <c r="M399" s="212">
        <f t="shared" si="43"/>
        <v>0</v>
      </c>
      <c r="N399" s="212">
        <f t="shared" si="43"/>
        <v>0</v>
      </c>
      <c r="O399" s="212">
        <f t="shared" si="43"/>
        <v>0</v>
      </c>
      <c r="P399" s="155">
        <f t="shared" si="43"/>
        <v>0</v>
      </c>
    </row>
    <row r="400" spans="1:18" ht="12.75" x14ac:dyDescent="0.2">
      <c r="A400" s="152">
        <v>6210000</v>
      </c>
      <c r="B400" s="73"/>
      <c r="C400" s="51" t="s">
        <v>932</v>
      </c>
      <c r="D400" s="89"/>
      <c r="E400" s="89"/>
      <c r="F400" s="89"/>
      <c r="G400" s="89"/>
      <c r="H400" s="89"/>
      <c r="I400" s="89"/>
      <c r="J400" s="212">
        <f t="shared" si="43"/>
        <v>0</v>
      </c>
      <c r="K400" s="212">
        <f t="shared" si="43"/>
        <v>0</v>
      </c>
      <c r="L400" s="212">
        <f t="shared" si="43"/>
        <v>0</v>
      </c>
      <c r="M400" s="212">
        <f t="shared" si="43"/>
        <v>0</v>
      </c>
      <c r="N400" s="212">
        <f t="shared" si="43"/>
        <v>0</v>
      </c>
      <c r="O400" s="212">
        <f t="shared" si="43"/>
        <v>750</v>
      </c>
      <c r="P400" s="155">
        <f t="shared" si="43"/>
        <v>750</v>
      </c>
    </row>
    <row r="401" spans="1:18" ht="12.75" x14ac:dyDescent="0.2">
      <c r="A401" s="152">
        <v>6210000</v>
      </c>
      <c r="B401" s="73"/>
      <c r="C401" s="51" t="s">
        <v>933</v>
      </c>
      <c r="D401" s="89"/>
      <c r="E401" s="89"/>
      <c r="F401" s="89"/>
      <c r="G401" s="89"/>
      <c r="H401" s="89"/>
      <c r="I401" s="89"/>
      <c r="J401" s="212">
        <f t="shared" si="43"/>
        <v>0</v>
      </c>
      <c r="K401" s="212">
        <f t="shared" si="43"/>
        <v>0</v>
      </c>
      <c r="L401" s="212">
        <f t="shared" si="43"/>
        <v>0</v>
      </c>
      <c r="M401" s="212">
        <f t="shared" si="43"/>
        <v>0</v>
      </c>
      <c r="N401" s="212">
        <f t="shared" si="43"/>
        <v>0</v>
      </c>
      <c r="O401" s="212">
        <f t="shared" si="43"/>
        <v>0</v>
      </c>
      <c r="P401" s="155">
        <f t="shared" si="43"/>
        <v>0</v>
      </c>
    </row>
    <row r="402" spans="1:18" ht="12.75" x14ac:dyDescent="0.2">
      <c r="A402" s="152">
        <v>6210000</v>
      </c>
      <c r="B402" s="73"/>
      <c r="C402" s="51" t="s">
        <v>952</v>
      </c>
      <c r="D402" s="89"/>
      <c r="E402" s="89"/>
      <c r="F402" s="89"/>
      <c r="G402" s="89"/>
      <c r="H402" s="89"/>
      <c r="I402" s="89"/>
      <c r="J402" s="212">
        <f t="shared" si="43"/>
        <v>0</v>
      </c>
      <c r="K402" s="212">
        <f t="shared" si="43"/>
        <v>0</v>
      </c>
      <c r="L402" s="212">
        <f t="shared" si="43"/>
        <v>0</v>
      </c>
      <c r="M402" s="212">
        <f t="shared" si="43"/>
        <v>0</v>
      </c>
      <c r="N402" s="212">
        <f t="shared" si="43"/>
        <v>0</v>
      </c>
      <c r="O402" s="212">
        <f t="shared" si="43"/>
        <v>0</v>
      </c>
      <c r="P402" s="155">
        <f t="shared" si="43"/>
        <v>0</v>
      </c>
      <c r="R402" s="284"/>
    </row>
    <row r="403" spans="1:18" ht="12.75" x14ac:dyDescent="0.2">
      <c r="A403" s="152">
        <v>6210000</v>
      </c>
      <c r="B403" s="73"/>
      <c r="C403" s="404" t="s">
        <v>923</v>
      </c>
      <c r="D403" s="89"/>
      <c r="E403" s="89"/>
      <c r="F403" s="89"/>
      <c r="G403" s="89"/>
      <c r="H403" s="89"/>
      <c r="I403" s="89"/>
      <c r="J403" s="212">
        <f t="shared" ref="J403:P412" si="44">SUMIFS(J$26:J$180,$A$26:$A$180,$A403,$C$26:$C$180,$C403)</f>
        <v>0</v>
      </c>
      <c r="K403" s="212">
        <f t="shared" si="44"/>
        <v>0</v>
      </c>
      <c r="L403" s="212">
        <f t="shared" si="44"/>
        <v>0</v>
      </c>
      <c r="M403" s="212">
        <f t="shared" si="44"/>
        <v>0</v>
      </c>
      <c r="N403" s="212">
        <f t="shared" si="44"/>
        <v>0</v>
      </c>
      <c r="O403" s="212">
        <f t="shared" si="44"/>
        <v>0</v>
      </c>
      <c r="P403" s="155">
        <f t="shared" si="44"/>
        <v>0</v>
      </c>
      <c r="Q403" s="284"/>
    </row>
    <row r="404" spans="1:18" ht="12.75" x14ac:dyDescent="0.2">
      <c r="A404" s="152">
        <v>6210000</v>
      </c>
      <c r="B404" s="73"/>
      <c r="C404" s="51" t="s">
        <v>925</v>
      </c>
      <c r="D404" s="89"/>
      <c r="E404" s="89"/>
      <c r="F404" s="89"/>
      <c r="G404" s="89"/>
      <c r="H404" s="89"/>
      <c r="I404" s="89"/>
      <c r="J404" s="212">
        <f t="shared" si="44"/>
        <v>0</v>
      </c>
      <c r="K404" s="212">
        <f t="shared" si="44"/>
        <v>0</v>
      </c>
      <c r="L404" s="212">
        <f t="shared" si="44"/>
        <v>0</v>
      </c>
      <c r="M404" s="212">
        <f t="shared" si="44"/>
        <v>0</v>
      </c>
      <c r="N404" s="212">
        <f t="shared" si="44"/>
        <v>0</v>
      </c>
      <c r="O404" s="212">
        <f t="shared" si="44"/>
        <v>0</v>
      </c>
      <c r="P404" s="155">
        <f t="shared" si="44"/>
        <v>0</v>
      </c>
    </row>
    <row r="405" spans="1:18" ht="12.75" x14ac:dyDescent="0.2">
      <c r="A405" s="152">
        <v>6210000</v>
      </c>
      <c r="B405" s="73"/>
      <c r="C405" s="51" t="s">
        <v>950</v>
      </c>
      <c r="D405" s="89"/>
      <c r="E405" s="89"/>
      <c r="F405" s="89"/>
      <c r="G405" s="89"/>
      <c r="H405" s="89"/>
      <c r="I405" s="89"/>
      <c r="J405" s="212">
        <f t="shared" si="44"/>
        <v>0</v>
      </c>
      <c r="K405" s="212">
        <f t="shared" si="44"/>
        <v>0</v>
      </c>
      <c r="L405" s="212">
        <f t="shared" si="44"/>
        <v>0</v>
      </c>
      <c r="M405" s="212">
        <f t="shared" si="44"/>
        <v>0</v>
      </c>
      <c r="N405" s="212">
        <f t="shared" si="44"/>
        <v>0</v>
      </c>
      <c r="O405" s="212">
        <f t="shared" si="44"/>
        <v>0</v>
      </c>
      <c r="P405" s="155">
        <f t="shared" si="44"/>
        <v>0</v>
      </c>
    </row>
    <row r="406" spans="1:18" ht="12.75" x14ac:dyDescent="0.2">
      <c r="A406" s="152">
        <v>6210000</v>
      </c>
      <c r="B406" s="73"/>
      <c r="C406" s="51" t="s">
        <v>1054</v>
      </c>
      <c r="D406" s="89"/>
      <c r="E406" s="89"/>
      <c r="F406" s="89"/>
      <c r="G406" s="89"/>
      <c r="H406" s="89"/>
      <c r="I406" s="89"/>
      <c r="J406" s="212">
        <f t="shared" si="44"/>
        <v>0</v>
      </c>
      <c r="K406" s="212">
        <f t="shared" si="44"/>
        <v>0</v>
      </c>
      <c r="L406" s="212">
        <f t="shared" si="44"/>
        <v>0</v>
      </c>
      <c r="M406" s="212">
        <f t="shared" si="44"/>
        <v>0</v>
      </c>
      <c r="N406" s="212">
        <f t="shared" si="44"/>
        <v>0</v>
      </c>
      <c r="O406" s="212">
        <f t="shared" si="44"/>
        <v>0</v>
      </c>
      <c r="P406" s="155">
        <f t="shared" si="44"/>
        <v>0</v>
      </c>
    </row>
    <row r="407" spans="1:18" ht="12.75" x14ac:dyDescent="0.2">
      <c r="A407" s="152">
        <v>6210000</v>
      </c>
      <c r="B407" s="73"/>
      <c r="C407" s="51" t="s">
        <v>921</v>
      </c>
      <c r="D407" s="89"/>
      <c r="E407" s="89"/>
      <c r="F407" s="89"/>
      <c r="G407" s="89"/>
      <c r="H407" s="89"/>
      <c r="I407" s="89"/>
      <c r="J407" s="212">
        <f t="shared" si="44"/>
        <v>0</v>
      </c>
      <c r="K407" s="212">
        <f t="shared" si="44"/>
        <v>0</v>
      </c>
      <c r="L407" s="212">
        <f t="shared" si="44"/>
        <v>0</v>
      </c>
      <c r="M407" s="212">
        <f t="shared" si="44"/>
        <v>0</v>
      </c>
      <c r="N407" s="212">
        <f t="shared" si="44"/>
        <v>0</v>
      </c>
      <c r="O407" s="212">
        <f t="shared" si="44"/>
        <v>0</v>
      </c>
      <c r="P407" s="155">
        <f t="shared" si="44"/>
        <v>0</v>
      </c>
    </row>
    <row r="408" spans="1:18" ht="12.75" x14ac:dyDescent="0.2">
      <c r="A408" s="152">
        <v>6210000</v>
      </c>
      <c r="B408" s="73"/>
      <c r="C408" s="51" t="s">
        <v>1022</v>
      </c>
      <c r="D408" s="89"/>
      <c r="E408" s="89"/>
      <c r="F408" s="89"/>
      <c r="G408" s="89"/>
      <c r="H408" s="89"/>
      <c r="I408" s="89"/>
      <c r="J408" s="212">
        <f t="shared" si="44"/>
        <v>0</v>
      </c>
      <c r="K408" s="212">
        <f t="shared" si="44"/>
        <v>0</v>
      </c>
      <c r="L408" s="212">
        <f t="shared" si="44"/>
        <v>0</v>
      </c>
      <c r="M408" s="212">
        <f t="shared" si="44"/>
        <v>0</v>
      </c>
      <c r="N408" s="212">
        <f t="shared" si="44"/>
        <v>0</v>
      </c>
      <c r="O408" s="212">
        <f t="shared" si="44"/>
        <v>750</v>
      </c>
      <c r="P408" s="155">
        <f t="shared" si="44"/>
        <v>750</v>
      </c>
    </row>
    <row r="409" spans="1:18" ht="12.75" x14ac:dyDescent="0.2">
      <c r="A409" s="152">
        <v>6210000</v>
      </c>
      <c r="B409" s="73"/>
      <c r="C409" s="51" t="s">
        <v>1023</v>
      </c>
      <c r="D409" s="89"/>
      <c r="E409" s="89"/>
      <c r="F409" s="89"/>
      <c r="G409" s="89"/>
      <c r="H409" s="89"/>
      <c r="I409" s="89"/>
      <c r="J409" s="212">
        <f t="shared" si="44"/>
        <v>0</v>
      </c>
      <c r="K409" s="212">
        <f t="shared" si="44"/>
        <v>0</v>
      </c>
      <c r="L409" s="212">
        <f t="shared" si="44"/>
        <v>0</v>
      </c>
      <c r="M409" s="212">
        <f t="shared" si="44"/>
        <v>0</v>
      </c>
      <c r="N409" s="212">
        <f t="shared" si="44"/>
        <v>0</v>
      </c>
      <c r="O409" s="212">
        <f t="shared" si="44"/>
        <v>0</v>
      </c>
      <c r="P409" s="155">
        <f t="shared" si="44"/>
        <v>0</v>
      </c>
    </row>
    <row r="410" spans="1:18" ht="12.75" x14ac:dyDescent="0.2">
      <c r="A410" s="152">
        <v>6210000</v>
      </c>
      <c r="B410" s="73"/>
      <c r="C410" s="51" t="s">
        <v>137</v>
      </c>
      <c r="D410" s="89"/>
      <c r="E410" s="89"/>
      <c r="F410" s="89"/>
      <c r="G410" s="89"/>
      <c r="H410" s="89"/>
      <c r="I410" s="89"/>
      <c r="J410" s="212">
        <f t="shared" si="44"/>
        <v>0</v>
      </c>
      <c r="K410" s="212">
        <f t="shared" si="44"/>
        <v>0</v>
      </c>
      <c r="L410" s="212">
        <f t="shared" si="44"/>
        <v>0</v>
      </c>
      <c r="M410" s="212">
        <f t="shared" si="44"/>
        <v>0</v>
      </c>
      <c r="N410" s="212">
        <f t="shared" si="44"/>
        <v>0</v>
      </c>
      <c r="O410" s="212">
        <f t="shared" si="44"/>
        <v>0</v>
      </c>
      <c r="P410" s="155">
        <f t="shared" si="44"/>
        <v>0</v>
      </c>
    </row>
    <row r="411" spans="1:18" ht="12.75" x14ac:dyDescent="0.2">
      <c r="A411" s="152">
        <v>6210000</v>
      </c>
      <c r="B411" s="73"/>
      <c r="C411" s="51" t="s">
        <v>956</v>
      </c>
      <c r="D411" s="89"/>
      <c r="E411" s="89"/>
      <c r="F411" s="89"/>
      <c r="G411" s="89"/>
      <c r="H411" s="89"/>
      <c r="I411" s="89"/>
      <c r="J411" s="212">
        <f t="shared" si="44"/>
        <v>0</v>
      </c>
      <c r="K411" s="212">
        <f t="shared" si="44"/>
        <v>0</v>
      </c>
      <c r="L411" s="212">
        <f t="shared" si="44"/>
        <v>0</v>
      </c>
      <c r="M411" s="212">
        <f t="shared" si="44"/>
        <v>0</v>
      </c>
      <c r="N411" s="212">
        <f t="shared" si="44"/>
        <v>0</v>
      </c>
      <c r="O411" s="212">
        <f t="shared" si="44"/>
        <v>0</v>
      </c>
      <c r="P411" s="155">
        <f t="shared" si="44"/>
        <v>0</v>
      </c>
    </row>
    <row r="412" spans="1:18" ht="12.75" x14ac:dyDescent="0.2">
      <c r="A412" s="152">
        <v>6210000</v>
      </c>
      <c r="B412" s="73"/>
      <c r="C412" s="51" t="s">
        <v>1045</v>
      </c>
      <c r="D412" s="89"/>
      <c r="E412" s="89"/>
      <c r="F412" s="89"/>
      <c r="G412" s="89"/>
      <c r="H412" s="89"/>
      <c r="I412" s="89"/>
      <c r="J412" s="212">
        <f t="shared" si="44"/>
        <v>0</v>
      </c>
      <c r="K412" s="212">
        <f t="shared" si="44"/>
        <v>0</v>
      </c>
      <c r="L412" s="212">
        <f t="shared" si="44"/>
        <v>0</v>
      </c>
      <c r="M412" s="212">
        <f t="shared" si="44"/>
        <v>0</v>
      </c>
      <c r="N412" s="212">
        <f t="shared" si="44"/>
        <v>0</v>
      </c>
      <c r="O412" s="212">
        <f t="shared" si="44"/>
        <v>0</v>
      </c>
      <c r="P412" s="155">
        <f t="shared" si="44"/>
        <v>0</v>
      </c>
    </row>
    <row r="413" spans="1:18" ht="12.75" x14ac:dyDescent="0.2">
      <c r="A413" s="152">
        <v>6210000</v>
      </c>
      <c r="B413" s="73"/>
      <c r="C413" s="51" t="s">
        <v>1046</v>
      </c>
      <c r="D413" s="89"/>
      <c r="E413" s="89"/>
      <c r="F413" s="89"/>
      <c r="G413" s="89"/>
      <c r="H413" s="89"/>
      <c r="I413" s="89"/>
      <c r="J413" s="212">
        <f t="shared" ref="J413:P422" si="45">SUMIFS(J$26:J$180,$A$26:$A$180,$A413,$C$26:$C$180,$C413)</f>
        <v>0</v>
      </c>
      <c r="K413" s="212">
        <f t="shared" si="45"/>
        <v>0</v>
      </c>
      <c r="L413" s="212">
        <f t="shared" si="45"/>
        <v>0</v>
      </c>
      <c r="M413" s="212">
        <f t="shared" si="45"/>
        <v>0</v>
      </c>
      <c r="N413" s="212">
        <f t="shared" si="45"/>
        <v>0</v>
      </c>
      <c r="O413" s="212">
        <f t="shared" si="45"/>
        <v>0</v>
      </c>
      <c r="P413" s="155">
        <f t="shared" si="45"/>
        <v>0</v>
      </c>
    </row>
    <row r="414" spans="1:18" ht="12.75" x14ac:dyDescent="0.2">
      <c r="A414" s="152">
        <v>6210000</v>
      </c>
      <c r="B414" s="73"/>
      <c r="C414" s="51" t="s">
        <v>1036</v>
      </c>
      <c r="D414" s="89"/>
      <c r="E414" s="89"/>
      <c r="F414" s="89"/>
      <c r="G414" s="89"/>
      <c r="H414" s="89"/>
      <c r="I414" s="89"/>
      <c r="J414" s="212">
        <f t="shared" si="45"/>
        <v>0</v>
      </c>
      <c r="K414" s="212">
        <f t="shared" si="45"/>
        <v>0</v>
      </c>
      <c r="L414" s="212">
        <f t="shared" si="45"/>
        <v>0</v>
      </c>
      <c r="M414" s="212">
        <f t="shared" si="45"/>
        <v>0</v>
      </c>
      <c r="N414" s="212">
        <f t="shared" si="45"/>
        <v>0</v>
      </c>
      <c r="O414" s="212">
        <f t="shared" si="45"/>
        <v>0</v>
      </c>
      <c r="P414" s="155">
        <f t="shared" si="45"/>
        <v>0</v>
      </c>
    </row>
    <row r="415" spans="1:18" ht="12.75" x14ac:dyDescent="0.2">
      <c r="A415" s="152">
        <v>6210000</v>
      </c>
      <c r="B415" s="73"/>
      <c r="C415" s="51" t="s">
        <v>1037</v>
      </c>
      <c r="D415" s="89"/>
      <c r="E415" s="89"/>
      <c r="F415" s="89"/>
      <c r="G415" s="89"/>
      <c r="H415" s="89"/>
      <c r="I415" s="89"/>
      <c r="J415" s="212">
        <f t="shared" si="45"/>
        <v>0</v>
      </c>
      <c r="K415" s="212">
        <f t="shared" si="45"/>
        <v>0</v>
      </c>
      <c r="L415" s="212">
        <f t="shared" si="45"/>
        <v>0</v>
      </c>
      <c r="M415" s="212">
        <f t="shared" si="45"/>
        <v>0</v>
      </c>
      <c r="N415" s="212">
        <f t="shared" si="45"/>
        <v>0</v>
      </c>
      <c r="O415" s="212">
        <f t="shared" si="45"/>
        <v>0</v>
      </c>
      <c r="P415" s="155">
        <f t="shared" si="45"/>
        <v>0</v>
      </c>
    </row>
    <row r="416" spans="1:18" ht="12.75" x14ac:dyDescent="0.2">
      <c r="A416" s="152">
        <v>6210000</v>
      </c>
      <c r="B416" s="73"/>
      <c r="C416" s="51" t="s">
        <v>990</v>
      </c>
      <c r="D416" s="89"/>
      <c r="E416" s="89"/>
      <c r="F416" s="89"/>
      <c r="G416" s="89"/>
      <c r="H416" s="89"/>
      <c r="I416" s="89"/>
      <c r="J416" s="212">
        <f t="shared" si="45"/>
        <v>0</v>
      </c>
      <c r="K416" s="212">
        <f t="shared" si="45"/>
        <v>0</v>
      </c>
      <c r="L416" s="212">
        <f t="shared" si="45"/>
        <v>0</v>
      </c>
      <c r="M416" s="212">
        <f t="shared" si="45"/>
        <v>0</v>
      </c>
      <c r="N416" s="212">
        <f t="shared" si="45"/>
        <v>0</v>
      </c>
      <c r="O416" s="212">
        <f t="shared" si="45"/>
        <v>0</v>
      </c>
      <c r="P416" s="155">
        <f t="shared" si="45"/>
        <v>0</v>
      </c>
      <c r="Q416" s="407"/>
      <c r="R416" s="407"/>
    </row>
    <row r="417" spans="1:18" ht="12.75" x14ac:dyDescent="0.2">
      <c r="A417" s="152">
        <v>6210000</v>
      </c>
      <c r="B417" s="73"/>
      <c r="C417" s="51" t="s">
        <v>1040</v>
      </c>
      <c r="D417" s="89"/>
      <c r="E417" s="89"/>
      <c r="F417" s="89"/>
      <c r="G417" s="89"/>
      <c r="H417" s="89"/>
      <c r="I417" s="89"/>
      <c r="J417" s="212">
        <f t="shared" si="45"/>
        <v>0</v>
      </c>
      <c r="K417" s="212">
        <f t="shared" si="45"/>
        <v>0</v>
      </c>
      <c r="L417" s="212">
        <f t="shared" si="45"/>
        <v>0</v>
      </c>
      <c r="M417" s="212">
        <f t="shared" si="45"/>
        <v>0</v>
      </c>
      <c r="N417" s="212">
        <f t="shared" si="45"/>
        <v>0</v>
      </c>
      <c r="O417" s="212">
        <f t="shared" si="45"/>
        <v>0</v>
      </c>
      <c r="P417" s="155">
        <f t="shared" si="45"/>
        <v>0</v>
      </c>
      <c r="Q417" s="407"/>
      <c r="R417" s="407"/>
    </row>
    <row r="418" spans="1:18" ht="12.75" x14ac:dyDescent="0.2">
      <c r="A418" s="152">
        <v>6210000</v>
      </c>
      <c r="B418" s="73"/>
      <c r="C418" s="51" t="s">
        <v>991</v>
      </c>
      <c r="D418" s="89"/>
      <c r="E418" s="89"/>
      <c r="F418" s="89"/>
      <c r="G418" s="89"/>
      <c r="H418" s="89"/>
      <c r="I418" s="89"/>
      <c r="J418" s="212">
        <f t="shared" si="45"/>
        <v>0</v>
      </c>
      <c r="K418" s="212">
        <f t="shared" si="45"/>
        <v>0</v>
      </c>
      <c r="L418" s="212">
        <f t="shared" si="45"/>
        <v>0</v>
      </c>
      <c r="M418" s="212">
        <f t="shared" si="45"/>
        <v>0</v>
      </c>
      <c r="N418" s="212">
        <f t="shared" si="45"/>
        <v>0</v>
      </c>
      <c r="O418" s="212">
        <f t="shared" si="45"/>
        <v>0</v>
      </c>
      <c r="P418" s="155">
        <f t="shared" si="45"/>
        <v>0</v>
      </c>
      <c r="Q418" s="407"/>
      <c r="R418" s="407"/>
    </row>
    <row r="419" spans="1:18" ht="12.75" x14ac:dyDescent="0.2">
      <c r="A419" s="152">
        <v>6210000</v>
      </c>
      <c r="B419" s="73"/>
      <c r="C419" s="51" t="s">
        <v>959</v>
      </c>
      <c r="D419" s="89"/>
      <c r="E419" s="89"/>
      <c r="F419" s="89"/>
      <c r="G419" s="89"/>
      <c r="H419" s="89"/>
      <c r="I419" s="89"/>
      <c r="J419" s="212">
        <f t="shared" si="45"/>
        <v>0</v>
      </c>
      <c r="K419" s="212">
        <f t="shared" si="45"/>
        <v>0</v>
      </c>
      <c r="L419" s="212">
        <f t="shared" si="45"/>
        <v>0</v>
      </c>
      <c r="M419" s="212">
        <f t="shared" si="45"/>
        <v>0</v>
      </c>
      <c r="N419" s="212">
        <f t="shared" si="45"/>
        <v>0</v>
      </c>
      <c r="O419" s="212">
        <f t="shared" si="45"/>
        <v>0</v>
      </c>
      <c r="P419" s="155">
        <f t="shared" si="45"/>
        <v>0</v>
      </c>
      <c r="Q419" s="407"/>
      <c r="R419" s="407"/>
    </row>
    <row r="420" spans="1:18" ht="12.75" x14ac:dyDescent="0.2">
      <c r="A420" s="152">
        <v>6210000</v>
      </c>
      <c r="B420" s="73"/>
      <c r="C420" s="51" t="s">
        <v>964</v>
      </c>
      <c r="D420" s="89"/>
      <c r="E420" s="89"/>
      <c r="F420" s="89"/>
      <c r="G420" s="89"/>
      <c r="H420" s="89"/>
      <c r="I420" s="89"/>
      <c r="J420" s="212">
        <f t="shared" si="45"/>
        <v>0</v>
      </c>
      <c r="K420" s="212">
        <f t="shared" si="45"/>
        <v>0</v>
      </c>
      <c r="L420" s="212">
        <f t="shared" si="45"/>
        <v>0</v>
      </c>
      <c r="M420" s="212">
        <f t="shared" si="45"/>
        <v>0</v>
      </c>
      <c r="N420" s="212">
        <f t="shared" si="45"/>
        <v>0</v>
      </c>
      <c r="O420" s="212">
        <f t="shared" si="45"/>
        <v>0</v>
      </c>
      <c r="P420" s="155">
        <f t="shared" si="45"/>
        <v>0</v>
      </c>
      <c r="Q420" s="407"/>
      <c r="R420" s="407"/>
    </row>
    <row r="421" spans="1:18" ht="12.75" x14ac:dyDescent="0.2">
      <c r="A421" s="152">
        <v>6210000</v>
      </c>
      <c r="B421" s="73"/>
      <c r="C421" s="51" t="s">
        <v>1003</v>
      </c>
      <c r="D421" s="89"/>
      <c r="E421" s="89"/>
      <c r="F421" s="89"/>
      <c r="G421" s="89"/>
      <c r="H421" s="89"/>
      <c r="I421" s="89"/>
      <c r="J421" s="212">
        <f t="shared" si="45"/>
        <v>0</v>
      </c>
      <c r="K421" s="212">
        <f t="shared" si="45"/>
        <v>0</v>
      </c>
      <c r="L421" s="212">
        <f t="shared" si="45"/>
        <v>0</v>
      </c>
      <c r="M421" s="212">
        <f t="shared" si="45"/>
        <v>0</v>
      </c>
      <c r="N421" s="212">
        <f t="shared" si="45"/>
        <v>0</v>
      </c>
      <c r="O421" s="212">
        <f t="shared" si="45"/>
        <v>0</v>
      </c>
      <c r="P421" s="155">
        <f t="shared" si="45"/>
        <v>0</v>
      </c>
      <c r="Q421" s="407"/>
      <c r="R421" s="407"/>
    </row>
    <row r="422" spans="1:18" ht="12.75" x14ac:dyDescent="0.2">
      <c r="A422" s="152">
        <v>6210000</v>
      </c>
      <c r="B422" s="73"/>
      <c r="C422" s="51" t="s">
        <v>992</v>
      </c>
      <c r="D422" s="89"/>
      <c r="E422" s="89"/>
      <c r="F422" s="89"/>
      <c r="G422" s="89"/>
      <c r="H422" s="89"/>
      <c r="I422" s="89"/>
      <c r="J422" s="212">
        <f t="shared" si="45"/>
        <v>0</v>
      </c>
      <c r="K422" s="212">
        <f t="shared" si="45"/>
        <v>0</v>
      </c>
      <c r="L422" s="212">
        <f t="shared" si="45"/>
        <v>0</v>
      </c>
      <c r="M422" s="212">
        <f t="shared" si="45"/>
        <v>0</v>
      </c>
      <c r="N422" s="212">
        <f t="shared" si="45"/>
        <v>0</v>
      </c>
      <c r="O422" s="212">
        <f t="shared" si="45"/>
        <v>0</v>
      </c>
      <c r="P422" s="155">
        <f t="shared" si="45"/>
        <v>0</v>
      </c>
      <c r="Q422" s="407"/>
      <c r="R422" s="407"/>
    </row>
    <row r="423" spans="1:18" ht="12.75" x14ac:dyDescent="0.2">
      <c r="A423" s="152">
        <v>6210000</v>
      </c>
      <c r="B423" s="73"/>
      <c r="C423" s="51" t="s">
        <v>994</v>
      </c>
      <c r="D423" s="89"/>
      <c r="E423" s="89"/>
      <c r="F423" s="89"/>
      <c r="G423" s="89"/>
      <c r="H423" s="89"/>
      <c r="I423" s="89"/>
      <c r="J423" s="212">
        <f t="shared" ref="J423:P432" si="46">SUMIFS(J$26:J$180,$A$26:$A$180,$A423,$C$26:$C$180,$C423)</f>
        <v>0</v>
      </c>
      <c r="K423" s="212">
        <f t="shared" si="46"/>
        <v>0</v>
      </c>
      <c r="L423" s="212">
        <f t="shared" si="46"/>
        <v>7000</v>
      </c>
      <c r="M423" s="212">
        <f t="shared" si="46"/>
        <v>0</v>
      </c>
      <c r="N423" s="212">
        <f t="shared" si="46"/>
        <v>0</v>
      </c>
      <c r="O423" s="212">
        <f t="shared" si="46"/>
        <v>0</v>
      </c>
      <c r="P423" s="155">
        <f t="shared" si="46"/>
        <v>7000</v>
      </c>
      <c r="Q423" s="407"/>
      <c r="R423" s="407"/>
    </row>
    <row r="424" spans="1:18" ht="12.75" x14ac:dyDescent="0.2">
      <c r="A424" s="152">
        <v>6210000</v>
      </c>
      <c r="B424" s="73"/>
      <c r="C424" s="51" t="s">
        <v>993</v>
      </c>
      <c r="D424" s="89"/>
      <c r="E424" s="89"/>
      <c r="F424" s="89"/>
      <c r="G424" s="89"/>
      <c r="H424" s="89"/>
      <c r="I424" s="89"/>
      <c r="J424" s="212">
        <f t="shared" si="46"/>
        <v>0</v>
      </c>
      <c r="K424" s="212">
        <f t="shared" si="46"/>
        <v>0</v>
      </c>
      <c r="L424" s="212">
        <f t="shared" si="46"/>
        <v>11000</v>
      </c>
      <c r="M424" s="212">
        <f t="shared" si="46"/>
        <v>0</v>
      </c>
      <c r="N424" s="212">
        <f t="shared" si="46"/>
        <v>0</v>
      </c>
      <c r="O424" s="212">
        <f t="shared" si="46"/>
        <v>0</v>
      </c>
      <c r="P424" s="155">
        <f t="shared" si="46"/>
        <v>11000</v>
      </c>
      <c r="Q424" s="407"/>
      <c r="R424" s="407"/>
    </row>
    <row r="425" spans="1:18" ht="12.75" x14ac:dyDescent="0.2">
      <c r="A425" s="152">
        <v>6210000</v>
      </c>
      <c r="B425" s="73"/>
      <c r="C425" s="51" t="s">
        <v>995</v>
      </c>
      <c r="D425" s="89"/>
      <c r="E425" s="89"/>
      <c r="F425" s="89"/>
      <c r="G425" s="89"/>
      <c r="H425" s="89"/>
      <c r="I425" s="89"/>
      <c r="J425" s="212">
        <f t="shared" si="46"/>
        <v>0</v>
      </c>
      <c r="K425" s="212">
        <f t="shared" si="46"/>
        <v>0</v>
      </c>
      <c r="L425" s="212">
        <f t="shared" si="46"/>
        <v>3000</v>
      </c>
      <c r="M425" s="212">
        <f t="shared" si="46"/>
        <v>0</v>
      </c>
      <c r="N425" s="212">
        <f t="shared" si="46"/>
        <v>0</v>
      </c>
      <c r="O425" s="212">
        <f t="shared" si="46"/>
        <v>0</v>
      </c>
      <c r="P425" s="155">
        <f t="shared" si="46"/>
        <v>3000</v>
      </c>
      <c r="Q425" s="407"/>
      <c r="R425" s="407"/>
    </row>
    <row r="426" spans="1:18" ht="12.75" x14ac:dyDescent="0.2">
      <c r="A426" s="152">
        <v>6210000</v>
      </c>
      <c r="B426" s="73"/>
      <c r="C426" s="51" t="s">
        <v>1001</v>
      </c>
      <c r="D426" s="89"/>
      <c r="E426" s="89"/>
      <c r="F426" s="89"/>
      <c r="G426" s="89"/>
      <c r="H426" s="89"/>
      <c r="I426" s="89"/>
      <c r="J426" s="212">
        <f t="shared" si="46"/>
        <v>0</v>
      </c>
      <c r="K426" s="212">
        <f t="shared" si="46"/>
        <v>0</v>
      </c>
      <c r="L426" s="212">
        <f t="shared" si="46"/>
        <v>0</v>
      </c>
      <c r="M426" s="212">
        <f t="shared" si="46"/>
        <v>0</v>
      </c>
      <c r="N426" s="212">
        <f t="shared" si="46"/>
        <v>0</v>
      </c>
      <c r="O426" s="212">
        <f t="shared" si="46"/>
        <v>0</v>
      </c>
      <c r="P426" s="155">
        <f t="shared" si="46"/>
        <v>0</v>
      </c>
      <c r="Q426" s="407"/>
      <c r="R426" s="407"/>
    </row>
    <row r="427" spans="1:18" ht="12.75" x14ac:dyDescent="0.2">
      <c r="A427" s="152">
        <v>6210000</v>
      </c>
      <c r="B427" s="73"/>
      <c r="C427" s="51" t="s">
        <v>978</v>
      </c>
      <c r="D427" s="89"/>
      <c r="E427" s="89"/>
      <c r="F427" s="89"/>
      <c r="G427" s="89"/>
      <c r="H427" s="89"/>
      <c r="I427" s="89"/>
      <c r="J427" s="212">
        <f t="shared" si="46"/>
        <v>0</v>
      </c>
      <c r="K427" s="212">
        <f t="shared" si="46"/>
        <v>0</v>
      </c>
      <c r="L427" s="212">
        <f t="shared" si="46"/>
        <v>0</v>
      </c>
      <c r="M427" s="212">
        <f t="shared" si="46"/>
        <v>0</v>
      </c>
      <c r="N427" s="212">
        <f t="shared" si="46"/>
        <v>0</v>
      </c>
      <c r="O427" s="212">
        <f t="shared" si="46"/>
        <v>0</v>
      </c>
      <c r="P427" s="155">
        <f t="shared" si="46"/>
        <v>0</v>
      </c>
      <c r="Q427" s="407"/>
      <c r="R427" s="407"/>
    </row>
    <row r="428" spans="1:18" ht="12.75" x14ac:dyDescent="0.2">
      <c r="A428" s="152">
        <v>6210000</v>
      </c>
      <c r="B428" s="73"/>
      <c r="C428" s="51" t="s">
        <v>494</v>
      </c>
      <c r="D428" s="89"/>
      <c r="E428" s="89"/>
      <c r="F428" s="89"/>
      <c r="G428" s="89"/>
      <c r="H428" s="89"/>
      <c r="I428" s="89"/>
      <c r="J428" s="212">
        <f t="shared" si="46"/>
        <v>0</v>
      </c>
      <c r="K428" s="212">
        <f t="shared" si="46"/>
        <v>0</v>
      </c>
      <c r="L428" s="212">
        <f t="shared" si="46"/>
        <v>0</v>
      </c>
      <c r="M428" s="212">
        <f t="shared" si="46"/>
        <v>0</v>
      </c>
      <c r="N428" s="212">
        <f t="shared" si="46"/>
        <v>0</v>
      </c>
      <c r="O428" s="212">
        <f t="shared" si="46"/>
        <v>0</v>
      </c>
      <c r="P428" s="155">
        <f t="shared" si="46"/>
        <v>0</v>
      </c>
      <c r="Q428" s="407"/>
      <c r="R428" s="407"/>
    </row>
    <row r="429" spans="1:18" ht="12.75" x14ac:dyDescent="0.2">
      <c r="A429" s="152">
        <v>6210000</v>
      </c>
      <c r="B429" s="73"/>
      <c r="C429" s="51" t="s">
        <v>976</v>
      </c>
      <c r="D429" s="89"/>
      <c r="E429" s="89"/>
      <c r="F429" s="89"/>
      <c r="G429" s="89"/>
      <c r="H429" s="89"/>
      <c r="I429" s="89"/>
      <c r="J429" s="212">
        <f t="shared" si="46"/>
        <v>0</v>
      </c>
      <c r="K429" s="212">
        <f t="shared" si="46"/>
        <v>0</v>
      </c>
      <c r="L429" s="212">
        <f t="shared" si="46"/>
        <v>2250</v>
      </c>
      <c r="M429" s="212">
        <f t="shared" si="46"/>
        <v>0</v>
      </c>
      <c r="N429" s="212">
        <f t="shared" si="46"/>
        <v>0</v>
      </c>
      <c r="O429" s="212">
        <f t="shared" si="46"/>
        <v>3250</v>
      </c>
      <c r="P429" s="155">
        <f t="shared" si="46"/>
        <v>5500</v>
      </c>
      <c r="Q429" s="407"/>
      <c r="R429" s="407"/>
    </row>
    <row r="430" spans="1:18" ht="12.75" x14ac:dyDescent="0.2">
      <c r="A430" s="152">
        <v>6210000</v>
      </c>
      <c r="B430" s="73"/>
      <c r="C430" s="51" t="s">
        <v>1002</v>
      </c>
      <c r="D430" s="89"/>
      <c r="E430" s="89"/>
      <c r="F430" s="89"/>
      <c r="G430" s="89"/>
      <c r="H430" s="89"/>
      <c r="I430" s="89"/>
      <c r="J430" s="212">
        <f t="shared" si="46"/>
        <v>0</v>
      </c>
      <c r="K430" s="212">
        <f t="shared" si="46"/>
        <v>0</v>
      </c>
      <c r="L430" s="212">
        <f t="shared" si="46"/>
        <v>0</v>
      </c>
      <c r="M430" s="212">
        <f t="shared" si="46"/>
        <v>0</v>
      </c>
      <c r="N430" s="212">
        <f t="shared" si="46"/>
        <v>0</v>
      </c>
      <c r="O430" s="212">
        <f t="shared" si="46"/>
        <v>0</v>
      </c>
      <c r="P430" s="155">
        <f t="shared" si="46"/>
        <v>0</v>
      </c>
      <c r="Q430" s="407"/>
      <c r="R430" s="407"/>
    </row>
    <row r="431" spans="1:18" ht="12.75" x14ac:dyDescent="0.2">
      <c r="A431" s="152">
        <v>6210000</v>
      </c>
      <c r="B431" s="73"/>
      <c r="C431" s="51" t="s">
        <v>1014</v>
      </c>
      <c r="D431" s="89"/>
      <c r="E431" s="89"/>
      <c r="F431" s="89"/>
      <c r="G431" s="89"/>
      <c r="H431" s="89"/>
      <c r="I431" s="89"/>
      <c r="J431" s="212">
        <f t="shared" si="46"/>
        <v>0</v>
      </c>
      <c r="K431" s="212">
        <f t="shared" si="46"/>
        <v>0</v>
      </c>
      <c r="L431" s="212">
        <f t="shared" si="46"/>
        <v>0</v>
      </c>
      <c r="M431" s="212">
        <f t="shared" si="46"/>
        <v>0</v>
      </c>
      <c r="N431" s="212">
        <f t="shared" si="46"/>
        <v>0</v>
      </c>
      <c r="O431" s="212">
        <f t="shared" si="46"/>
        <v>0</v>
      </c>
      <c r="P431" s="155">
        <f t="shared" si="46"/>
        <v>0</v>
      </c>
      <c r="Q431" s="407"/>
      <c r="R431" s="407"/>
    </row>
    <row r="432" spans="1:18" ht="12.75" x14ac:dyDescent="0.2">
      <c r="A432" s="152">
        <v>6210000</v>
      </c>
      <c r="B432" s="73"/>
      <c r="C432" s="51" t="s">
        <v>998</v>
      </c>
      <c r="D432" s="89"/>
      <c r="E432" s="89"/>
      <c r="F432" s="89"/>
      <c r="G432" s="89"/>
      <c r="H432" s="89"/>
      <c r="I432" s="89"/>
      <c r="J432" s="212">
        <f t="shared" si="46"/>
        <v>0</v>
      </c>
      <c r="K432" s="212">
        <f t="shared" si="46"/>
        <v>0</v>
      </c>
      <c r="L432" s="212">
        <f t="shared" si="46"/>
        <v>0</v>
      </c>
      <c r="M432" s="212">
        <f t="shared" si="46"/>
        <v>0</v>
      </c>
      <c r="N432" s="212">
        <f t="shared" si="46"/>
        <v>0</v>
      </c>
      <c r="O432" s="212">
        <f t="shared" si="46"/>
        <v>0</v>
      </c>
      <c r="P432" s="155">
        <f t="shared" si="46"/>
        <v>0</v>
      </c>
      <c r="Q432" s="407"/>
      <c r="R432" s="407"/>
    </row>
    <row r="433" spans="1:18" ht="12.75" x14ac:dyDescent="0.2">
      <c r="A433" s="152">
        <v>6210000</v>
      </c>
      <c r="B433" s="73"/>
      <c r="C433" s="51" t="s">
        <v>996</v>
      </c>
      <c r="D433" s="89"/>
      <c r="E433" s="89"/>
      <c r="F433" s="89"/>
      <c r="G433" s="89"/>
      <c r="H433" s="89"/>
      <c r="I433" s="89"/>
      <c r="J433" s="212">
        <f t="shared" ref="J433:P442" si="47">SUMIFS(J$26:J$180,$A$26:$A$180,$A433,$C$26:$C$180,$C433)</f>
        <v>0</v>
      </c>
      <c r="K433" s="212">
        <f t="shared" si="47"/>
        <v>0</v>
      </c>
      <c r="L433" s="212">
        <f t="shared" si="47"/>
        <v>0</v>
      </c>
      <c r="M433" s="212">
        <f t="shared" si="47"/>
        <v>0</v>
      </c>
      <c r="N433" s="212">
        <f t="shared" si="47"/>
        <v>0</v>
      </c>
      <c r="O433" s="212">
        <f t="shared" si="47"/>
        <v>0</v>
      </c>
      <c r="P433" s="155">
        <f t="shared" si="47"/>
        <v>0</v>
      </c>
      <c r="Q433" s="407"/>
      <c r="R433" s="407"/>
    </row>
    <row r="434" spans="1:18" ht="12.75" x14ac:dyDescent="0.2">
      <c r="A434" s="152">
        <v>6210000</v>
      </c>
      <c r="B434" s="73"/>
      <c r="C434" s="51" t="s">
        <v>1043</v>
      </c>
      <c r="D434" s="89"/>
      <c r="E434" s="89"/>
      <c r="F434" s="89"/>
      <c r="G434" s="89"/>
      <c r="H434" s="89"/>
      <c r="I434" s="89"/>
      <c r="J434" s="212">
        <f t="shared" si="47"/>
        <v>0</v>
      </c>
      <c r="K434" s="212">
        <f t="shared" si="47"/>
        <v>0</v>
      </c>
      <c r="L434" s="212">
        <f t="shared" si="47"/>
        <v>0</v>
      </c>
      <c r="M434" s="212">
        <f t="shared" si="47"/>
        <v>0</v>
      </c>
      <c r="N434" s="212">
        <f t="shared" si="47"/>
        <v>0</v>
      </c>
      <c r="O434" s="212">
        <f t="shared" si="47"/>
        <v>0</v>
      </c>
      <c r="P434" s="155">
        <f t="shared" si="47"/>
        <v>0</v>
      </c>
      <c r="Q434" s="407"/>
      <c r="R434" s="407"/>
    </row>
    <row r="435" spans="1:18" ht="12.75" x14ac:dyDescent="0.2">
      <c r="A435" s="152">
        <v>6210000</v>
      </c>
      <c r="B435" s="73"/>
      <c r="C435" s="51" t="s">
        <v>1044</v>
      </c>
      <c r="D435" s="89"/>
      <c r="E435" s="89"/>
      <c r="F435" s="89"/>
      <c r="G435" s="89"/>
      <c r="H435" s="89"/>
      <c r="I435" s="89"/>
      <c r="J435" s="212">
        <f t="shared" si="47"/>
        <v>0</v>
      </c>
      <c r="K435" s="212">
        <f t="shared" si="47"/>
        <v>0</v>
      </c>
      <c r="L435" s="212">
        <f t="shared" si="47"/>
        <v>0</v>
      </c>
      <c r="M435" s="212">
        <f t="shared" si="47"/>
        <v>0</v>
      </c>
      <c r="N435" s="212">
        <f t="shared" si="47"/>
        <v>0</v>
      </c>
      <c r="O435" s="212">
        <f t="shared" si="47"/>
        <v>0</v>
      </c>
      <c r="P435" s="155">
        <f t="shared" si="47"/>
        <v>0</v>
      </c>
      <c r="Q435" s="407"/>
      <c r="R435" s="407"/>
    </row>
    <row r="436" spans="1:18" ht="12.75" x14ac:dyDescent="0.2">
      <c r="A436" s="152">
        <v>6210000</v>
      </c>
      <c r="B436" s="73"/>
      <c r="C436" s="51" t="s">
        <v>1039</v>
      </c>
      <c r="D436" s="89"/>
      <c r="E436" s="89"/>
      <c r="F436" s="89"/>
      <c r="G436" s="89"/>
      <c r="H436" s="89"/>
      <c r="I436" s="89"/>
      <c r="J436" s="212">
        <f t="shared" si="47"/>
        <v>0</v>
      </c>
      <c r="K436" s="212">
        <f t="shared" si="47"/>
        <v>0</v>
      </c>
      <c r="L436" s="212">
        <f t="shared" si="47"/>
        <v>0</v>
      </c>
      <c r="M436" s="212">
        <f t="shared" si="47"/>
        <v>0</v>
      </c>
      <c r="N436" s="212">
        <f t="shared" si="47"/>
        <v>0</v>
      </c>
      <c r="O436" s="212">
        <f t="shared" si="47"/>
        <v>0</v>
      </c>
      <c r="P436" s="155">
        <f t="shared" si="47"/>
        <v>0</v>
      </c>
      <c r="Q436" s="407"/>
      <c r="R436" s="407"/>
    </row>
    <row r="437" spans="1:18" ht="12.75" x14ac:dyDescent="0.2">
      <c r="A437" s="152">
        <v>6210000</v>
      </c>
      <c r="B437" s="73"/>
      <c r="C437" s="51" t="s">
        <v>1028</v>
      </c>
      <c r="D437" s="89"/>
      <c r="E437" s="89"/>
      <c r="F437" s="89"/>
      <c r="G437" s="89"/>
      <c r="H437" s="89"/>
      <c r="I437" s="89"/>
      <c r="J437" s="212">
        <f t="shared" si="47"/>
        <v>0</v>
      </c>
      <c r="K437" s="212">
        <f t="shared" si="47"/>
        <v>0</v>
      </c>
      <c r="L437" s="212">
        <f t="shared" si="47"/>
        <v>0</v>
      </c>
      <c r="M437" s="212">
        <f t="shared" si="47"/>
        <v>0</v>
      </c>
      <c r="N437" s="212">
        <f t="shared" si="47"/>
        <v>0</v>
      </c>
      <c r="O437" s="212">
        <f t="shared" si="47"/>
        <v>0</v>
      </c>
      <c r="P437" s="155">
        <f t="shared" si="47"/>
        <v>0</v>
      </c>
      <c r="Q437" s="407"/>
      <c r="R437" s="407"/>
    </row>
    <row r="438" spans="1:18" ht="12.75" x14ac:dyDescent="0.2">
      <c r="A438" s="152">
        <v>6210000</v>
      </c>
      <c r="B438" s="73"/>
      <c r="C438" s="51" t="s">
        <v>1029</v>
      </c>
      <c r="D438" s="89"/>
      <c r="E438" s="89"/>
      <c r="F438" s="89"/>
      <c r="G438" s="89"/>
      <c r="H438" s="89"/>
      <c r="I438" s="89"/>
      <c r="J438" s="212">
        <f t="shared" si="47"/>
        <v>0</v>
      </c>
      <c r="K438" s="212">
        <f t="shared" si="47"/>
        <v>0</v>
      </c>
      <c r="L438" s="212">
        <f t="shared" si="47"/>
        <v>0</v>
      </c>
      <c r="M438" s="212">
        <f t="shared" si="47"/>
        <v>0</v>
      </c>
      <c r="N438" s="212">
        <f t="shared" si="47"/>
        <v>0</v>
      </c>
      <c r="O438" s="212">
        <f t="shared" si="47"/>
        <v>0</v>
      </c>
      <c r="P438" s="155">
        <f t="shared" si="47"/>
        <v>0</v>
      </c>
      <c r="Q438" s="407"/>
      <c r="R438" s="407"/>
    </row>
    <row r="439" spans="1:18" ht="12.75" x14ac:dyDescent="0.2">
      <c r="A439" s="152">
        <v>6210000</v>
      </c>
      <c r="B439" s="73"/>
      <c r="C439" s="51" t="s">
        <v>113</v>
      </c>
      <c r="D439" s="89"/>
      <c r="E439" s="89"/>
      <c r="F439" s="89"/>
      <c r="G439" s="89"/>
      <c r="H439" s="89"/>
      <c r="I439" s="89"/>
      <c r="J439" s="212">
        <f t="shared" si="47"/>
        <v>0</v>
      </c>
      <c r="K439" s="212">
        <f t="shared" si="47"/>
        <v>0</v>
      </c>
      <c r="L439" s="212">
        <f t="shared" si="47"/>
        <v>7000</v>
      </c>
      <c r="M439" s="212">
        <f t="shared" si="47"/>
        <v>0</v>
      </c>
      <c r="N439" s="212">
        <f t="shared" si="47"/>
        <v>0</v>
      </c>
      <c r="O439" s="212">
        <f t="shared" si="47"/>
        <v>0</v>
      </c>
      <c r="P439" s="155">
        <f t="shared" si="47"/>
        <v>7000</v>
      </c>
      <c r="Q439" s="407"/>
      <c r="R439" s="407"/>
    </row>
    <row r="440" spans="1:18" ht="12.75" x14ac:dyDescent="0.2">
      <c r="A440" s="152">
        <v>6210000</v>
      </c>
      <c r="B440" s="73"/>
      <c r="C440" s="51" t="s">
        <v>1038</v>
      </c>
      <c r="D440" s="89"/>
      <c r="E440" s="89"/>
      <c r="F440" s="89"/>
      <c r="G440" s="89"/>
      <c r="H440" s="89"/>
      <c r="I440" s="89"/>
      <c r="J440" s="212">
        <f t="shared" si="47"/>
        <v>0</v>
      </c>
      <c r="K440" s="212">
        <f t="shared" si="47"/>
        <v>0</v>
      </c>
      <c r="L440" s="212">
        <f t="shared" si="47"/>
        <v>0</v>
      </c>
      <c r="M440" s="212">
        <f t="shared" si="47"/>
        <v>0</v>
      </c>
      <c r="N440" s="212">
        <f t="shared" si="47"/>
        <v>0</v>
      </c>
      <c r="O440" s="212">
        <f t="shared" si="47"/>
        <v>0</v>
      </c>
      <c r="P440" s="155">
        <f t="shared" si="47"/>
        <v>0</v>
      </c>
      <c r="Q440" s="407"/>
      <c r="R440" s="407"/>
    </row>
    <row r="441" spans="1:18" ht="12.75" x14ac:dyDescent="0.2">
      <c r="A441" s="152">
        <v>6210000</v>
      </c>
      <c r="B441" s="73"/>
      <c r="C441" s="51" t="s">
        <v>1033</v>
      </c>
      <c r="D441" s="89"/>
      <c r="E441" s="89"/>
      <c r="F441" s="89"/>
      <c r="G441" s="89"/>
      <c r="H441" s="89"/>
      <c r="I441" s="89"/>
      <c r="J441" s="212">
        <f t="shared" si="47"/>
        <v>0</v>
      </c>
      <c r="K441" s="212">
        <f t="shared" si="47"/>
        <v>0</v>
      </c>
      <c r="L441" s="212">
        <f t="shared" si="47"/>
        <v>0</v>
      </c>
      <c r="M441" s="212">
        <f t="shared" si="47"/>
        <v>0</v>
      </c>
      <c r="N441" s="212">
        <f t="shared" si="47"/>
        <v>0</v>
      </c>
      <c r="O441" s="212">
        <f t="shared" si="47"/>
        <v>0</v>
      </c>
      <c r="P441" s="155">
        <f t="shared" si="47"/>
        <v>0</v>
      </c>
      <c r="Q441" s="407"/>
      <c r="R441" s="407"/>
    </row>
    <row r="442" spans="1:18" ht="12.75" x14ac:dyDescent="0.2">
      <c r="A442" s="152">
        <v>6210000</v>
      </c>
      <c r="B442" s="73"/>
      <c r="C442" s="51" t="s">
        <v>1007</v>
      </c>
      <c r="D442" s="89"/>
      <c r="E442" s="89"/>
      <c r="F442" s="89"/>
      <c r="G442" s="89"/>
      <c r="H442" s="89"/>
      <c r="I442" s="89"/>
      <c r="J442" s="212">
        <f t="shared" si="47"/>
        <v>0</v>
      </c>
      <c r="K442" s="212">
        <f t="shared" si="47"/>
        <v>0</v>
      </c>
      <c r="L442" s="212">
        <f t="shared" si="47"/>
        <v>0</v>
      </c>
      <c r="M442" s="212">
        <f t="shared" si="47"/>
        <v>0</v>
      </c>
      <c r="N442" s="212">
        <f t="shared" si="47"/>
        <v>0</v>
      </c>
      <c r="O442" s="212">
        <f t="shared" si="47"/>
        <v>0</v>
      </c>
      <c r="P442" s="155">
        <f t="shared" si="47"/>
        <v>0</v>
      </c>
      <c r="Q442" s="407"/>
      <c r="R442" s="407"/>
    </row>
    <row r="443" spans="1:18" ht="12.75" x14ac:dyDescent="0.2">
      <c r="A443" s="152">
        <v>6210000</v>
      </c>
      <c r="B443" s="73"/>
      <c r="C443" s="51" t="s">
        <v>969</v>
      </c>
      <c r="D443" s="89"/>
      <c r="E443" s="89"/>
      <c r="F443" s="89"/>
      <c r="G443" s="89"/>
      <c r="H443" s="89"/>
      <c r="I443" s="89"/>
      <c r="J443" s="212">
        <f t="shared" ref="J443:P452" si="48">SUMIFS(J$26:J$180,$A$26:$A$180,$A443,$C$26:$C$180,$C443)</f>
        <v>0</v>
      </c>
      <c r="K443" s="212">
        <f t="shared" si="48"/>
        <v>0</v>
      </c>
      <c r="L443" s="212">
        <f t="shared" si="48"/>
        <v>0</v>
      </c>
      <c r="M443" s="212">
        <f t="shared" si="48"/>
        <v>0</v>
      </c>
      <c r="N443" s="212">
        <f t="shared" si="48"/>
        <v>0</v>
      </c>
      <c r="O443" s="212">
        <f t="shared" si="48"/>
        <v>0</v>
      </c>
      <c r="P443" s="155">
        <f t="shared" si="48"/>
        <v>0</v>
      </c>
      <c r="Q443" s="407"/>
      <c r="R443" s="407"/>
    </row>
    <row r="444" spans="1:18" ht="12.75" x14ac:dyDescent="0.2">
      <c r="A444" s="152">
        <v>6210000</v>
      </c>
      <c r="B444" s="73"/>
      <c r="C444" s="51" t="s">
        <v>987</v>
      </c>
      <c r="D444" s="89"/>
      <c r="E444" s="89"/>
      <c r="F444" s="89"/>
      <c r="G444" s="89"/>
      <c r="H444" s="89"/>
      <c r="I444" s="89"/>
      <c r="J444" s="212">
        <f t="shared" si="48"/>
        <v>0</v>
      </c>
      <c r="K444" s="212">
        <f t="shared" si="48"/>
        <v>0</v>
      </c>
      <c r="L444" s="212">
        <f t="shared" si="48"/>
        <v>0</v>
      </c>
      <c r="M444" s="212">
        <f t="shared" si="48"/>
        <v>0</v>
      </c>
      <c r="N444" s="212">
        <f t="shared" si="48"/>
        <v>0</v>
      </c>
      <c r="O444" s="212">
        <f t="shared" si="48"/>
        <v>0</v>
      </c>
      <c r="P444" s="155">
        <f t="shared" si="48"/>
        <v>0</v>
      </c>
      <c r="Q444" s="407"/>
      <c r="R444" s="407"/>
    </row>
    <row r="445" spans="1:18" ht="12.75" x14ac:dyDescent="0.2">
      <c r="A445" s="152">
        <v>6210000</v>
      </c>
      <c r="B445" s="73"/>
      <c r="C445" s="51" t="s">
        <v>1000</v>
      </c>
      <c r="D445" s="89"/>
      <c r="E445" s="89"/>
      <c r="F445" s="89"/>
      <c r="G445" s="89"/>
      <c r="H445" s="89"/>
      <c r="I445" s="89"/>
      <c r="J445" s="212">
        <f t="shared" si="48"/>
        <v>0</v>
      </c>
      <c r="K445" s="212">
        <f t="shared" si="48"/>
        <v>0</v>
      </c>
      <c r="L445" s="212">
        <f t="shared" si="48"/>
        <v>0</v>
      </c>
      <c r="M445" s="212">
        <f t="shared" si="48"/>
        <v>0</v>
      </c>
      <c r="N445" s="212">
        <f t="shared" si="48"/>
        <v>0</v>
      </c>
      <c r="O445" s="212">
        <f t="shared" si="48"/>
        <v>0</v>
      </c>
      <c r="P445" s="155">
        <f t="shared" si="48"/>
        <v>0</v>
      </c>
      <c r="Q445" s="407"/>
      <c r="R445" s="407"/>
    </row>
    <row r="446" spans="1:18" ht="12.75" x14ac:dyDescent="0.2">
      <c r="A446" s="152">
        <v>6210000</v>
      </c>
      <c r="B446" s="73"/>
      <c r="C446" s="51" t="s">
        <v>116</v>
      </c>
      <c r="D446" s="89"/>
      <c r="E446" s="89"/>
      <c r="F446" s="89"/>
      <c r="G446" s="89"/>
      <c r="H446" s="89"/>
      <c r="I446" s="89"/>
      <c r="J446" s="212">
        <f t="shared" si="48"/>
        <v>0</v>
      </c>
      <c r="K446" s="212">
        <f t="shared" si="48"/>
        <v>0</v>
      </c>
      <c r="L446" s="212">
        <f t="shared" si="48"/>
        <v>0</v>
      </c>
      <c r="M446" s="212">
        <f t="shared" si="48"/>
        <v>0</v>
      </c>
      <c r="N446" s="212">
        <f t="shared" si="48"/>
        <v>0</v>
      </c>
      <c r="O446" s="212">
        <f t="shared" si="48"/>
        <v>0</v>
      </c>
      <c r="P446" s="155">
        <f t="shared" si="48"/>
        <v>0</v>
      </c>
      <c r="Q446" s="407"/>
      <c r="R446" s="407"/>
    </row>
    <row r="447" spans="1:18" ht="12.75" x14ac:dyDescent="0.2">
      <c r="A447" s="152">
        <v>6210000</v>
      </c>
      <c r="B447" s="73"/>
      <c r="C447" s="51" t="s">
        <v>114</v>
      </c>
      <c r="D447" s="89"/>
      <c r="E447" s="89"/>
      <c r="F447" s="89"/>
      <c r="G447" s="89"/>
      <c r="H447" s="89"/>
      <c r="I447" s="89"/>
      <c r="J447" s="212">
        <f t="shared" si="48"/>
        <v>0</v>
      </c>
      <c r="K447" s="212">
        <f t="shared" si="48"/>
        <v>0</v>
      </c>
      <c r="L447" s="212">
        <f t="shared" si="48"/>
        <v>0</v>
      </c>
      <c r="M447" s="212">
        <f t="shared" si="48"/>
        <v>0</v>
      </c>
      <c r="N447" s="212">
        <f t="shared" si="48"/>
        <v>0</v>
      </c>
      <c r="O447" s="212">
        <f t="shared" si="48"/>
        <v>0</v>
      </c>
      <c r="P447" s="155">
        <f t="shared" si="48"/>
        <v>0</v>
      </c>
      <c r="Q447" s="407"/>
      <c r="R447" s="407"/>
    </row>
    <row r="448" spans="1:18" ht="12.75" x14ac:dyDescent="0.2">
      <c r="A448" s="152">
        <v>6210000</v>
      </c>
      <c r="B448" s="73"/>
      <c r="C448" s="51" t="s">
        <v>111</v>
      </c>
      <c r="D448" s="89"/>
      <c r="E448" s="89"/>
      <c r="F448" s="89"/>
      <c r="G448" s="89"/>
      <c r="H448" s="89"/>
      <c r="I448" s="89"/>
      <c r="J448" s="212">
        <f t="shared" si="48"/>
        <v>0</v>
      </c>
      <c r="K448" s="212">
        <f t="shared" si="48"/>
        <v>0</v>
      </c>
      <c r="L448" s="212">
        <f t="shared" si="48"/>
        <v>0</v>
      </c>
      <c r="M448" s="212">
        <f t="shared" si="48"/>
        <v>0</v>
      </c>
      <c r="N448" s="212">
        <f t="shared" si="48"/>
        <v>0</v>
      </c>
      <c r="O448" s="212">
        <f t="shared" si="48"/>
        <v>0</v>
      </c>
      <c r="P448" s="155">
        <f t="shared" si="48"/>
        <v>0</v>
      </c>
      <c r="Q448" s="407"/>
      <c r="R448" s="407"/>
    </row>
    <row r="449" spans="1:18" ht="12.75" x14ac:dyDescent="0.2">
      <c r="A449" s="152">
        <v>6210000</v>
      </c>
      <c r="B449" s="73"/>
      <c r="C449" s="51" t="s">
        <v>117</v>
      </c>
      <c r="D449" s="89"/>
      <c r="E449" s="89"/>
      <c r="F449" s="89"/>
      <c r="G449" s="89"/>
      <c r="H449" s="89"/>
      <c r="I449" s="89"/>
      <c r="J449" s="212">
        <f t="shared" si="48"/>
        <v>0</v>
      </c>
      <c r="K449" s="212">
        <f t="shared" si="48"/>
        <v>0</v>
      </c>
      <c r="L449" s="212">
        <f t="shared" si="48"/>
        <v>0</v>
      </c>
      <c r="M449" s="212">
        <f t="shared" si="48"/>
        <v>0</v>
      </c>
      <c r="N449" s="212">
        <f t="shared" si="48"/>
        <v>0</v>
      </c>
      <c r="O449" s="212">
        <f t="shared" si="48"/>
        <v>0</v>
      </c>
      <c r="P449" s="155">
        <f t="shared" si="48"/>
        <v>0</v>
      </c>
      <c r="Q449" s="407"/>
      <c r="R449" s="407"/>
    </row>
    <row r="450" spans="1:18" ht="12.75" x14ac:dyDescent="0.2">
      <c r="A450" s="152">
        <v>6210000</v>
      </c>
      <c r="B450" s="73"/>
      <c r="C450" s="51" t="s">
        <v>112</v>
      </c>
      <c r="D450" s="89"/>
      <c r="E450" s="89"/>
      <c r="F450" s="89"/>
      <c r="G450" s="89"/>
      <c r="H450" s="89"/>
      <c r="I450" s="89"/>
      <c r="J450" s="212">
        <f t="shared" si="48"/>
        <v>0</v>
      </c>
      <c r="K450" s="212">
        <f t="shared" si="48"/>
        <v>0</v>
      </c>
      <c r="L450" s="212">
        <f t="shared" si="48"/>
        <v>0</v>
      </c>
      <c r="M450" s="212">
        <f t="shared" si="48"/>
        <v>0</v>
      </c>
      <c r="N450" s="212">
        <f t="shared" si="48"/>
        <v>0</v>
      </c>
      <c r="O450" s="212">
        <f t="shared" si="48"/>
        <v>0</v>
      </c>
      <c r="P450" s="155">
        <f t="shared" si="48"/>
        <v>0</v>
      </c>
      <c r="Q450" s="407"/>
      <c r="R450" s="407"/>
    </row>
    <row r="451" spans="1:18" ht="12.75" x14ac:dyDescent="0.2">
      <c r="A451" s="152">
        <v>6210000</v>
      </c>
      <c r="B451" s="73"/>
      <c r="C451" s="51" t="s">
        <v>136</v>
      </c>
      <c r="D451" s="89"/>
      <c r="E451" s="89"/>
      <c r="F451" s="89"/>
      <c r="G451" s="89"/>
      <c r="H451" s="89"/>
      <c r="I451" s="89"/>
      <c r="J451" s="212">
        <f t="shared" si="48"/>
        <v>0</v>
      </c>
      <c r="K451" s="212">
        <f t="shared" si="48"/>
        <v>0</v>
      </c>
      <c r="L451" s="212">
        <f t="shared" si="48"/>
        <v>0</v>
      </c>
      <c r="M451" s="212">
        <f t="shared" si="48"/>
        <v>0</v>
      </c>
      <c r="N451" s="212">
        <f t="shared" si="48"/>
        <v>0</v>
      </c>
      <c r="O451" s="212">
        <f t="shared" si="48"/>
        <v>0</v>
      </c>
      <c r="P451" s="155">
        <f t="shared" si="48"/>
        <v>0</v>
      </c>
      <c r="Q451" s="407"/>
      <c r="R451" s="407"/>
    </row>
    <row r="452" spans="1:18" ht="12.75" x14ac:dyDescent="0.2">
      <c r="A452" s="152">
        <v>6210000</v>
      </c>
      <c r="B452" s="73"/>
      <c r="C452" s="51" t="s">
        <v>962</v>
      </c>
      <c r="D452" s="89"/>
      <c r="E452" s="89"/>
      <c r="F452" s="89"/>
      <c r="G452" s="89"/>
      <c r="H452" s="89"/>
      <c r="I452" s="89"/>
      <c r="J452" s="212">
        <f t="shared" si="48"/>
        <v>0</v>
      </c>
      <c r="K452" s="212">
        <f t="shared" si="48"/>
        <v>0</v>
      </c>
      <c r="L452" s="212">
        <f t="shared" si="48"/>
        <v>0</v>
      </c>
      <c r="M452" s="212">
        <f t="shared" si="48"/>
        <v>0</v>
      </c>
      <c r="N452" s="212">
        <f t="shared" si="48"/>
        <v>0</v>
      </c>
      <c r="O452" s="212">
        <f t="shared" si="48"/>
        <v>0</v>
      </c>
      <c r="P452" s="155">
        <f t="shared" si="48"/>
        <v>0</v>
      </c>
      <c r="Q452" s="407"/>
      <c r="R452" s="407"/>
    </row>
    <row r="453" spans="1:18" ht="12.75" x14ac:dyDescent="0.2">
      <c r="A453" s="152">
        <v>6210000</v>
      </c>
      <c r="B453" s="73"/>
      <c r="C453" s="51" t="s">
        <v>115</v>
      </c>
      <c r="D453" s="89"/>
      <c r="E453" s="89"/>
      <c r="F453" s="89"/>
      <c r="G453" s="89"/>
      <c r="H453" s="89"/>
      <c r="I453" s="89"/>
      <c r="J453" s="212">
        <f t="shared" ref="J453:P462" si="49">SUMIFS(J$26:J$180,$A$26:$A$180,$A453,$C$26:$C$180,$C453)</f>
        <v>0</v>
      </c>
      <c r="K453" s="212">
        <f t="shared" si="49"/>
        <v>0</v>
      </c>
      <c r="L453" s="212">
        <f t="shared" si="49"/>
        <v>0</v>
      </c>
      <c r="M453" s="212">
        <f t="shared" si="49"/>
        <v>0</v>
      </c>
      <c r="N453" s="212">
        <f t="shared" si="49"/>
        <v>0</v>
      </c>
      <c r="O453" s="212">
        <f t="shared" si="49"/>
        <v>0</v>
      </c>
      <c r="P453" s="155">
        <f t="shared" si="49"/>
        <v>0</v>
      </c>
      <c r="Q453" s="407"/>
      <c r="R453" s="407"/>
    </row>
    <row r="454" spans="1:18" ht="12.75" x14ac:dyDescent="0.2">
      <c r="A454" s="152">
        <v>6210000</v>
      </c>
      <c r="B454" s="73"/>
      <c r="C454" s="51" t="s">
        <v>997</v>
      </c>
      <c r="D454" s="89"/>
      <c r="E454" s="89"/>
      <c r="F454" s="89"/>
      <c r="G454" s="89"/>
      <c r="H454" s="89"/>
      <c r="I454" s="89"/>
      <c r="J454" s="212">
        <f t="shared" si="49"/>
        <v>0</v>
      </c>
      <c r="K454" s="212">
        <f t="shared" si="49"/>
        <v>0</v>
      </c>
      <c r="L454" s="212">
        <f t="shared" si="49"/>
        <v>0</v>
      </c>
      <c r="M454" s="212">
        <f t="shared" si="49"/>
        <v>0</v>
      </c>
      <c r="N454" s="212">
        <f t="shared" si="49"/>
        <v>0</v>
      </c>
      <c r="O454" s="212">
        <f t="shared" si="49"/>
        <v>0</v>
      </c>
      <c r="P454" s="155">
        <f t="shared" si="49"/>
        <v>0</v>
      </c>
      <c r="Q454" s="407"/>
      <c r="R454" s="407"/>
    </row>
    <row r="455" spans="1:18" ht="12.75" x14ac:dyDescent="0.2">
      <c r="A455" s="152">
        <v>6210000</v>
      </c>
      <c r="B455" s="73"/>
      <c r="C455" s="51" t="s">
        <v>999</v>
      </c>
      <c r="D455" s="89"/>
      <c r="E455" s="89"/>
      <c r="F455" s="89"/>
      <c r="G455" s="89"/>
      <c r="H455" s="89"/>
      <c r="I455" s="89"/>
      <c r="J455" s="212">
        <f t="shared" si="49"/>
        <v>0</v>
      </c>
      <c r="K455" s="212">
        <f t="shared" si="49"/>
        <v>0</v>
      </c>
      <c r="L455" s="212">
        <f t="shared" si="49"/>
        <v>0</v>
      </c>
      <c r="M455" s="212">
        <f t="shared" si="49"/>
        <v>0</v>
      </c>
      <c r="N455" s="212">
        <f t="shared" si="49"/>
        <v>0</v>
      </c>
      <c r="O455" s="212">
        <f t="shared" si="49"/>
        <v>0</v>
      </c>
      <c r="P455" s="155">
        <f t="shared" si="49"/>
        <v>0</v>
      </c>
      <c r="Q455" s="407"/>
      <c r="R455" s="407"/>
    </row>
    <row r="456" spans="1:18" ht="12.75" x14ac:dyDescent="0.2">
      <c r="A456" s="152">
        <v>6210000</v>
      </c>
      <c r="B456" s="73"/>
      <c r="C456" s="51" t="s">
        <v>1049</v>
      </c>
      <c r="D456" s="89"/>
      <c r="E456" s="89"/>
      <c r="F456" s="89"/>
      <c r="G456" s="89"/>
      <c r="H456" s="89"/>
      <c r="I456" s="89"/>
      <c r="J456" s="212">
        <f t="shared" si="49"/>
        <v>0</v>
      </c>
      <c r="K456" s="212">
        <f t="shared" si="49"/>
        <v>0</v>
      </c>
      <c r="L456" s="212">
        <f t="shared" si="49"/>
        <v>0</v>
      </c>
      <c r="M456" s="212">
        <f t="shared" si="49"/>
        <v>0</v>
      </c>
      <c r="N456" s="212">
        <f t="shared" si="49"/>
        <v>0</v>
      </c>
      <c r="O456" s="212">
        <f t="shared" si="49"/>
        <v>0</v>
      </c>
      <c r="P456" s="155">
        <f t="shared" si="49"/>
        <v>0</v>
      </c>
      <c r="Q456" s="407"/>
      <c r="R456" s="407"/>
    </row>
    <row r="457" spans="1:18" ht="12.75" x14ac:dyDescent="0.2">
      <c r="A457" s="152">
        <v>6210000</v>
      </c>
      <c r="B457" s="73"/>
      <c r="C457" s="51" t="s">
        <v>96</v>
      </c>
      <c r="D457" s="89"/>
      <c r="E457" s="89"/>
      <c r="F457" s="89"/>
      <c r="G457" s="89"/>
      <c r="H457" s="89"/>
      <c r="I457" s="89"/>
      <c r="J457" s="212">
        <f t="shared" si="49"/>
        <v>0</v>
      </c>
      <c r="K457" s="212">
        <f t="shared" si="49"/>
        <v>0</v>
      </c>
      <c r="L457" s="212">
        <f t="shared" si="49"/>
        <v>0</v>
      </c>
      <c r="M457" s="212">
        <f t="shared" si="49"/>
        <v>0</v>
      </c>
      <c r="N457" s="212">
        <f t="shared" si="49"/>
        <v>0</v>
      </c>
      <c r="O457" s="212">
        <f t="shared" si="49"/>
        <v>6750</v>
      </c>
      <c r="P457" s="155">
        <f t="shared" si="49"/>
        <v>6750</v>
      </c>
      <c r="Q457" s="407"/>
      <c r="R457" s="407"/>
    </row>
    <row r="458" spans="1:18" ht="12.75" x14ac:dyDescent="0.2">
      <c r="A458" s="152">
        <v>6210000</v>
      </c>
      <c r="B458" s="73"/>
      <c r="C458" s="51" t="s">
        <v>983</v>
      </c>
      <c r="D458" s="89"/>
      <c r="E458" s="89"/>
      <c r="F458" s="89"/>
      <c r="G458" s="89"/>
      <c r="H458" s="89"/>
      <c r="I458" s="89"/>
      <c r="J458" s="212">
        <f t="shared" si="49"/>
        <v>0</v>
      </c>
      <c r="K458" s="212">
        <f t="shared" si="49"/>
        <v>0</v>
      </c>
      <c r="L458" s="212">
        <f t="shared" si="49"/>
        <v>0</v>
      </c>
      <c r="M458" s="212">
        <f t="shared" si="49"/>
        <v>0</v>
      </c>
      <c r="N458" s="212">
        <f t="shared" si="49"/>
        <v>0</v>
      </c>
      <c r="O458" s="212">
        <f t="shared" si="49"/>
        <v>0</v>
      </c>
      <c r="P458" s="155">
        <f t="shared" si="49"/>
        <v>0</v>
      </c>
      <c r="Q458" s="407"/>
      <c r="R458" s="407"/>
    </row>
    <row r="459" spans="1:18" ht="12.75" x14ac:dyDescent="0.2">
      <c r="A459" s="152">
        <v>6210000</v>
      </c>
      <c r="B459" s="73"/>
      <c r="C459" s="51" t="s">
        <v>1042</v>
      </c>
      <c r="D459" s="89"/>
      <c r="E459" s="89"/>
      <c r="F459" s="89"/>
      <c r="G459" s="89"/>
      <c r="H459" s="89"/>
      <c r="I459" s="89"/>
      <c r="J459" s="212">
        <f t="shared" si="49"/>
        <v>0</v>
      </c>
      <c r="K459" s="212">
        <f t="shared" si="49"/>
        <v>0</v>
      </c>
      <c r="L459" s="212">
        <f t="shared" si="49"/>
        <v>0</v>
      </c>
      <c r="M459" s="212">
        <f t="shared" si="49"/>
        <v>0</v>
      </c>
      <c r="N459" s="212">
        <f t="shared" si="49"/>
        <v>0</v>
      </c>
      <c r="O459" s="212">
        <f t="shared" si="49"/>
        <v>0</v>
      </c>
      <c r="P459" s="155">
        <f t="shared" si="49"/>
        <v>0</v>
      </c>
      <c r="Q459" s="407"/>
      <c r="R459" s="407"/>
    </row>
    <row r="460" spans="1:18" ht="12.75" x14ac:dyDescent="0.2">
      <c r="A460" s="152">
        <v>6210000</v>
      </c>
      <c r="B460" s="73"/>
      <c r="C460" s="51" t="s">
        <v>979</v>
      </c>
      <c r="D460" s="89"/>
      <c r="E460" s="89"/>
      <c r="F460" s="89"/>
      <c r="G460" s="89"/>
      <c r="H460" s="89"/>
      <c r="I460" s="89"/>
      <c r="J460" s="212">
        <f t="shared" si="49"/>
        <v>0</v>
      </c>
      <c r="K460" s="212">
        <f t="shared" si="49"/>
        <v>0</v>
      </c>
      <c r="L460" s="212">
        <f t="shared" si="49"/>
        <v>0</v>
      </c>
      <c r="M460" s="212">
        <f t="shared" si="49"/>
        <v>0</v>
      </c>
      <c r="N460" s="212">
        <f t="shared" si="49"/>
        <v>0</v>
      </c>
      <c r="O460" s="212">
        <f t="shared" si="49"/>
        <v>0</v>
      </c>
      <c r="P460" s="155">
        <f t="shared" si="49"/>
        <v>0</v>
      </c>
      <c r="Q460" s="407"/>
      <c r="R460" s="407"/>
    </row>
    <row r="461" spans="1:18" ht="12.75" x14ac:dyDescent="0.2">
      <c r="A461" s="152">
        <v>6210000</v>
      </c>
      <c r="B461" s="73"/>
      <c r="C461" s="51" t="s">
        <v>47</v>
      </c>
      <c r="D461" s="89"/>
      <c r="E461" s="89"/>
      <c r="F461" s="89"/>
      <c r="G461" s="89"/>
      <c r="H461" s="89"/>
      <c r="I461" s="89"/>
      <c r="J461" s="212">
        <f t="shared" si="49"/>
        <v>0</v>
      </c>
      <c r="K461" s="212">
        <f t="shared" si="49"/>
        <v>0</v>
      </c>
      <c r="L461" s="212">
        <f t="shared" si="49"/>
        <v>0</v>
      </c>
      <c r="M461" s="212">
        <f t="shared" si="49"/>
        <v>0</v>
      </c>
      <c r="N461" s="212">
        <f t="shared" si="49"/>
        <v>0</v>
      </c>
      <c r="O461" s="212">
        <f t="shared" si="49"/>
        <v>0</v>
      </c>
      <c r="P461" s="155">
        <f t="shared" si="49"/>
        <v>0</v>
      </c>
      <c r="Q461" s="407"/>
      <c r="R461" s="407"/>
    </row>
    <row r="462" spans="1:18" ht="12.75" x14ac:dyDescent="0.2">
      <c r="A462" s="152">
        <v>6210000</v>
      </c>
      <c r="B462" s="73"/>
      <c r="C462" s="51" t="s">
        <v>48</v>
      </c>
      <c r="D462" s="89"/>
      <c r="E462" s="89"/>
      <c r="F462" s="89"/>
      <c r="G462" s="89"/>
      <c r="H462" s="89"/>
      <c r="I462" s="89"/>
      <c r="J462" s="212">
        <f t="shared" si="49"/>
        <v>0</v>
      </c>
      <c r="K462" s="212">
        <f t="shared" si="49"/>
        <v>0</v>
      </c>
      <c r="L462" s="212">
        <f t="shared" si="49"/>
        <v>0</v>
      </c>
      <c r="M462" s="212">
        <f t="shared" si="49"/>
        <v>0</v>
      </c>
      <c r="N462" s="212">
        <f t="shared" si="49"/>
        <v>0</v>
      </c>
      <c r="O462" s="212">
        <f t="shared" si="49"/>
        <v>0</v>
      </c>
      <c r="P462" s="155">
        <f t="shared" si="49"/>
        <v>0</v>
      </c>
      <c r="Q462" s="407"/>
      <c r="R462" s="407"/>
    </row>
    <row r="463" spans="1:18" ht="12.75" x14ac:dyDescent="0.2">
      <c r="A463" s="152">
        <v>6210000</v>
      </c>
      <c r="B463" s="73"/>
      <c r="C463" s="51" t="s">
        <v>1051</v>
      </c>
      <c r="D463" s="89"/>
      <c r="E463" s="89"/>
      <c r="F463" s="89"/>
      <c r="G463" s="89"/>
      <c r="H463" s="89"/>
      <c r="I463" s="89"/>
      <c r="J463" s="212">
        <f t="shared" ref="J463:P472" si="50">SUMIFS(J$26:J$180,$A$26:$A$180,$A463,$C$26:$C$180,$C463)</f>
        <v>0</v>
      </c>
      <c r="K463" s="212">
        <f t="shared" si="50"/>
        <v>0</v>
      </c>
      <c r="L463" s="212">
        <f t="shared" si="50"/>
        <v>0</v>
      </c>
      <c r="M463" s="212">
        <f t="shared" si="50"/>
        <v>0</v>
      </c>
      <c r="N463" s="212">
        <f t="shared" si="50"/>
        <v>0</v>
      </c>
      <c r="O463" s="212">
        <f t="shared" si="50"/>
        <v>0</v>
      </c>
      <c r="P463" s="155">
        <f t="shared" si="50"/>
        <v>0</v>
      </c>
      <c r="Q463" s="407"/>
      <c r="R463" s="407"/>
    </row>
    <row r="464" spans="1:18" ht="12.75" x14ac:dyDescent="0.2">
      <c r="A464" s="152">
        <v>6210000</v>
      </c>
      <c r="B464" s="73"/>
      <c r="C464" s="51" t="s">
        <v>929</v>
      </c>
      <c r="D464" s="89"/>
      <c r="E464" s="89"/>
      <c r="F464" s="89"/>
      <c r="G464" s="89"/>
      <c r="H464" s="89"/>
      <c r="I464" s="89"/>
      <c r="J464" s="212">
        <f t="shared" si="50"/>
        <v>0</v>
      </c>
      <c r="K464" s="212">
        <f t="shared" si="50"/>
        <v>0</v>
      </c>
      <c r="L464" s="212">
        <f t="shared" si="50"/>
        <v>0</v>
      </c>
      <c r="M464" s="212">
        <f t="shared" si="50"/>
        <v>0</v>
      </c>
      <c r="N464" s="212">
        <f t="shared" si="50"/>
        <v>0</v>
      </c>
      <c r="O464" s="212">
        <f t="shared" si="50"/>
        <v>0</v>
      </c>
      <c r="P464" s="155">
        <f t="shared" si="50"/>
        <v>0</v>
      </c>
      <c r="Q464" s="407"/>
      <c r="R464" s="407"/>
    </row>
    <row r="465" spans="1:18" ht="12.75" x14ac:dyDescent="0.2">
      <c r="A465" s="152">
        <v>6210000</v>
      </c>
      <c r="B465" s="73"/>
      <c r="C465" s="51" t="s">
        <v>970</v>
      </c>
      <c r="D465" s="89"/>
      <c r="E465" s="89"/>
      <c r="F465" s="89"/>
      <c r="G465" s="89"/>
      <c r="H465" s="89"/>
      <c r="I465" s="89"/>
      <c r="J465" s="212">
        <f t="shared" si="50"/>
        <v>0</v>
      </c>
      <c r="K465" s="212">
        <f t="shared" si="50"/>
        <v>0</v>
      </c>
      <c r="L465" s="212">
        <f t="shared" si="50"/>
        <v>0</v>
      </c>
      <c r="M465" s="212">
        <f t="shared" si="50"/>
        <v>0</v>
      </c>
      <c r="N465" s="212">
        <f t="shared" si="50"/>
        <v>0</v>
      </c>
      <c r="O465" s="212">
        <f t="shared" si="50"/>
        <v>0</v>
      </c>
      <c r="P465" s="155">
        <f t="shared" si="50"/>
        <v>0</v>
      </c>
      <c r="Q465" s="407"/>
      <c r="R465" s="407"/>
    </row>
    <row r="466" spans="1:18" ht="12.75" x14ac:dyDescent="0.2">
      <c r="A466" s="152">
        <v>6210000</v>
      </c>
      <c r="B466" s="73"/>
      <c r="C466" s="51" t="s">
        <v>122</v>
      </c>
      <c r="D466" s="89"/>
      <c r="E466" s="89"/>
      <c r="F466" s="89"/>
      <c r="G466" s="89"/>
      <c r="H466" s="89"/>
      <c r="I466" s="89"/>
      <c r="J466" s="212">
        <f t="shared" si="50"/>
        <v>0</v>
      </c>
      <c r="K466" s="212">
        <f t="shared" si="50"/>
        <v>0</v>
      </c>
      <c r="L466" s="212">
        <f t="shared" si="50"/>
        <v>0</v>
      </c>
      <c r="M466" s="212">
        <f t="shared" si="50"/>
        <v>0</v>
      </c>
      <c r="N466" s="212">
        <f t="shared" si="50"/>
        <v>0</v>
      </c>
      <c r="O466" s="212">
        <f t="shared" si="50"/>
        <v>0</v>
      </c>
      <c r="P466" s="155">
        <f t="shared" si="50"/>
        <v>0</v>
      </c>
      <c r="Q466" s="407"/>
      <c r="R466" s="407"/>
    </row>
    <row r="467" spans="1:18" ht="12.75" x14ac:dyDescent="0.2">
      <c r="A467" s="152">
        <v>6210000</v>
      </c>
      <c r="B467" s="73"/>
      <c r="C467" s="51" t="s">
        <v>135</v>
      </c>
      <c r="D467" s="89"/>
      <c r="E467" s="89"/>
      <c r="F467" s="89"/>
      <c r="G467" s="89"/>
      <c r="H467" s="89"/>
      <c r="I467" s="89"/>
      <c r="J467" s="212">
        <f t="shared" si="50"/>
        <v>0</v>
      </c>
      <c r="K467" s="212">
        <f t="shared" si="50"/>
        <v>0</v>
      </c>
      <c r="L467" s="212">
        <f t="shared" si="50"/>
        <v>0</v>
      </c>
      <c r="M467" s="212">
        <f t="shared" si="50"/>
        <v>0</v>
      </c>
      <c r="N467" s="212">
        <f t="shared" si="50"/>
        <v>0</v>
      </c>
      <c r="O467" s="212">
        <f t="shared" si="50"/>
        <v>0</v>
      </c>
      <c r="P467" s="155">
        <f t="shared" si="50"/>
        <v>0</v>
      </c>
      <c r="Q467" s="407"/>
      <c r="R467" s="407"/>
    </row>
    <row r="468" spans="1:18" ht="12.75" x14ac:dyDescent="0.2">
      <c r="A468" s="152">
        <v>6210000</v>
      </c>
      <c r="B468" s="73"/>
      <c r="C468" s="51" t="s">
        <v>123</v>
      </c>
      <c r="D468" s="89"/>
      <c r="E468" s="89"/>
      <c r="F468" s="89"/>
      <c r="G468" s="89"/>
      <c r="H468" s="89"/>
      <c r="I468" s="89"/>
      <c r="J468" s="212">
        <f t="shared" si="50"/>
        <v>0</v>
      </c>
      <c r="K468" s="212">
        <f t="shared" si="50"/>
        <v>0</v>
      </c>
      <c r="L468" s="212">
        <f t="shared" si="50"/>
        <v>0</v>
      </c>
      <c r="M468" s="212">
        <f t="shared" si="50"/>
        <v>0</v>
      </c>
      <c r="N468" s="212">
        <f t="shared" si="50"/>
        <v>0</v>
      </c>
      <c r="O468" s="212">
        <f t="shared" si="50"/>
        <v>0</v>
      </c>
      <c r="P468" s="155">
        <f t="shared" si="50"/>
        <v>0</v>
      </c>
      <c r="Q468" s="407"/>
      <c r="R468" s="407"/>
    </row>
    <row r="469" spans="1:18" ht="12.75" x14ac:dyDescent="0.2">
      <c r="A469" s="152">
        <v>6210000</v>
      </c>
      <c r="B469" s="73"/>
      <c r="C469" s="51" t="s">
        <v>974</v>
      </c>
      <c r="D469" s="89"/>
      <c r="E469" s="89"/>
      <c r="F469" s="89"/>
      <c r="G469" s="89"/>
      <c r="H469" s="89"/>
      <c r="I469" s="89"/>
      <c r="J469" s="212">
        <f t="shared" si="50"/>
        <v>0</v>
      </c>
      <c r="K469" s="212">
        <f t="shared" si="50"/>
        <v>0</v>
      </c>
      <c r="L469" s="212">
        <f t="shared" si="50"/>
        <v>0</v>
      </c>
      <c r="M469" s="212">
        <f t="shared" si="50"/>
        <v>0</v>
      </c>
      <c r="N469" s="212">
        <f t="shared" si="50"/>
        <v>0</v>
      </c>
      <c r="O469" s="212">
        <f t="shared" si="50"/>
        <v>0</v>
      </c>
      <c r="P469" s="155">
        <f t="shared" si="50"/>
        <v>0</v>
      </c>
      <c r="Q469" s="407"/>
      <c r="R469" s="407"/>
    </row>
    <row r="470" spans="1:18" ht="12.75" x14ac:dyDescent="0.2">
      <c r="A470" s="152">
        <v>6210000</v>
      </c>
      <c r="B470" s="73"/>
      <c r="C470" s="51" t="s">
        <v>975</v>
      </c>
      <c r="D470" s="89"/>
      <c r="E470" s="89"/>
      <c r="F470" s="89"/>
      <c r="G470" s="89"/>
      <c r="H470" s="89"/>
      <c r="I470" s="89"/>
      <c r="J470" s="212">
        <f t="shared" si="50"/>
        <v>0</v>
      </c>
      <c r="K470" s="212">
        <f t="shared" si="50"/>
        <v>0</v>
      </c>
      <c r="L470" s="212">
        <f t="shared" si="50"/>
        <v>0</v>
      </c>
      <c r="M470" s="212">
        <f t="shared" si="50"/>
        <v>0</v>
      </c>
      <c r="N470" s="212">
        <f t="shared" si="50"/>
        <v>0</v>
      </c>
      <c r="O470" s="212">
        <f t="shared" si="50"/>
        <v>0</v>
      </c>
      <c r="P470" s="155">
        <f t="shared" si="50"/>
        <v>0</v>
      </c>
      <c r="Q470" s="407"/>
      <c r="R470" s="407"/>
    </row>
    <row r="471" spans="1:18" ht="12.75" x14ac:dyDescent="0.2">
      <c r="A471" s="152">
        <v>6210000</v>
      </c>
      <c r="B471" s="73"/>
      <c r="C471" s="51" t="s">
        <v>126</v>
      </c>
      <c r="D471" s="89"/>
      <c r="E471" s="89"/>
      <c r="F471" s="89"/>
      <c r="G471" s="89"/>
      <c r="H471" s="89"/>
      <c r="I471" s="89"/>
      <c r="J471" s="212">
        <f t="shared" si="50"/>
        <v>0</v>
      </c>
      <c r="K471" s="212">
        <f t="shared" si="50"/>
        <v>0</v>
      </c>
      <c r="L471" s="212">
        <f t="shared" si="50"/>
        <v>0</v>
      </c>
      <c r="M471" s="212">
        <f t="shared" si="50"/>
        <v>0</v>
      </c>
      <c r="N471" s="212">
        <f t="shared" si="50"/>
        <v>0</v>
      </c>
      <c r="O471" s="212">
        <f t="shared" si="50"/>
        <v>0</v>
      </c>
      <c r="P471" s="155">
        <f t="shared" si="50"/>
        <v>0</v>
      </c>
      <c r="Q471" s="407"/>
      <c r="R471" s="407"/>
    </row>
    <row r="472" spans="1:18" ht="12.75" x14ac:dyDescent="0.2">
      <c r="A472" s="152">
        <v>6210000</v>
      </c>
      <c r="B472" s="73"/>
      <c r="C472" s="51" t="s">
        <v>127</v>
      </c>
      <c r="D472" s="89"/>
      <c r="E472" s="89"/>
      <c r="F472" s="89"/>
      <c r="G472" s="89"/>
      <c r="H472" s="89"/>
      <c r="I472" s="89"/>
      <c r="J472" s="212">
        <f t="shared" si="50"/>
        <v>0</v>
      </c>
      <c r="K472" s="212">
        <f t="shared" si="50"/>
        <v>0</v>
      </c>
      <c r="L472" s="212">
        <f t="shared" si="50"/>
        <v>0</v>
      </c>
      <c r="M472" s="212">
        <f t="shared" si="50"/>
        <v>0</v>
      </c>
      <c r="N472" s="212">
        <f t="shared" si="50"/>
        <v>0</v>
      </c>
      <c r="O472" s="212">
        <f t="shared" si="50"/>
        <v>0</v>
      </c>
      <c r="P472" s="155">
        <f t="shared" si="50"/>
        <v>0</v>
      </c>
      <c r="Q472" s="407"/>
      <c r="R472" s="407"/>
    </row>
    <row r="473" spans="1:18" ht="12.75" x14ac:dyDescent="0.2">
      <c r="A473" s="152">
        <v>6210000</v>
      </c>
      <c r="B473" s="73"/>
      <c r="C473" s="51" t="s">
        <v>130</v>
      </c>
      <c r="D473" s="89"/>
      <c r="E473" s="89"/>
      <c r="F473" s="89"/>
      <c r="G473" s="89"/>
      <c r="H473" s="89"/>
      <c r="I473" s="89"/>
      <c r="J473" s="212">
        <f t="shared" ref="J473:P482" si="51">SUMIFS(J$26:J$180,$A$26:$A$180,$A473,$C$26:$C$180,$C473)</f>
        <v>0</v>
      </c>
      <c r="K473" s="212">
        <f t="shared" si="51"/>
        <v>0</v>
      </c>
      <c r="L473" s="212">
        <f t="shared" si="51"/>
        <v>0</v>
      </c>
      <c r="M473" s="212">
        <f t="shared" si="51"/>
        <v>0</v>
      </c>
      <c r="N473" s="212">
        <f t="shared" si="51"/>
        <v>0</v>
      </c>
      <c r="O473" s="212">
        <f t="shared" si="51"/>
        <v>0</v>
      </c>
      <c r="P473" s="155">
        <f t="shared" si="51"/>
        <v>0</v>
      </c>
      <c r="Q473" s="407"/>
      <c r="R473" s="407"/>
    </row>
    <row r="474" spans="1:18" ht="12.75" x14ac:dyDescent="0.2">
      <c r="A474" s="152">
        <v>6210000</v>
      </c>
      <c r="B474" s="73"/>
      <c r="C474" s="51" t="s">
        <v>125</v>
      </c>
      <c r="D474" s="89"/>
      <c r="E474" s="89"/>
      <c r="F474" s="89"/>
      <c r="G474" s="89"/>
      <c r="H474" s="89"/>
      <c r="I474" s="89"/>
      <c r="J474" s="212">
        <f t="shared" si="51"/>
        <v>0</v>
      </c>
      <c r="K474" s="212">
        <f t="shared" si="51"/>
        <v>0</v>
      </c>
      <c r="L474" s="212">
        <f t="shared" si="51"/>
        <v>0</v>
      </c>
      <c r="M474" s="212">
        <f t="shared" si="51"/>
        <v>0</v>
      </c>
      <c r="N474" s="212">
        <f t="shared" si="51"/>
        <v>0</v>
      </c>
      <c r="O474" s="212">
        <f t="shared" si="51"/>
        <v>0</v>
      </c>
      <c r="P474" s="155">
        <f t="shared" si="51"/>
        <v>0</v>
      </c>
      <c r="Q474" s="407"/>
      <c r="R474" s="407"/>
    </row>
    <row r="475" spans="1:18" ht="12.75" x14ac:dyDescent="0.2">
      <c r="A475" s="152">
        <v>6210000</v>
      </c>
      <c r="B475" s="73"/>
      <c r="C475" s="51" t="s">
        <v>128</v>
      </c>
      <c r="D475" s="89"/>
      <c r="E475" s="89"/>
      <c r="F475" s="89"/>
      <c r="G475" s="89"/>
      <c r="H475" s="89"/>
      <c r="I475" s="89"/>
      <c r="J475" s="212">
        <f t="shared" si="51"/>
        <v>0</v>
      </c>
      <c r="K475" s="212">
        <f t="shared" si="51"/>
        <v>0</v>
      </c>
      <c r="L475" s="212">
        <f t="shared" si="51"/>
        <v>0</v>
      </c>
      <c r="M475" s="212">
        <f t="shared" si="51"/>
        <v>0</v>
      </c>
      <c r="N475" s="212">
        <f t="shared" si="51"/>
        <v>0</v>
      </c>
      <c r="O475" s="212">
        <f t="shared" si="51"/>
        <v>0</v>
      </c>
      <c r="P475" s="155">
        <f t="shared" si="51"/>
        <v>0</v>
      </c>
      <c r="Q475" s="407"/>
      <c r="R475" s="407"/>
    </row>
    <row r="476" spans="1:18" ht="12.75" x14ac:dyDescent="0.2">
      <c r="A476" s="152">
        <v>6210000</v>
      </c>
      <c r="B476" s="73"/>
      <c r="C476" s="51" t="s">
        <v>1016</v>
      </c>
      <c r="D476" s="89"/>
      <c r="E476" s="89"/>
      <c r="F476" s="89"/>
      <c r="G476" s="89"/>
      <c r="H476" s="89"/>
      <c r="I476" s="89"/>
      <c r="J476" s="212">
        <f t="shared" si="51"/>
        <v>0</v>
      </c>
      <c r="K476" s="212">
        <f t="shared" si="51"/>
        <v>0</v>
      </c>
      <c r="L476" s="212">
        <f t="shared" si="51"/>
        <v>0</v>
      </c>
      <c r="M476" s="212">
        <f t="shared" si="51"/>
        <v>0</v>
      </c>
      <c r="N476" s="212">
        <f t="shared" si="51"/>
        <v>0</v>
      </c>
      <c r="O476" s="212">
        <f t="shared" si="51"/>
        <v>0</v>
      </c>
      <c r="P476" s="155">
        <f t="shared" si="51"/>
        <v>0</v>
      </c>
      <c r="Q476" s="407"/>
      <c r="R476" s="407"/>
    </row>
    <row r="477" spans="1:18" ht="12.75" x14ac:dyDescent="0.2">
      <c r="A477" s="152">
        <v>6210000</v>
      </c>
      <c r="B477" s="73"/>
      <c r="C477" s="51" t="s">
        <v>1015</v>
      </c>
      <c r="D477" s="89"/>
      <c r="E477" s="89"/>
      <c r="F477" s="89"/>
      <c r="G477" s="89"/>
      <c r="H477" s="89"/>
      <c r="I477" s="89"/>
      <c r="J477" s="212">
        <f t="shared" si="51"/>
        <v>0</v>
      </c>
      <c r="K477" s="212">
        <f t="shared" si="51"/>
        <v>0</v>
      </c>
      <c r="L477" s="212">
        <f t="shared" si="51"/>
        <v>0</v>
      </c>
      <c r="M477" s="212">
        <f t="shared" si="51"/>
        <v>0</v>
      </c>
      <c r="N477" s="212">
        <f t="shared" si="51"/>
        <v>0</v>
      </c>
      <c r="O477" s="212">
        <f t="shared" si="51"/>
        <v>0</v>
      </c>
      <c r="P477" s="155">
        <f t="shared" si="51"/>
        <v>0</v>
      </c>
      <c r="Q477" s="407"/>
      <c r="R477" s="407"/>
    </row>
    <row r="478" spans="1:18" ht="12.75" x14ac:dyDescent="0.2">
      <c r="A478" s="152">
        <v>6210000</v>
      </c>
      <c r="B478" s="73"/>
      <c r="C478" s="51" t="s">
        <v>930</v>
      </c>
      <c r="D478" s="89"/>
      <c r="E478" s="89"/>
      <c r="F478" s="89"/>
      <c r="G478" s="89"/>
      <c r="H478" s="89"/>
      <c r="I478" s="89"/>
      <c r="J478" s="212">
        <f t="shared" si="51"/>
        <v>0</v>
      </c>
      <c r="K478" s="212">
        <f t="shared" si="51"/>
        <v>0</v>
      </c>
      <c r="L478" s="212">
        <f t="shared" si="51"/>
        <v>0</v>
      </c>
      <c r="M478" s="212">
        <f t="shared" si="51"/>
        <v>0</v>
      </c>
      <c r="N478" s="212">
        <f t="shared" si="51"/>
        <v>0</v>
      </c>
      <c r="O478" s="212">
        <f t="shared" si="51"/>
        <v>0</v>
      </c>
      <c r="P478" s="155">
        <f t="shared" si="51"/>
        <v>0</v>
      </c>
      <c r="Q478" s="407"/>
      <c r="R478" s="407"/>
    </row>
    <row r="479" spans="1:18" ht="12.75" x14ac:dyDescent="0.2">
      <c r="A479" s="152">
        <v>6210000</v>
      </c>
      <c r="B479" s="73"/>
      <c r="C479" s="51" t="s">
        <v>931</v>
      </c>
      <c r="D479" s="89"/>
      <c r="E479" s="89"/>
      <c r="F479" s="89"/>
      <c r="G479" s="89"/>
      <c r="H479" s="89"/>
      <c r="I479" s="89"/>
      <c r="J479" s="212">
        <f t="shared" si="51"/>
        <v>0</v>
      </c>
      <c r="K479" s="212">
        <f t="shared" si="51"/>
        <v>0</v>
      </c>
      <c r="L479" s="212">
        <f t="shared" si="51"/>
        <v>0</v>
      </c>
      <c r="M479" s="212">
        <f t="shared" si="51"/>
        <v>0</v>
      </c>
      <c r="N479" s="212">
        <f t="shared" si="51"/>
        <v>0</v>
      </c>
      <c r="O479" s="212">
        <f t="shared" si="51"/>
        <v>0</v>
      </c>
      <c r="P479" s="155">
        <f t="shared" si="51"/>
        <v>0</v>
      </c>
      <c r="Q479" s="407"/>
      <c r="R479" s="407"/>
    </row>
    <row r="480" spans="1:18" ht="12.75" x14ac:dyDescent="0.2">
      <c r="A480" s="152">
        <v>6210000</v>
      </c>
      <c r="B480" s="73"/>
      <c r="C480" s="51" t="s">
        <v>926</v>
      </c>
      <c r="D480" s="89"/>
      <c r="E480" s="89"/>
      <c r="F480" s="89"/>
      <c r="G480" s="89"/>
      <c r="H480" s="89"/>
      <c r="I480" s="89"/>
      <c r="J480" s="212">
        <f t="shared" si="51"/>
        <v>0</v>
      </c>
      <c r="K480" s="212">
        <f t="shared" si="51"/>
        <v>0</v>
      </c>
      <c r="L480" s="212">
        <f t="shared" si="51"/>
        <v>0</v>
      </c>
      <c r="M480" s="212">
        <f t="shared" si="51"/>
        <v>0</v>
      </c>
      <c r="N480" s="212">
        <f t="shared" si="51"/>
        <v>0</v>
      </c>
      <c r="O480" s="212">
        <f t="shared" si="51"/>
        <v>0</v>
      </c>
      <c r="P480" s="155">
        <f t="shared" si="51"/>
        <v>0</v>
      </c>
      <c r="Q480" s="407"/>
      <c r="R480" s="407"/>
    </row>
    <row r="481" spans="1:18" ht="12.75" x14ac:dyDescent="0.2">
      <c r="A481" s="152">
        <v>6210000</v>
      </c>
      <c r="B481" s="73"/>
      <c r="C481" s="51" t="s">
        <v>110</v>
      </c>
      <c r="D481" s="89"/>
      <c r="E481" s="89"/>
      <c r="F481" s="89"/>
      <c r="G481" s="89"/>
      <c r="H481" s="89"/>
      <c r="I481" s="89"/>
      <c r="J481" s="212">
        <f t="shared" si="51"/>
        <v>0</v>
      </c>
      <c r="K481" s="212">
        <f t="shared" si="51"/>
        <v>0</v>
      </c>
      <c r="L481" s="212">
        <f t="shared" si="51"/>
        <v>0</v>
      </c>
      <c r="M481" s="212">
        <f t="shared" si="51"/>
        <v>0</v>
      </c>
      <c r="N481" s="212">
        <f t="shared" si="51"/>
        <v>0</v>
      </c>
      <c r="O481" s="212">
        <f t="shared" si="51"/>
        <v>0</v>
      </c>
      <c r="P481" s="155">
        <f t="shared" si="51"/>
        <v>0</v>
      </c>
      <c r="Q481" s="407"/>
      <c r="R481" s="407"/>
    </row>
    <row r="482" spans="1:18" ht="12.75" x14ac:dyDescent="0.2">
      <c r="A482" s="152">
        <v>6210000</v>
      </c>
      <c r="B482" s="73"/>
      <c r="C482" s="51" t="s">
        <v>133</v>
      </c>
      <c r="D482" s="89"/>
      <c r="E482" s="89"/>
      <c r="F482" s="89"/>
      <c r="G482" s="89"/>
      <c r="H482" s="89"/>
      <c r="I482" s="89"/>
      <c r="J482" s="212">
        <f t="shared" si="51"/>
        <v>0</v>
      </c>
      <c r="K482" s="212">
        <f t="shared" si="51"/>
        <v>0</v>
      </c>
      <c r="L482" s="212">
        <f t="shared" si="51"/>
        <v>0</v>
      </c>
      <c r="M482" s="212">
        <f t="shared" si="51"/>
        <v>0</v>
      </c>
      <c r="N482" s="212">
        <f t="shared" si="51"/>
        <v>0</v>
      </c>
      <c r="O482" s="212">
        <f t="shared" si="51"/>
        <v>0</v>
      </c>
      <c r="P482" s="155">
        <f t="shared" si="51"/>
        <v>0</v>
      </c>
      <c r="Q482" s="407"/>
      <c r="R482" s="407"/>
    </row>
    <row r="483" spans="1:18" ht="12.75" x14ac:dyDescent="0.2">
      <c r="A483" s="152">
        <v>6210000</v>
      </c>
      <c r="B483" s="73"/>
      <c r="C483" s="51" t="s">
        <v>134</v>
      </c>
      <c r="D483" s="89"/>
      <c r="E483" s="89"/>
      <c r="F483" s="89"/>
      <c r="G483" s="89"/>
      <c r="H483" s="89"/>
      <c r="I483" s="89"/>
      <c r="J483" s="212">
        <f t="shared" ref="J483:P492" si="52">SUMIFS(J$26:J$180,$A$26:$A$180,$A483,$C$26:$C$180,$C483)</f>
        <v>0</v>
      </c>
      <c r="K483" s="212">
        <f t="shared" si="52"/>
        <v>0</v>
      </c>
      <c r="L483" s="212">
        <f t="shared" si="52"/>
        <v>0</v>
      </c>
      <c r="M483" s="212">
        <f t="shared" si="52"/>
        <v>0</v>
      </c>
      <c r="N483" s="212">
        <f t="shared" si="52"/>
        <v>0</v>
      </c>
      <c r="O483" s="212">
        <f t="shared" si="52"/>
        <v>0</v>
      </c>
      <c r="P483" s="155">
        <f t="shared" si="52"/>
        <v>0</v>
      </c>
      <c r="Q483" s="407"/>
      <c r="R483" s="407"/>
    </row>
    <row r="484" spans="1:18" ht="12.75" x14ac:dyDescent="0.2">
      <c r="A484" s="152">
        <v>6210000</v>
      </c>
      <c r="B484" s="73"/>
      <c r="C484" s="51" t="s">
        <v>138</v>
      </c>
      <c r="D484" s="89"/>
      <c r="E484" s="89"/>
      <c r="F484" s="89"/>
      <c r="G484" s="89"/>
      <c r="H484" s="89"/>
      <c r="I484" s="89"/>
      <c r="J484" s="212">
        <f t="shared" si="52"/>
        <v>0</v>
      </c>
      <c r="K484" s="212">
        <f t="shared" si="52"/>
        <v>0</v>
      </c>
      <c r="L484" s="212">
        <f t="shared" si="52"/>
        <v>0</v>
      </c>
      <c r="M484" s="212">
        <f t="shared" si="52"/>
        <v>0</v>
      </c>
      <c r="N484" s="212">
        <f t="shared" si="52"/>
        <v>0</v>
      </c>
      <c r="O484" s="212">
        <f t="shared" si="52"/>
        <v>0</v>
      </c>
      <c r="P484" s="155">
        <f t="shared" si="52"/>
        <v>0</v>
      </c>
      <c r="Q484" s="407"/>
      <c r="R484" s="407"/>
    </row>
    <row r="485" spans="1:18" ht="12.75" x14ac:dyDescent="0.2">
      <c r="A485" s="152">
        <v>6210000</v>
      </c>
      <c r="B485" s="73"/>
      <c r="C485" s="51" t="s">
        <v>106</v>
      </c>
      <c r="D485" s="89"/>
      <c r="E485" s="89"/>
      <c r="F485" s="89"/>
      <c r="G485" s="89"/>
      <c r="H485" s="89"/>
      <c r="I485" s="89"/>
      <c r="J485" s="212">
        <f t="shared" si="52"/>
        <v>0</v>
      </c>
      <c r="K485" s="212">
        <f t="shared" si="52"/>
        <v>0</v>
      </c>
      <c r="L485" s="212">
        <f t="shared" si="52"/>
        <v>0</v>
      </c>
      <c r="M485" s="212">
        <f t="shared" si="52"/>
        <v>0</v>
      </c>
      <c r="N485" s="212">
        <f t="shared" si="52"/>
        <v>0</v>
      </c>
      <c r="O485" s="212">
        <f t="shared" si="52"/>
        <v>0</v>
      </c>
      <c r="P485" s="155">
        <f t="shared" si="52"/>
        <v>0</v>
      </c>
      <c r="Q485" s="407"/>
      <c r="R485" s="407"/>
    </row>
    <row r="486" spans="1:18" ht="12.75" x14ac:dyDescent="0.2">
      <c r="A486" s="152">
        <v>6210000</v>
      </c>
      <c r="B486" s="73"/>
      <c r="C486" s="51" t="s">
        <v>1024</v>
      </c>
      <c r="D486" s="89"/>
      <c r="E486" s="89"/>
      <c r="F486" s="89"/>
      <c r="G486" s="89"/>
      <c r="H486" s="89"/>
      <c r="I486" s="89"/>
      <c r="J486" s="212">
        <f t="shared" si="52"/>
        <v>0</v>
      </c>
      <c r="K486" s="212">
        <f t="shared" si="52"/>
        <v>0</v>
      </c>
      <c r="L486" s="212">
        <f t="shared" si="52"/>
        <v>0</v>
      </c>
      <c r="M486" s="212">
        <f t="shared" si="52"/>
        <v>0</v>
      </c>
      <c r="N486" s="212">
        <f t="shared" si="52"/>
        <v>0</v>
      </c>
      <c r="O486" s="212">
        <f t="shared" si="52"/>
        <v>0</v>
      </c>
      <c r="P486" s="155">
        <f t="shared" si="52"/>
        <v>0</v>
      </c>
      <c r="Q486" s="407"/>
      <c r="R486" s="407"/>
    </row>
    <row r="487" spans="1:18" ht="12.75" x14ac:dyDescent="0.2">
      <c r="A487" s="152">
        <v>6210000</v>
      </c>
      <c r="B487" s="73"/>
      <c r="C487" s="51" t="s">
        <v>1025</v>
      </c>
      <c r="D487" s="89"/>
      <c r="E487" s="89"/>
      <c r="F487" s="89"/>
      <c r="G487" s="89"/>
      <c r="H487" s="89"/>
      <c r="I487" s="89"/>
      <c r="J487" s="212">
        <f t="shared" si="52"/>
        <v>0</v>
      </c>
      <c r="K487" s="212">
        <f t="shared" si="52"/>
        <v>0</v>
      </c>
      <c r="L487" s="212">
        <f t="shared" si="52"/>
        <v>0</v>
      </c>
      <c r="M487" s="212">
        <f t="shared" si="52"/>
        <v>0</v>
      </c>
      <c r="N487" s="212">
        <f t="shared" si="52"/>
        <v>0</v>
      </c>
      <c r="O487" s="212">
        <f t="shared" si="52"/>
        <v>0</v>
      </c>
      <c r="P487" s="155">
        <f t="shared" si="52"/>
        <v>0</v>
      </c>
      <c r="Q487" s="407"/>
      <c r="R487" s="407"/>
    </row>
    <row r="488" spans="1:18" ht="12.75" x14ac:dyDescent="0.2">
      <c r="A488" s="152">
        <v>6210000</v>
      </c>
      <c r="B488" s="73"/>
      <c r="C488" s="51" t="s">
        <v>960</v>
      </c>
      <c r="D488" s="89"/>
      <c r="E488" s="89"/>
      <c r="F488" s="89"/>
      <c r="G488" s="89"/>
      <c r="H488" s="89"/>
      <c r="I488" s="89"/>
      <c r="J488" s="212">
        <f t="shared" si="52"/>
        <v>0</v>
      </c>
      <c r="K488" s="212">
        <f t="shared" si="52"/>
        <v>0</v>
      </c>
      <c r="L488" s="212">
        <f t="shared" si="52"/>
        <v>0</v>
      </c>
      <c r="M488" s="212">
        <f t="shared" si="52"/>
        <v>0</v>
      </c>
      <c r="N488" s="212">
        <f t="shared" si="52"/>
        <v>0</v>
      </c>
      <c r="O488" s="212">
        <f t="shared" si="52"/>
        <v>0</v>
      </c>
      <c r="P488" s="155">
        <f t="shared" si="52"/>
        <v>0</v>
      </c>
      <c r="Q488" s="407"/>
      <c r="R488" s="407"/>
    </row>
    <row r="489" spans="1:18" ht="12.75" x14ac:dyDescent="0.2">
      <c r="A489" s="152">
        <v>6210000</v>
      </c>
      <c r="B489" s="73"/>
      <c r="C489" s="51" t="s">
        <v>961</v>
      </c>
      <c r="D489" s="89"/>
      <c r="E489" s="89"/>
      <c r="F489" s="89"/>
      <c r="G489" s="89"/>
      <c r="H489" s="89"/>
      <c r="I489" s="89"/>
      <c r="J489" s="212">
        <f t="shared" si="52"/>
        <v>0</v>
      </c>
      <c r="K489" s="212">
        <f t="shared" si="52"/>
        <v>0</v>
      </c>
      <c r="L489" s="212">
        <f t="shared" si="52"/>
        <v>0</v>
      </c>
      <c r="M489" s="212">
        <f t="shared" si="52"/>
        <v>0</v>
      </c>
      <c r="N489" s="212">
        <f t="shared" si="52"/>
        <v>0</v>
      </c>
      <c r="O489" s="212">
        <f t="shared" si="52"/>
        <v>0</v>
      </c>
      <c r="P489" s="155">
        <f t="shared" si="52"/>
        <v>0</v>
      </c>
      <c r="Q489" s="407"/>
      <c r="R489" s="407"/>
    </row>
    <row r="490" spans="1:18" ht="12.75" x14ac:dyDescent="0.2">
      <c r="A490" s="152">
        <v>6210000</v>
      </c>
      <c r="B490" s="73"/>
      <c r="C490" s="51" t="s">
        <v>948</v>
      </c>
      <c r="D490" s="89"/>
      <c r="E490" s="89"/>
      <c r="F490" s="89"/>
      <c r="G490" s="89"/>
      <c r="H490" s="89"/>
      <c r="I490" s="89"/>
      <c r="J490" s="212">
        <f t="shared" si="52"/>
        <v>0</v>
      </c>
      <c r="K490" s="212">
        <f t="shared" si="52"/>
        <v>0</v>
      </c>
      <c r="L490" s="212">
        <f t="shared" si="52"/>
        <v>0</v>
      </c>
      <c r="M490" s="212">
        <f t="shared" si="52"/>
        <v>0</v>
      </c>
      <c r="N490" s="212">
        <f t="shared" si="52"/>
        <v>0</v>
      </c>
      <c r="O490" s="212">
        <f t="shared" si="52"/>
        <v>0</v>
      </c>
      <c r="P490" s="155">
        <f t="shared" si="52"/>
        <v>0</v>
      </c>
      <c r="Q490" s="407"/>
      <c r="R490" s="407"/>
    </row>
    <row r="491" spans="1:18" ht="12.75" x14ac:dyDescent="0.2">
      <c r="A491" s="152">
        <v>6210000</v>
      </c>
      <c r="B491" s="73"/>
      <c r="C491" s="51" t="s">
        <v>949</v>
      </c>
      <c r="D491" s="89"/>
      <c r="E491" s="89"/>
      <c r="F491" s="89"/>
      <c r="G491" s="89"/>
      <c r="H491" s="89"/>
      <c r="I491" s="89"/>
      <c r="J491" s="212">
        <f t="shared" si="52"/>
        <v>0</v>
      </c>
      <c r="K491" s="212">
        <f t="shared" si="52"/>
        <v>0</v>
      </c>
      <c r="L491" s="212">
        <f t="shared" si="52"/>
        <v>0</v>
      </c>
      <c r="M491" s="212">
        <f t="shared" si="52"/>
        <v>0</v>
      </c>
      <c r="N491" s="212">
        <f t="shared" si="52"/>
        <v>0</v>
      </c>
      <c r="O491" s="212">
        <f t="shared" si="52"/>
        <v>0</v>
      </c>
      <c r="P491" s="155">
        <f t="shared" si="52"/>
        <v>0</v>
      </c>
      <c r="Q491" s="407"/>
      <c r="R491" s="407"/>
    </row>
    <row r="492" spans="1:18" ht="12.75" x14ac:dyDescent="0.2">
      <c r="A492" s="152">
        <v>6210000</v>
      </c>
      <c r="B492" s="73"/>
      <c r="C492" s="51" t="s">
        <v>132</v>
      </c>
      <c r="D492" s="89"/>
      <c r="E492" s="89"/>
      <c r="F492" s="89"/>
      <c r="G492" s="89"/>
      <c r="H492" s="89"/>
      <c r="I492" s="89"/>
      <c r="J492" s="212">
        <f t="shared" si="52"/>
        <v>0</v>
      </c>
      <c r="K492" s="212">
        <f t="shared" si="52"/>
        <v>0</v>
      </c>
      <c r="L492" s="212">
        <f t="shared" si="52"/>
        <v>0</v>
      </c>
      <c r="M492" s="212">
        <f t="shared" si="52"/>
        <v>0</v>
      </c>
      <c r="N492" s="212">
        <f t="shared" si="52"/>
        <v>0</v>
      </c>
      <c r="O492" s="212">
        <f t="shared" si="52"/>
        <v>0</v>
      </c>
      <c r="P492" s="155">
        <f t="shared" si="52"/>
        <v>0</v>
      </c>
      <c r="Q492" s="407"/>
      <c r="R492" s="407"/>
    </row>
    <row r="493" spans="1:18" ht="12.75" x14ac:dyDescent="0.2">
      <c r="A493" s="152">
        <v>6210000</v>
      </c>
      <c r="B493" s="73"/>
      <c r="C493" s="51" t="s">
        <v>121</v>
      </c>
      <c r="D493" s="89"/>
      <c r="E493" s="89"/>
      <c r="F493" s="89"/>
      <c r="G493" s="89"/>
      <c r="H493" s="89"/>
      <c r="I493" s="89"/>
      <c r="J493" s="212">
        <f t="shared" ref="J493:P502" si="53">SUMIFS(J$26:J$180,$A$26:$A$180,$A493,$C$26:$C$180,$C493)</f>
        <v>0</v>
      </c>
      <c r="K493" s="212">
        <f t="shared" si="53"/>
        <v>0</v>
      </c>
      <c r="L493" s="212">
        <f t="shared" si="53"/>
        <v>0</v>
      </c>
      <c r="M493" s="212">
        <f t="shared" si="53"/>
        <v>0</v>
      </c>
      <c r="N493" s="212">
        <f t="shared" si="53"/>
        <v>0</v>
      </c>
      <c r="O493" s="212">
        <f t="shared" si="53"/>
        <v>0</v>
      </c>
      <c r="P493" s="155">
        <f t="shared" si="53"/>
        <v>0</v>
      </c>
      <c r="Q493" s="407"/>
      <c r="R493" s="407"/>
    </row>
    <row r="494" spans="1:18" ht="12.75" x14ac:dyDescent="0.2">
      <c r="A494" s="152">
        <v>6210000</v>
      </c>
      <c r="B494" s="73"/>
      <c r="C494" s="51" t="s">
        <v>131</v>
      </c>
      <c r="D494" s="89"/>
      <c r="E494" s="89"/>
      <c r="F494" s="89"/>
      <c r="G494" s="89"/>
      <c r="H494" s="89"/>
      <c r="I494" s="89"/>
      <c r="J494" s="212">
        <f t="shared" si="53"/>
        <v>0</v>
      </c>
      <c r="K494" s="212">
        <f t="shared" si="53"/>
        <v>0</v>
      </c>
      <c r="L494" s="212">
        <f t="shared" si="53"/>
        <v>0</v>
      </c>
      <c r="M494" s="212">
        <f t="shared" si="53"/>
        <v>0</v>
      </c>
      <c r="N494" s="212">
        <f t="shared" si="53"/>
        <v>0</v>
      </c>
      <c r="O494" s="212">
        <f t="shared" si="53"/>
        <v>0</v>
      </c>
      <c r="P494" s="155">
        <f t="shared" si="53"/>
        <v>0</v>
      </c>
      <c r="Q494" s="407"/>
      <c r="R494" s="407"/>
    </row>
    <row r="495" spans="1:18" ht="12.75" x14ac:dyDescent="0.2">
      <c r="A495" s="152">
        <v>6210000</v>
      </c>
      <c r="B495" s="73"/>
      <c r="C495" s="51" t="s">
        <v>967</v>
      </c>
      <c r="D495" s="89"/>
      <c r="E495" s="89"/>
      <c r="F495" s="89"/>
      <c r="G495" s="89"/>
      <c r="H495" s="89"/>
      <c r="I495" s="89"/>
      <c r="J495" s="212">
        <f t="shared" si="53"/>
        <v>0</v>
      </c>
      <c r="K495" s="212">
        <f t="shared" si="53"/>
        <v>0</v>
      </c>
      <c r="L495" s="212">
        <f t="shared" si="53"/>
        <v>0</v>
      </c>
      <c r="M495" s="212">
        <f t="shared" si="53"/>
        <v>0</v>
      </c>
      <c r="N495" s="212">
        <f t="shared" si="53"/>
        <v>0</v>
      </c>
      <c r="O495" s="212">
        <f t="shared" si="53"/>
        <v>0</v>
      </c>
      <c r="P495" s="155">
        <f t="shared" si="53"/>
        <v>0</v>
      </c>
      <c r="Q495" s="407"/>
      <c r="R495" s="407"/>
    </row>
    <row r="496" spans="1:18" ht="12.75" x14ac:dyDescent="0.2">
      <c r="A496" s="152">
        <v>6210000</v>
      </c>
      <c r="B496" s="73"/>
      <c r="C496" s="51" t="s">
        <v>118</v>
      </c>
      <c r="D496" s="89"/>
      <c r="E496" s="89"/>
      <c r="F496" s="89"/>
      <c r="G496" s="89"/>
      <c r="H496" s="89"/>
      <c r="I496" s="89"/>
      <c r="J496" s="212">
        <f t="shared" si="53"/>
        <v>0</v>
      </c>
      <c r="K496" s="212">
        <f t="shared" si="53"/>
        <v>0</v>
      </c>
      <c r="L496" s="212">
        <f t="shared" si="53"/>
        <v>0</v>
      </c>
      <c r="M496" s="212">
        <f t="shared" si="53"/>
        <v>0</v>
      </c>
      <c r="N496" s="212">
        <f t="shared" si="53"/>
        <v>0</v>
      </c>
      <c r="O496" s="212">
        <f t="shared" si="53"/>
        <v>0</v>
      </c>
      <c r="P496" s="155">
        <f t="shared" si="53"/>
        <v>0</v>
      </c>
      <c r="Q496" s="407"/>
      <c r="R496" s="407"/>
    </row>
    <row r="497" spans="1:18" ht="12.75" x14ac:dyDescent="0.2">
      <c r="A497" s="152">
        <v>6210000</v>
      </c>
      <c r="B497" s="73"/>
      <c r="C497" s="51" t="s">
        <v>971</v>
      </c>
      <c r="D497" s="89"/>
      <c r="E497" s="89"/>
      <c r="F497" s="89"/>
      <c r="G497" s="89"/>
      <c r="H497" s="89"/>
      <c r="I497" s="89"/>
      <c r="J497" s="212">
        <f t="shared" si="53"/>
        <v>0</v>
      </c>
      <c r="K497" s="212">
        <f t="shared" si="53"/>
        <v>0</v>
      </c>
      <c r="L497" s="212">
        <f t="shared" si="53"/>
        <v>0</v>
      </c>
      <c r="M497" s="212">
        <f t="shared" si="53"/>
        <v>0</v>
      </c>
      <c r="N497" s="212">
        <f t="shared" si="53"/>
        <v>0</v>
      </c>
      <c r="O497" s="212">
        <f t="shared" si="53"/>
        <v>0</v>
      </c>
      <c r="P497" s="155">
        <f t="shared" si="53"/>
        <v>0</v>
      </c>
      <c r="Q497" s="407"/>
      <c r="R497" s="407"/>
    </row>
    <row r="498" spans="1:18" ht="12.75" x14ac:dyDescent="0.2">
      <c r="A498" s="152">
        <v>6210000</v>
      </c>
      <c r="B498" s="73"/>
      <c r="C498" s="51" t="s">
        <v>957</v>
      </c>
      <c r="D498" s="89"/>
      <c r="E498" s="89"/>
      <c r="F498" s="89"/>
      <c r="G498" s="89"/>
      <c r="H498" s="89"/>
      <c r="I498" s="89"/>
      <c r="J498" s="212">
        <f t="shared" si="53"/>
        <v>0</v>
      </c>
      <c r="K498" s="212">
        <f t="shared" si="53"/>
        <v>0</v>
      </c>
      <c r="L498" s="212">
        <f t="shared" si="53"/>
        <v>0</v>
      </c>
      <c r="M498" s="212">
        <f t="shared" si="53"/>
        <v>0</v>
      </c>
      <c r="N498" s="212">
        <f t="shared" si="53"/>
        <v>0</v>
      </c>
      <c r="O498" s="212">
        <f t="shared" si="53"/>
        <v>0</v>
      </c>
      <c r="P498" s="155">
        <f t="shared" si="53"/>
        <v>0</v>
      </c>
      <c r="Q498" s="407"/>
      <c r="R498" s="407"/>
    </row>
    <row r="499" spans="1:18" ht="12.75" x14ac:dyDescent="0.2">
      <c r="A499" s="152">
        <v>6210000</v>
      </c>
      <c r="B499" s="73"/>
      <c r="C499" s="51" t="s">
        <v>97</v>
      </c>
      <c r="D499" s="89"/>
      <c r="E499" s="89"/>
      <c r="F499" s="89"/>
      <c r="G499" s="89"/>
      <c r="H499" s="89"/>
      <c r="I499" s="89"/>
      <c r="J499" s="212">
        <f t="shared" si="53"/>
        <v>0</v>
      </c>
      <c r="K499" s="212">
        <f t="shared" si="53"/>
        <v>0</v>
      </c>
      <c r="L499" s="212">
        <f t="shared" si="53"/>
        <v>0</v>
      </c>
      <c r="M499" s="212">
        <f t="shared" si="53"/>
        <v>0</v>
      </c>
      <c r="N499" s="212">
        <f t="shared" si="53"/>
        <v>0</v>
      </c>
      <c r="O499" s="212">
        <f t="shared" si="53"/>
        <v>0</v>
      </c>
      <c r="P499" s="155">
        <f t="shared" si="53"/>
        <v>0</v>
      </c>
      <c r="Q499" s="407"/>
      <c r="R499" s="407"/>
    </row>
    <row r="500" spans="1:18" ht="12.75" x14ac:dyDescent="0.2">
      <c r="A500" s="152">
        <v>6210000</v>
      </c>
      <c r="B500" s="73"/>
      <c r="C500" s="51" t="s">
        <v>49</v>
      </c>
      <c r="D500" s="89"/>
      <c r="E500" s="89"/>
      <c r="F500" s="89"/>
      <c r="G500" s="89"/>
      <c r="H500" s="89"/>
      <c r="I500" s="89"/>
      <c r="J500" s="212">
        <f t="shared" si="53"/>
        <v>0</v>
      </c>
      <c r="K500" s="212">
        <f t="shared" si="53"/>
        <v>0</v>
      </c>
      <c r="L500" s="212">
        <f t="shared" si="53"/>
        <v>0</v>
      </c>
      <c r="M500" s="212">
        <f t="shared" si="53"/>
        <v>0</v>
      </c>
      <c r="N500" s="212">
        <f t="shared" si="53"/>
        <v>0</v>
      </c>
      <c r="O500" s="212">
        <f t="shared" si="53"/>
        <v>0</v>
      </c>
      <c r="P500" s="155">
        <f t="shared" si="53"/>
        <v>0</v>
      </c>
      <c r="Q500" s="407"/>
      <c r="R500" s="407"/>
    </row>
    <row r="501" spans="1:18" ht="12.75" x14ac:dyDescent="0.2">
      <c r="A501" s="152">
        <v>6210000</v>
      </c>
      <c r="B501" s="73"/>
      <c r="C501" s="51" t="s">
        <v>1017</v>
      </c>
      <c r="D501" s="89"/>
      <c r="E501" s="89"/>
      <c r="F501" s="89"/>
      <c r="G501" s="89"/>
      <c r="H501" s="89"/>
      <c r="I501" s="89"/>
      <c r="J501" s="212">
        <f t="shared" si="53"/>
        <v>0</v>
      </c>
      <c r="K501" s="212">
        <f t="shared" si="53"/>
        <v>0</v>
      </c>
      <c r="L501" s="212">
        <f t="shared" si="53"/>
        <v>0</v>
      </c>
      <c r="M501" s="212">
        <f t="shared" si="53"/>
        <v>0</v>
      </c>
      <c r="N501" s="212">
        <f t="shared" si="53"/>
        <v>0</v>
      </c>
      <c r="O501" s="212">
        <f t="shared" si="53"/>
        <v>0</v>
      </c>
      <c r="P501" s="155">
        <f t="shared" si="53"/>
        <v>0</v>
      </c>
      <c r="Q501" s="407"/>
      <c r="R501" s="407"/>
    </row>
    <row r="502" spans="1:18" ht="12.75" x14ac:dyDescent="0.2">
      <c r="A502" s="152">
        <v>6210000</v>
      </c>
      <c r="B502" s="73"/>
      <c r="C502" s="51" t="s">
        <v>1018</v>
      </c>
      <c r="D502" s="89"/>
      <c r="E502" s="89"/>
      <c r="F502" s="89"/>
      <c r="G502" s="89"/>
      <c r="H502" s="89"/>
      <c r="I502" s="89"/>
      <c r="J502" s="212">
        <f t="shared" si="53"/>
        <v>0</v>
      </c>
      <c r="K502" s="212">
        <f t="shared" si="53"/>
        <v>0</v>
      </c>
      <c r="L502" s="212">
        <f t="shared" si="53"/>
        <v>0</v>
      </c>
      <c r="M502" s="212">
        <f t="shared" si="53"/>
        <v>0</v>
      </c>
      <c r="N502" s="212">
        <f t="shared" si="53"/>
        <v>0</v>
      </c>
      <c r="O502" s="212">
        <f t="shared" si="53"/>
        <v>0</v>
      </c>
      <c r="P502" s="155">
        <f t="shared" si="53"/>
        <v>0</v>
      </c>
      <c r="Q502" s="407"/>
      <c r="R502" s="407"/>
    </row>
    <row r="503" spans="1:18" ht="12.75" x14ac:dyDescent="0.2">
      <c r="A503" s="152">
        <v>6210000</v>
      </c>
      <c r="B503" s="73"/>
      <c r="C503" s="51" t="s">
        <v>928</v>
      </c>
      <c r="D503" s="89"/>
      <c r="E503" s="89"/>
      <c r="F503" s="89"/>
      <c r="G503" s="89"/>
      <c r="H503" s="89"/>
      <c r="I503" s="89"/>
      <c r="J503" s="212">
        <f t="shared" ref="J503:P512" si="54">SUMIFS(J$26:J$180,$A$26:$A$180,$A503,$C$26:$C$180,$C503)</f>
        <v>0</v>
      </c>
      <c r="K503" s="212">
        <f t="shared" si="54"/>
        <v>0</v>
      </c>
      <c r="L503" s="212">
        <f t="shared" si="54"/>
        <v>0</v>
      </c>
      <c r="M503" s="212">
        <f t="shared" si="54"/>
        <v>0</v>
      </c>
      <c r="N503" s="212">
        <f t="shared" si="54"/>
        <v>0</v>
      </c>
      <c r="O503" s="212">
        <f t="shared" si="54"/>
        <v>0</v>
      </c>
      <c r="P503" s="155">
        <f t="shared" si="54"/>
        <v>0</v>
      </c>
      <c r="Q503" s="407"/>
      <c r="R503" s="407"/>
    </row>
    <row r="504" spans="1:18" ht="12.75" x14ac:dyDescent="0.2">
      <c r="A504" s="152">
        <v>6210000</v>
      </c>
      <c r="B504" s="73"/>
      <c r="C504" s="51" t="s">
        <v>946</v>
      </c>
      <c r="D504" s="89"/>
      <c r="E504" s="89"/>
      <c r="F504" s="89"/>
      <c r="G504" s="89"/>
      <c r="H504" s="89"/>
      <c r="I504" s="89"/>
      <c r="J504" s="212">
        <f t="shared" si="54"/>
        <v>0</v>
      </c>
      <c r="K504" s="212">
        <f t="shared" si="54"/>
        <v>0</v>
      </c>
      <c r="L504" s="212">
        <f t="shared" si="54"/>
        <v>0</v>
      </c>
      <c r="M504" s="212">
        <f t="shared" si="54"/>
        <v>0</v>
      </c>
      <c r="N504" s="212">
        <f t="shared" si="54"/>
        <v>0</v>
      </c>
      <c r="O504" s="212">
        <f t="shared" si="54"/>
        <v>0</v>
      </c>
      <c r="P504" s="155">
        <f t="shared" si="54"/>
        <v>0</v>
      </c>
      <c r="Q504" s="407"/>
      <c r="R504" s="407"/>
    </row>
    <row r="505" spans="1:18" ht="12.75" x14ac:dyDescent="0.2">
      <c r="A505" s="152">
        <v>6210000</v>
      </c>
      <c r="B505" s="73"/>
      <c r="C505" s="51" t="s">
        <v>947</v>
      </c>
      <c r="D505" s="89"/>
      <c r="E505" s="89"/>
      <c r="F505" s="89"/>
      <c r="G505" s="89"/>
      <c r="H505" s="89"/>
      <c r="I505" s="89"/>
      <c r="J505" s="212">
        <f t="shared" si="54"/>
        <v>0</v>
      </c>
      <c r="K505" s="212">
        <f t="shared" si="54"/>
        <v>0</v>
      </c>
      <c r="L505" s="212">
        <f t="shared" si="54"/>
        <v>0</v>
      </c>
      <c r="M505" s="212">
        <f t="shared" si="54"/>
        <v>0</v>
      </c>
      <c r="N505" s="212">
        <f t="shared" si="54"/>
        <v>0</v>
      </c>
      <c r="O505" s="212">
        <f t="shared" si="54"/>
        <v>0</v>
      </c>
      <c r="P505" s="155">
        <f t="shared" si="54"/>
        <v>0</v>
      </c>
      <c r="Q505" s="407"/>
      <c r="R505" s="407"/>
    </row>
    <row r="506" spans="1:18" ht="12.75" x14ac:dyDescent="0.2">
      <c r="A506" s="152">
        <v>6210000</v>
      </c>
      <c r="B506" s="73"/>
      <c r="C506" s="51" t="s">
        <v>1020</v>
      </c>
      <c r="D506" s="89"/>
      <c r="E506" s="89"/>
      <c r="F506" s="89"/>
      <c r="G506" s="89"/>
      <c r="H506" s="89"/>
      <c r="I506" s="89"/>
      <c r="J506" s="212">
        <f t="shared" si="54"/>
        <v>0</v>
      </c>
      <c r="K506" s="212">
        <f t="shared" si="54"/>
        <v>0</v>
      </c>
      <c r="L506" s="212">
        <f t="shared" si="54"/>
        <v>0</v>
      </c>
      <c r="M506" s="212">
        <f t="shared" si="54"/>
        <v>0</v>
      </c>
      <c r="N506" s="212">
        <f t="shared" si="54"/>
        <v>0</v>
      </c>
      <c r="O506" s="212">
        <f t="shared" si="54"/>
        <v>0</v>
      </c>
      <c r="P506" s="155">
        <f t="shared" si="54"/>
        <v>0</v>
      </c>
      <c r="Q506" s="407"/>
      <c r="R506" s="407"/>
    </row>
    <row r="507" spans="1:18" ht="12.75" x14ac:dyDescent="0.2">
      <c r="A507" s="152">
        <v>6210000</v>
      </c>
      <c r="B507" s="73"/>
      <c r="C507" s="51" t="s">
        <v>1021</v>
      </c>
      <c r="D507" s="89"/>
      <c r="E507" s="89"/>
      <c r="F507" s="89"/>
      <c r="G507" s="89"/>
      <c r="H507" s="89"/>
      <c r="I507" s="89"/>
      <c r="J507" s="212">
        <f t="shared" si="54"/>
        <v>0</v>
      </c>
      <c r="K507" s="212">
        <f t="shared" si="54"/>
        <v>0</v>
      </c>
      <c r="L507" s="212">
        <f t="shared" si="54"/>
        <v>0</v>
      </c>
      <c r="M507" s="212">
        <f t="shared" si="54"/>
        <v>0</v>
      </c>
      <c r="N507" s="212">
        <f t="shared" si="54"/>
        <v>0</v>
      </c>
      <c r="O507" s="212">
        <f t="shared" si="54"/>
        <v>0</v>
      </c>
      <c r="P507" s="155">
        <f t="shared" si="54"/>
        <v>0</v>
      </c>
      <c r="Q507" s="407"/>
      <c r="R507" s="407"/>
    </row>
    <row r="508" spans="1:18" ht="12.75" x14ac:dyDescent="0.2">
      <c r="A508" s="152">
        <v>6210000</v>
      </c>
      <c r="B508" s="73"/>
      <c r="C508" s="51" t="s">
        <v>489</v>
      </c>
      <c r="D508" s="89"/>
      <c r="E508" s="89"/>
      <c r="F508" s="89"/>
      <c r="G508" s="89"/>
      <c r="H508" s="89"/>
      <c r="I508" s="89"/>
      <c r="J508" s="212">
        <f t="shared" si="54"/>
        <v>0</v>
      </c>
      <c r="K508" s="212">
        <f t="shared" si="54"/>
        <v>0</v>
      </c>
      <c r="L508" s="212">
        <f t="shared" si="54"/>
        <v>0</v>
      </c>
      <c r="M508" s="212">
        <f t="shared" si="54"/>
        <v>0</v>
      </c>
      <c r="N508" s="212">
        <f t="shared" si="54"/>
        <v>0</v>
      </c>
      <c r="O508" s="212">
        <f t="shared" si="54"/>
        <v>0</v>
      </c>
      <c r="P508" s="155">
        <f t="shared" si="54"/>
        <v>0</v>
      </c>
      <c r="Q508" s="407"/>
      <c r="R508" s="407"/>
    </row>
    <row r="509" spans="1:18" ht="12.75" x14ac:dyDescent="0.2">
      <c r="A509" s="152">
        <v>6210000</v>
      </c>
      <c r="B509" s="73"/>
      <c r="C509" s="51" t="s">
        <v>968</v>
      </c>
      <c r="D509" s="89"/>
      <c r="E509" s="89"/>
      <c r="F509" s="89"/>
      <c r="G509" s="89"/>
      <c r="H509" s="89"/>
      <c r="I509" s="89"/>
      <c r="J509" s="212">
        <f t="shared" si="54"/>
        <v>0</v>
      </c>
      <c r="K509" s="212">
        <f t="shared" si="54"/>
        <v>0</v>
      </c>
      <c r="L509" s="212">
        <f t="shared" si="54"/>
        <v>0</v>
      </c>
      <c r="M509" s="212">
        <f t="shared" si="54"/>
        <v>0</v>
      </c>
      <c r="N509" s="212">
        <f t="shared" si="54"/>
        <v>0</v>
      </c>
      <c r="O509" s="212">
        <f t="shared" si="54"/>
        <v>0</v>
      </c>
      <c r="P509" s="155">
        <f t="shared" si="54"/>
        <v>0</v>
      </c>
      <c r="Q509" s="407"/>
      <c r="R509" s="407"/>
    </row>
    <row r="510" spans="1:18" ht="12.75" x14ac:dyDescent="0.2">
      <c r="A510" s="152">
        <v>6210000</v>
      </c>
      <c r="B510" s="73"/>
      <c r="C510" s="51" t="s">
        <v>98</v>
      </c>
      <c r="D510" s="89"/>
      <c r="E510" s="89"/>
      <c r="F510" s="89"/>
      <c r="G510" s="89"/>
      <c r="H510" s="89"/>
      <c r="I510" s="89"/>
      <c r="J510" s="212">
        <f t="shared" si="54"/>
        <v>0</v>
      </c>
      <c r="K510" s="212">
        <f t="shared" si="54"/>
        <v>0</v>
      </c>
      <c r="L510" s="212">
        <f t="shared" si="54"/>
        <v>3500</v>
      </c>
      <c r="M510" s="212">
        <f t="shared" si="54"/>
        <v>0</v>
      </c>
      <c r="N510" s="212">
        <f t="shared" si="54"/>
        <v>0</v>
      </c>
      <c r="O510" s="212">
        <f t="shared" si="54"/>
        <v>3500</v>
      </c>
      <c r="P510" s="155">
        <f t="shared" si="54"/>
        <v>7000</v>
      </c>
      <c r="Q510" s="407"/>
      <c r="R510" s="407"/>
    </row>
    <row r="511" spans="1:18" ht="12.75" x14ac:dyDescent="0.2">
      <c r="A511" s="152">
        <v>6210000</v>
      </c>
      <c r="B511" s="73"/>
      <c r="C511" s="51" t="s">
        <v>1048</v>
      </c>
      <c r="D511" s="89"/>
      <c r="E511" s="89"/>
      <c r="F511" s="89"/>
      <c r="G511" s="89"/>
      <c r="H511" s="89"/>
      <c r="I511" s="89"/>
      <c r="J511" s="212">
        <f t="shared" si="54"/>
        <v>0</v>
      </c>
      <c r="K511" s="212">
        <f t="shared" si="54"/>
        <v>0</v>
      </c>
      <c r="L511" s="212">
        <f t="shared" si="54"/>
        <v>0</v>
      </c>
      <c r="M511" s="212">
        <f t="shared" si="54"/>
        <v>0</v>
      </c>
      <c r="N511" s="212">
        <f t="shared" si="54"/>
        <v>0</v>
      </c>
      <c r="O511" s="212">
        <f t="shared" si="54"/>
        <v>0</v>
      </c>
      <c r="P511" s="155">
        <f t="shared" si="54"/>
        <v>0</v>
      </c>
      <c r="Q511" s="407"/>
      <c r="R511" s="407"/>
    </row>
    <row r="512" spans="1:18" ht="12.75" x14ac:dyDescent="0.2">
      <c r="A512" s="152">
        <v>6210000</v>
      </c>
      <c r="B512" s="73"/>
      <c r="C512" s="51" t="s">
        <v>1030</v>
      </c>
      <c r="D512" s="89"/>
      <c r="E512" s="89"/>
      <c r="F512" s="89"/>
      <c r="G512" s="89"/>
      <c r="H512" s="89"/>
      <c r="I512" s="89"/>
      <c r="J512" s="212">
        <f t="shared" si="54"/>
        <v>0</v>
      </c>
      <c r="K512" s="212">
        <f t="shared" si="54"/>
        <v>0</v>
      </c>
      <c r="L512" s="212">
        <f t="shared" si="54"/>
        <v>0</v>
      </c>
      <c r="M512" s="212">
        <f t="shared" si="54"/>
        <v>0</v>
      </c>
      <c r="N512" s="212">
        <f t="shared" si="54"/>
        <v>0</v>
      </c>
      <c r="O512" s="212">
        <f t="shared" si="54"/>
        <v>0</v>
      </c>
      <c r="P512" s="155">
        <f t="shared" si="54"/>
        <v>0</v>
      </c>
      <c r="Q512" s="407"/>
      <c r="R512" s="407"/>
    </row>
    <row r="513" spans="1:18" ht="12.75" x14ac:dyDescent="0.2">
      <c r="A513" s="152">
        <v>6210000</v>
      </c>
      <c r="B513" s="73"/>
      <c r="C513" s="51" t="s">
        <v>977</v>
      </c>
      <c r="D513" s="89"/>
      <c r="E513" s="89"/>
      <c r="F513" s="89"/>
      <c r="G513" s="89"/>
      <c r="H513" s="89"/>
      <c r="I513" s="89"/>
      <c r="J513" s="212">
        <f t="shared" ref="J513:P522" si="55">SUMIFS(J$26:J$180,$A$26:$A$180,$A513,$C$26:$C$180,$C513)</f>
        <v>0</v>
      </c>
      <c r="K513" s="212">
        <f t="shared" si="55"/>
        <v>0</v>
      </c>
      <c r="L513" s="212">
        <f t="shared" si="55"/>
        <v>0</v>
      </c>
      <c r="M513" s="212">
        <f t="shared" si="55"/>
        <v>0</v>
      </c>
      <c r="N513" s="212">
        <f t="shared" si="55"/>
        <v>0</v>
      </c>
      <c r="O513" s="212">
        <f t="shared" si="55"/>
        <v>0</v>
      </c>
      <c r="P513" s="155">
        <f t="shared" si="55"/>
        <v>0</v>
      </c>
      <c r="Q513" s="407"/>
      <c r="R513" s="407"/>
    </row>
    <row r="514" spans="1:18" ht="12.75" x14ac:dyDescent="0.2">
      <c r="A514" s="152">
        <v>6210000</v>
      </c>
      <c r="B514" s="73"/>
      <c r="C514" s="51" t="s">
        <v>99</v>
      </c>
      <c r="D514" s="89"/>
      <c r="E514" s="89"/>
      <c r="F514" s="89"/>
      <c r="G514" s="89"/>
      <c r="H514" s="89"/>
      <c r="I514" s="89"/>
      <c r="J514" s="212">
        <f t="shared" si="55"/>
        <v>0</v>
      </c>
      <c r="K514" s="212">
        <f t="shared" si="55"/>
        <v>0</v>
      </c>
      <c r="L514" s="212">
        <f t="shared" si="55"/>
        <v>0</v>
      </c>
      <c r="M514" s="212">
        <f t="shared" si="55"/>
        <v>0</v>
      </c>
      <c r="N514" s="212">
        <f t="shared" si="55"/>
        <v>0</v>
      </c>
      <c r="O514" s="212">
        <f t="shared" si="55"/>
        <v>0</v>
      </c>
      <c r="P514" s="155">
        <f t="shared" si="55"/>
        <v>0</v>
      </c>
      <c r="Q514" s="407"/>
      <c r="R514" s="407"/>
    </row>
    <row r="515" spans="1:18" ht="12.75" x14ac:dyDescent="0.2">
      <c r="A515" s="152">
        <v>6210000</v>
      </c>
      <c r="B515" s="73"/>
      <c r="C515" s="51" t="s">
        <v>1047</v>
      </c>
      <c r="D515" s="89"/>
      <c r="E515" s="89"/>
      <c r="F515" s="89"/>
      <c r="G515" s="89"/>
      <c r="H515" s="89"/>
      <c r="I515" s="89"/>
      <c r="J515" s="212">
        <f t="shared" si="55"/>
        <v>0</v>
      </c>
      <c r="K515" s="212">
        <f t="shared" si="55"/>
        <v>0</v>
      </c>
      <c r="L515" s="212">
        <f t="shared" si="55"/>
        <v>0</v>
      </c>
      <c r="M515" s="212">
        <f t="shared" si="55"/>
        <v>0</v>
      </c>
      <c r="N515" s="212">
        <f t="shared" si="55"/>
        <v>0</v>
      </c>
      <c r="O515" s="212">
        <f t="shared" si="55"/>
        <v>0</v>
      </c>
      <c r="P515" s="155">
        <f t="shared" si="55"/>
        <v>0</v>
      </c>
      <c r="Q515" s="407"/>
      <c r="R515" s="407"/>
    </row>
    <row r="516" spans="1:18" ht="12.75" x14ac:dyDescent="0.2">
      <c r="A516" s="152">
        <v>6210000</v>
      </c>
      <c r="B516" s="73"/>
      <c r="C516" s="51" t="s">
        <v>1041</v>
      </c>
      <c r="D516" s="89"/>
      <c r="E516" s="89"/>
      <c r="F516" s="89"/>
      <c r="G516" s="89"/>
      <c r="H516" s="89"/>
      <c r="I516" s="89"/>
      <c r="J516" s="212">
        <f t="shared" si="55"/>
        <v>0</v>
      </c>
      <c r="K516" s="212">
        <f t="shared" si="55"/>
        <v>0</v>
      </c>
      <c r="L516" s="212">
        <f t="shared" si="55"/>
        <v>0</v>
      </c>
      <c r="M516" s="212">
        <f t="shared" si="55"/>
        <v>0</v>
      </c>
      <c r="N516" s="212">
        <f t="shared" si="55"/>
        <v>0</v>
      </c>
      <c r="O516" s="212">
        <f t="shared" si="55"/>
        <v>0</v>
      </c>
      <c r="P516" s="155">
        <f t="shared" si="55"/>
        <v>0</v>
      </c>
      <c r="Q516" s="407"/>
      <c r="R516" s="407"/>
    </row>
    <row r="517" spans="1:18" ht="12.75" x14ac:dyDescent="0.2">
      <c r="A517" s="152">
        <v>6210000</v>
      </c>
      <c r="B517" s="73"/>
      <c r="C517" s="51" t="s">
        <v>102</v>
      </c>
      <c r="D517" s="89"/>
      <c r="E517" s="89"/>
      <c r="F517" s="89"/>
      <c r="G517" s="89"/>
      <c r="H517" s="89"/>
      <c r="I517" s="89"/>
      <c r="J517" s="212">
        <f t="shared" si="55"/>
        <v>0</v>
      </c>
      <c r="K517" s="212">
        <f t="shared" si="55"/>
        <v>0</v>
      </c>
      <c r="L517" s="212">
        <f t="shared" si="55"/>
        <v>0</v>
      </c>
      <c r="M517" s="212">
        <f t="shared" si="55"/>
        <v>0</v>
      </c>
      <c r="N517" s="212">
        <f t="shared" si="55"/>
        <v>0</v>
      </c>
      <c r="O517" s="212">
        <f t="shared" si="55"/>
        <v>0</v>
      </c>
      <c r="P517" s="155">
        <f t="shared" si="55"/>
        <v>0</v>
      </c>
      <c r="Q517" s="407"/>
      <c r="R517" s="407"/>
    </row>
    <row r="518" spans="1:18" ht="12.75" x14ac:dyDescent="0.2">
      <c r="A518" s="152">
        <v>6210000</v>
      </c>
      <c r="B518" s="73"/>
      <c r="C518" s="51" t="s">
        <v>124</v>
      </c>
      <c r="D518" s="89"/>
      <c r="E518" s="89"/>
      <c r="F518" s="89"/>
      <c r="G518" s="89"/>
      <c r="H518" s="89"/>
      <c r="I518" s="89"/>
      <c r="J518" s="212">
        <f t="shared" si="55"/>
        <v>0</v>
      </c>
      <c r="K518" s="212">
        <f t="shared" si="55"/>
        <v>0</v>
      </c>
      <c r="L518" s="212">
        <f t="shared" si="55"/>
        <v>0</v>
      </c>
      <c r="M518" s="212">
        <f t="shared" si="55"/>
        <v>0</v>
      </c>
      <c r="N518" s="212">
        <f t="shared" si="55"/>
        <v>0</v>
      </c>
      <c r="O518" s="212">
        <f t="shared" si="55"/>
        <v>0</v>
      </c>
      <c r="P518" s="155">
        <f t="shared" si="55"/>
        <v>0</v>
      </c>
      <c r="Q518" s="407"/>
      <c r="R518" s="407"/>
    </row>
    <row r="519" spans="1:18" ht="12.75" x14ac:dyDescent="0.2">
      <c r="A519" s="152">
        <v>6210000</v>
      </c>
      <c r="B519" s="73"/>
      <c r="C519" s="51" t="s">
        <v>103</v>
      </c>
      <c r="D519" s="89"/>
      <c r="E519" s="89"/>
      <c r="F519" s="89"/>
      <c r="G519" s="89"/>
      <c r="H519" s="89"/>
      <c r="I519" s="89"/>
      <c r="J519" s="212">
        <f t="shared" si="55"/>
        <v>0</v>
      </c>
      <c r="K519" s="212">
        <f t="shared" si="55"/>
        <v>0</v>
      </c>
      <c r="L519" s="212">
        <f t="shared" si="55"/>
        <v>0</v>
      </c>
      <c r="M519" s="212">
        <f t="shared" si="55"/>
        <v>0</v>
      </c>
      <c r="N519" s="212">
        <f t="shared" si="55"/>
        <v>0</v>
      </c>
      <c r="O519" s="212">
        <f t="shared" si="55"/>
        <v>0</v>
      </c>
      <c r="P519" s="155">
        <f t="shared" si="55"/>
        <v>0</v>
      </c>
      <c r="Q519" s="407"/>
      <c r="R519" s="407"/>
    </row>
    <row r="520" spans="1:18" ht="12.75" x14ac:dyDescent="0.2">
      <c r="A520" s="152">
        <v>6210000</v>
      </c>
      <c r="B520" s="73"/>
      <c r="C520" s="51" t="s">
        <v>104</v>
      </c>
      <c r="D520" s="89"/>
      <c r="E520" s="89"/>
      <c r="F520" s="89"/>
      <c r="G520" s="89"/>
      <c r="H520" s="89"/>
      <c r="I520" s="89"/>
      <c r="J520" s="212">
        <f t="shared" si="55"/>
        <v>0</v>
      </c>
      <c r="K520" s="212">
        <f t="shared" si="55"/>
        <v>0</v>
      </c>
      <c r="L520" s="212">
        <f t="shared" si="55"/>
        <v>0</v>
      </c>
      <c r="M520" s="212">
        <f t="shared" si="55"/>
        <v>0</v>
      </c>
      <c r="N520" s="212">
        <f t="shared" si="55"/>
        <v>0</v>
      </c>
      <c r="O520" s="212">
        <f t="shared" si="55"/>
        <v>0</v>
      </c>
      <c r="P520" s="155">
        <f t="shared" si="55"/>
        <v>0</v>
      </c>
      <c r="Q520" s="407"/>
      <c r="R520" s="407"/>
    </row>
    <row r="521" spans="1:18" ht="12.75" x14ac:dyDescent="0.2">
      <c r="A521" s="152">
        <v>6210000</v>
      </c>
      <c r="B521" s="73"/>
      <c r="C521" s="51" t="s">
        <v>491</v>
      </c>
      <c r="D521" s="89"/>
      <c r="E521" s="89"/>
      <c r="F521" s="89"/>
      <c r="G521" s="89"/>
      <c r="H521" s="89"/>
      <c r="I521" s="89"/>
      <c r="J521" s="212">
        <f t="shared" si="55"/>
        <v>0</v>
      </c>
      <c r="K521" s="212">
        <f t="shared" si="55"/>
        <v>0</v>
      </c>
      <c r="L521" s="212">
        <f t="shared" si="55"/>
        <v>0</v>
      </c>
      <c r="M521" s="212">
        <f t="shared" si="55"/>
        <v>0</v>
      </c>
      <c r="N521" s="212">
        <f t="shared" si="55"/>
        <v>0</v>
      </c>
      <c r="O521" s="212">
        <f t="shared" si="55"/>
        <v>0</v>
      </c>
      <c r="P521" s="155">
        <f t="shared" si="55"/>
        <v>0</v>
      </c>
      <c r="Q521" s="407"/>
      <c r="R521" s="407"/>
    </row>
    <row r="522" spans="1:18" ht="12.75" x14ac:dyDescent="0.2">
      <c r="A522" s="152">
        <v>6210000</v>
      </c>
      <c r="B522" s="73"/>
      <c r="C522" s="51" t="s">
        <v>105</v>
      </c>
      <c r="D522" s="89"/>
      <c r="E522" s="89"/>
      <c r="F522" s="89"/>
      <c r="G522" s="89"/>
      <c r="H522" s="89"/>
      <c r="I522" s="89"/>
      <c r="J522" s="212">
        <f t="shared" si="55"/>
        <v>0</v>
      </c>
      <c r="K522" s="212">
        <f t="shared" si="55"/>
        <v>0</v>
      </c>
      <c r="L522" s="212">
        <f t="shared" si="55"/>
        <v>0</v>
      </c>
      <c r="M522" s="212">
        <f t="shared" si="55"/>
        <v>0</v>
      </c>
      <c r="N522" s="212">
        <f t="shared" si="55"/>
        <v>0</v>
      </c>
      <c r="O522" s="212">
        <f t="shared" si="55"/>
        <v>0</v>
      </c>
      <c r="P522" s="155">
        <f t="shared" si="55"/>
        <v>0</v>
      </c>
      <c r="Q522" s="407"/>
      <c r="R522" s="407"/>
    </row>
    <row r="523" spans="1:18" ht="12.75" x14ac:dyDescent="0.2">
      <c r="A523" s="152">
        <v>6210000</v>
      </c>
      <c r="B523" s="73"/>
      <c r="C523" s="51" t="s">
        <v>129</v>
      </c>
      <c r="D523" s="89"/>
      <c r="E523" s="89"/>
      <c r="F523" s="89"/>
      <c r="G523" s="89"/>
      <c r="H523" s="89"/>
      <c r="I523" s="89"/>
      <c r="J523" s="212">
        <f t="shared" ref="J523:P532" si="56">SUMIFS(J$26:J$180,$A$26:$A$180,$A523,$C$26:$C$180,$C523)</f>
        <v>0</v>
      </c>
      <c r="K523" s="212">
        <f t="shared" si="56"/>
        <v>0</v>
      </c>
      <c r="L523" s="212">
        <f t="shared" si="56"/>
        <v>0</v>
      </c>
      <c r="M523" s="212">
        <f t="shared" si="56"/>
        <v>0</v>
      </c>
      <c r="N523" s="212">
        <f t="shared" si="56"/>
        <v>0</v>
      </c>
      <c r="O523" s="212">
        <f t="shared" si="56"/>
        <v>0</v>
      </c>
      <c r="P523" s="155">
        <f t="shared" si="56"/>
        <v>0</v>
      </c>
      <c r="Q523" s="407"/>
      <c r="R523" s="407"/>
    </row>
    <row r="524" spans="1:18" ht="12.75" x14ac:dyDescent="0.2">
      <c r="A524" s="152">
        <v>6210000</v>
      </c>
      <c r="B524" s="73"/>
      <c r="C524" s="51" t="s">
        <v>108</v>
      </c>
      <c r="D524" s="89"/>
      <c r="E524" s="89"/>
      <c r="F524" s="89"/>
      <c r="G524" s="89"/>
      <c r="H524" s="89"/>
      <c r="I524" s="89"/>
      <c r="J524" s="212">
        <f t="shared" si="56"/>
        <v>0</v>
      </c>
      <c r="K524" s="212">
        <f t="shared" si="56"/>
        <v>0</v>
      </c>
      <c r="L524" s="212">
        <f t="shared" si="56"/>
        <v>5150</v>
      </c>
      <c r="M524" s="212">
        <f t="shared" si="56"/>
        <v>0</v>
      </c>
      <c r="N524" s="212">
        <f t="shared" si="56"/>
        <v>0</v>
      </c>
      <c r="O524" s="212">
        <f t="shared" si="56"/>
        <v>8450</v>
      </c>
      <c r="P524" s="155">
        <f t="shared" si="56"/>
        <v>13600</v>
      </c>
      <c r="Q524" s="407"/>
      <c r="R524" s="407"/>
    </row>
    <row r="525" spans="1:18" ht="12.75" x14ac:dyDescent="0.2">
      <c r="A525" s="152">
        <v>6210000</v>
      </c>
      <c r="B525" s="73"/>
      <c r="C525" s="51" t="s">
        <v>119</v>
      </c>
      <c r="D525" s="89"/>
      <c r="E525" s="89"/>
      <c r="F525" s="89"/>
      <c r="G525" s="89"/>
      <c r="H525" s="89"/>
      <c r="I525" s="89"/>
      <c r="J525" s="212">
        <f t="shared" si="56"/>
        <v>0</v>
      </c>
      <c r="K525" s="212">
        <f t="shared" si="56"/>
        <v>0</v>
      </c>
      <c r="L525" s="212">
        <f t="shared" si="56"/>
        <v>0</v>
      </c>
      <c r="M525" s="212">
        <f t="shared" si="56"/>
        <v>0</v>
      </c>
      <c r="N525" s="212">
        <f t="shared" si="56"/>
        <v>0</v>
      </c>
      <c r="O525" s="212">
        <f t="shared" si="56"/>
        <v>0</v>
      </c>
      <c r="P525" s="155">
        <f t="shared" si="56"/>
        <v>0</v>
      </c>
      <c r="Q525" s="407"/>
      <c r="R525" s="407"/>
    </row>
    <row r="526" spans="1:18" ht="12.75" x14ac:dyDescent="0.2">
      <c r="A526" s="152">
        <v>6210000</v>
      </c>
      <c r="B526" s="73"/>
      <c r="C526" s="51" t="s">
        <v>954</v>
      </c>
      <c r="D526" s="89"/>
      <c r="E526" s="89"/>
      <c r="F526" s="89"/>
      <c r="G526" s="89"/>
      <c r="H526" s="89"/>
      <c r="I526" s="89"/>
      <c r="J526" s="212">
        <f t="shared" si="56"/>
        <v>0</v>
      </c>
      <c r="K526" s="212">
        <f t="shared" si="56"/>
        <v>0</v>
      </c>
      <c r="L526" s="212">
        <f t="shared" si="56"/>
        <v>0</v>
      </c>
      <c r="M526" s="212">
        <f t="shared" si="56"/>
        <v>0</v>
      </c>
      <c r="N526" s="212">
        <f t="shared" si="56"/>
        <v>0</v>
      </c>
      <c r="O526" s="212">
        <f t="shared" si="56"/>
        <v>4000</v>
      </c>
      <c r="P526" s="155">
        <f t="shared" si="56"/>
        <v>4000</v>
      </c>
      <c r="Q526" s="407"/>
      <c r="R526" s="407"/>
    </row>
    <row r="527" spans="1:18" ht="12.75" x14ac:dyDescent="0.2">
      <c r="A527" s="152">
        <v>6210000</v>
      </c>
      <c r="B527" s="73"/>
      <c r="C527" s="51" t="s">
        <v>1031</v>
      </c>
      <c r="D527" s="89"/>
      <c r="E527" s="89"/>
      <c r="F527" s="89"/>
      <c r="G527" s="89"/>
      <c r="H527" s="89"/>
      <c r="I527" s="89"/>
      <c r="J527" s="212">
        <f t="shared" si="56"/>
        <v>0</v>
      </c>
      <c r="K527" s="212">
        <f t="shared" si="56"/>
        <v>0</v>
      </c>
      <c r="L527" s="212">
        <f t="shared" si="56"/>
        <v>0</v>
      </c>
      <c r="M527" s="212">
        <f t="shared" si="56"/>
        <v>0</v>
      </c>
      <c r="N527" s="212">
        <f t="shared" si="56"/>
        <v>0</v>
      </c>
      <c r="O527" s="212">
        <f t="shared" si="56"/>
        <v>0</v>
      </c>
      <c r="P527" s="155">
        <f t="shared" si="56"/>
        <v>0</v>
      </c>
      <c r="Q527" s="407"/>
      <c r="R527" s="407"/>
    </row>
    <row r="528" spans="1:18" ht="12.75" x14ac:dyDescent="0.2">
      <c r="A528" s="152">
        <v>6210000</v>
      </c>
      <c r="B528" s="73"/>
      <c r="C528" s="51" t="s">
        <v>1009</v>
      </c>
      <c r="D528" s="89"/>
      <c r="E528" s="89"/>
      <c r="F528" s="89"/>
      <c r="G528" s="89"/>
      <c r="H528" s="89"/>
      <c r="I528" s="89"/>
      <c r="J528" s="212">
        <f t="shared" si="56"/>
        <v>0</v>
      </c>
      <c r="K528" s="212">
        <f t="shared" si="56"/>
        <v>0</v>
      </c>
      <c r="L528" s="212">
        <f t="shared" si="56"/>
        <v>0</v>
      </c>
      <c r="M528" s="212">
        <f t="shared" si="56"/>
        <v>0</v>
      </c>
      <c r="N528" s="212">
        <f t="shared" si="56"/>
        <v>0</v>
      </c>
      <c r="O528" s="212">
        <f t="shared" si="56"/>
        <v>0</v>
      </c>
      <c r="P528" s="155">
        <f t="shared" si="56"/>
        <v>0</v>
      </c>
      <c r="Q528" s="407"/>
      <c r="R528" s="407"/>
    </row>
    <row r="529" spans="1:18" ht="12.75" x14ac:dyDescent="0.2">
      <c r="A529" s="152">
        <v>6210000</v>
      </c>
      <c r="B529" s="73"/>
      <c r="C529" s="51" t="s">
        <v>107</v>
      </c>
      <c r="D529" s="89"/>
      <c r="E529" s="89"/>
      <c r="F529" s="89"/>
      <c r="G529" s="89"/>
      <c r="H529" s="89"/>
      <c r="I529" s="89"/>
      <c r="J529" s="212">
        <f t="shared" si="56"/>
        <v>0</v>
      </c>
      <c r="K529" s="212">
        <f t="shared" si="56"/>
        <v>0</v>
      </c>
      <c r="L529" s="212">
        <f t="shared" si="56"/>
        <v>0</v>
      </c>
      <c r="M529" s="212">
        <f t="shared" si="56"/>
        <v>0</v>
      </c>
      <c r="N529" s="212">
        <f t="shared" si="56"/>
        <v>0</v>
      </c>
      <c r="O529" s="212">
        <f t="shared" si="56"/>
        <v>0</v>
      </c>
      <c r="P529" s="155">
        <f t="shared" si="56"/>
        <v>0</v>
      </c>
      <c r="Q529" s="407"/>
      <c r="R529" s="407"/>
    </row>
    <row r="530" spans="1:18" ht="12.75" x14ac:dyDescent="0.2">
      <c r="A530" s="152">
        <v>6210000</v>
      </c>
      <c r="B530" s="73"/>
      <c r="C530" s="51" t="s">
        <v>1026</v>
      </c>
      <c r="D530" s="89"/>
      <c r="E530" s="89"/>
      <c r="F530" s="89"/>
      <c r="G530" s="89"/>
      <c r="H530" s="89"/>
      <c r="I530" s="89"/>
      <c r="J530" s="212">
        <f t="shared" si="56"/>
        <v>0</v>
      </c>
      <c r="K530" s="212">
        <f t="shared" si="56"/>
        <v>0</v>
      </c>
      <c r="L530" s="212">
        <f t="shared" si="56"/>
        <v>0</v>
      </c>
      <c r="M530" s="212">
        <f t="shared" si="56"/>
        <v>0</v>
      </c>
      <c r="N530" s="212">
        <f t="shared" si="56"/>
        <v>0</v>
      </c>
      <c r="O530" s="212">
        <f t="shared" si="56"/>
        <v>0</v>
      </c>
      <c r="P530" s="155">
        <f t="shared" si="56"/>
        <v>0</v>
      </c>
      <c r="Q530" s="407"/>
      <c r="R530" s="407"/>
    </row>
    <row r="531" spans="1:18" ht="12.75" x14ac:dyDescent="0.2">
      <c r="A531" s="152">
        <v>6210000</v>
      </c>
      <c r="B531" s="73"/>
      <c r="C531" s="51" t="s">
        <v>1027</v>
      </c>
      <c r="D531" s="89"/>
      <c r="E531" s="89"/>
      <c r="F531" s="89"/>
      <c r="G531" s="89"/>
      <c r="H531" s="89"/>
      <c r="I531" s="89"/>
      <c r="J531" s="212">
        <f t="shared" si="56"/>
        <v>0</v>
      </c>
      <c r="K531" s="212">
        <f t="shared" si="56"/>
        <v>0</v>
      </c>
      <c r="L531" s="212">
        <f t="shared" si="56"/>
        <v>0</v>
      </c>
      <c r="M531" s="212">
        <f t="shared" si="56"/>
        <v>0</v>
      </c>
      <c r="N531" s="212">
        <f t="shared" si="56"/>
        <v>0</v>
      </c>
      <c r="O531" s="212">
        <f t="shared" si="56"/>
        <v>0</v>
      </c>
      <c r="P531" s="155">
        <f t="shared" si="56"/>
        <v>0</v>
      </c>
      <c r="Q531" s="407"/>
      <c r="R531" s="407"/>
    </row>
    <row r="532" spans="1:18" ht="12.75" x14ac:dyDescent="0.2">
      <c r="A532" s="152">
        <v>6210000</v>
      </c>
      <c r="B532" s="73"/>
      <c r="C532" s="51" t="s">
        <v>955</v>
      </c>
      <c r="D532" s="89"/>
      <c r="E532" s="89"/>
      <c r="F532" s="89"/>
      <c r="G532" s="89"/>
      <c r="H532" s="89"/>
      <c r="I532" s="89"/>
      <c r="J532" s="212">
        <f t="shared" si="56"/>
        <v>0</v>
      </c>
      <c r="K532" s="212">
        <f t="shared" si="56"/>
        <v>0</v>
      </c>
      <c r="L532" s="212">
        <f t="shared" si="56"/>
        <v>0</v>
      </c>
      <c r="M532" s="212">
        <f t="shared" si="56"/>
        <v>0</v>
      </c>
      <c r="N532" s="212">
        <f t="shared" si="56"/>
        <v>0</v>
      </c>
      <c r="O532" s="212">
        <f t="shared" si="56"/>
        <v>0</v>
      </c>
      <c r="P532" s="155">
        <f t="shared" si="56"/>
        <v>0</v>
      </c>
      <c r="Q532" s="407"/>
      <c r="R532" s="407"/>
    </row>
    <row r="533" spans="1:18" ht="12.75" x14ac:dyDescent="0.2">
      <c r="A533" s="152">
        <v>6210000</v>
      </c>
      <c r="B533" s="73"/>
      <c r="C533" s="51" t="s">
        <v>958</v>
      </c>
      <c r="D533" s="89"/>
      <c r="E533" s="89"/>
      <c r="F533" s="89"/>
      <c r="G533" s="89"/>
      <c r="H533" s="89"/>
      <c r="I533" s="89"/>
      <c r="J533" s="212">
        <f t="shared" ref="J533:P542" si="57">SUMIFS(J$26:J$180,$A$26:$A$180,$A533,$C$26:$C$180,$C533)</f>
        <v>0</v>
      </c>
      <c r="K533" s="212">
        <f t="shared" si="57"/>
        <v>0</v>
      </c>
      <c r="L533" s="212">
        <f t="shared" si="57"/>
        <v>0</v>
      </c>
      <c r="M533" s="212">
        <f t="shared" si="57"/>
        <v>0</v>
      </c>
      <c r="N533" s="212">
        <f t="shared" si="57"/>
        <v>0</v>
      </c>
      <c r="O533" s="212">
        <f t="shared" si="57"/>
        <v>0</v>
      </c>
      <c r="P533" s="155">
        <f t="shared" si="57"/>
        <v>0</v>
      </c>
      <c r="Q533" s="407"/>
      <c r="R533" s="407"/>
    </row>
    <row r="534" spans="1:18" ht="12.75" x14ac:dyDescent="0.2">
      <c r="A534" s="152">
        <v>6210000</v>
      </c>
      <c r="B534" s="73"/>
      <c r="C534" s="51" t="s">
        <v>1032</v>
      </c>
      <c r="D534" s="89"/>
      <c r="E534" s="89"/>
      <c r="F534" s="89"/>
      <c r="G534" s="89"/>
      <c r="H534" s="89"/>
      <c r="I534" s="89"/>
      <c r="J534" s="212">
        <f t="shared" si="57"/>
        <v>0</v>
      </c>
      <c r="K534" s="212">
        <f t="shared" si="57"/>
        <v>0</v>
      </c>
      <c r="L534" s="212">
        <f t="shared" si="57"/>
        <v>0</v>
      </c>
      <c r="M534" s="212">
        <f t="shared" si="57"/>
        <v>0</v>
      </c>
      <c r="N534" s="212">
        <f t="shared" si="57"/>
        <v>0</v>
      </c>
      <c r="O534" s="212">
        <f t="shared" si="57"/>
        <v>0</v>
      </c>
      <c r="P534" s="155">
        <f t="shared" si="57"/>
        <v>0</v>
      </c>
      <c r="Q534" s="407"/>
      <c r="R534" s="407"/>
    </row>
    <row r="535" spans="1:18" ht="12.75" x14ac:dyDescent="0.2">
      <c r="A535" s="152">
        <v>6210000</v>
      </c>
      <c r="B535" s="73"/>
      <c r="C535" s="51" t="s">
        <v>109</v>
      </c>
      <c r="D535" s="89"/>
      <c r="E535" s="89"/>
      <c r="F535" s="89"/>
      <c r="G535" s="89"/>
      <c r="H535" s="89"/>
      <c r="I535" s="89"/>
      <c r="J535" s="212">
        <f t="shared" si="57"/>
        <v>0</v>
      </c>
      <c r="K535" s="212">
        <f t="shared" si="57"/>
        <v>0</v>
      </c>
      <c r="L535" s="212">
        <f t="shared" si="57"/>
        <v>0</v>
      </c>
      <c r="M535" s="212">
        <f t="shared" si="57"/>
        <v>0</v>
      </c>
      <c r="N535" s="212">
        <f t="shared" si="57"/>
        <v>0</v>
      </c>
      <c r="O535" s="212">
        <f t="shared" si="57"/>
        <v>0</v>
      </c>
      <c r="P535" s="155">
        <f t="shared" si="57"/>
        <v>0</v>
      </c>
      <c r="Q535" s="407"/>
      <c r="R535" s="407"/>
    </row>
    <row r="536" spans="1:18" ht="12.75" x14ac:dyDescent="0.2">
      <c r="A536" s="152">
        <v>6210000</v>
      </c>
      <c r="B536" s="73"/>
      <c r="C536" s="51" t="s">
        <v>966</v>
      </c>
      <c r="D536" s="89"/>
      <c r="E536" s="89"/>
      <c r="F536" s="89"/>
      <c r="G536" s="89"/>
      <c r="H536" s="89"/>
      <c r="I536" s="89"/>
      <c r="J536" s="212">
        <f t="shared" si="57"/>
        <v>0</v>
      </c>
      <c r="K536" s="212">
        <f t="shared" si="57"/>
        <v>0</v>
      </c>
      <c r="L536" s="212">
        <f t="shared" si="57"/>
        <v>0</v>
      </c>
      <c r="M536" s="212">
        <f t="shared" si="57"/>
        <v>0</v>
      </c>
      <c r="N536" s="212">
        <f t="shared" si="57"/>
        <v>0</v>
      </c>
      <c r="O536" s="212">
        <f t="shared" si="57"/>
        <v>0</v>
      </c>
      <c r="P536" s="155">
        <f t="shared" si="57"/>
        <v>0</v>
      </c>
      <c r="Q536" s="407"/>
      <c r="R536" s="407"/>
    </row>
    <row r="537" spans="1:18" ht="12.75" x14ac:dyDescent="0.2">
      <c r="A537" s="152">
        <v>6210000</v>
      </c>
      <c r="B537" s="73"/>
      <c r="C537" s="51" t="s">
        <v>981</v>
      </c>
      <c r="D537" s="89"/>
      <c r="E537" s="89"/>
      <c r="F537" s="89"/>
      <c r="G537" s="89"/>
      <c r="H537" s="89"/>
      <c r="I537" s="89"/>
      <c r="J537" s="212">
        <f t="shared" si="57"/>
        <v>0</v>
      </c>
      <c r="K537" s="212">
        <f t="shared" si="57"/>
        <v>0</v>
      </c>
      <c r="L537" s="212">
        <f t="shared" si="57"/>
        <v>0</v>
      </c>
      <c r="M537" s="212">
        <f t="shared" si="57"/>
        <v>0</v>
      </c>
      <c r="N537" s="212">
        <f t="shared" si="57"/>
        <v>0</v>
      </c>
      <c r="O537" s="212">
        <f t="shared" si="57"/>
        <v>0</v>
      </c>
      <c r="P537" s="155">
        <f t="shared" si="57"/>
        <v>0</v>
      </c>
      <c r="Q537" s="407"/>
      <c r="R537" s="407"/>
    </row>
    <row r="538" spans="1:18" ht="12.75" x14ac:dyDescent="0.2">
      <c r="A538" s="152">
        <v>6210000</v>
      </c>
      <c r="B538" s="73"/>
      <c r="C538" s="51" t="s">
        <v>963</v>
      </c>
      <c r="D538" s="89"/>
      <c r="E538" s="89"/>
      <c r="F538" s="89"/>
      <c r="G538" s="89"/>
      <c r="H538" s="89"/>
      <c r="I538" s="89"/>
      <c r="J538" s="212">
        <f t="shared" si="57"/>
        <v>0</v>
      </c>
      <c r="K538" s="212">
        <f t="shared" si="57"/>
        <v>0</v>
      </c>
      <c r="L538" s="212">
        <f t="shared" si="57"/>
        <v>0</v>
      </c>
      <c r="M538" s="212">
        <f t="shared" si="57"/>
        <v>0</v>
      </c>
      <c r="N538" s="212">
        <f t="shared" si="57"/>
        <v>0</v>
      </c>
      <c r="O538" s="212">
        <f t="shared" si="57"/>
        <v>0</v>
      </c>
      <c r="P538" s="155">
        <f t="shared" si="57"/>
        <v>0</v>
      </c>
      <c r="Q538" s="407"/>
      <c r="R538" s="407"/>
    </row>
    <row r="539" spans="1:18" ht="12.75" x14ac:dyDescent="0.2">
      <c r="A539" s="152">
        <v>6210000</v>
      </c>
      <c r="B539" s="73"/>
      <c r="C539" s="51" t="s">
        <v>120</v>
      </c>
      <c r="D539" s="89"/>
      <c r="E539" s="89"/>
      <c r="F539" s="89"/>
      <c r="G539" s="89"/>
      <c r="H539" s="89"/>
      <c r="I539" s="89"/>
      <c r="J539" s="212">
        <f t="shared" si="57"/>
        <v>0</v>
      </c>
      <c r="K539" s="212">
        <f t="shared" si="57"/>
        <v>0</v>
      </c>
      <c r="L539" s="212">
        <f t="shared" si="57"/>
        <v>0</v>
      </c>
      <c r="M539" s="212">
        <f t="shared" si="57"/>
        <v>0</v>
      </c>
      <c r="N539" s="212">
        <f t="shared" si="57"/>
        <v>0</v>
      </c>
      <c r="O539" s="212">
        <f t="shared" si="57"/>
        <v>0</v>
      </c>
      <c r="P539" s="155">
        <f t="shared" si="57"/>
        <v>0</v>
      </c>
      <c r="Q539" s="407"/>
      <c r="R539" s="407"/>
    </row>
    <row r="540" spans="1:18" ht="12.75" x14ac:dyDescent="0.2">
      <c r="A540" s="152">
        <v>6210000</v>
      </c>
      <c r="B540" s="73"/>
      <c r="C540" s="51" t="s">
        <v>989</v>
      </c>
      <c r="D540" s="89"/>
      <c r="E540" s="89"/>
      <c r="F540" s="89"/>
      <c r="G540" s="89"/>
      <c r="H540" s="89"/>
      <c r="I540" s="89"/>
      <c r="J540" s="212">
        <f t="shared" si="57"/>
        <v>0</v>
      </c>
      <c r="K540" s="212">
        <f t="shared" si="57"/>
        <v>0</v>
      </c>
      <c r="L540" s="212">
        <f t="shared" si="57"/>
        <v>0</v>
      </c>
      <c r="M540" s="212">
        <f t="shared" si="57"/>
        <v>0</v>
      </c>
      <c r="N540" s="212">
        <f t="shared" si="57"/>
        <v>0</v>
      </c>
      <c r="O540" s="212">
        <f t="shared" si="57"/>
        <v>0</v>
      </c>
      <c r="P540" s="155">
        <f t="shared" si="57"/>
        <v>0</v>
      </c>
      <c r="Q540" s="407"/>
      <c r="R540" s="407"/>
    </row>
    <row r="541" spans="1:18" ht="12.75" x14ac:dyDescent="0.2">
      <c r="A541" s="152">
        <v>6212000</v>
      </c>
      <c r="B541" s="73"/>
      <c r="C541" s="51" t="s">
        <v>986</v>
      </c>
      <c r="D541" s="89"/>
      <c r="E541" s="89"/>
      <c r="F541" s="89"/>
      <c r="G541" s="89"/>
      <c r="H541" s="89"/>
      <c r="I541" s="89"/>
      <c r="J541" s="212">
        <f t="shared" si="57"/>
        <v>0</v>
      </c>
      <c r="K541" s="212">
        <f t="shared" si="57"/>
        <v>0</v>
      </c>
      <c r="L541" s="212">
        <f t="shared" si="57"/>
        <v>0</v>
      </c>
      <c r="M541" s="212">
        <f t="shared" si="57"/>
        <v>0</v>
      </c>
      <c r="N541" s="212">
        <f t="shared" si="57"/>
        <v>0</v>
      </c>
      <c r="O541" s="212">
        <f t="shared" si="57"/>
        <v>0</v>
      </c>
      <c r="P541" s="155">
        <f t="shared" si="57"/>
        <v>0</v>
      </c>
      <c r="Q541" s="407"/>
      <c r="R541" s="407"/>
    </row>
    <row r="542" spans="1:18" ht="12.75" x14ac:dyDescent="0.2">
      <c r="A542" s="152">
        <v>6212000</v>
      </c>
      <c r="B542" s="73"/>
      <c r="C542" s="51" t="s">
        <v>988</v>
      </c>
      <c r="D542" s="89"/>
      <c r="E542" s="89"/>
      <c r="F542" s="89"/>
      <c r="G542" s="89"/>
      <c r="H542" s="89"/>
      <c r="I542" s="89"/>
      <c r="J542" s="212">
        <f t="shared" si="57"/>
        <v>0</v>
      </c>
      <c r="K542" s="212">
        <f t="shared" si="57"/>
        <v>0</v>
      </c>
      <c r="L542" s="212">
        <f t="shared" si="57"/>
        <v>0</v>
      </c>
      <c r="M542" s="212">
        <f t="shared" si="57"/>
        <v>0</v>
      </c>
      <c r="N542" s="212">
        <f t="shared" si="57"/>
        <v>0</v>
      </c>
      <c r="O542" s="212">
        <f t="shared" si="57"/>
        <v>0</v>
      </c>
      <c r="P542" s="155">
        <f t="shared" si="57"/>
        <v>0</v>
      </c>
      <c r="Q542" s="407"/>
      <c r="R542" s="407"/>
    </row>
    <row r="543" spans="1:18" ht="12.75" x14ac:dyDescent="0.2">
      <c r="A543" s="152">
        <v>6212000</v>
      </c>
      <c r="B543" s="73"/>
      <c r="C543" s="51" t="s">
        <v>1058</v>
      </c>
      <c r="D543" s="89"/>
      <c r="E543" s="89"/>
      <c r="F543" s="89"/>
      <c r="G543" s="89"/>
      <c r="H543" s="89"/>
      <c r="I543" s="89"/>
      <c r="J543" s="212">
        <f t="shared" ref="J543:P552" si="58">SUMIFS(J$26:J$180,$A$26:$A$180,$A543,$C$26:$C$180,$C543)</f>
        <v>0</v>
      </c>
      <c r="K543" s="212">
        <f t="shared" si="58"/>
        <v>0</v>
      </c>
      <c r="L543" s="212">
        <f t="shared" si="58"/>
        <v>0</v>
      </c>
      <c r="M543" s="212">
        <f t="shared" si="58"/>
        <v>0</v>
      </c>
      <c r="N543" s="212">
        <f t="shared" si="58"/>
        <v>0</v>
      </c>
      <c r="O543" s="212">
        <f t="shared" si="58"/>
        <v>0</v>
      </c>
      <c r="P543" s="155">
        <f t="shared" si="58"/>
        <v>0</v>
      </c>
      <c r="Q543" s="407"/>
      <c r="R543" s="407"/>
    </row>
    <row r="544" spans="1:18" ht="12.75" x14ac:dyDescent="0.2">
      <c r="A544" s="152">
        <v>6212000</v>
      </c>
      <c r="B544" s="73"/>
      <c r="C544" s="51" t="s">
        <v>972</v>
      </c>
      <c r="D544" s="89"/>
      <c r="E544" s="89"/>
      <c r="F544" s="89"/>
      <c r="G544" s="89"/>
      <c r="H544" s="89"/>
      <c r="I544" s="89"/>
      <c r="J544" s="212">
        <f t="shared" si="58"/>
        <v>0</v>
      </c>
      <c r="K544" s="212">
        <f t="shared" si="58"/>
        <v>0</v>
      </c>
      <c r="L544" s="212">
        <f t="shared" si="58"/>
        <v>0</v>
      </c>
      <c r="M544" s="212">
        <f t="shared" si="58"/>
        <v>0</v>
      </c>
      <c r="N544" s="212">
        <f t="shared" si="58"/>
        <v>0</v>
      </c>
      <c r="O544" s="212">
        <f t="shared" si="58"/>
        <v>0</v>
      </c>
      <c r="P544" s="155">
        <f t="shared" si="58"/>
        <v>0</v>
      </c>
      <c r="Q544" s="407"/>
      <c r="R544" s="407"/>
    </row>
    <row r="545" spans="1:18" ht="12.75" x14ac:dyDescent="0.2">
      <c r="A545" s="152">
        <v>6212000</v>
      </c>
      <c r="B545" s="73"/>
      <c r="C545" s="51" t="s">
        <v>973</v>
      </c>
      <c r="D545" s="89"/>
      <c r="E545" s="89"/>
      <c r="F545" s="89"/>
      <c r="G545" s="89"/>
      <c r="H545" s="89"/>
      <c r="I545" s="89"/>
      <c r="J545" s="212">
        <f t="shared" si="58"/>
        <v>0</v>
      </c>
      <c r="K545" s="212">
        <f t="shared" si="58"/>
        <v>0</v>
      </c>
      <c r="L545" s="212">
        <f t="shared" si="58"/>
        <v>0</v>
      </c>
      <c r="M545" s="212">
        <f t="shared" si="58"/>
        <v>0</v>
      </c>
      <c r="N545" s="212">
        <f t="shared" si="58"/>
        <v>0</v>
      </c>
      <c r="O545" s="212">
        <f t="shared" si="58"/>
        <v>0</v>
      </c>
      <c r="P545" s="155">
        <f t="shared" si="58"/>
        <v>0</v>
      </c>
      <c r="Q545" s="407"/>
      <c r="R545" s="407"/>
    </row>
    <row r="546" spans="1:18" ht="12.75" x14ac:dyDescent="0.2">
      <c r="A546" s="152">
        <v>6212000</v>
      </c>
      <c r="B546" s="73"/>
      <c r="C546" s="51" t="s">
        <v>980</v>
      </c>
      <c r="D546" s="89"/>
      <c r="E546" s="89"/>
      <c r="F546" s="89"/>
      <c r="G546" s="89"/>
      <c r="H546" s="89"/>
      <c r="I546" s="89"/>
      <c r="J546" s="212">
        <f t="shared" si="58"/>
        <v>0</v>
      </c>
      <c r="K546" s="212">
        <f t="shared" si="58"/>
        <v>0</v>
      </c>
      <c r="L546" s="212">
        <f t="shared" si="58"/>
        <v>0</v>
      </c>
      <c r="M546" s="212">
        <f t="shared" si="58"/>
        <v>0</v>
      </c>
      <c r="N546" s="212">
        <f t="shared" si="58"/>
        <v>0</v>
      </c>
      <c r="O546" s="212">
        <f t="shared" si="58"/>
        <v>0</v>
      </c>
      <c r="P546" s="155">
        <f t="shared" si="58"/>
        <v>0</v>
      </c>
      <c r="Q546" s="407"/>
      <c r="R546" s="407"/>
    </row>
    <row r="547" spans="1:18" ht="12.75" x14ac:dyDescent="0.2">
      <c r="A547" s="152">
        <v>6212000</v>
      </c>
      <c r="B547" s="73"/>
      <c r="C547" s="51" t="s">
        <v>982</v>
      </c>
      <c r="D547" s="89"/>
      <c r="E547" s="89"/>
      <c r="F547" s="89"/>
      <c r="G547" s="89"/>
      <c r="H547" s="89"/>
      <c r="I547" s="89"/>
      <c r="J547" s="212">
        <f t="shared" si="58"/>
        <v>0</v>
      </c>
      <c r="K547" s="212">
        <f t="shared" si="58"/>
        <v>0</v>
      </c>
      <c r="L547" s="212">
        <f t="shared" si="58"/>
        <v>0</v>
      </c>
      <c r="M547" s="212">
        <f t="shared" si="58"/>
        <v>0</v>
      </c>
      <c r="N547" s="212">
        <f t="shared" si="58"/>
        <v>0</v>
      </c>
      <c r="O547" s="212">
        <f t="shared" si="58"/>
        <v>0</v>
      </c>
      <c r="P547" s="155">
        <f t="shared" si="58"/>
        <v>0</v>
      </c>
      <c r="Q547" s="407"/>
      <c r="R547" s="407"/>
    </row>
    <row r="548" spans="1:18" ht="12.75" x14ac:dyDescent="0.2">
      <c r="A548" s="152">
        <v>6212000</v>
      </c>
      <c r="B548" s="73"/>
      <c r="C548" s="51" t="s">
        <v>46</v>
      </c>
      <c r="D548" s="89"/>
      <c r="E548" s="89"/>
      <c r="F548" s="89"/>
      <c r="G548" s="89"/>
      <c r="H548" s="89"/>
      <c r="I548" s="89"/>
      <c r="J548" s="212">
        <f t="shared" si="58"/>
        <v>0</v>
      </c>
      <c r="K548" s="212">
        <f t="shared" si="58"/>
        <v>0</v>
      </c>
      <c r="L548" s="212">
        <f t="shared" si="58"/>
        <v>0</v>
      </c>
      <c r="M548" s="212">
        <f t="shared" si="58"/>
        <v>0</v>
      </c>
      <c r="N548" s="212">
        <f t="shared" si="58"/>
        <v>0</v>
      </c>
      <c r="O548" s="212">
        <f t="shared" si="58"/>
        <v>25000</v>
      </c>
      <c r="P548" s="155">
        <f t="shared" si="58"/>
        <v>25000</v>
      </c>
      <c r="Q548" s="407"/>
      <c r="R548" s="407"/>
    </row>
    <row r="549" spans="1:18" ht="12.75" x14ac:dyDescent="0.2">
      <c r="A549" s="152">
        <v>6212000</v>
      </c>
      <c r="B549" s="73"/>
      <c r="C549" s="51" t="s">
        <v>1019</v>
      </c>
      <c r="D549" s="89"/>
      <c r="E549" s="89"/>
      <c r="F549" s="89"/>
      <c r="G549" s="89"/>
      <c r="H549" s="89"/>
      <c r="I549" s="89"/>
      <c r="J549" s="212">
        <f t="shared" si="58"/>
        <v>1005</v>
      </c>
      <c r="K549" s="212">
        <f t="shared" si="58"/>
        <v>1500</v>
      </c>
      <c r="L549" s="212">
        <f t="shared" si="58"/>
        <v>2720</v>
      </c>
      <c r="M549" s="212">
        <f t="shared" si="58"/>
        <v>100</v>
      </c>
      <c r="N549" s="212">
        <f t="shared" si="58"/>
        <v>50</v>
      </c>
      <c r="O549" s="212">
        <f t="shared" si="58"/>
        <v>3900</v>
      </c>
      <c r="P549" s="155">
        <f t="shared" si="58"/>
        <v>9275</v>
      </c>
      <c r="Q549" s="407"/>
      <c r="R549" s="407"/>
    </row>
    <row r="550" spans="1:18" ht="12.75" x14ac:dyDescent="0.2">
      <c r="A550" s="152">
        <v>6212000</v>
      </c>
      <c r="B550" s="73"/>
      <c r="C550" s="51" t="s">
        <v>1050</v>
      </c>
      <c r="D550" s="89"/>
      <c r="E550" s="89"/>
      <c r="F550" s="89"/>
      <c r="G550" s="89"/>
      <c r="H550" s="89"/>
      <c r="I550" s="89"/>
      <c r="J550" s="212">
        <f t="shared" si="58"/>
        <v>0</v>
      </c>
      <c r="K550" s="212">
        <f t="shared" si="58"/>
        <v>0</v>
      </c>
      <c r="L550" s="212">
        <f t="shared" si="58"/>
        <v>0</v>
      </c>
      <c r="M550" s="212">
        <f t="shared" si="58"/>
        <v>0</v>
      </c>
      <c r="N550" s="212">
        <f t="shared" si="58"/>
        <v>0</v>
      </c>
      <c r="O550" s="212">
        <f t="shared" si="58"/>
        <v>0</v>
      </c>
      <c r="P550" s="155">
        <f t="shared" si="58"/>
        <v>0</v>
      </c>
      <c r="Q550" s="407"/>
      <c r="R550" s="407"/>
    </row>
    <row r="551" spans="1:18" ht="12.75" x14ac:dyDescent="0.2">
      <c r="A551" s="152">
        <v>6212000</v>
      </c>
      <c r="B551" s="73"/>
      <c r="C551" s="51" t="s">
        <v>100</v>
      </c>
      <c r="D551" s="89"/>
      <c r="E551" s="89"/>
      <c r="F551" s="89"/>
      <c r="G551" s="89"/>
      <c r="H551" s="89"/>
      <c r="I551" s="89"/>
      <c r="J551" s="212">
        <f t="shared" si="58"/>
        <v>0</v>
      </c>
      <c r="K551" s="212">
        <f t="shared" si="58"/>
        <v>0</v>
      </c>
      <c r="L551" s="212">
        <f t="shared" si="58"/>
        <v>0</v>
      </c>
      <c r="M551" s="212">
        <f t="shared" si="58"/>
        <v>0</v>
      </c>
      <c r="N551" s="212">
        <f t="shared" si="58"/>
        <v>0</v>
      </c>
      <c r="O551" s="212">
        <f t="shared" si="58"/>
        <v>0</v>
      </c>
      <c r="P551" s="155">
        <f t="shared" si="58"/>
        <v>0</v>
      </c>
      <c r="Q551" s="407"/>
      <c r="R551" s="407"/>
    </row>
    <row r="552" spans="1:18" ht="12.75" x14ac:dyDescent="0.2">
      <c r="A552" s="152">
        <v>6212000</v>
      </c>
      <c r="B552" s="73"/>
      <c r="C552" s="51" t="s">
        <v>101</v>
      </c>
      <c r="D552" s="89"/>
      <c r="E552" s="89"/>
      <c r="F552" s="89"/>
      <c r="G552" s="89"/>
      <c r="H552" s="89"/>
      <c r="I552" s="89"/>
      <c r="J552" s="212">
        <f t="shared" si="58"/>
        <v>0</v>
      </c>
      <c r="K552" s="212">
        <f t="shared" si="58"/>
        <v>0</v>
      </c>
      <c r="L552" s="212">
        <f t="shared" si="58"/>
        <v>0</v>
      </c>
      <c r="M552" s="212">
        <f t="shared" si="58"/>
        <v>0</v>
      </c>
      <c r="N552" s="212">
        <f t="shared" si="58"/>
        <v>0</v>
      </c>
      <c r="O552" s="212">
        <f t="shared" si="58"/>
        <v>0</v>
      </c>
      <c r="P552" s="155">
        <f t="shared" si="58"/>
        <v>0</v>
      </c>
      <c r="Q552" s="407"/>
      <c r="R552" s="407"/>
    </row>
    <row r="553" spans="1:18" ht="12.75" x14ac:dyDescent="0.2">
      <c r="A553" s="152">
        <v>6212000</v>
      </c>
      <c r="B553" s="73"/>
      <c r="C553" s="51" t="s">
        <v>1056</v>
      </c>
      <c r="D553" s="89"/>
      <c r="E553" s="89"/>
      <c r="F553" s="89"/>
      <c r="G553" s="89"/>
      <c r="H553" s="89"/>
      <c r="I553" s="89"/>
      <c r="J553" s="212">
        <f t="shared" ref="J553:P562" si="59">SUMIFS(J$26:J$180,$A$26:$A$180,$A553,$C$26:$C$180,$C553)</f>
        <v>0</v>
      </c>
      <c r="K553" s="212">
        <f t="shared" si="59"/>
        <v>0</v>
      </c>
      <c r="L553" s="212">
        <f t="shared" si="59"/>
        <v>0</v>
      </c>
      <c r="M553" s="212">
        <f t="shared" si="59"/>
        <v>0</v>
      </c>
      <c r="N553" s="212">
        <f t="shared" si="59"/>
        <v>0</v>
      </c>
      <c r="O553" s="212">
        <f t="shared" si="59"/>
        <v>0</v>
      </c>
      <c r="P553" s="155">
        <f t="shared" si="59"/>
        <v>0</v>
      </c>
      <c r="Q553" s="407"/>
      <c r="R553" s="407"/>
    </row>
    <row r="554" spans="1:18" ht="12.75" x14ac:dyDescent="0.2">
      <c r="A554" s="152">
        <v>6212000</v>
      </c>
      <c r="B554" s="73"/>
      <c r="C554" s="51" t="s">
        <v>1057</v>
      </c>
      <c r="D554" s="89"/>
      <c r="E554" s="89"/>
      <c r="F554" s="89"/>
      <c r="G554" s="89"/>
      <c r="H554" s="89"/>
      <c r="I554" s="89"/>
      <c r="J554" s="212">
        <f t="shared" si="59"/>
        <v>1500</v>
      </c>
      <c r="K554" s="212">
        <f t="shared" si="59"/>
        <v>0</v>
      </c>
      <c r="L554" s="212">
        <f t="shared" si="59"/>
        <v>0</v>
      </c>
      <c r="M554" s="212">
        <f t="shared" si="59"/>
        <v>0</v>
      </c>
      <c r="N554" s="212">
        <f t="shared" si="59"/>
        <v>0</v>
      </c>
      <c r="O554" s="212">
        <f t="shared" si="59"/>
        <v>0</v>
      </c>
      <c r="P554" s="155">
        <f t="shared" si="59"/>
        <v>1500</v>
      </c>
      <c r="Q554" s="407"/>
      <c r="R554" s="407"/>
    </row>
    <row r="555" spans="1:18" ht="12.75" x14ac:dyDescent="0.2">
      <c r="A555" s="152">
        <v>6212000</v>
      </c>
      <c r="B555" s="73"/>
      <c r="C555" s="51" t="s">
        <v>944</v>
      </c>
      <c r="D555" s="89"/>
      <c r="E555" s="89"/>
      <c r="F555" s="89"/>
      <c r="G555" s="89"/>
      <c r="H555" s="89"/>
      <c r="I555" s="89"/>
      <c r="J555" s="212">
        <f t="shared" si="59"/>
        <v>0</v>
      </c>
      <c r="K555" s="212">
        <f t="shared" si="59"/>
        <v>0</v>
      </c>
      <c r="L555" s="212">
        <f t="shared" si="59"/>
        <v>0</v>
      </c>
      <c r="M555" s="212">
        <f t="shared" si="59"/>
        <v>0</v>
      </c>
      <c r="N555" s="212">
        <f t="shared" si="59"/>
        <v>0</v>
      </c>
      <c r="O555" s="212">
        <f t="shared" si="59"/>
        <v>0</v>
      </c>
      <c r="P555" s="155">
        <f t="shared" si="59"/>
        <v>0</v>
      </c>
      <c r="Q555" s="407"/>
      <c r="R555" s="407"/>
    </row>
    <row r="556" spans="1:18" ht="12.75" x14ac:dyDescent="0.2">
      <c r="A556" s="152">
        <v>6212000</v>
      </c>
      <c r="B556" s="73"/>
      <c r="C556" s="51" t="s">
        <v>945</v>
      </c>
      <c r="D556" s="89"/>
      <c r="E556" s="89"/>
      <c r="F556" s="89"/>
      <c r="G556" s="89"/>
      <c r="H556" s="89"/>
      <c r="I556" s="89"/>
      <c r="J556" s="212">
        <f t="shared" si="59"/>
        <v>0</v>
      </c>
      <c r="K556" s="212">
        <f t="shared" si="59"/>
        <v>0</v>
      </c>
      <c r="L556" s="212">
        <f t="shared" si="59"/>
        <v>0</v>
      </c>
      <c r="M556" s="212">
        <f t="shared" si="59"/>
        <v>0</v>
      </c>
      <c r="N556" s="212">
        <f t="shared" si="59"/>
        <v>0</v>
      </c>
      <c r="O556" s="212">
        <f t="shared" si="59"/>
        <v>0</v>
      </c>
      <c r="P556" s="155">
        <f t="shared" si="59"/>
        <v>0</v>
      </c>
      <c r="Q556" s="407"/>
      <c r="R556" s="407"/>
    </row>
    <row r="557" spans="1:18" ht="12.75" x14ac:dyDescent="0.2">
      <c r="A557" s="152">
        <v>6212000</v>
      </c>
      <c r="B557" s="73"/>
      <c r="C557" s="51" t="s">
        <v>965</v>
      </c>
      <c r="D557" s="89"/>
      <c r="E557" s="89"/>
      <c r="F557" s="89"/>
      <c r="G557" s="89"/>
      <c r="H557" s="89"/>
      <c r="I557" s="89"/>
      <c r="J557" s="212">
        <f t="shared" si="59"/>
        <v>0</v>
      </c>
      <c r="K557" s="212">
        <f t="shared" si="59"/>
        <v>0</v>
      </c>
      <c r="L557" s="212">
        <f t="shared" si="59"/>
        <v>0</v>
      </c>
      <c r="M557" s="212">
        <f t="shared" si="59"/>
        <v>0</v>
      </c>
      <c r="N557" s="212">
        <f t="shared" si="59"/>
        <v>0</v>
      </c>
      <c r="O557" s="212">
        <f t="shared" si="59"/>
        <v>0</v>
      </c>
      <c r="P557" s="155">
        <f t="shared" si="59"/>
        <v>0</v>
      </c>
      <c r="Q557" s="407"/>
      <c r="R557" s="407"/>
    </row>
    <row r="558" spans="1:18" ht="12.75" x14ac:dyDescent="0.2">
      <c r="A558" s="152">
        <v>6212000</v>
      </c>
      <c r="B558" s="73"/>
      <c r="C558" s="51" t="s">
        <v>1011</v>
      </c>
      <c r="D558" s="89"/>
      <c r="E558" s="89"/>
      <c r="F558" s="89"/>
      <c r="G558" s="89"/>
      <c r="H558" s="89"/>
      <c r="I558" s="89"/>
      <c r="J558" s="212">
        <f t="shared" si="59"/>
        <v>0</v>
      </c>
      <c r="K558" s="212">
        <f t="shared" si="59"/>
        <v>0</v>
      </c>
      <c r="L558" s="212">
        <f t="shared" si="59"/>
        <v>0</v>
      </c>
      <c r="M558" s="212">
        <f t="shared" si="59"/>
        <v>0</v>
      </c>
      <c r="N558" s="212">
        <f t="shared" si="59"/>
        <v>0</v>
      </c>
      <c r="O558" s="212">
        <f t="shared" si="59"/>
        <v>0</v>
      </c>
      <c r="P558" s="155">
        <f t="shared" si="59"/>
        <v>0</v>
      </c>
      <c r="Q558" s="407"/>
      <c r="R558" s="407"/>
    </row>
    <row r="559" spans="1:18" ht="12.75" x14ac:dyDescent="0.2">
      <c r="A559" s="152">
        <v>6212000</v>
      </c>
      <c r="B559" s="73"/>
      <c r="C559" s="51" t="s">
        <v>1010</v>
      </c>
      <c r="D559" s="89"/>
      <c r="E559" s="89"/>
      <c r="F559" s="89"/>
      <c r="G559" s="89"/>
      <c r="H559" s="89"/>
      <c r="I559" s="89"/>
      <c r="J559" s="212">
        <f t="shared" si="59"/>
        <v>0</v>
      </c>
      <c r="K559" s="212">
        <f t="shared" si="59"/>
        <v>0</v>
      </c>
      <c r="L559" s="212">
        <f t="shared" si="59"/>
        <v>0</v>
      </c>
      <c r="M559" s="212">
        <f t="shared" si="59"/>
        <v>0</v>
      </c>
      <c r="N559" s="212">
        <f t="shared" si="59"/>
        <v>0</v>
      </c>
      <c r="O559" s="212">
        <f t="shared" si="59"/>
        <v>0</v>
      </c>
      <c r="P559" s="155">
        <f t="shared" si="59"/>
        <v>0</v>
      </c>
      <c r="Q559" s="407"/>
      <c r="R559" s="407"/>
    </row>
    <row r="560" spans="1:18" ht="12.75" x14ac:dyDescent="0.2">
      <c r="A560" s="152">
        <v>6212000</v>
      </c>
      <c r="B560" s="73"/>
      <c r="C560" s="51" t="s">
        <v>1013</v>
      </c>
      <c r="D560" s="89"/>
      <c r="E560" s="89"/>
      <c r="F560" s="89"/>
      <c r="G560" s="89"/>
      <c r="H560" s="89"/>
      <c r="I560" s="89"/>
      <c r="J560" s="212">
        <f t="shared" si="59"/>
        <v>0</v>
      </c>
      <c r="K560" s="212">
        <f t="shared" si="59"/>
        <v>0</v>
      </c>
      <c r="L560" s="212">
        <f t="shared" si="59"/>
        <v>0</v>
      </c>
      <c r="M560" s="212">
        <f t="shared" si="59"/>
        <v>0</v>
      </c>
      <c r="N560" s="212">
        <f t="shared" si="59"/>
        <v>0</v>
      </c>
      <c r="O560" s="212">
        <f t="shared" si="59"/>
        <v>0</v>
      </c>
      <c r="P560" s="155">
        <f t="shared" si="59"/>
        <v>0</v>
      </c>
      <c r="Q560" s="407"/>
      <c r="R560" s="407"/>
    </row>
    <row r="561" spans="1:18" ht="12.75" x14ac:dyDescent="0.2">
      <c r="A561" s="152">
        <v>6212000</v>
      </c>
      <c r="B561" s="73"/>
      <c r="C561" s="51" t="s">
        <v>1012</v>
      </c>
      <c r="D561" s="89"/>
      <c r="E561" s="89"/>
      <c r="F561" s="89"/>
      <c r="G561" s="89"/>
      <c r="H561" s="89"/>
      <c r="I561" s="89"/>
      <c r="J561" s="212">
        <f t="shared" si="59"/>
        <v>0</v>
      </c>
      <c r="K561" s="212">
        <f t="shared" si="59"/>
        <v>0</v>
      </c>
      <c r="L561" s="212">
        <f t="shared" si="59"/>
        <v>0</v>
      </c>
      <c r="M561" s="212">
        <f t="shared" si="59"/>
        <v>0</v>
      </c>
      <c r="N561" s="212">
        <f t="shared" si="59"/>
        <v>0</v>
      </c>
      <c r="O561" s="212">
        <f t="shared" si="59"/>
        <v>0</v>
      </c>
      <c r="P561" s="155">
        <f t="shared" si="59"/>
        <v>0</v>
      </c>
      <c r="Q561" s="407"/>
      <c r="R561" s="407"/>
    </row>
    <row r="562" spans="1:18" ht="12.75" x14ac:dyDescent="0.2">
      <c r="A562" s="152">
        <v>6212000</v>
      </c>
      <c r="B562" s="73"/>
      <c r="C562" s="51" t="s">
        <v>1052</v>
      </c>
      <c r="D562" s="89"/>
      <c r="E562" s="89"/>
      <c r="F562" s="89"/>
      <c r="G562" s="89"/>
      <c r="H562" s="89"/>
      <c r="I562" s="89"/>
      <c r="J562" s="212">
        <f t="shared" si="59"/>
        <v>0</v>
      </c>
      <c r="K562" s="212">
        <f t="shared" si="59"/>
        <v>0</v>
      </c>
      <c r="L562" s="212">
        <f t="shared" si="59"/>
        <v>0</v>
      </c>
      <c r="M562" s="212">
        <f t="shared" si="59"/>
        <v>0</v>
      </c>
      <c r="N562" s="212">
        <f t="shared" si="59"/>
        <v>0</v>
      </c>
      <c r="O562" s="212">
        <f t="shared" si="59"/>
        <v>0</v>
      </c>
      <c r="P562" s="155">
        <f t="shared" si="59"/>
        <v>0</v>
      </c>
      <c r="Q562" s="407"/>
      <c r="R562" s="407"/>
    </row>
    <row r="563" spans="1:18" ht="12.75" x14ac:dyDescent="0.2">
      <c r="A563" s="152">
        <v>6212000</v>
      </c>
      <c r="B563" s="73"/>
      <c r="C563" s="51" t="s">
        <v>1053</v>
      </c>
      <c r="D563" s="89"/>
      <c r="E563" s="89"/>
      <c r="F563" s="89"/>
      <c r="G563" s="89"/>
      <c r="H563" s="89"/>
      <c r="I563" s="89"/>
      <c r="J563" s="212">
        <f t="shared" ref="J563:P572" si="60">SUMIFS(J$26:J$180,$A$26:$A$180,$A563,$C$26:$C$180,$C563)</f>
        <v>0</v>
      </c>
      <c r="K563" s="212">
        <f t="shared" si="60"/>
        <v>0</v>
      </c>
      <c r="L563" s="212">
        <f t="shared" si="60"/>
        <v>0</v>
      </c>
      <c r="M563" s="212">
        <f t="shared" si="60"/>
        <v>0</v>
      </c>
      <c r="N563" s="212">
        <f t="shared" si="60"/>
        <v>0</v>
      </c>
      <c r="O563" s="212">
        <f t="shared" si="60"/>
        <v>0</v>
      </c>
      <c r="P563" s="155">
        <f t="shared" si="60"/>
        <v>0</v>
      </c>
      <c r="Q563" s="407"/>
      <c r="R563" s="407"/>
    </row>
    <row r="564" spans="1:18" ht="12.75" x14ac:dyDescent="0.2">
      <c r="A564" s="152">
        <v>6212000</v>
      </c>
      <c r="B564" s="73"/>
      <c r="C564" s="51" t="s">
        <v>984</v>
      </c>
      <c r="D564" s="89"/>
      <c r="E564" s="89"/>
      <c r="F564" s="89"/>
      <c r="G564" s="89"/>
      <c r="H564" s="89"/>
      <c r="I564" s="89"/>
      <c r="J564" s="212">
        <f t="shared" si="60"/>
        <v>0</v>
      </c>
      <c r="K564" s="212">
        <f t="shared" si="60"/>
        <v>0</v>
      </c>
      <c r="L564" s="212">
        <f t="shared" si="60"/>
        <v>0</v>
      </c>
      <c r="M564" s="212">
        <f t="shared" si="60"/>
        <v>0</v>
      </c>
      <c r="N564" s="212">
        <f t="shared" si="60"/>
        <v>0</v>
      </c>
      <c r="O564" s="212">
        <f t="shared" si="60"/>
        <v>0</v>
      </c>
      <c r="P564" s="155">
        <f t="shared" si="60"/>
        <v>0</v>
      </c>
      <c r="Q564" s="407"/>
      <c r="R564" s="407"/>
    </row>
    <row r="565" spans="1:18" ht="12.75" x14ac:dyDescent="0.2">
      <c r="A565" s="152">
        <v>6212000</v>
      </c>
      <c r="B565" s="73"/>
      <c r="C565" s="51" t="s">
        <v>985</v>
      </c>
      <c r="D565" s="89"/>
      <c r="E565" s="89"/>
      <c r="F565" s="89"/>
      <c r="G565" s="89"/>
      <c r="H565" s="89"/>
      <c r="I565" s="89"/>
      <c r="J565" s="212">
        <f t="shared" si="60"/>
        <v>0</v>
      </c>
      <c r="K565" s="212">
        <f t="shared" si="60"/>
        <v>0</v>
      </c>
      <c r="L565" s="212">
        <f t="shared" si="60"/>
        <v>0</v>
      </c>
      <c r="M565" s="212">
        <f t="shared" si="60"/>
        <v>0</v>
      </c>
      <c r="N565" s="212">
        <f t="shared" si="60"/>
        <v>0</v>
      </c>
      <c r="O565" s="212">
        <f t="shared" si="60"/>
        <v>0</v>
      </c>
      <c r="P565" s="155">
        <f t="shared" si="60"/>
        <v>0</v>
      </c>
      <c r="Q565" s="407"/>
      <c r="R565" s="407"/>
    </row>
    <row r="566" spans="1:18" ht="12.75" x14ac:dyDescent="0.2">
      <c r="A566" s="152">
        <v>6212000</v>
      </c>
      <c r="B566" s="73"/>
      <c r="C566" s="51" t="s">
        <v>1005</v>
      </c>
      <c r="D566" s="89"/>
      <c r="E566" s="89"/>
      <c r="F566" s="89"/>
      <c r="G566" s="89"/>
      <c r="H566" s="89"/>
      <c r="I566" s="89"/>
      <c r="J566" s="212">
        <f t="shared" si="60"/>
        <v>0</v>
      </c>
      <c r="K566" s="212">
        <f t="shared" si="60"/>
        <v>0</v>
      </c>
      <c r="L566" s="212">
        <f t="shared" si="60"/>
        <v>0</v>
      </c>
      <c r="M566" s="212">
        <f t="shared" si="60"/>
        <v>0</v>
      </c>
      <c r="N566" s="212">
        <f t="shared" si="60"/>
        <v>0</v>
      </c>
      <c r="O566" s="212">
        <f t="shared" si="60"/>
        <v>0</v>
      </c>
      <c r="P566" s="155">
        <f t="shared" si="60"/>
        <v>0</v>
      </c>
      <c r="Q566" s="407"/>
      <c r="R566" s="407"/>
    </row>
    <row r="567" spans="1:18" ht="12.75" x14ac:dyDescent="0.2">
      <c r="A567" s="152">
        <v>6212000</v>
      </c>
      <c r="B567" s="73"/>
      <c r="C567" s="51" t="s">
        <v>1004</v>
      </c>
      <c r="D567" s="89"/>
      <c r="E567" s="89"/>
      <c r="F567" s="89"/>
      <c r="G567" s="89"/>
      <c r="H567" s="89"/>
      <c r="I567" s="89"/>
      <c r="J567" s="212">
        <f t="shared" si="60"/>
        <v>0</v>
      </c>
      <c r="K567" s="212">
        <f t="shared" si="60"/>
        <v>0</v>
      </c>
      <c r="L567" s="212">
        <f t="shared" si="60"/>
        <v>0</v>
      </c>
      <c r="M567" s="212">
        <f t="shared" si="60"/>
        <v>0</v>
      </c>
      <c r="N567" s="212">
        <f t="shared" si="60"/>
        <v>0</v>
      </c>
      <c r="O567" s="212">
        <f t="shared" si="60"/>
        <v>0</v>
      </c>
      <c r="P567" s="155">
        <f t="shared" si="60"/>
        <v>0</v>
      </c>
      <c r="Q567" s="407"/>
      <c r="R567" s="407"/>
    </row>
    <row r="568" spans="1:18" ht="12.75" x14ac:dyDescent="0.2">
      <c r="A568" s="152">
        <v>6212000</v>
      </c>
      <c r="B568" s="73"/>
      <c r="C568" s="51" t="s">
        <v>1008</v>
      </c>
      <c r="D568" s="89"/>
      <c r="E568" s="89"/>
      <c r="F568" s="89"/>
      <c r="G568" s="89"/>
      <c r="H568" s="89"/>
      <c r="I568" s="89"/>
      <c r="J568" s="212">
        <f t="shared" si="60"/>
        <v>0</v>
      </c>
      <c r="K568" s="212">
        <f t="shared" si="60"/>
        <v>0</v>
      </c>
      <c r="L568" s="212">
        <f t="shared" si="60"/>
        <v>0</v>
      </c>
      <c r="M568" s="212">
        <f t="shared" si="60"/>
        <v>0</v>
      </c>
      <c r="N568" s="212">
        <f t="shared" si="60"/>
        <v>0</v>
      </c>
      <c r="O568" s="212">
        <f t="shared" si="60"/>
        <v>0</v>
      </c>
      <c r="P568" s="155">
        <f t="shared" si="60"/>
        <v>0</v>
      </c>
      <c r="Q568" s="407"/>
      <c r="R568" s="407"/>
    </row>
    <row r="569" spans="1:18" ht="12.75" x14ac:dyDescent="0.2">
      <c r="A569" s="152">
        <v>6212000</v>
      </c>
      <c r="B569" s="73"/>
      <c r="C569" s="51" t="s">
        <v>1006</v>
      </c>
      <c r="D569" s="89"/>
      <c r="E569" s="89"/>
      <c r="F569" s="89"/>
      <c r="G569" s="89"/>
      <c r="H569" s="89"/>
      <c r="I569" s="89"/>
      <c r="J569" s="212">
        <f t="shared" si="60"/>
        <v>0</v>
      </c>
      <c r="K569" s="212">
        <f t="shared" si="60"/>
        <v>0</v>
      </c>
      <c r="L569" s="212">
        <f t="shared" si="60"/>
        <v>0</v>
      </c>
      <c r="M569" s="212">
        <f t="shared" si="60"/>
        <v>0</v>
      </c>
      <c r="N569" s="212">
        <f t="shared" si="60"/>
        <v>0</v>
      </c>
      <c r="O569" s="212">
        <f t="shared" si="60"/>
        <v>0</v>
      </c>
      <c r="P569" s="155">
        <f t="shared" si="60"/>
        <v>0</v>
      </c>
      <c r="Q569" s="407"/>
      <c r="R569" s="407"/>
    </row>
    <row r="570" spans="1:18" ht="12.75" x14ac:dyDescent="0.2">
      <c r="A570" s="152">
        <v>6212000</v>
      </c>
      <c r="B570" s="73"/>
      <c r="C570" s="51" t="s">
        <v>1034</v>
      </c>
      <c r="D570" s="89"/>
      <c r="E570" s="89"/>
      <c r="F570" s="89"/>
      <c r="G570" s="89"/>
      <c r="H570" s="89"/>
      <c r="I570" s="89"/>
      <c r="J570" s="212">
        <f t="shared" si="60"/>
        <v>0</v>
      </c>
      <c r="K570" s="212">
        <f t="shared" si="60"/>
        <v>0</v>
      </c>
      <c r="L570" s="212">
        <f t="shared" si="60"/>
        <v>0</v>
      </c>
      <c r="M570" s="212">
        <f t="shared" si="60"/>
        <v>0</v>
      </c>
      <c r="N570" s="212">
        <f t="shared" si="60"/>
        <v>0</v>
      </c>
      <c r="O570" s="212">
        <f t="shared" si="60"/>
        <v>0</v>
      </c>
      <c r="P570" s="155">
        <f t="shared" si="60"/>
        <v>0</v>
      </c>
      <c r="Q570" s="407"/>
      <c r="R570" s="407"/>
    </row>
    <row r="571" spans="1:18" ht="12.75" x14ac:dyDescent="0.2">
      <c r="A571" s="152">
        <v>6212000</v>
      </c>
      <c r="B571" s="73"/>
      <c r="C571" s="51" t="s">
        <v>1035</v>
      </c>
      <c r="D571" s="89"/>
      <c r="E571" s="89"/>
      <c r="F571" s="89"/>
      <c r="G571" s="89"/>
      <c r="H571" s="89"/>
      <c r="I571" s="89"/>
      <c r="J571" s="212">
        <f t="shared" si="60"/>
        <v>0</v>
      </c>
      <c r="K571" s="212">
        <f t="shared" si="60"/>
        <v>0</v>
      </c>
      <c r="L571" s="212">
        <f t="shared" si="60"/>
        <v>0</v>
      </c>
      <c r="M571" s="212">
        <f t="shared" si="60"/>
        <v>0</v>
      </c>
      <c r="N571" s="212">
        <f t="shared" si="60"/>
        <v>0</v>
      </c>
      <c r="O571" s="212">
        <f t="shared" si="60"/>
        <v>0</v>
      </c>
      <c r="P571" s="155">
        <f t="shared" si="60"/>
        <v>0</v>
      </c>
      <c r="Q571" s="407"/>
      <c r="R571" s="407"/>
    </row>
    <row r="572" spans="1:18" ht="12.75" x14ac:dyDescent="0.2">
      <c r="A572" s="152">
        <v>6212000</v>
      </c>
      <c r="B572" s="73"/>
      <c r="C572" s="51" t="s">
        <v>922</v>
      </c>
      <c r="D572" s="89"/>
      <c r="E572" s="89"/>
      <c r="F572" s="89"/>
      <c r="G572" s="89"/>
      <c r="H572" s="89"/>
      <c r="I572" s="89"/>
      <c r="J572" s="212">
        <f t="shared" si="60"/>
        <v>0</v>
      </c>
      <c r="K572" s="212">
        <f t="shared" si="60"/>
        <v>0</v>
      </c>
      <c r="L572" s="212">
        <f t="shared" si="60"/>
        <v>0</v>
      </c>
      <c r="M572" s="212">
        <f t="shared" si="60"/>
        <v>0</v>
      </c>
      <c r="N572" s="212">
        <f t="shared" si="60"/>
        <v>0</v>
      </c>
      <c r="O572" s="212">
        <f t="shared" si="60"/>
        <v>0</v>
      </c>
      <c r="P572" s="155">
        <f t="shared" si="60"/>
        <v>0</v>
      </c>
      <c r="Q572" s="407"/>
      <c r="R572" s="407"/>
    </row>
    <row r="573" spans="1:18" ht="12.75" x14ac:dyDescent="0.2">
      <c r="A573" s="152">
        <v>6212000</v>
      </c>
      <c r="B573" s="73"/>
      <c r="C573" s="51" t="s">
        <v>942</v>
      </c>
      <c r="D573" s="89"/>
      <c r="E573" s="89"/>
      <c r="F573" s="89"/>
      <c r="G573" s="89"/>
      <c r="H573" s="89"/>
      <c r="I573" s="89"/>
      <c r="J573" s="212">
        <f t="shared" ref="J573:P582" si="61">SUMIFS(J$26:J$180,$A$26:$A$180,$A573,$C$26:$C$180,$C573)</f>
        <v>0</v>
      </c>
      <c r="K573" s="212">
        <f t="shared" si="61"/>
        <v>0</v>
      </c>
      <c r="L573" s="212">
        <f t="shared" si="61"/>
        <v>0</v>
      </c>
      <c r="M573" s="212">
        <f t="shared" si="61"/>
        <v>0</v>
      </c>
      <c r="N573" s="212">
        <f t="shared" si="61"/>
        <v>0</v>
      </c>
      <c r="O573" s="212">
        <f t="shared" si="61"/>
        <v>0</v>
      </c>
      <c r="P573" s="155">
        <f t="shared" si="61"/>
        <v>0</v>
      </c>
      <c r="Q573" s="407"/>
      <c r="R573" s="407"/>
    </row>
    <row r="574" spans="1:18" ht="12.75" x14ac:dyDescent="0.2">
      <c r="A574" s="152">
        <v>6212000</v>
      </c>
      <c r="B574" s="73"/>
      <c r="C574" s="51" t="s">
        <v>943</v>
      </c>
      <c r="D574" s="89"/>
      <c r="E574" s="89"/>
      <c r="F574" s="89"/>
      <c r="G574" s="89"/>
      <c r="H574" s="89"/>
      <c r="I574" s="89"/>
      <c r="J574" s="212">
        <f t="shared" si="61"/>
        <v>0</v>
      </c>
      <c r="K574" s="212">
        <f t="shared" si="61"/>
        <v>0</v>
      </c>
      <c r="L574" s="212">
        <f t="shared" si="61"/>
        <v>0</v>
      </c>
      <c r="M574" s="212">
        <f t="shared" si="61"/>
        <v>0</v>
      </c>
      <c r="N574" s="212">
        <f t="shared" si="61"/>
        <v>0</v>
      </c>
      <c r="O574" s="212">
        <f t="shared" si="61"/>
        <v>0</v>
      </c>
      <c r="P574" s="155">
        <f t="shared" si="61"/>
        <v>0</v>
      </c>
      <c r="Q574" s="407"/>
      <c r="R574" s="407"/>
    </row>
    <row r="575" spans="1:18" ht="12.75" x14ac:dyDescent="0.2">
      <c r="A575" s="152">
        <v>6212000</v>
      </c>
      <c r="B575" s="73"/>
      <c r="C575" s="51" t="s">
        <v>938</v>
      </c>
      <c r="D575" s="89"/>
      <c r="E575" s="89"/>
      <c r="F575" s="89"/>
      <c r="G575" s="89"/>
      <c r="H575" s="89"/>
      <c r="I575" s="89"/>
      <c r="J575" s="212">
        <f t="shared" si="61"/>
        <v>0</v>
      </c>
      <c r="K575" s="212">
        <f t="shared" si="61"/>
        <v>0</v>
      </c>
      <c r="L575" s="212">
        <f t="shared" si="61"/>
        <v>0</v>
      </c>
      <c r="M575" s="212">
        <f t="shared" si="61"/>
        <v>0</v>
      </c>
      <c r="N575" s="212">
        <f t="shared" si="61"/>
        <v>0</v>
      </c>
      <c r="O575" s="212">
        <f t="shared" si="61"/>
        <v>0</v>
      </c>
      <c r="P575" s="155">
        <f t="shared" si="61"/>
        <v>0</v>
      </c>
      <c r="Q575" s="407"/>
      <c r="R575" s="407"/>
    </row>
    <row r="576" spans="1:18" ht="12.75" x14ac:dyDescent="0.2">
      <c r="A576" s="152">
        <v>6212000</v>
      </c>
      <c r="B576" s="73"/>
      <c r="C576" s="51" t="s">
        <v>939</v>
      </c>
      <c r="D576" s="89"/>
      <c r="E576" s="89"/>
      <c r="F576" s="89"/>
      <c r="G576" s="89"/>
      <c r="H576" s="89"/>
      <c r="I576" s="89"/>
      <c r="J576" s="212">
        <f t="shared" si="61"/>
        <v>0</v>
      </c>
      <c r="K576" s="212">
        <f t="shared" si="61"/>
        <v>0</v>
      </c>
      <c r="L576" s="212">
        <f t="shared" si="61"/>
        <v>0</v>
      </c>
      <c r="M576" s="212">
        <f t="shared" si="61"/>
        <v>0</v>
      </c>
      <c r="N576" s="212">
        <f t="shared" si="61"/>
        <v>0</v>
      </c>
      <c r="O576" s="212">
        <f t="shared" si="61"/>
        <v>0</v>
      </c>
      <c r="P576" s="155">
        <f t="shared" si="61"/>
        <v>0</v>
      </c>
      <c r="Q576" s="407"/>
      <c r="R576" s="407"/>
    </row>
    <row r="577" spans="1:18" ht="12.75" x14ac:dyDescent="0.2">
      <c r="A577" s="152">
        <v>6212000</v>
      </c>
      <c r="B577" s="73"/>
      <c r="C577" s="51" t="s">
        <v>934</v>
      </c>
      <c r="D577" s="89"/>
      <c r="E577" s="89"/>
      <c r="F577" s="89"/>
      <c r="G577" s="89"/>
      <c r="H577" s="89"/>
      <c r="I577" s="89"/>
      <c r="J577" s="212">
        <f t="shared" si="61"/>
        <v>0</v>
      </c>
      <c r="K577" s="212">
        <f t="shared" si="61"/>
        <v>0</v>
      </c>
      <c r="L577" s="212">
        <f t="shared" si="61"/>
        <v>0</v>
      </c>
      <c r="M577" s="212">
        <f t="shared" si="61"/>
        <v>0</v>
      </c>
      <c r="N577" s="212">
        <f t="shared" si="61"/>
        <v>0</v>
      </c>
      <c r="O577" s="212">
        <f t="shared" si="61"/>
        <v>0</v>
      </c>
      <c r="P577" s="155">
        <f t="shared" si="61"/>
        <v>0</v>
      </c>
      <c r="Q577" s="407"/>
      <c r="R577" s="407"/>
    </row>
    <row r="578" spans="1:18" ht="12.75" x14ac:dyDescent="0.2">
      <c r="A578" s="152">
        <v>6212000</v>
      </c>
      <c r="B578" s="73"/>
      <c r="C578" s="51" t="s">
        <v>935</v>
      </c>
      <c r="D578" s="89"/>
      <c r="E578" s="89"/>
      <c r="F578" s="89"/>
      <c r="G578" s="89"/>
      <c r="H578" s="89"/>
      <c r="I578" s="89"/>
      <c r="J578" s="212">
        <f t="shared" si="61"/>
        <v>0</v>
      </c>
      <c r="K578" s="212">
        <f t="shared" si="61"/>
        <v>0</v>
      </c>
      <c r="L578" s="212">
        <f t="shared" si="61"/>
        <v>0</v>
      </c>
      <c r="M578" s="212">
        <f t="shared" si="61"/>
        <v>0</v>
      </c>
      <c r="N578" s="212">
        <f t="shared" si="61"/>
        <v>0</v>
      </c>
      <c r="O578" s="212">
        <f t="shared" si="61"/>
        <v>0</v>
      </c>
      <c r="P578" s="155">
        <f t="shared" si="61"/>
        <v>0</v>
      </c>
      <c r="Q578" s="407"/>
      <c r="R578" s="407"/>
    </row>
    <row r="579" spans="1:18" ht="12.75" x14ac:dyDescent="0.2">
      <c r="A579" s="152">
        <v>6212000</v>
      </c>
      <c r="B579" s="73"/>
      <c r="C579" s="51" t="s">
        <v>953</v>
      </c>
      <c r="D579" s="89"/>
      <c r="E579" s="89"/>
      <c r="F579" s="89"/>
      <c r="G579" s="89"/>
      <c r="H579" s="89"/>
      <c r="I579" s="89"/>
      <c r="J579" s="212">
        <f t="shared" si="61"/>
        <v>0</v>
      </c>
      <c r="K579" s="212">
        <f t="shared" si="61"/>
        <v>0</v>
      </c>
      <c r="L579" s="212">
        <f t="shared" si="61"/>
        <v>0</v>
      </c>
      <c r="M579" s="212">
        <f t="shared" si="61"/>
        <v>0</v>
      </c>
      <c r="N579" s="212">
        <f t="shared" si="61"/>
        <v>0</v>
      </c>
      <c r="O579" s="212">
        <f t="shared" si="61"/>
        <v>0</v>
      </c>
      <c r="P579" s="155">
        <f t="shared" si="61"/>
        <v>0</v>
      </c>
      <c r="Q579" s="407"/>
      <c r="R579" s="407"/>
    </row>
    <row r="580" spans="1:18" ht="12.75" x14ac:dyDescent="0.2">
      <c r="A580" s="152">
        <v>6212000</v>
      </c>
      <c r="B580" s="73"/>
      <c r="C580" s="51" t="s">
        <v>924</v>
      </c>
      <c r="D580" s="89"/>
      <c r="E580" s="89"/>
      <c r="F580" s="89"/>
      <c r="G580" s="89"/>
      <c r="H580" s="89"/>
      <c r="I580" s="89"/>
      <c r="J580" s="212">
        <f t="shared" si="61"/>
        <v>0</v>
      </c>
      <c r="K580" s="212">
        <f t="shared" si="61"/>
        <v>0</v>
      </c>
      <c r="L580" s="212">
        <f t="shared" si="61"/>
        <v>0</v>
      </c>
      <c r="M580" s="212">
        <f t="shared" si="61"/>
        <v>0</v>
      </c>
      <c r="N580" s="212">
        <f t="shared" si="61"/>
        <v>0</v>
      </c>
      <c r="O580" s="212">
        <f t="shared" si="61"/>
        <v>0</v>
      </c>
      <c r="P580" s="155">
        <f t="shared" si="61"/>
        <v>0</v>
      </c>
      <c r="Q580" s="407"/>
      <c r="R580" s="407"/>
    </row>
    <row r="581" spans="1:18" ht="12.75" x14ac:dyDescent="0.2">
      <c r="A581" s="152">
        <v>6212000</v>
      </c>
      <c r="B581" s="73"/>
      <c r="C581" s="51" t="s">
        <v>927</v>
      </c>
      <c r="D581" s="89"/>
      <c r="E581" s="89"/>
      <c r="F581" s="89"/>
      <c r="G581" s="89"/>
      <c r="H581" s="89"/>
      <c r="I581" s="89"/>
      <c r="J581" s="212">
        <f t="shared" si="61"/>
        <v>0</v>
      </c>
      <c r="K581" s="212">
        <f t="shared" si="61"/>
        <v>0</v>
      </c>
      <c r="L581" s="212">
        <f t="shared" si="61"/>
        <v>0</v>
      </c>
      <c r="M581" s="212">
        <f t="shared" si="61"/>
        <v>0</v>
      </c>
      <c r="N581" s="212">
        <f t="shared" si="61"/>
        <v>0</v>
      </c>
      <c r="O581" s="212">
        <f t="shared" si="61"/>
        <v>0</v>
      </c>
      <c r="P581" s="155">
        <f t="shared" si="61"/>
        <v>0</v>
      </c>
      <c r="Q581" s="407"/>
      <c r="R581" s="407"/>
    </row>
    <row r="582" spans="1:18" ht="12.75" x14ac:dyDescent="0.2">
      <c r="A582" s="152">
        <v>6212000</v>
      </c>
      <c r="B582" s="73"/>
      <c r="C582" s="51" t="s">
        <v>951</v>
      </c>
      <c r="D582" s="89"/>
      <c r="E582" s="89"/>
      <c r="F582" s="89"/>
      <c r="G582" s="89"/>
      <c r="H582" s="89"/>
      <c r="I582" s="89"/>
      <c r="J582" s="212">
        <f t="shared" si="61"/>
        <v>0</v>
      </c>
      <c r="K582" s="212">
        <f t="shared" si="61"/>
        <v>0</v>
      </c>
      <c r="L582" s="212">
        <f t="shared" si="61"/>
        <v>0</v>
      </c>
      <c r="M582" s="212">
        <f t="shared" si="61"/>
        <v>0</v>
      </c>
      <c r="N582" s="212">
        <f t="shared" si="61"/>
        <v>0</v>
      </c>
      <c r="O582" s="212">
        <f t="shared" si="61"/>
        <v>0</v>
      </c>
      <c r="P582" s="155">
        <f t="shared" si="61"/>
        <v>0</v>
      </c>
      <c r="Q582" s="407"/>
      <c r="R582" s="407"/>
    </row>
    <row r="583" spans="1:18" ht="12.75" x14ac:dyDescent="0.2">
      <c r="A583" s="152">
        <v>6212000</v>
      </c>
      <c r="B583" s="73"/>
      <c r="C583" s="51" t="s">
        <v>1055</v>
      </c>
      <c r="D583" s="89"/>
      <c r="E583" s="89"/>
      <c r="F583" s="89"/>
      <c r="G583" s="89"/>
      <c r="H583" s="89"/>
      <c r="I583" s="89"/>
      <c r="J583" s="212">
        <f t="shared" ref="J583:P592" si="62">SUMIFS(J$26:J$180,$A$26:$A$180,$A583,$C$26:$C$180,$C583)</f>
        <v>0</v>
      </c>
      <c r="K583" s="212">
        <f t="shared" si="62"/>
        <v>0</v>
      </c>
      <c r="L583" s="212">
        <f t="shared" si="62"/>
        <v>0</v>
      </c>
      <c r="M583" s="212">
        <f t="shared" si="62"/>
        <v>0</v>
      </c>
      <c r="N583" s="212">
        <f t="shared" si="62"/>
        <v>0</v>
      </c>
      <c r="O583" s="212">
        <f t="shared" si="62"/>
        <v>0</v>
      </c>
      <c r="P583" s="155">
        <f t="shared" si="62"/>
        <v>0</v>
      </c>
      <c r="Q583" s="407"/>
      <c r="R583" s="407"/>
    </row>
    <row r="584" spans="1:18" ht="12.75" x14ac:dyDescent="0.2">
      <c r="A584" s="152">
        <v>6212000</v>
      </c>
      <c r="B584" s="73"/>
      <c r="C584" s="51" t="s">
        <v>940</v>
      </c>
      <c r="D584" s="89"/>
      <c r="E584" s="89"/>
      <c r="F584" s="89"/>
      <c r="G584" s="89"/>
      <c r="H584" s="89"/>
      <c r="I584" s="89"/>
      <c r="J584" s="212">
        <f t="shared" si="62"/>
        <v>0</v>
      </c>
      <c r="K584" s="212">
        <f t="shared" si="62"/>
        <v>0</v>
      </c>
      <c r="L584" s="212">
        <f t="shared" si="62"/>
        <v>0</v>
      </c>
      <c r="M584" s="212">
        <f t="shared" si="62"/>
        <v>0</v>
      </c>
      <c r="N584" s="212">
        <f t="shared" si="62"/>
        <v>0</v>
      </c>
      <c r="O584" s="212">
        <f t="shared" si="62"/>
        <v>0</v>
      </c>
      <c r="P584" s="155">
        <f t="shared" si="62"/>
        <v>0</v>
      </c>
      <c r="Q584" s="407"/>
      <c r="R584" s="407"/>
    </row>
    <row r="585" spans="1:18" ht="12.75" x14ac:dyDescent="0.2">
      <c r="A585" s="152">
        <v>6212000</v>
      </c>
      <c r="B585" s="73"/>
      <c r="C585" s="51" t="s">
        <v>941</v>
      </c>
      <c r="D585" s="89"/>
      <c r="E585" s="89"/>
      <c r="F585" s="89"/>
      <c r="G585" s="89"/>
      <c r="H585" s="89"/>
      <c r="I585" s="89"/>
      <c r="J585" s="212">
        <f t="shared" si="62"/>
        <v>0</v>
      </c>
      <c r="K585" s="212">
        <f t="shared" si="62"/>
        <v>0</v>
      </c>
      <c r="L585" s="212">
        <f t="shared" si="62"/>
        <v>0</v>
      </c>
      <c r="M585" s="212">
        <f t="shared" si="62"/>
        <v>0</v>
      </c>
      <c r="N585" s="212">
        <f t="shared" si="62"/>
        <v>0</v>
      </c>
      <c r="O585" s="212">
        <f t="shared" si="62"/>
        <v>0</v>
      </c>
      <c r="P585" s="155">
        <f t="shared" si="62"/>
        <v>0</v>
      </c>
      <c r="Q585" s="407"/>
      <c r="R585" s="407"/>
    </row>
    <row r="586" spans="1:18" ht="12.75" x14ac:dyDescent="0.2">
      <c r="A586" s="152">
        <v>6212000</v>
      </c>
      <c r="B586" s="73"/>
      <c r="C586" s="51" t="s">
        <v>936</v>
      </c>
      <c r="D586" s="89"/>
      <c r="E586" s="89"/>
      <c r="F586" s="89"/>
      <c r="G586" s="89"/>
      <c r="H586" s="89"/>
      <c r="I586" s="89"/>
      <c r="J586" s="212">
        <f t="shared" si="62"/>
        <v>0</v>
      </c>
      <c r="K586" s="212">
        <f t="shared" si="62"/>
        <v>0</v>
      </c>
      <c r="L586" s="212">
        <f t="shared" si="62"/>
        <v>0</v>
      </c>
      <c r="M586" s="212">
        <f t="shared" si="62"/>
        <v>0</v>
      </c>
      <c r="N586" s="212">
        <f t="shared" si="62"/>
        <v>0</v>
      </c>
      <c r="O586" s="212">
        <f t="shared" si="62"/>
        <v>0</v>
      </c>
      <c r="P586" s="155">
        <f t="shared" si="62"/>
        <v>0</v>
      </c>
      <c r="Q586" s="407"/>
      <c r="R586" s="407"/>
    </row>
    <row r="587" spans="1:18" ht="12.75" x14ac:dyDescent="0.2">
      <c r="A587" s="152">
        <v>6212000</v>
      </c>
      <c r="B587" s="73"/>
      <c r="C587" s="51" t="s">
        <v>937</v>
      </c>
      <c r="D587" s="89"/>
      <c r="E587" s="89"/>
      <c r="F587" s="89"/>
      <c r="G587" s="89"/>
      <c r="H587" s="89"/>
      <c r="I587" s="89"/>
      <c r="J587" s="212">
        <f t="shared" si="62"/>
        <v>0</v>
      </c>
      <c r="K587" s="212">
        <f t="shared" si="62"/>
        <v>0</v>
      </c>
      <c r="L587" s="212">
        <f t="shared" si="62"/>
        <v>0</v>
      </c>
      <c r="M587" s="212">
        <f t="shared" si="62"/>
        <v>0</v>
      </c>
      <c r="N587" s="212">
        <f t="shared" si="62"/>
        <v>0</v>
      </c>
      <c r="O587" s="212">
        <f t="shared" si="62"/>
        <v>0</v>
      </c>
      <c r="P587" s="155">
        <f t="shared" si="62"/>
        <v>0</v>
      </c>
      <c r="Q587" s="407"/>
      <c r="R587" s="407"/>
    </row>
    <row r="588" spans="1:18" ht="12.75" x14ac:dyDescent="0.2">
      <c r="A588" s="152">
        <v>6212000</v>
      </c>
      <c r="B588" s="73"/>
      <c r="C588" s="51" t="s">
        <v>932</v>
      </c>
      <c r="D588" s="89"/>
      <c r="E588" s="89"/>
      <c r="F588" s="89"/>
      <c r="G588" s="89"/>
      <c r="H588" s="89"/>
      <c r="I588" s="89"/>
      <c r="J588" s="212">
        <f t="shared" si="62"/>
        <v>0</v>
      </c>
      <c r="K588" s="212">
        <f t="shared" si="62"/>
        <v>0</v>
      </c>
      <c r="L588" s="212">
        <f t="shared" si="62"/>
        <v>0</v>
      </c>
      <c r="M588" s="212">
        <f t="shared" si="62"/>
        <v>0</v>
      </c>
      <c r="N588" s="212">
        <f t="shared" si="62"/>
        <v>0</v>
      </c>
      <c r="O588" s="212">
        <f t="shared" si="62"/>
        <v>0</v>
      </c>
      <c r="P588" s="155">
        <f t="shared" si="62"/>
        <v>0</v>
      </c>
      <c r="Q588" s="407"/>
      <c r="R588" s="407"/>
    </row>
    <row r="589" spans="1:18" ht="12.75" x14ac:dyDescent="0.2">
      <c r="A589" s="152">
        <v>6212000</v>
      </c>
      <c r="B589" s="73"/>
      <c r="C589" s="51" t="s">
        <v>933</v>
      </c>
      <c r="D589" s="89"/>
      <c r="E589" s="89"/>
      <c r="F589" s="89"/>
      <c r="G589" s="89"/>
      <c r="H589" s="89"/>
      <c r="I589" s="89"/>
      <c r="J589" s="212">
        <f t="shared" si="62"/>
        <v>0</v>
      </c>
      <c r="K589" s="212">
        <f t="shared" si="62"/>
        <v>0</v>
      </c>
      <c r="L589" s="212">
        <f t="shared" si="62"/>
        <v>0</v>
      </c>
      <c r="M589" s="212">
        <f t="shared" si="62"/>
        <v>0</v>
      </c>
      <c r="N589" s="212">
        <f t="shared" si="62"/>
        <v>0</v>
      </c>
      <c r="O589" s="212">
        <f t="shared" si="62"/>
        <v>0</v>
      </c>
      <c r="P589" s="155">
        <f t="shared" si="62"/>
        <v>0</v>
      </c>
      <c r="Q589" s="407"/>
      <c r="R589" s="407"/>
    </row>
    <row r="590" spans="1:18" ht="12.75" x14ac:dyDescent="0.2">
      <c r="A590" s="152">
        <v>6212000</v>
      </c>
      <c r="B590" s="73"/>
      <c r="C590" s="51" t="s">
        <v>952</v>
      </c>
      <c r="D590" s="89"/>
      <c r="E590" s="89"/>
      <c r="F590" s="89"/>
      <c r="G590" s="89"/>
      <c r="H590" s="89"/>
      <c r="I590" s="89"/>
      <c r="J590" s="212">
        <f t="shared" si="62"/>
        <v>0</v>
      </c>
      <c r="K590" s="212">
        <f t="shared" si="62"/>
        <v>0</v>
      </c>
      <c r="L590" s="212">
        <f t="shared" si="62"/>
        <v>0</v>
      </c>
      <c r="M590" s="212">
        <f t="shared" si="62"/>
        <v>0</v>
      </c>
      <c r="N590" s="212">
        <f t="shared" si="62"/>
        <v>0</v>
      </c>
      <c r="O590" s="212">
        <f t="shared" si="62"/>
        <v>0</v>
      </c>
      <c r="P590" s="155">
        <f t="shared" si="62"/>
        <v>0</v>
      </c>
      <c r="Q590" s="407"/>
      <c r="R590" s="407"/>
    </row>
    <row r="591" spans="1:18" ht="12.75" x14ac:dyDescent="0.2">
      <c r="A591" s="152">
        <v>6212000</v>
      </c>
      <c r="B591" s="73"/>
      <c r="C591" s="51" t="s">
        <v>923</v>
      </c>
      <c r="D591" s="89"/>
      <c r="E591" s="89"/>
      <c r="F591" s="89"/>
      <c r="G591" s="89"/>
      <c r="H591" s="89"/>
      <c r="I591" s="89"/>
      <c r="J591" s="212">
        <f t="shared" si="62"/>
        <v>0</v>
      </c>
      <c r="K591" s="212">
        <f t="shared" si="62"/>
        <v>0</v>
      </c>
      <c r="L591" s="212">
        <f t="shared" si="62"/>
        <v>0</v>
      </c>
      <c r="M591" s="212">
        <f t="shared" si="62"/>
        <v>0</v>
      </c>
      <c r="N591" s="212">
        <f t="shared" si="62"/>
        <v>0</v>
      </c>
      <c r="O591" s="212">
        <f t="shared" si="62"/>
        <v>0</v>
      </c>
      <c r="P591" s="155">
        <f t="shared" si="62"/>
        <v>0</v>
      </c>
      <c r="Q591" s="407"/>
      <c r="R591" s="407"/>
    </row>
    <row r="592" spans="1:18" ht="12.75" x14ac:dyDescent="0.2">
      <c r="A592" s="152">
        <v>6212000</v>
      </c>
      <c r="B592" s="73"/>
      <c r="C592" s="51" t="s">
        <v>925</v>
      </c>
      <c r="D592" s="89"/>
      <c r="E592" s="89"/>
      <c r="F592" s="89"/>
      <c r="G592" s="89"/>
      <c r="H592" s="89"/>
      <c r="I592" s="89"/>
      <c r="J592" s="212">
        <f t="shared" si="62"/>
        <v>0</v>
      </c>
      <c r="K592" s="212">
        <f t="shared" si="62"/>
        <v>0</v>
      </c>
      <c r="L592" s="212">
        <f t="shared" si="62"/>
        <v>0</v>
      </c>
      <c r="M592" s="212">
        <f t="shared" si="62"/>
        <v>0</v>
      </c>
      <c r="N592" s="212">
        <f t="shared" si="62"/>
        <v>0</v>
      </c>
      <c r="O592" s="212">
        <f t="shared" si="62"/>
        <v>0</v>
      </c>
      <c r="P592" s="155">
        <f t="shared" si="62"/>
        <v>0</v>
      </c>
      <c r="Q592" s="407"/>
      <c r="R592" s="407"/>
    </row>
    <row r="593" spans="1:18" ht="12.75" x14ac:dyDescent="0.2">
      <c r="A593" s="152">
        <v>6212000</v>
      </c>
      <c r="B593" s="73"/>
      <c r="C593" s="51" t="s">
        <v>950</v>
      </c>
      <c r="D593" s="89"/>
      <c r="E593" s="89"/>
      <c r="F593" s="89"/>
      <c r="G593" s="89"/>
      <c r="H593" s="89"/>
      <c r="I593" s="89"/>
      <c r="J593" s="212">
        <f t="shared" ref="J593:P602" si="63">SUMIFS(J$26:J$180,$A$26:$A$180,$A593,$C$26:$C$180,$C593)</f>
        <v>0</v>
      </c>
      <c r="K593" s="212">
        <f t="shared" si="63"/>
        <v>0</v>
      </c>
      <c r="L593" s="212">
        <f t="shared" si="63"/>
        <v>0</v>
      </c>
      <c r="M593" s="212">
        <f t="shared" si="63"/>
        <v>0</v>
      </c>
      <c r="N593" s="212">
        <f t="shared" si="63"/>
        <v>0</v>
      </c>
      <c r="O593" s="212">
        <f t="shared" si="63"/>
        <v>0</v>
      </c>
      <c r="P593" s="155">
        <f t="shared" si="63"/>
        <v>0</v>
      </c>
      <c r="Q593" s="407"/>
      <c r="R593" s="407"/>
    </row>
    <row r="594" spans="1:18" ht="12.75" x14ac:dyDescent="0.2">
      <c r="A594" s="152">
        <v>6212000</v>
      </c>
      <c r="B594" s="73"/>
      <c r="C594" s="51" t="s">
        <v>1054</v>
      </c>
      <c r="D594" s="89"/>
      <c r="E594" s="89"/>
      <c r="F594" s="89"/>
      <c r="G594" s="89"/>
      <c r="H594" s="89"/>
      <c r="I594" s="89"/>
      <c r="J594" s="212">
        <f t="shared" si="63"/>
        <v>0</v>
      </c>
      <c r="K594" s="212">
        <f t="shared" si="63"/>
        <v>0</v>
      </c>
      <c r="L594" s="212">
        <f t="shared" si="63"/>
        <v>0</v>
      </c>
      <c r="M594" s="212">
        <f t="shared" si="63"/>
        <v>0</v>
      </c>
      <c r="N594" s="212">
        <f t="shared" si="63"/>
        <v>0</v>
      </c>
      <c r="O594" s="212">
        <f t="shared" si="63"/>
        <v>0</v>
      </c>
      <c r="P594" s="155">
        <f t="shared" si="63"/>
        <v>0</v>
      </c>
      <c r="Q594" s="407"/>
      <c r="R594" s="407"/>
    </row>
    <row r="595" spans="1:18" ht="12.75" x14ac:dyDescent="0.2">
      <c r="A595" s="152">
        <v>6212000</v>
      </c>
      <c r="B595" s="73"/>
      <c r="C595" s="51" t="s">
        <v>921</v>
      </c>
      <c r="D595" s="89"/>
      <c r="E595" s="89"/>
      <c r="F595" s="89"/>
      <c r="G595" s="89"/>
      <c r="H595" s="89"/>
      <c r="I595" s="89"/>
      <c r="J595" s="212">
        <f t="shared" si="63"/>
        <v>0</v>
      </c>
      <c r="K595" s="212">
        <f t="shared" si="63"/>
        <v>0</v>
      </c>
      <c r="L595" s="212">
        <f t="shared" si="63"/>
        <v>0</v>
      </c>
      <c r="M595" s="212">
        <f t="shared" si="63"/>
        <v>0</v>
      </c>
      <c r="N595" s="212">
        <f t="shared" si="63"/>
        <v>0</v>
      </c>
      <c r="O595" s="212">
        <f t="shared" si="63"/>
        <v>0</v>
      </c>
      <c r="P595" s="155">
        <f t="shared" si="63"/>
        <v>0</v>
      </c>
      <c r="Q595" s="407"/>
      <c r="R595" s="407"/>
    </row>
    <row r="596" spans="1:18" ht="12.75" x14ac:dyDescent="0.2">
      <c r="A596" s="152">
        <v>6212000</v>
      </c>
      <c r="B596" s="73"/>
      <c r="C596" s="51" t="s">
        <v>1022</v>
      </c>
      <c r="D596" s="89"/>
      <c r="E596" s="89"/>
      <c r="F596" s="89"/>
      <c r="G596" s="89"/>
      <c r="H596" s="89"/>
      <c r="I596" s="89"/>
      <c r="J596" s="212">
        <f t="shared" si="63"/>
        <v>0</v>
      </c>
      <c r="K596" s="212">
        <f t="shared" si="63"/>
        <v>0</v>
      </c>
      <c r="L596" s="212">
        <f t="shared" si="63"/>
        <v>0</v>
      </c>
      <c r="M596" s="212">
        <f t="shared" si="63"/>
        <v>0</v>
      </c>
      <c r="N596" s="212">
        <f t="shared" si="63"/>
        <v>0</v>
      </c>
      <c r="O596" s="212">
        <f t="shared" si="63"/>
        <v>0</v>
      </c>
      <c r="P596" s="155">
        <f t="shared" si="63"/>
        <v>0</v>
      </c>
      <c r="Q596" s="407"/>
      <c r="R596" s="407"/>
    </row>
    <row r="597" spans="1:18" ht="12.75" x14ac:dyDescent="0.2">
      <c r="A597" s="152">
        <v>6212000</v>
      </c>
      <c r="B597" s="73"/>
      <c r="C597" s="51" t="s">
        <v>1023</v>
      </c>
      <c r="D597" s="89"/>
      <c r="E597" s="89"/>
      <c r="F597" s="89"/>
      <c r="G597" s="89"/>
      <c r="H597" s="89"/>
      <c r="I597" s="89"/>
      <c r="J597" s="212">
        <f t="shared" si="63"/>
        <v>0</v>
      </c>
      <c r="K597" s="212">
        <f t="shared" si="63"/>
        <v>0</v>
      </c>
      <c r="L597" s="212">
        <f t="shared" si="63"/>
        <v>0</v>
      </c>
      <c r="M597" s="212">
        <f t="shared" si="63"/>
        <v>0</v>
      </c>
      <c r="N597" s="212">
        <f t="shared" si="63"/>
        <v>0</v>
      </c>
      <c r="O597" s="212">
        <f t="shared" si="63"/>
        <v>0</v>
      </c>
      <c r="P597" s="155">
        <f t="shared" si="63"/>
        <v>0</v>
      </c>
      <c r="Q597" s="407"/>
      <c r="R597" s="407"/>
    </row>
    <row r="598" spans="1:18" ht="12.75" x14ac:dyDescent="0.2">
      <c r="A598" s="152">
        <v>6212000</v>
      </c>
      <c r="B598" s="73"/>
      <c r="C598" s="51" t="s">
        <v>137</v>
      </c>
      <c r="D598" s="89"/>
      <c r="E598" s="89"/>
      <c r="F598" s="89"/>
      <c r="G598" s="89"/>
      <c r="H598" s="89"/>
      <c r="I598" s="89"/>
      <c r="J598" s="212">
        <f t="shared" si="63"/>
        <v>0</v>
      </c>
      <c r="K598" s="212">
        <f t="shared" si="63"/>
        <v>0</v>
      </c>
      <c r="L598" s="212">
        <f t="shared" si="63"/>
        <v>0</v>
      </c>
      <c r="M598" s="212">
        <f t="shared" si="63"/>
        <v>0</v>
      </c>
      <c r="N598" s="212">
        <f t="shared" si="63"/>
        <v>0</v>
      </c>
      <c r="O598" s="212">
        <f t="shared" si="63"/>
        <v>0</v>
      </c>
      <c r="P598" s="155">
        <f t="shared" si="63"/>
        <v>0</v>
      </c>
      <c r="Q598" s="407"/>
      <c r="R598" s="407"/>
    </row>
    <row r="599" spans="1:18" ht="12.75" x14ac:dyDescent="0.2">
      <c r="A599" s="152">
        <v>6212000</v>
      </c>
      <c r="B599" s="73"/>
      <c r="C599" s="51" t="s">
        <v>956</v>
      </c>
      <c r="D599" s="89"/>
      <c r="E599" s="89"/>
      <c r="F599" s="89"/>
      <c r="G599" s="89"/>
      <c r="H599" s="89"/>
      <c r="I599" s="89"/>
      <c r="J599" s="212">
        <f t="shared" si="63"/>
        <v>0</v>
      </c>
      <c r="K599" s="212">
        <f t="shared" si="63"/>
        <v>0</v>
      </c>
      <c r="L599" s="212">
        <f t="shared" si="63"/>
        <v>0</v>
      </c>
      <c r="M599" s="212">
        <f t="shared" si="63"/>
        <v>0</v>
      </c>
      <c r="N599" s="212">
        <f t="shared" si="63"/>
        <v>0</v>
      </c>
      <c r="O599" s="212">
        <f t="shared" si="63"/>
        <v>0</v>
      </c>
      <c r="P599" s="155">
        <f t="shared" si="63"/>
        <v>0</v>
      </c>
      <c r="Q599" s="407"/>
      <c r="R599" s="407"/>
    </row>
    <row r="600" spans="1:18" ht="12.75" x14ac:dyDescent="0.2">
      <c r="A600" s="152">
        <v>6212000</v>
      </c>
      <c r="B600" s="73"/>
      <c r="C600" s="51" t="s">
        <v>1045</v>
      </c>
      <c r="D600" s="89"/>
      <c r="E600" s="89"/>
      <c r="F600" s="89"/>
      <c r="G600" s="89"/>
      <c r="H600" s="89"/>
      <c r="I600" s="89"/>
      <c r="J600" s="212">
        <f t="shared" si="63"/>
        <v>0</v>
      </c>
      <c r="K600" s="212">
        <f t="shared" si="63"/>
        <v>0</v>
      </c>
      <c r="L600" s="212">
        <f t="shared" si="63"/>
        <v>0</v>
      </c>
      <c r="M600" s="212">
        <f t="shared" si="63"/>
        <v>0</v>
      </c>
      <c r="N600" s="212">
        <f t="shared" si="63"/>
        <v>0</v>
      </c>
      <c r="O600" s="212">
        <f t="shared" si="63"/>
        <v>0</v>
      </c>
      <c r="P600" s="155">
        <f t="shared" si="63"/>
        <v>0</v>
      </c>
      <c r="Q600" s="407"/>
      <c r="R600" s="407"/>
    </row>
    <row r="601" spans="1:18" ht="12.75" x14ac:dyDescent="0.2">
      <c r="A601" s="152">
        <v>6212000</v>
      </c>
      <c r="B601" s="73"/>
      <c r="C601" s="51" t="s">
        <v>1046</v>
      </c>
      <c r="D601" s="89"/>
      <c r="E601" s="89"/>
      <c r="F601" s="89"/>
      <c r="G601" s="89"/>
      <c r="H601" s="89"/>
      <c r="I601" s="89"/>
      <c r="J601" s="212">
        <f t="shared" si="63"/>
        <v>0</v>
      </c>
      <c r="K601" s="212">
        <f t="shared" si="63"/>
        <v>0</v>
      </c>
      <c r="L601" s="212">
        <f t="shared" si="63"/>
        <v>0</v>
      </c>
      <c r="M601" s="212">
        <f t="shared" si="63"/>
        <v>0</v>
      </c>
      <c r="N601" s="212">
        <f t="shared" si="63"/>
        <v>0</v>
      </c>
      <c r="O601" s="212">
        <f t="shared" si="63"/>
        <v>0</v>
      </c>
      <c r="P601" s="155">
        <f t="shared" si="63"/>
        <v>0</v>
      </c>
      <c r="Q601" s="407"/>
      <c r="R601" s="407"/>
    </row>
    <row r="602" spans="1:18" ht="12.75" x14ac:dyDescent="0.2">
      <c r="A602" s="152">
        <v>6212000</v>
      </c>
      <c r="B602" s="73"/>
      <c r="C602" s="51" t="s">
        <v>1036</v>
      </c>
      <c r="D602" s="89"/>
      <c r="E602" s="89"/>
      <c r="F602" s="89"/>
      <c r="G602" s="89"/>
      <c r="H602" s="89"/>
      <c r="I602" s="89"/>
      <c r="J602" s="212">
        <f t="shared" si="63"/>
        <v>0</v>
      </c>
      <c r="K602" s="212">
        <f t="shared" si="63"/>
        <v>0</v>
      </c>
      <c r="L602" s="212">
        <f t="shared" si="63"/>
        <v>0</v>
      </c>
      <c r="M602" s="212">
        <f t="shared" si="63"/>
        <v>0</v>
      </c>
      <c r="N602" s="212">
        <f t="shared" si="63"/>
        <v>0</v>
      </c>
      <c r="O602" s="212">
        <f t="shared" si="63"/>
        <v>0</v>
      </c>
      <c r="P602" s="155">
        <f t="shared" si="63"/>
        <v>0</v>
      </c>
      <c r="Q602" s="407"/>
      <c r="R602" s="407"/>
    </row>
    <row r="603" spans="1:18" ht="12.75" x14ac:dyDescent="0.2">
      <c r="A603" s="152">
        <v>6212000</v>
      </c>
      <c r="B603" s="73"/>
      <c r="C603" s="51" t="s">
        <v>1037</v>
      </c>
      <c r="D603" s="89"/>
      <c r="E603" s="89"/>
      <c r="F603" s="89"/>
      <c r="G603" s="89"/>
      <c r="H603" s="89"/>
      <c r="I603" s="89"/>
      <c r="J603" s="212">
        <f t="shared" ref="J603:P612" si="64">SUMIFS(J$26:J$180,$A$26:$A$180,$A603,$C$26:$C$180,$C603)</f>
        <v>0</v>
      </c>
      <c r="K603" s="212">
        <f t="shared" si="64"/>
        <v>0</v>
      </c>
      <c r="L603" s="212">
        <f t="shared" si="64"/>
        <v>0</v>
      </c>
      <c r="M603" s="212">
        <f t="shared" si="64"/>
        <v>0</v>
      </c>
      <c r="N603" s="212">
        <f t="shared" si="64"/>
        <v>0</v>
      </c>
      <c r="O603" s="212">
        <f t="shared" si="64"/>
        <v>0</v>
      </c>
      <c r="P603" s="155">
        <f t="shared" si="64"/>
        <v>0</v>
      </c>
      <c r="Q603" s="407"/>
      <c r="R603" s="407"/>
    </row>
    <row r="604" spans="1:18" ht="12.75" x14ac:dyDescent="0.2">
      <c r="A604" s="152">
        <v>6212000</v>
      </c>
      <c r="B604" s="73"/>
      <c r="C604" s="51" t="s">
        <v>990</v>
      </c>
      <c r="D604" s="89"/>
      <c r="E604" s="89"/>
      <c r="F604" s="89"/>
      <c r="G604" s="89"/>
      <c r="H604" s="89"/>
      <c r="I604" s="89"/>
      <c r="J604" s="212">
        <f t="shared" si="64"/>
        <v>0</v>
      </c>
      <c r="K604" s="212">
        <f t="shared" si="64"/>
        <v>0</v>
      </c>
      <c r="L604" s="212">
        <f t="shared" si="64"/>
        <v>0</v>
      </c>
      <c r="M604" s="212">
        <f t="shared" si="64"/>
        <v>0</v>
      </c>
      <c r="N604" s="212">
        <f t="shared" si="64"/>
        <v>0</v>
      </c>
      <c r="O604" s="212">
        <f t="shared" si="64"/>
        <v>0</v>
      </c>
      <c r="P604" s="155">
        <f t="shared" si="64"/>
        <v>0</v>
      </c>
      <c r="Q604" s="407"/>
      <c r="R604" s="407"/>
    </row>
    <row r="605" spans="1:18" ht="12.75" x14ac:dyDescent="0.2">
      <c r="A605" s="152">
        <v>6212000</v>
      </c>
      <c r="B605" s="73"/>
      <c r="C605" s="51" t="s">
        <v>1040</v>
      </c>
      <c r="D605" s="89"/>
      <c r="E605" s="89"/>
      <c r="F605" s="89"/>
      <c r="G605" s="89"/>
      <c r="H605" s="89"/>
      <c r="I605" s="89"/>
      <c r="J605" s="212">
        <f t="shared" si="64"/>
        <v>0</v>
      </c>
      <c r="K605" s="212">
        <f t="shared" si="64"/>
        <v>0</v>
      </c>
      <c r="L605" s="212">
        <f t="shared" si="64"/>
        <v>0</v>
      </c>
      <c r="M605" s="212">
        <f t="shared" si="64"/>
        <v>0</v>
      </c>
      <c r="N605" s="212">
        <f t="shared" si="64"/>
        <v>0</v>
      </c>
      <c r="O605" s="212">
        <f t="shared" si="64"/>
        <v>0</v>
      </c>
      <c r="P605" s="155">
        <f t="shared" si="64"/>
        <v>0</v>
      </c>
      <c r="Q605" s="407"/>
      <c r="R605" s="407"/>
    </row>
    <row r="606" spans="1:18" ht="12.75" x14ac:dyDescent="0.2">
      <c r="A606" s="152">
        <v>6212000</v>
      </c>
      <c r="B606" s="73"/>
      <c r="C606" s="51" t="s">
        <v>991</v>
      </c>
      <c r="D606" s="89"/>
      <c r="E606" s="89"/>
      <c r="F606" s="89"/>
      <c r="G606" s="89"/>
      <c r="H606" s="89"/>
      <c r="I606" s="89"/>
      <c r="J606" s="212">
        <f t="shared" si="64"/>
        <v>0</v>
      </c>
      <c r="K606" s="212">
        <f t="shared" si="64"/>
        <v>0</v>
      </c>
      <c r="L606" s="212">
        <f t="shared" si="64"/>
        <v>0</v>
      </c>
      <c r="M606" s="212">
        <f t="shared" si="64"/>
        <v>0</v>
      </c>
      <c r="N606" s="212">
        <f t="shared" si="64"/>
        <v>0</v>
      </c>
      <c r="O606" s="212">
        <f t="shared" si="64"/>
        <v>0</v>
      </c>
      <c r="P606" s="155">
        <f t="shared" si="64"/>
        <v>0</v>
      </c>
      <c r="Q606" s="407"/>
      <c r="R606" s="407"/>
    </row>
    <row r="607" spans="1:18" ht="12.75" x14ac:dyDescent="0.2">
      <c r="A607" s="152">
        <v>6212000</v>
      </c>
      <c r="B607" s="73"/>
      <c r="C607" s="51" t="s">
        <v>959</v>
      </c>
      <c r="D607" s="89"/>
      <c r="E607" s="89"/>
      <c r="F607" s="89"/>
      <c r="G607" s="89"/>
      <c r="H607" s="89"/>
      <c r="I607" s="89"/>
      <c r="J607" s="212">
        <f t="shared" si="64"/>
        <v>0</v>
      </c>
      <c r="K607" s="212">
        <f t="shared" si="64"/>
        <v>0</v>
      </c>
      <c r="L607" s="212">
        <f t="shared" si="64"/>
        <v>0</v>
      </c>
      <c r="M607" s="212">
        <f t="shared" si="64"/>
        <v>0</v>
      </c>
      <c r="N607" s="212">
        <f t="shared" si="64"/>
        <v>0</v>
      </c>
      <c r="O607" s="212">
        <f t="shared" si="64"/>
        <v>0</v>
      </c>
      <c r="P607" s="155">
        <f t="shared" si="64"/>
        <v>0</v>
      </c>
      <c r="Q607" s="407"/>
      <c r="R607" s="407"/>
    </row>
    <row r="608" spans="1:18" ht="12.75" x14ac:dyDescent="0.2">
      <c r="A608" s="152">
        <v>6212000</v>
      </c>
      <c r="B608" s="73"/>
      <c r="C608" s="51" t="s">
        <v>964</v>
      </c>
      <c r="D608" s="89"/>
      <c r="E608" s="89"/>
      <c r="F608" s="89"/>
      <c r="G608" s="89"/>
      <c r="H608" s="89"/>
      <c r="I608" s="89"/>
      <c r="J608" s="212">
        <f t="shared" si="64"/>
        <v>0</v>
      </c>
      <c r="K608" s="212">
        <f t="shared" si="64"/>
        <v>0</v>
      </c>
      <c r="L608" s="212">
        <f t="shared" si="64"/>
        <v>0</v>
      </c>
      <c r="M608" s="212">
        <f t="shared" si="64"/>
        <v>0</v>
      </c>
      <c r="N608" s="212">
        <f t="shared" si="64"/>
        <v>0</v>
      </c>
      <c r="O608" s="212">
        <f t="shared" si="64"/>
        <v>0</v>
      </c>
      <c r="P608" s="155">
        <f t="shared" si="64"/>
        <v>0</v>
      </c>
      <c r="Q608" s="407"/>
      <c r="R608" s="407"/>
    </row>
    <row r="609" spans="1:18" ht="12.75" x14ac:dyDescent="0.2">
      <c r="A609" s="152">
        <v>6212000</v>
      </c>
      <c r="B609" s="73"/>
      <c r="C609" s="51" t="s">
        <v>1003</v>
      </c>
      <c r="D609" s="89"/>
      <c r="E609" s="89"/>
      <c r="F609" s="89"/>
      <c r="G609" s="89"/>
      <c r="H609" s="89"/>
      <c r="I609" s="89"/>
      <c r="J609" s="212">
        <f t="shared" si="64"/>
        <v>0</v>
      </c>
      <c r="K609" s="212">
        <f t="shared" si="64"/>
        <v>0</v>
      </c>
      <c r="L609" s="212">
        <f t="shared" si="64"/>
        <v>0</v>
      </c>
      <c r="M609" s="212">
        <f t="shared" si="64"/>
        <v>0</v>
      </c>
      <c r="N609" s="212">
        <f t="shared" si="64"/>
        <v>0</v>
      </c>
      <c r="O609" s="212">
        <f t="shared" si="64"/>
        <v>0</v>
      </c>
      <c r="P609" s="155">
        <f t="shared" si="64"/>
        <v>0</v>
      </c>
      <c r="Q609" s="407"/>
      <c r="R609" s="407"/>
    </row>
    <row r="610" spans="1:18" ht="12.75" x14ac:dyDescent="0.2">
      <c r="A610" s="152">
        <v>6212000</v>
      </c>
      <c r="B610" s="73"/>
      <c r="C610" s="51" t="s">
        <v>992</v>
      </c>
      <c r="D610" s="89"/>
      <c r="E610" s="89"/>
      <c r="F610" s="89"/>
      <c r="G610" s="89"/>
      <c r="H610" s="89"/>
      <c r="I610" s="89"/>
      <c r="J610" s="212">
        <f t="shared" si="64"/>
        <v>0</v>
      </c>
      <c r="K610" s="212">
        <f t="shared" si="64"/>
        <v>0</v>
      </c>
      <c r="L610" s="212">
        <f t="shared" si="64"/>
        <v>0</v>
      </c>
      <c r="M610" s="212">
        <f t="shared" si="64"/>
        <v>0</v>
      </c>
      <c r="N610" s="212">
        <f t="shared" si="64"/>
        <v>0</v>
      </c>
      <c r="O610" s="212">
        <f t="shared" si="64"/>
        <v>0</v>
      </c>
      <c r="P610" s="155">
        <f t="shared" si="64"/>
        <v>0</v>
      </c>
      <c r="Q610" s="407"/>
      <c r="R610" s="407"/>
    </row>
    <row r="611" spans="1:18" ht="12.75" x14ac:dyDescent="0.2">
      <c r="A611" s="152">
        <v>6212000</v>
      </c>
      <c r="B611" s="73"/>
      <c r="C611" s="51" t="s">
        <v>994</v>
      </c>
      <c r="D611" s="89"/>
      <c r="E611" s="89"/>
      <c r="F611" s="89"/>
      <c r="G611" s="89"/>
      <c r="H611" s="89"/>
      <c r="I611" s="89"/>
      <c r="J611" s="212">
        <f t="shared" si="64"/>
        <v>0</v>
      </c>
      <c r="K611" s="212">
        <f t="shared" si="64"/>
        <v>0</v>
      </c>
      <c r="L611" s="212">
        <f t="shared" si="64"/>
        <v>0</v>
      </c>
      <c r="M611" s="212">
        <f t="shared" si="64"/>
        <v>0</v>
      </c>
      <c r="N611" s="212">
        <f t="shared" si="64"/>
        <v>0</v>
      </c>
      <c r="O611" s="212">
        <f t="shared" si="64"/>
        <v>0</v>
      </c>
      <c r="P611" s="155">
        <f t="shared" si="64"/>
        <v>0</v>
      </c>
      <c r="Q611" s="407"/>
      <c r="R611" s="407"/>
    </row>
    <row r="612" spans="1:18" ht="12.75" x14ac:dyDescent="0.2">
      <c r="A612" s="152">
        <v>6212000</v>
      </c>
      <c r="B612" s="73"/>
      <c r="C612" s="51" t="s">
        <v>993</v>
      </c>
      <c r="D612" s="89"/>
      <c r="E612" s="89"/>
      <c r="F612" s="89"/>
      <c r="G612" s="89"/>
      <c r="H612" s="89"/>
      <c r="I612" s="89"/>
      <c r="J612" s="212">
        <f t="shared" si="64"/>
        <v>0</v>
      </c>
      <c r="K612" s="212">
        <f t="shared" si="64"/>
        <v>0</v>
      </c>
      <c r="L612" s="212">
        <f t="shared" si="64"/>
        <v>0</v>
      </c>
      <c r="M612" s="212">
        <f t="shared" si="64"/>
        <v>0</v>
      </c>
      <c r="N612" s="212">
        <f t="shared" si="64"/>
        <v>0</v>
      </c>
      <c r="O612" s="212">
        <f t="shared" si="64"/>
        <v>0</v>
      </c>
      <c r="P612" s="155">
        <f t="shared" si="64"/>
        <v>0</v>
      </c>
      <c r="Q612" s="407"/>
      <c r="R612" s="407"/>
    </row>
    <row r="613" spans="1:18" ht="12.75" x14ac:dyDescent="0.2">
      <c r="A613" s="152">
        <v>6212000</v>
      </c>
      <c r="B613" s="73"/>
      <c r="C613" s="51" t="s">
        <v>995</v>
      </c>
      <c r="D613" s="89"/>
      <c r="E613" s="89"/>
      <c r="F613" s="89"/>
      <c r="G613" s="89"/>
      <c r="H613" s="89"/>
      <c r="I613" s="89"/>
      <c r="J613" s="212">
        <f t="shared" ref="J613:P622" si="65">SUMIFS(J$26:J$180,$A$26:$A$180,$A613,$C$26:$C$180,$C613)</f>
        <v>0</v>
      </c>
      <c r="K613" s="212">
        <f t="shared" si="65"/>
        <v>0</v>
      </c>
      <c r="L613" s="212">
        <f t="shared" si="65"/>
        <v>0</v>
      </c>
      <c r="M613" s="212">
        <f t="shared" si="65"/>
        <v>0</v>
      </c>
      <c r="N613" s="212">
        <f t="shared" si="65"/>
        <v>0</v>
      </c>
      <c r="O613" s="212">
        <f t="shared" si="65"/>
        <v>0</v>
      </c>
      <c r="P613" s="155">
        <f t="shared" si="65"/>
        <v>0</v>
      </c>
      <c r="Q613" s="407"/>
      <c r="R613" s="407"/>
    </row>
    <row r="614" spans="1:18" ht="12.75" x14ac:dyDescent="0.2">
      <c r="A614" s="152">
        <v>6212000</v>
      </c>
      <c r="B614" s="73"/>
      <c r="C614" s="51" t="s">
        <v>1001</v>
      </c>
      <c r="D614" s="89"/>
      <c r="E614" s="89"/>
      <c r="F614" s="89"/>
      <c r="G614" s="89"/>
      <c r="H614" s="89"/>
      <c r="I614" s="89"/>
      <c r="J614" s="212">
        <f t="shared" si="65"/>
        <v>0</v>
      </c>
      <c r="K614" s="212">
        <f t="shared" si="65"/>
        <v>0</v>
      </c>
      <c r="L614" s="212">
        <f t="shared" si="65"/>
        <v>0</v>
      </c>
      <c r="M614" s="212">
        <f t="shared" si="65"/>
        <v>0</v>
      </c>
      <c r="N614" s="212">
        <f t="shared" si="65"/>
        <v>0</v>
      </c>
      <c r="O614" s="212">
        <f t="shared" si="65"/>
        <v>0</v>
      </c>
      <c r="P614" s="155">
        <f t="shared" si="65"/>
        <v>0</v>
      </c>
      <c r="Q614" s="407"/>
      <c r="R614" s="407"/>
    </row>
    <row r="615" spans="1:18" ht="12.75" x14ac:dyDescent="0.2">
      <c r="A615" s="152">
        <v>6212000</v>
      </c>
      <c r="B615" s="73"/>
      <c r="C615" s="51" t="s">
        <v>978</v>
      </c>
      <c r="D615" s="89"/>
      <c r="E615" s="89"/>
      <c r="F615" s="89"/>
      <c r="G615" s="89"/>
      <c r="H615" s="89"/>
      <c r="I615" s="89"/>
      <c r="J615" s="212">
        <f t="shared" si="65"/>
        <v>0</v>
      </c>
      <c r="K615" s="212">
        <f t="shared" si="65"/>
        <v>0</v>
      </c>
      <c r="L615" s="212">
        <f t="shared" si="65"/>
        <v>0</v>
      </c>
      <c r="M615" s="212">
        <f t="shared" si="65"/>
        <v>0</v>
      </c>
      <c r="N615" s="212">
        <f t="shared" si="65"/>
        <v>0</v>
      </c>
      <c r="O615" s="212">
        <f t="shared" si="65"/>
        <v>0</v>
      </c>
      <c r="P615" s="155">
        <f t="shared" si="65"/>
        <v>0</v>
      </c>
      <c r="Q615" s="407"/>
      <c r="R615" s="407"/>
    </row>
    <row r="616" spans="1:18" ht="12.75" x14ac:dyDescent="0.2">
      <c r="A616" s="152">
        <v>6212000</v>
      </c>
      <c r="B616" s="73"/>
      <c r="C616" s="51" t="s">
        <v>494</v>
      </c>
      <c r="D616" s="89"/>
      <c r="E616" s="89"/>
      <c r="F616" s="89"/>
      <c r="G616" s="89"/>
      <c r="H616" s="89"/>
      <c r="I616" s="89"/>
      <c r="J616" s="212">
        <f t="shared" si="65"/>
        <v>0</v>
      </c>
      <c r="K616" s="212">
        <f t="shared" si="65"/>
        <v>0</v>
      </c>
      <c r="L616" s="212">
        <f t="shared" si="65"/>
        <v>0</v>
      </c>
      <c r="M616" s="212">
        <f t="shared" si="65"/>
        <v>0</v>
      </c>
      <c r="N616" s="212">
        <f t="shared" si="65"/>
        <v>0</v>
      </c>
      <c r="O616" s="212">
        <f t="shared" si="65"/>
        <v>0</v>
      </c>
      <c r="P616" s="155">
        <f t="shared" si="65"/>
        <v>0</v>
      </c>
      <c r="Q616" s="407"/>
      <c r="R616" s="407"/>
    </row>
    <row r="617" spans="1:18" ht="12.75" x14ac:dyDescent="0.2">
      <c r="A617" s="152">
        <v>6212000</v>
      </c>
      <c r="B617" s="73"/>
      <c r="C617" s="51" t="s">
        <v>976</v>
      </c>
      <c r="D617" s="89"/>
      <c r="E617" s="89"/>
      <c r="F617" s="89"/>
      <c r="G617" s="89"/>
      <c r="H617" s="89"/>
      <c r="I617" s="89"/>
      <c r="J617" s="212">
        <f t="shared" si="65"/>
        <v>0</v>
      </c>
      <c r="K617" s="212">
        <f t="shared" si="65"/>
        <v>0</v>
      </c>
      <c r="L617" s="212">
        <f t="shared" si="65"/>
        <v>0</v>
      </c>
      <c r="M617" s="212">
        <f t="shared" si="65"/>
        <v>0</v>
      </c>
      <c r="N617" s="212">
        <f t="shared" si="65"/>
        <v>0</v>
      </c>
      <c r="O617" s="212">
        <f t="shared" si="65"/>
        <v>0</v>
      </c>
      <c r="P617" s="155">
        <f t="shared" si="65"/>
        <v>0</v>
      </c>
      <c r="Q617" s="407"/>
      <c r="R617" s="407"/>
    </row>
    <row r="618" spans="1:18" ht="12.75" x14ac:dyDescent="0.2">
      <c r="A618" s="152">
        <v>6212000</v>
      </c>
      <c r="B618" s="73"/>
      <c r="C618" s="51" t="s">
        <v>1002</v>
      </c>
      <c r="D618" s="89"/>
      <c r="E618" s="89"/>
      <c r="F618" s="89"/>
      <c r="G618" s="89"/>
      <c r="H618" s="89"/>
      <c r="I618" s="89"/>
      <c r="J618" s="212">
        <f t="shared" si="65"/>
        <v>0</v>
      </c>
      <c r="K618" s="212">
        <f t="shared" si="65"/>
        <v>0</v>
      </c>
      <c r="L618" s="212">
        <f t="shared" si="65"/>
        <v>0</v>
      </c>
      <c r="M618" s="212">
        <f t="shared" si="65"/>
        <v>0</v>
      </c>
      <c r="N618" s="212">
        <f t="shared" si="65"/>
        <v>0</v>
      </c>
      <c r="O618" s="212">
        <f t="shared" si="65"/>
        <v>0</v>
      </c>
      <c r="P618" s="155">
        <f t="shared" si="65"/>
        <v>0</v>
      </c>
      <c r="Q618" s="407"/>
      <c r="R618" s="407"/>
    </row>
    <row r="619" spans="1:18" ht="12.75" x14ac:dyDescent="0.2">
      <c r="A619" s="152">
        <v>6212000</v>
      </c>
      <c r="B619" s="73"/>
      <c r="C619" s="51" t="s">
        <v>1014</v>
      </c>
      <c r="D619" s="89"/>
      <c r="E619" s="89"/>
      <c r="F619" s="89"/>
      <c r="G619" s="89"/>
      <c r="H619" s="89"/>
      <c r="I619" s="89"/>
      <c r="J619" s="212">
        <f t="shared" si="65"/>
        <v>0</v>
      </c>
      <c r="K619" s="212">
        <f t="shared" si="65"/>
        <v>0</v>
      </c>
      <c r="L619" s="212">
        <f t="shared" si="65"/>
        <v>0</v>
      </c>
      <c r="M619" s="212">
        <f t="shared" si="65"/>
        <v>0</v>
      </c>
      <c r="N619" s="212">
        <f t="shared" si="65"/>
        <v>0</v>
      </c>
      <c r="O619" s="212">
        <f t="shared" si="65"/>
        <v>0</v>
      </c>
      <c r="P619" s="155">
        <f t="shared" si="65"/>
        <v>0</v>
      </c>
      <c r="Q619" s="407"/>
      <c r="R619" s="407"/>
    </row>
    <row r="620" spans="1:18" ht="12.75" x14ac:dyDescent="0.2">
      <c r="A620" s="152">
        <v>6212000</v>
      </c>
      <c r="B620" s="73"/>
      <c r="C620" s="51" t="s">
        <v>998</v>
      </c>
      <c r="D620" s="89"/>
      <c r="E620" s="89"/>
      <c r="F620" s="89"/>
      <c r="G620" s="89"/>
      <c r="H620" s="89"/>
      <c r="I620" s="89"/>
      <c r="J620" s="212">
        <f t="shared" si="65"/>
        <v>0</v>
      </c>
      <c r="K620" s="212">
        <f t="shared" si="65"/>
        <v>0</v>
      </c>
      <c r="L620" s="212">
        <f t="shared" si="65"/>
        <v>0</v>
      </c>
      <c r="M620" s="212">
        <f t="shared" si="65"/>
        <v>0</v>
      </c>
      <c r="N620" s="212">
        <f t="shared" si="65"/>
        <v>0</v>
      </c>
      <c r="O620" s="212">
        <f t="shared" si="65"/>
        <v>0</v>
      </c>
      <c r="P620" s="155">
        <f t="shared" si="65"/>
        <v>0</v>
      </c>
      <c r="Q620" s="407"/>
      <c r="R620" s="407"/>
    </row>
    <row r="621" spans="1:18" ht="12.75" x14ac:dyDescent="0.2">
      <c r="A621" s="152">
        <v>6212000</v>
      </c>
      <c r="B621" s="73"/>
      <c r="C621" s="51" t="s">
        <v>996</v>
      </c>
      <c r="D621" s="89"/>
      <c r="E621" s="89"/>
      <c r="F621" s="89"/>
      <c r="G621" s="89"/>
      <c r="H621" s="89"/>
      <c r="I621" s="89"/>
      <c r="J621" s="212">
        <f t="shared" si="65"/>
        <v>0</v>
      </c>
      <c r="K621" s="212">
        <f t="shared" si="65"/>
        <v>0</v>
      </c>
      <c r="L621" s="212">
        <f t="shared" si="65"/>
        <v>0</v>
      </c>
      <c r="M621" s="212">
        <f t="shared" si="65"/>
        <v>0</v>
      </c>
      <c r="N621" s="212">
        <f t="shared" si="65"/>
        <v>0</v>
      </c>
      <c r="O621" s="212">
        <f t="shared" si="65"/>
        <v>0</v>
      </c>
      <c r="P621" s="155">
        <f t="shared" si="65"/>
        <v>0</v>
      </c>
      <c r="Q621" s="407"/>
      <c r="R621" s="407"/>
    </row>
    <row r="622" spans="1:18" ht="12.75" x14ac:dyDescent="0.2">
      <c r="A622" s="152">
        <v>6212000</v>
      </c>
      <c r="B622" s="73"/>
      <c r="C622" s="51" t="s">
        <v>1043</v>
      </c>
      <c r="D622" s="89"/>
      <c r="E622" s="89"/>
      <c r="F622" s="89"/>
      <c r="G622" s="89"/>
      <c r="H622" s="89"/>
      <c r="I622" s="89"/>
      <c r="J622" s="212">
        <f t="shared" si="65"/>
        <v>0</v>
      </c>
      <c r="K622" s="212">
        <f t="shared" si="65"/>
        <v>0</v>
      </c>
      <c r="L622" s="212">
        <f t="shared" si="65"/>
        <v>0</v>
      </c>
      <c r="M622" s="212">
        <f t="shared" si="65"/>
        <v>0</v>
      </c>
      <c r="N622" s="212">
        <f t="shared" si="65"/>
        <v>0</v>
      </c>
      <c r="O622" s="212">
        <f t="shared" si="65"/>
        <v>0</v>
      </c>
      <c r="P622" s="155">
        <f t="shared" si="65"/>
        <v>0</v>
      </c>
      <c r="Q622" s="407"/>
      <c r="R622" s="407"/>
    </row>
    <row r="623" spans="1:18" ht="12.75" x14ac:dyDescent="0.2">
      <c r="A623" s="152">
        <v>6212000</v>
      </c>
      <c r="B623" s="73"/>
      <c r="C623" s="51" t="s">
        <v>1044</v>
      </c>
      <c r="D623" s="89"/>
      <c r="E623" s="89"/>
      <c r="F623" s="89"/>
      <c r="G623" s="89"/>
      <c r="H623" s="89"/>
      <c r="I623" s="89"/>
      <c r="J623" s="212">
        <f t="shared" ref="J623:P632" si="66">SUMIFS(J$26:J$180,$A$26:$A$180,$A623,$C$26:$C$180,$C623)</f>
        <v>0</v>
      </c>
      <c r="K623" s="212">
        <f t="shared" si="66"/>
        <v>0</v>
      </c>
      <c r="L623" s="212">
        <f t="shared" si="66"/>
        <v>0</v>
      </c>
      <c r="M623" s="212">
        <f t="shared" si="66"/>
        <v>0</v>
      </c>
      <c r="N623" s="212">
        <f t="shared" si="66"/>
        <v>0</v>
      </c>
      <c r="O623" s="212">
        <f t="shared" si="66"/>
        <v>0</v>
      </c>
      <c r="P623" s="155">
        <f t="shared" si="66"/>
        <v>0</v>
      </c>
      <c r="Q623" s="407"/>
      <c r="R623" s="407"/>
    </row>
    <row r="624" spans="1:18" ht="12.75" x14ac:dyDescent="0.2">
      <c r="A624" s="152">
        <v>6212000</v>
      </c>
      <c r="B624" s="73"/>
      <c r="C624" s="51" t="s">
        <v>1039</v>
      </c>
      <c r="D624" s="89"/>
      <c r="E624" s="89"/>
      <c r="F624" s="89"/>
      <c r="G624" s="89"/>
      <c r="H624" s="89"/>
      <c r="I624" s="89"/>
      <c r="J624" s="212">
        <f t="shared" si="66"/>
        <v>0</v>
      </c>
      <c r="K624" s="212">
        <f t="shared" si="66"/>
        <v>0</v>
      </c>
      <c r="L624" s="212">
        <f t="shared" si="66"/>
        <v>0</v>
      </c>
      <c r="M624" s="212">
        <f t="shared" si="66"/>
        <v>0</v>
      </c>
      <c r="N624" s="212">
        <f t="shared" si="66"/>
        <v>0</v>
      </c>
      <c r="O624" s="212">
        <f t="shared" si="66"/>
        <v>0</v>
      </c>
      <c r="P624" s="155">
        <f t="shared" si="66"/>
        <v>0</v>
      </c>
      <c r="Q624" s="407"/>
      <c r="R624" s="407"/>
    </row>
    <row r="625" spans="1:18" ht="12.75" x14ac:dyDescent="0.2">
      <c r="A625" s="152">
        <v>6212000</v>
      </c>
      <c r="B625" s="73"/>
      <c r="C625" s="51" t="s">
        <v>1028</v>
      </c>
      <c r="D625" s="89"/>
      <c r="E625" s="89"/>
      <c r="F625" s="89"/>
      <c r="G625" s="89"/>
      <c r="H625" s="89"/>
      <c r="I625" s="89"/>
      <c r="J625" s="212">
        <f t="shared" si="66"/>
        <v>0</v>
      </c>
      <c r="K625" s="212">
        <f t="shared" si="66"/>
        <v>0</v>
      </c>
      <c r="L625" s="212">
        <f t="shared" si="66"/>
        <v>0</v>
      </c>
      <c r="M625" s="212">
        <f t="shared" si="66"/>
        <v>0</v>
      </c>
      <c r="N625" s="212">
        <f t="shared" si="66"/>
        <v>0</v>
      </c>
      <c r="O625" s="212">
        <f t="shared" si="66"/>
        <v>0</v>
      </c>
      <c r="P625" s="155">
        <f t="shared" si="66"/>
        <v>0</v>
      </c>
      <c r="Q625" s="407"/>
      <c r="R625" s="407"/>
    </row>
    <row r="626" spans="1:18" ht="12.75" x14ac:dyDescent="0.2">
      <c r="A626" s="152">
        <v>6212000</v>
      </c>
      <c r="B626" s="73"/>
      <c r="C626" s="51" t="s">
        <v>1029</v>
      </c>
      <c r="D626" s="89"/>
      <c r="E626" s="89"/>
      <c r="F626" s="89"/>
      <c r="G626" s="89"/>
      <c r="H626" s="89"/>
      <c r="I626" s="89"/>
      <c r="J626" s="212">
        <f t="shared" si="66"/>
        <v>0</v>
      </c>
      <c r="K626" s="212">
        <f t="shared" si="66"/>
        <v>0</v>
      </c>
      <c r="L626" s="212">
        <f t="shared" si="66"/>
        <v>0</v>
      </c>
      <c r="M626" s="212">
        <f t="shared" si="66"/>
        <v>0</v>
      </c>
      <c r="N626" s="212">
        <f t="shared" si="66"/>
        <v>0</v>
      </c>
      <c r="O626" s="212">
        <f t="shared" si="66"/>
        <v>0</v>
      </c>
      <c r="P626" s="155">
        <f t="shared" si="66"/>
        <v>0</v>
      </c>
      <c r="Q626" s="407"/>
      <c r="R626" s="407"/>
    </row>
    <row r="627" spans="1:18" ht="12.75" x14ac:dyDescent="0.2">
      <c r="A627" s="152">
        <v>6212000</v>
      </c>
      <c r="B627" s="73"/>
      <c r="C627" s="51" t="s">
        <v>113</v>
      </c>
      <c r="D627" s="89"/>
      <c r="E627" s="89"/>
      <c r="F627" s="89"/>
      <c r="G627" s="89"/>
      <c r="H627" s="89"/>
      <c r="I627" s="89"/>
      <c r="J627" s="212">
        <f t="shared" si="66"/>
        <v>0</v>
      </c>
      <c r="K627" s="212">
        <f t="shared" si="66"/>
        <v>0</v>
      </c>
      <c r="L627" s="212">
        <f t="shared" si="66"/>
        <v>0</v>
      </c>
      <c r="M627" s="212">
        <f t="shared" si="66"/>
        <v>0</v>
      </c>
      <c r="N627" s="212">
        <f t="shared" si="66"/>
        <v>0</v>
      </c>
      <c r="O627" s="212">
        <f t="shared" si="66"/>
        <v>0</v>
      </c>
      <c r="P627" s="155">
        <f t="shared" si="66"/>
        <v>0</v>
      </c>
      <c r="Q627" s="407"/>
      <c r="R627" s="407"/>
    </row>
    <row r="628" spans="1:18" ht="12.75" x14ac:dyDescent="0.2">
      <c r="A628" s="152">
        <v>6212000</v>
      </c>
      <c r="B628" s="73"/>
      <c r="C628" s="51" t="s">
        <v>1038</v>
      </c>
      <c r="D628" s="89"/>
      <c r="E628" s="89"/>
      <c r="F628" s="89"/>
      <c r="G628" s="89"/>
      <c r="H628" s="89"/>
      <c r="I628" s="89"/>
      <c r="J628" s="212">
        <f t="shared" si="66"/>
        <v>0</v>
      </c>
      <c r="K628" s="212">
        <f t="shared" si="66"/>
        <v>0</v>
      </c>
      <c r="L628" s="212">
        <f t="shared" si="66"/>
        <v>0</v>
      </c>
      <c r="M628" s="212">
        <f t="shared" si="66"/>
        <v>0</v>
      </c>
      <c r="N628" s="212">
        <f t="shared" si="66"/>
        <v>0</v>
      </c>
      <c r="O628" s="212">
        <f t="shared" si="66"/>
        <v>0</v>
      </c>
      <c r="P628" s="155">
        <f t="shared" si="66"/>
        <v>0</v>
      </c>
      <c r="Q628" s="407"/>
      <c r="R628" s="407"/>
    </row>
    <row r="629" spans="1:18" ht="12.75" x14ac:dyDescent="0.2">
      <c r="A629" s="152">
        <v>6212000</v>
      </c>
      <c r="B629" s="73"/>
      <c r="C629" s="51" t="s">
        <v>1033</v>
      </c>
      <c r="D629" s="89"/>
      <c r="E629" s="89"/>
      <c r="F629" s="89"/>
      <c r="G629" s="89"/>
      <c r="H629" s="89"/>
      <c r="I629" s="89"/>
      <c r="J629" s="212">
        <f t="shared" si="66"/>
        <v>0</v>
      </c>
      <c r="K629" s="212">
        <f t="shared" si="66"/>
        <v>0</v>
      </c>
      <c r="L629" s="212">
        <f t="shared" si="66"/>
        <v>0</v>
      </c>
      <c r="M629" s="212">
        <f t="shared" si="66"/>
        <v>0</v>
      </c>
      <c r="N629" s="212">
        <f t="shared" si="66"/>
        <v>0</v>
      </c>
      <c r="O629" s="212">
        <f t="shared" si="66"/>
        <v>0</v>
      </c>
      <c r="P629" s="155">
        <f t="shared" si="66"/>
        <v>0</v>
      </c>
      <c r="Q629" s="407"/>
      <c r="R629" s="407"/>
    </row>
    <row r="630" spans="1:18" ht="12.75" x14ac:dyDescent="0.2">
      <c r="A630" s="152">
        <v>6212000</v>
      </c>
      <c r="B630" s="73"/>
      <c r="C630" s="51" t="s">
        <v>1007</v>
      </c>
      <c r="D630" s="89"/>
      <c r="E630" s="89"/>
      <c r="F630" s="89"/>
      <c r="G630" s="89"/>
      <c r="H630" s="89"/>
      <c r="I630" s="89"/>
      <c r="J630" s="212">
        <f t="shared" si="66"/>
        <v>0</v>
      </c>
      <c r="K630" s="212">
        <f t="shared" si="66"/>
        <v>0</v>
      </c>
      <c r="L630" s="212">
        <f t="shared" si="66"/>
        <v>0</v>
      </c>
      <c r="M630" s="212">
        <f t="shared" si="66"/>
        <v>0</v>
      </c>
      <c r="N630" s="212">
        <f t="shared" si="66"/>
        <v>0</v>
      </c>
      <c r="O630" s="212">
        <f t="shared" si="66"/>
        <v>0</v>
      </c>
      <c r="P630" s="155">
        <f t="shared" si="66"/>
        <v>0</v>
      </c>
      <c r="Q630" s="407"/>
      <c r="R630" s="407"/>
    </row>
    <row r="631" spans="1:18" ht="12.75" x14ac:dyDescent="0.2">
      <c r="A631" s="152">
        <v>6212000</v>
      </c>
      <c r="B631" s="73"/>
      <c r="C631" s="51" t="s">
        <v>969</v>
      </c>
      <c r="D631" s="89"/>
      <c r="E631" s="89"/>
      <c r="F631" s="89"/>
      <c r="G631" s="89"/>
      <c r="H631" s="89"/>
      <c r="I631" s="89"/>
      <c r="J631" s="212">
        <f t="shared" si="66"/>
        <v>0</v>
      </c>
      <c r="K631" s="212">
        <f t="shared" si="66"/>
        <v>0</v>
      </c>
      <c r="L631" s="212">
        <f t="shared" si="66"/>
        <v>0</v>
      </c>
      <c r="M631" s="212">
        <f t="shared" si="66"/>
        <v>0</v>
      </c>
      <c r="N631" s="212">
        <f t="shared" si="66"/>
        <v>0</v>
      </c>
      <c r="O631" s="212">
        <f t="shared" si="66"/>
        <v>0</v>
      </c>
      <c r="P631" s="155">
        <f t="shared" si="66"/>
        <v>0</v>
      </c>
      <c r="Q631" s="407"/>
      <c r="R631" s="407"/>
    </row>
    <row r="632" spans="1:18" ht="12.75" x14ac:dyDescent="0.2">
      <c r="A632" s="152">
        <v>6212000</v>
      </c>
      <c r="B632" s="73"/>
      <c r="C632" s="51" t="s">
        <v>987</v>
      </c>
      <c r="D632" s="89"/>
      <c r="E632" s="89"/>
      <c r="F632" s="89"/>
      <c r="G632" s="89"/>
      <c r="H632" s="89"/>
      <c r="I632" s="89"/>
      <c r="J632" s="212">
        <f t="shared" si="66"/>
        <v>0</v>
      </c>
      <c r="K632" s="212">
        <f t="shared" si="66"/>
        <v>0</v>
      </c>
      <c r="L632" s="212">
        <f t="shared" si="66"/>
        <v>0</v>
      </c>
      <c r="M632" s="212">
        <f t="shared" si="66"/>
        <v>0</v>
      </c>
      <c r="N632" s="212">
        <f t="shared" si="66"/>
        <v>0</v>
      </c>
      <c r="O632" s="212">
        <f t="shared" si="66"/>
        <v>0</v>
      </c>
      <c r="P632" s="155">
        <f t="shared" si="66"/>
        <v>0</v>
      </c>
      <c r="Q632" s="407"/>
      <c r="R632" s="407"/>
    </row>
    <row r="633" spans="1:18" ht="12.75" x14ac:dyDescent="0.2">
      <c r="A633" s="152">
        <v>6212000</v>
      </c>
      <c r="B633" s="73"/>
      <c r="C633" s="51" t="s">
        <v>1000</v>
      </c>
      <c r="D633" s="89"/>
      <c r="E633" s="89"/>
      <c r="F633" s="89"/>
      <c r="G633" s="89"/>
      <c r="H633" s="89"/>
      <c r="I633" s="89"/>
      <c r="J633" s="212">
        <f t="shared" ref="J633:P642" si="67">SUMIFS(J$26:J$180,$A$26:$A$180,$A633,$C$26:$C$180,$C633)</f>
        <v>0</v>
      </c>
      <c r="K633" s="212">
        <f t="shared" si="67"/>
        <v>0</v>
      </c>
      <c r="L633" s="212">
        <f t="shared" si="67"/>
        <v>0</v>
      </c>
      <c r="M633" s="212">
        <f t="shared" si="67"/>
        <v>0</v>
      </c>
      <c r="N633" s="212">
        <f t="shared" si="67"/>
        <v>0</v>
      </c>
      <c r="O633" s="212">
        <f t="shared" si="67"/>
        <v>0</v>
      </c>
      <c r="P633" s="155">
        <f t="shared" si="67"/>
        <v>0</v>
      </c>
      <c r="Q633" s="407"/>
      <c r="R633" s="407"/>
    </row>
    <row r="634" spans="1:18" ht="12.75" x14ac:dyDescent="0.2">
      <c r="A634" s="152">
        <v>6212000</v>
      </c>
      <c r="B634" s="73"/>
      <c r="C634" s="51" t="s">
        <v>116</v>
      </c>
      <c r="D634" s="89"/>
      <c r="E634" s="89"/>
      <c r="F634" s="89"/>
      <c r="G634" s="89"/>
      <c r="H634" s="89"/>
      <c r="I634" s="89"/>
      <c r="J634" s="212">
        <f t="shared" si="67"/>
        <v>0</v>
      </c>
      <c r="K634" s="212">
        <f t="shared" si="67"/>
        <v>0</v>
      </c>
      <c r="L634" s="212">
        <f t="shared" si="67"/>
        <v>0</v>
      </c>
      <c r="M634" s="212">
        <f t="shared" si="67"/>
        <v>0</v>
      </c>
      <c r="N634" s="212">
        <f t="shared" si="67"/>
        <v>0</v>
      </c>
      <c r="O634" s="212">
        <f t="shared" si="67"/>
        <v>0</v>
      </c>
      <c r="P634" s="155">
        <f t="shared" si="67"/>
        <v>0</v>
      </c>
      <c r="Q634" s="407"/>
      <c r="R634" s="407"/>
    </row>
    <row r="635" spans="1:18" ht="12.75" x14ac:dyDescent="0.2">
      <c r="A635" s="152">
        <v>6212000</v>
      </c>
      <c r="B635" s="73"/>
      <c r="C635" s="51" t="s">
        <v>114</v>
      </c>
      <c r="D635" s="89"/>
      <c r="E635" s="89"/>
      <c r="F635" s="89"/>
      <c r="G635" s="89"/>
      <c r="H635" s="89"/>
      <c r="I635" s="89"/>
      <c r="J635" s="212">
        <f t="shared" si="67"/>
        <v>0</v>
      </c>
      <c r="K635" s="212">
        <f t="shared" si="67"/>
        <v>0</v>
      </c>
      <c r="L635" s="212">
        <f t="shared" si="67"/>
        <v>0</v>
      </c>
      <c r="M635" s="212">
        <f t="shared" si="67"/>
        <v>0</v>
      </c>
      <c r="N635" s="212">
        <f t="shared" si="67"/>
        <v>0</v>
      </c>
      <c r="O635" s="212">
        <f t="shared" si="67"/>
        <v>0</v>
      </c>
      <c r="P635" s="155">
        <f t="shared" si="67"/>
        <v>0</v>
      </c>
      <c r="Q635" s="407"/>
      <c r="R635" s="407"/>
    </row>
    <row r="636" spans="1:18" ht="12.75" x14ac:dyDescent="0.2">
      <c r="A636" s="152">
        <v>6212000</v>
      </c>
      <c r="B636" s="73"/>
      <c r="C636" s="51" t="s">
        <v>111</v>
      </c>
      <c r="D636" s="89"/>
      <c r="E636" s="89"/>
      <c r="F636" s="89"/>
      <c r="G636" s="89"/>
      <c r="H636" s="89"/>
      <c r="I636" s="89"/>
      <c r="J636" s="212">
        <f t="shared" si="67"/>
        <v>0</v>
      </c>
      <c r="K636" s="212">
        <f t="shared" si="67"/>
        <v>0</v>
      </c>
      <c r="L636" s="212">
        <f t="shared" si="67"/>
        <v>0</v>
      </c>
      <c r="M636" s="212">
        <f t="shared" si="67"/>
        <v>0</v>
      </c>
      <c r="N636" s="212">
        <f t="shared" si="67"/>
        <v>0</v>
      </c>
      <c r="O636" s="212">
        <f t="shared" si="67"/>
        <v>0</v>
      </c>
      <c r="P636" s="155">
        <f t="shared" si="67"/>
        <v>0</v>
      </c>
      <c r="Q636" s="407"/>
      <c r="R636" s="407"/>
    </row>
    <row r="637" spans="1:18" ht="12.75" x14ac:dyDescent="0.2">
      <c r="A637" s="152">
        <v>6212000</v>
      </c>
      <c r="B637" s="73"/>
      <c r="C637" s="51" t="s">
        <v>117</v>
      </c>
      <c r="D637" s="89"/>
      <c r="E637" s="89"/>
      <c r="F637" s="89"/>
      <c r="G637" s="89"/>
      <c r="H637" s="89"/>
      <c r="I637" s="89"/>
      <c r="J637" s="212">
        <f t="shared" si="67"/>
        <v>0</v>
      </c>
      <c r="K637" s="212">
        <f t="shared" si="67"/>
        <v>0</v>
      </c>
      <c r="L637" s="212">
        <f t="shared" si="67"/>
        <v>0</v>
      </c>
      <c r="M637" s="212">
        <f t="shared" si="67"/>
        <v>0</v>
      </c>
      <c r="N637" s="212">
        <f t="shared" si="67"/>
        <v>0</v>
      </c>
      <c r="O637" s="212">
        <f t="shared" si="67"/>
        <v>0</v>
      </c>
      <c r="P637" s="155">
        <f t="shared" si="67"/>
        <v>0</v>
      </c>
      <c r="Q637" s="407"/>
      <c r="R637" s="407"/>
    </row>
    <row r="638" spans="1:18" ht="12.75" x14ac:dyDescent="0.2">
      <c r="A638" s="152">
        <v>6212000</v>
      </c>
      <c r="B638" s="73"/>
      <c r="C638" s="51" t="s">
        <v>112</v>
      </c>
      <c r="D638" s="89"/>
      <c r="E638" s="89"/>
      <c r="F638" s="89"/>
      <c r="G638" s="89"/>
      <c r="H638" s="89"/>
      <c r="I638" s="89"/>
      <c r="J638" s="212">
        <f t="shared" si="67"/>
        <v>0</v>
      </c>
      <c r="K638" s="212">
        <f t="shared" si="67"/>
        <v>0</v>
      </c>
      <c r="L638" s="212">
        <f t="shared" si="67"/>
        <v>0</v>
      </c>
      <c r="M638" s="212">
        <f t="shared" si="67"/>
        <v>0</v>
      </c>
      <c r="N638" s="212">
        <f t="shared" si="67"/>
        <v>0</v>
      </c>
      <c r="O638" s="212">
        <f t="shared" si="67"/>
        <v>0</v>
      </c>
      <c r="P638" s="155">
        <f t="shared" si="67"/>
        <v>0</v>
      </c>
      <c r="Q638" s="407"/>
      <c r="R638" s="407"/>
    </row>
    <row r="639" spans="1:18" ht="12.75" x14ac:dyDescent="0.2">
      <c r="A639" s="152">
        <v>6212000</v>
      </c>
      <c r="B639" s="73"/>
      <c r="C639" s="51" t="s">
        <v>136</v>
      </c>
      <c r="D639" s="89"/>
      <c r="E639" s="89"/>
      <c r="F639" s="89"/>
      <c r="G639" s="89"/>
      <c r="H639" s="89"/>
      <c r="I639" s="89"/>
      <c r="J639" s="212">
        <f t="shared" si="67"/>
        <v>0</v>
      </c>
      <c r="K639" s="212">
        <f t="shared" si="67"/>
        <v>0</v>
      </c>
      <c r="L639" s="212">
        <f t="shared" si="67"/>
        <v>0</v>
      </c>
      <c r="M639" s="212">
        <f t="shared" si="67"/>
        <v>0</v>
      </c>
      <c r="N639" s="212">
        <f t="shared" si="67"/>
        <v>0</v>
      </c>
      <c r="O639" s="212">
        <f t="shared" si="67"/>
        <v>0</v>
      </c>
      <c r="P639" s="155">
        <f t="shared" si="67"/>
        <v>0</v>
      </c>
      <c r="Q639" s="407"/>
      <c r="R639" s="407"/>
    </row>
    <row r="640" spans="1:18" ht="12.75" x14ac:dyDescent="0.2">
      <c r="A640" s="152">
        <v>6212000</v>
      </c>
      <c r="B640" s="73"/>
      <c r="C640" s="51" t="s">
        <v>962</v>
      </c>
      <c r="D640" s="89"/>
      <c r="E640" s="89"/>
      <c r="F640" s="89"/>
      <c r="G640" s="89"/>
      <c r="H640" s="89"/>
      <c r="I640" s="89"/>
      <c r="J640" s="212">
        <f t="shared" si="67"/>
        <v>0</v>
      </c>
      <c r="K640" s="212">
        <f t="shared" si="67"/>
        <v>0</v>
      </c>
      <c r="L640" s="212">
        <f t="shared" si="67"/>
        <v>0</v>
      </c>
      <c r="M640" s="212">
        <f t="shared" si="67"/>
        <v>0</v>
      </c>
      <c r="N640" s="212">
        <f t="shared" si="67"/>
        <v>0</v>
      </c>
      <c r="O640" s="212">
        <f t="shared" si="67"/>
        <v>0</v>
      </c>
      <c r="P640" s="155">
        <f t="shared" si="67"/>
        <v>0</v>
      </c>
      <c r="Q640" s="407"/>
      <c r="R640" s="407"/>
    </row>
    <row r="641" spans="1:18" ht="12.75" x14ac:dyDescent="0.2">
      <c r="A641" s="152">
        <v>6212000</v>
      </c>
      <c r="B641" s="73"/>
      <c r="C641" s="51" t="s">
        <v>115</v>
      </c>
      <c r="D641" s="89"/>
      <c r="E641" s="89"/>
      <c r="F641" s="89"/>
      <c r="G641" s="89"/>
      <c r="H641" s="89"/>
      <c r="I641" s="89"/>
      <c r="J641" s="212">
        <f t="shared" si="67"/>
        <v>0</v>
      </c>
      <c r="K641" s="212">
        <f t="shared" si="67"/>
        <v>0</v>
      </c>
      <c r="L641" s="212">
        <f t="shared" si="67"/>
        <v>0</v>
      </c>
      <c r="M641" s="212">
        <f t="shared" si="67"/>
        <v>0</v>
      </c>
      <c r="N641" s="212">
        <f t="shared" si="67"/>
        <v>0</v>
      </c>
      <c r="O641" s="212">
        <f t="shared" si="67"/>
        <v>0</v>
      </c>
      <c r="P641" s="155">
        <f t="shared" si="67"/>
        <v>0</v>
      </c>
      <c r="Q641" s="407"/>
      <c r="R641" s="407"/>
    </row>
    <row r="642" spans="1:18" ht="12.75" x14ac:dyDescent="0.2">
      <c r="A642" s="152">
        <v>6212000</v>
      </c>
      <c r="B642" s="73"/>
      <c r="C642" s="51" t="s">
        <v>997</v>
      </c>
      <c r="D642" s="89"/>
      <c r="E642" s="89"/>
      <c r="F642" s="89"/>
      <c r="G642" s="89"/>
      <c r="H642" s="89"/>
      <c r="I642" s="89"/>
      <c r="J642" s="212">
        <f t="shared" si="67"/>
        <v>0</v>
      </c>
      <c r="K642" s="212">
        <f t="shared" si="67"/>
        <v>0</v>
      </c>
      <c r="L642" s="212">
        <f t="shared" si="67"/>
        <v>0</v>
      </c>
      <c r="M642" s="212">
        <f t="shared" si="67"/>
        <v>0</v>
      </c>
      <c r="N642" s="212">
        <f t="shared" si="67"/>
        <v>0</v>
      </c>
      <c r="O642" s="212">
        <f t="shared" si="67"/>
        <v>0</v>
      </c>
      <c r="P642" s="155">
        <f t="shared" si="67"/>
        <v>0</v>
      </c>
      <c r="Q642" s="407"/>
      <c r="R642" s="407"/>
    </row>
    <row r="643" spans="1:18" ht="12.75" x14ac:dyDescent="0.2">
      <c r="A643" s="152">
        <v>6212000</v>
      </c>
      <c r="B643" s="73"/>
      <c r="C643" s="51" t="s">
        <v>999</v>
      </c>
      <c r="D643" s="89"/>
      <c r="E643" s="89"/>
      <c r="F643" s="89"/>
      <c r="G643" s="89"/>
      <c r="H643" s="89"/>
      <c r="I643" s="89"/>
      <c r="J643" s="212">
        <f t="shared" ref="J643:P652" si="68">SUMIFS(J$26:J$180,$A$26:$A$180,$A643,$C$26:$C$180,$C643)</f>
        <v>0</v>
      </c>
      <c r="K643" s="212">
        <f t="shared" si="68"/>
        <v>0</v>
      </c>
      <c r="L643" s="212">
        <f t="shared" si="68"/>
        <v>0</v>
      </c>
      <c r="M643" s="212">
        <f t="shared" si="68"/>
        <v>0</v>
      </c>
      <c r="N643" s="212">
        <f t="shared" si="68"/>
        <v>0</v>
      </c>
      <c r="O643" s="212">
        <f t="shared" si="68"/>
        <v>0</v>
      </c>
      <c r="P643" s="155">
        <f t="shared" si="68"/>
        <v>0</v>
      </c>
      <c r="Q643" s="407"/>
      <c r="R643" s="407"/>
    </row>
    <row r="644" spans="1:18" ht="12.75" x14ac:dyDescent="0.2">
      <c r="A644" s="152">
        <v>6212000</v>
      </c>
      <c r="B644" s="73"/>
      <c r="C644" s="51" t="s">
        <v>1049</v>
      </c>
      <c r="D644" s="89"/>
      <c r="E644" s="89"/>
      <c r="F644" s="89"/>
      <c r="G644" s="89"/>
      <c r="H644" s="89"/>
      <c r="I644" s="89"/>
      <c r="J644" s="212">
        <f t="shared" si="68"/>
        <v>0</v>
      </c>
      <c r="K644" s="212">
        <f t="shared" si="68"/>
        <v>0</v>
      </c>
      <c r="L644" s="212">
        <f t="shared" si="68"/>
        <v>0</v>
      </c>
      <c r="M644" s="212">
        <f t="shared" si="68"/>
        <v>0</v>
      </c>
      <c r="N644" s="212">
        <f t="shared" si="68"/>
        <v>0</v>
      </c>
      <c r="O644" s="212">
        <f t="shared" si="68"/>
        <v>0</v>
      </c>
      <c r="P644" s="155">
        <f t="shared" si="68"/>
        <v>0</v>
      </c>
      <c r="Q644" s="407"/>
      <c r="R644" s="407"/>
    </row>
    <row r="645" spans="1:18" ht="12.75" x14ac:dyDescent="0.2">
      <c r="A645" s="152">
        <v>6212000</v>
      </c>
      <c r="B645" s="73"/>
      <c r="C645" s="51" t="s">
        <v>96</v>
      </c>
      <c r="D645" s="89"/>
      <c r="E645" s="89"/>
      <c r="F645" s="89"/>
      <c r="G645" s="89"/>
      <c r="H645" s="89"/>
      <c r="I645" s="89"/>
      <c r="J645" s="212">
        <f t="shared" si="68"/>
        <v>0</v>
      </c>
      <c r="K645" s="212">
        <f t="shared" si="68"/>
        <v>0</v>
      </c>
      <c r="L645" s="212">
        <f t="shared" si="68"/>
        <v>0</v>
      </c>
      <c r="M645" s="212">
        <f t="shared" si="68"/>
        <v>0</v>
      </c>
      <c r="N645" s="212">
        <f t="shared" si="68"/>
        <v>0</v>
      </c>
      <c r="O645" s="212">
        <f t="shared" si="68"/>
        <v>0</v>
      </c>
      <c r="P645" s="155">
        <f t="shared" si="68"/>
        <v>0</v>
      </c>
      <c r="Q645" s="407"/>
      <c r="R645" s="407"/>
    </row>
    <row r="646" spans="1:18" ht="12.75" x14ac:dyDescent="0.2">
      <c r="A646" s="152">
        <v>6212000</v>
      </c>
      <c r="B646" s="73"/>
      <c r="C646" s="51" t="s">
        <v>983</v>
      </c>
      <c r="D646" s="89"/>
      <c r="E646" s="89"/>
      <c r="F646" s="89"/>
      <c r="G646" s="89"/>
      <c r="H646" s="89"/>
      <c r="I646" s="89"/>
      <c r="J646" s="212">
        <f t="shared" si="68"/>
        <v>0</v>
      </c>
      <c r="K646" s="212">
        <f t="shared" si="68"/>
        <v>0</v>
      </c>
      <c r="L646" s="212">
        <f t="shared" si="68"/>
        <v>0</v>
      </c>
      <c r="M646" s="212">
        <f t="shared" si="68"/>
        <v>0</v>
      </c>
      <c r="N646" s="212">
        <f t="shared" si="68"/>
        <v>0</v>
      </c>
      <c r="O646" s="212">
        <f t="shared" si="68"/>
        <v>0</v>
      </c>
      <c r="P646" s="155">
        <f t="shared" si="68"/>
        <v>0</v>
      </c>
      <c r="Q646" s="407"/>
      <c r="R646" s="407"/>
    </row>
    <row r="647" spans="1:18" ht="12.75" x14ac:dyDescent="0.2">
      <c r="A647" s="152">
        <v>6212000</v>
      </c>
      <c r="B647" s="73"/>
      <c r="C647" s="51" t="s">
        <v>1042</v>
      </c>
      <c r="D647" s="89"/>
      <c r="E647" s="89"/>
      <c r="F647" s="89"/>
      <c r="G647" s="89"/>
      <c r="H647" s="89"/>
      <c r="I647" s="89"/>
      <c r="J647" s="212">
        <f t="shared" si="68"/>
        <v>0</v>
      </c>
      <c r="K647" s="212">
        <f t="shared" si="68"/>
        <v>0</v>
      </c>
      <c r="L647" s="212">
        <f t="shared" si="68"/>
        <v>0</v>
      </c>
      <c r="M647" s="212">
        <f t="shared" si="68"/>
        <v>0</v>
      </c>
      <c r="N647" s="212">
        <f t="shared" si="68"/>
        <v>0</v>
      </c>
      <c r="O647" s="212">
        <f t="shared" si="68"/>
        <v>0</v>
      </c>
      <c r="P647" s="155">
        <f t="shared" si="68"/>
        <v>0</v>
      </c>
      <c r="Q647" s="407"/>
      <c r="R647" s="407"/>
    </row>
    <row r="648" spans="1:18" ht="12.75" x14ac:dyDescent="0.2">
      <c r="A648" s="152">
        <v>6212000</v>
      </c>
      <c r="B648" s="73"/>
      <c r="C648" s="51" t="s">
        <v>979</v>
      </c>
      <c r="D648" s="89"/>
      <c r="E648" s="89"/>
      <c r="F648" s="89"/>
      <c r="G648" s="89"/>
      <c r="H648" s="89"/>
      <c r="I648" s="89"/>
      <c r="J648" s="212">
        <f t="shared" si="68"/>
        <v>0</v>
      </c>
      <c r="K648" s="212">
        <f t="shared" si="68"/>
        <v>0</v>
      </c>
      <c r="L648" s="212">
        <f t="shared" si="68"/>
        <v>0</v>
      </c>
      <c r="M648" s="212">
        <f t="shared" si="68"/>
        <v>0</v>
      </c>
      <c r="N648" s="212">
        <f t="shared" si="68"/>
        <v>0</v>
      </c>
      <c r="O648" s="212">
        <f t="shared" si="68"/>
        <v>0</v>
      </c>
      <c r="P648" s="155">
        <f t="shared" si="68"/>
        <v>0</v>
      </c>
      <c r="Q648" s="407"/>
      <c r="R648" s="407"/>
    </row>
    <row r="649" spans="1:18" ht="12.75" x14ac:dyDescent="0.2">
      <c r="A649" s="152">
        <v>6212000</v>
      </c>
      <c r="B649" s="73"/>
      <c r="C649" s="51" t="s">
        <v>47</v>
      </c>
      <c r="D649" s="89"/>
      <c r="E649" s="89"/>
      <c r="F649" s="89"/>
      <c r="G649" s="89"/>
      <c r="H649" s="89"/>
      <c r="I649" s="89"/>
      <c r="J649" s="212">
        <f t="shared" si="68"/>
        <v>0</v>
      </c>
      <c r="K649" s="212">
        <f t="shared" si="68"/>
        <v>0</v>
      </c>
      <c r="L649" s="212">
        <f t="shared" si="68"/>
        <v>0</v>
      </c>
      <c r="M649" s="212">
        <f t="shared" si="68"/>
        <v>0</v>
      </c>
      <c r="N649" s="212">
        <f t="shared" si="68"/>
        <v>0</v>
      </c>
      <c r="O649" s="212">
        <f t="shared" si="68"/>
        <v>0</v>
      </c>
      <c r="P649" s="155">
        <f t="shared" si="68"/>
        <v>0</v>
      </c>
      <c r="Q649" s="407"/>
      <c r="R649" s="407"/>
    </row>
    <row r="650" spans="1:18" ht="12.75" x14ac:dyDescent="0.2">
      <c r="A650" s="152">
        <v>6212000</v>
      </c>
      <c r="B650" s="73"/>
      <c r="C650" s="51" t="s">
        <v>48</v>
      </c>
      <c r="D650" s="89"/>
      <c r="E650" s="89"/>
      <c r="F650" s="89"/>
      <c r="G650" s="89"/>
      <c r="H650" s="89"/>
      <c r="I650" s="89"/>
      <c r="J650" s="212">
        <f t="shared" si="68"/>
        <v>0</v>
      </c>
      <c r="K650" s="212">
        <f t="shared" si="68"/>
        <v>0</v>
      </c>
      <c r="L650" s="212">
        <f t="shared" si="68"/>
        <v>0</v>
      </c>
      <c r="M650" s="212">
        <f t="shared" si="68"/>
        <v>0</v>
      </c>
      <c r="N650" s="212">
        <f t="shared" si="68"/>
        <v>0</v>
      </c>
      <c r="O650" s="212">
        <f t="shared" si="68"/>
        <v>0</v>
      </c>
      <c r="P650" s="155">
        <f t="shared" si="68"/>
        <v>0</v>
      </c>
      <c r="Q650" s="407"/>
      <c r="R650" s="407"/>
    </row>
    <row r="651" spans="1:18" ht="12.75" x14ac:dyDescent="0.2">
      <c r="A651" s="152">
        <v>6212000</v>
      </c>
      <c r="B651" s="73"/>
      <c r="C651" s="51" t="s">
        <v>1051</v>
      </c>
      <c r="D651" s="89"/>
      <c r="E651" s="89"/>
      <c r="F651" s="89"/>
      <c r="G651" s="89"/>
      <c r="H651" s="89"/>
      <c r="I651" s="89"/>
      <c r="J651" s="212">
        <f t="shared" si="68"/>
        <v>0</v>
      </c>
      <c r="K651" s="212">
        <f t="shared" si="68"/>
        <v>0</v>
      </c>
      <c r="L651" s="212">
        <f t="shared" si="68"/>
        <v>0</v>
      </c>
      <c r="M651" s="212">
        <f t="shared" si="68"/>
        <v>0</v>
      </c>
      <c r="N651" s="212">
        <f t="shared" si="68"/>
        <v>0</v>
      </c>
      <c r="O651" s="212">
        <f t="shared" si="68"/>
        <v>0</v>
      </c>
      <c r="P651" s="155">
        <f t="shared" si="68"/>
        <v>0</v>
      </c>
      <c r="Q651" s="407"/>
      <c r="R651" s="407"/>
    </row>
    <row r="652" spans="1:18" ht="12.75" x14ac:dyDescent="0.2">
      <c r="A652" s="152">
        <v>6212000</v>
      </c>
      <c r="B652" s="73"/>
      <c r="C652" s="51" t="s">
        <v>929</v>
      </c>
      <c r="D652" s="89"/>
      <c r="E652" s="89"/>
      <c r="F652" s="89"/>
      <c r="G652" s="89"/>
      <c r="H652" s="89"/>
      <c r="I652" s="89"/>
      <c r="J652" s="212">
        <f t="shared" si="68"/>
        <v>0</v>
      </c>
      <c r="K652" s="212">
        <f t="shared" si="68"/>
        <v>0</v>
      </c>
      <c r="L652" s="212">
        <f t="shared" si="68"/>
        <v>0</v>
      </c>
      <c r="M652" s="212">
        <f t="shared" si="68"/>
        <v>0</v>
      </c>
      <c r="N652" s="212">
        <f t="shared" si="68"/>
        <v>0</v>
      </c>
      <c r="O652" s="212">
        <f t="shared" si="68"/>
        <v>0</v>
      </c>
      <c r="P652" s="155">
        <f t="shared" si="68"/>
        <v>0</v>
      </c>
      <c r="Q652" s="407"/>
      <c r="R652" s="407"/>
    </row>
    <row r="653" spans="1:18" ht="12.75" x14ac:dyDescent="0.2">
      <c r="A653" s="152">
        <v>6212000</v>
      </c>
      <c r="B653" s="73"/>
      <c r="C653" s="51" t="s">
        <v>970</v>
      </c>
      <c r="D653" s="89"/>
      <c r="E653" s="89"/>
      <c r="F653" s="89"/>
      <c r="G653" s="89"/>
      <c r="H653" s="89"/>
      <c r="I653" s="89"/>
      <c r="J653" s="212">
        <f t="shared" ref="J653:P662" si="69">SUMIFS(J$26:J$180,$A$26:$A$180,$A653,$C$26:$C$180,$C653)</f>
        <v>0</v>
      </c>
      <c r="K653" s="212">
        <f t="shared" si="69"/>
        <v>0</v>
      </c>
      <c r="L653" s="212">
        <f t="shared" si="69"/>
        <v>0</v>
      </c>
      <c r="M653" s="212">
        <f t="shared" si="69"/>
        <v>0</v>
      </c>
      <c r="N653" s="212">
        <f t="shared" si="69"/>
        <v>0</v>
      </c>
      <c r="O653" s="212">
        <f t="shared" si="69"/>
        <v>0</v>
      </c>
      <c r="P653" s="155">
        <f t="shared" si="69"/>
        <v>0</v>
      </c>
      <c r="Q653" s="407"/>
      <c r="R653" s="407"/>
    </row>
    <row r="654" spans="1:18" ht="12.75" x14ac:dyDescent="0.2">
      <c r="A654" s="152">
        <v>6212000</v>
      </c>
      <c r="B654" s="73"/>
      <c r="C654" s="51" t="s">
        <v>122</v>
      </c>
      <c r="D654" s="89"/>
      <c r="E654" s="89"/>
      <c r="F654" s="89"/>
      <c r="G654" s="89"/>
      <c r="H654" s="89"/>
      <c r="I654" s="89"/>
      <c r="J654" s="212">
        <f t="shared" si="69"/>
        <v>0</v>
      </c>
      <c r="K654" s="212">
        <f t="shared" si="69"/>
        <v>0</v>
      </c>
      <c r="L654" s="212">
        <f t="shared" si="69"/>
        <v>0</v>
      </c>
      <c r="M654" s="212">
        <f t="shared" si="69"/>
        <v>0</v>
      </c>
      <c r="N654" s="212">
        <f t="shared" si="69"/>
        <v>0</v>
      </c>
      <c r="O654" s="212">
        <f t="shared" si="69"/>
        <v>0</v>
      </c>
      <c r="P654" s="155">
        <f t="shared" si="69"/>
        <v>0</v>
      </c>
      <c r="Q654" s="407"/>
      <c r="R654" s="407"/>
    </row>
    <row r="655" spans="1:18" ht="12.75" x14ac:dyDescent="0.2">
      <c r="A655" s="152">
        <v>6212000</v>
      </c>
      <c r="B655" s="73"/>
      <c r="C655" s="51" t="s">
        <v>135</v>
      </c>
      <c r="D655" s="89"/>
      <c r="E655" s="89"/>
      <c r="F655" s="89"/>
      <c r="G655" s="89"/>
      <c r="H655" s="89"/>
      <c r="I655" s="89"/>
      <c r="J655" s="212">
        <f t="shared" si="69"/>
        <v>0</v>
      </c>
      <c r="K655" s="212">
        <f t="shared" si="69"/>
        <v>0</v>
      </c>
      <c r="L655" s="212">
        <f t="shared" si="69"/>
        <v>0</v>
      </c>
      <c r="M655" s="212">
        <f t="shared" si="69"/>
        <v>0</v>
      </c>
      <c r="N655" s="212">
        <f t="shared" si="69"/>
        <v>0</v>
      </c>
      <c r="O655" s="212">
        <f t="shared" si="69"/>
        <v>0</v>
      </c>
      <c r="P655" s="155">
        <f t="shared" si="69"/>
        <v>0</v>
      </c>
      <c r="Q655" s="407"/>
      <c r="R655" s="407"/>
    </row>
    <row r="656" spans="1:18" ht="12.75" x14ac:dyDescent="0.2">
      <c r="A656" s="152">
        <v>6212000</v>
      </c>
      <c r="B656" s="73"/>
      <c r="C656" s="51" t="s">
        <v>123</v>
      </c>
      <c r="D656" s="89"/>
      <c r="E656" s="89"/>
      <c r="F656" s="89"/>
      <c r="G656" s="89"/>
      <c r="H656" s="89"/>
      <c r="I656" s="89"/>
      <c r="J656" s="212">
        <f t="shared" si="69"/>
        <v>0</v>
      </c>
      <c r="K656" s="212">
        <f t="shared" si="69"/>
        <v>0</v>
      </c>
      <c r="L656" s="212">
        <f t="shared" si="69"/>
        <v>0</v>
      </c>
      <c r="M656" s="212">
        <f t="shared" si="69"/>
        <v>0</v>
      </c>
      <c r="N656" s="212">
        <f t="shared" si="69"/>
        <v>0</v>
      </c>
      <c r="O656" s="212">
        <f t="shared" si="69"/>
        <v>0</v>
      </c>
      <c r="P656" s="155">
        <f t="shared" si="69"/>
        <v>0</v>
      </c>
      <c r="Q656" s="407"/>
      <c r="R656" s="407"/>
    </row>
    <row r="657" spans="1:18" ht="12.75" x14ac:dyDescent="0.2">
      <c r="A657" s="152">
        <v>6212000</v>
      </c>
      <c r="B657" s="73"/>
      <c r="C657" s="51" t="s">
        <v>974</v>
      </c>
      <c r="D657" s="89"/>
      <c r="E657" s="89"/>
      <c r="F657" s="89"/>
      <c r="G657" s="89"/>
      <c r="H657" s="89"/>
      <c r="I657" s="89"/>
      <c r="J657" s="212">
        <f t="shared" si="69"/>
        <v>0</v>
      </c>
      <c r="K657" s="212">
        <f t="shared" si="69"/>
        <v>0</v>
      </c>
      <c r="L657" s="212">
        <f t="shared" si="69"/>
        <v>0</v>
      </c>
      <c r="M657" s="212">
        <f t="shared" si="69"/>
        <v>0</v>
      </c>
      <c r="N657" s="212">
        <f t="shared" si="69"/>
        <v>0</v>
      </c>
      <c r="O657" s="212">
        <f t="shared" si="69"/>
        <v>0</v>
      </c>
      <c r="P657" s="155">
        <f t="shared" si="69"/>
        <v>0</v>
      </c>
      <c r="Q657" s="407"/>
      <c r="R657" s="407"/>
    </row>
    <row r="658" spans="1:18" ht="12.75" x14ac:dyDescent="0.2">
      <c r="A658" s="152">
        <v>6212000</v>
      </c>
      <c r="B658" s="73"/>
      <c r="C658" s="51" t="s">
        <v>975</v>
      </c>
      <c r="D658" s="89"/>
      <c r="E658" s="89"/>
      <c r="F658" s="89"/>
      <c r="G658" s="89"/>
      <c r="H658" s="89"/>
      <c r="I658" s="89"/>
      <c r="J658" s="212">
        <f t="shared" si="69"/>
        <v>0</v>
      </c>
      <c r="K658" s="212">
        <f t="shared" si="69"/>
        <v>0</v>
      </c>
      <c r="L658" s="212">
        <f t="shared" si="69"/>
        <v>0</v>
      </c>
      <c r="M658" s="212">
        <f t="shared" si="69"/>
        <v>0</v>
      </c>
      <c r="N658" s="212">
        <f t="shared" si="69"/>
        <v>0</v>
      </c>
      <c r="O658" s="212">
        <f t="shared" si="69"/>
        <v>0</v>
      </c>
      <c r="P658" s="155">
        <f t="shared" si="69"/>
        <v>0</v>
      </c>
      <c r="Q658" s="407"/>
      <c r="R658" s="407"/>
    </row>
    <row r="659" spans="1:18" ht="12.75" x14ac:dyDescent="0.2">
      <c r="A659" s="152">
        <v>6212000</v>
      </c>
      <c r="B659" s="73"/>
      <c r="C659" s="51" t="s">
        <v>126</v>
      </c>
      <c r="D659" s="89"/>
      <c r="E659" s="89"/>
      <c r="F659" s="89"/>
      <c r="G659" s="89"/>
      <c r="H659" s="89"/>
      <c r="I659" s="89"/>
      <c r="J659" s="212">
        <f t="shared" si="69"/>
        <v>0</v>
      </c>
      <c r="K659" s="212">
        <f t="shared" si="69"/>
        <v>0</v>
      </c>
      <c r="L659" s="212">
        <f t="shared" si="69"/>
        <v>0</v>
      </c>
      <c r="M659" s="212">
        <f t="shared" si="69"/>
        <v>0</v>
      </c>
      <c r="N659" s="212">
        <f t="shared" si="69"/>
        <v>0</v>
      </c>
      <c r="O659" s="212">
        <f t="shared" si="69"/>
        <v>0</v>
      </c>
      <c r="P659" s="155">
        <f t="shared" si="69"/>
        <v>0</v>
      </c>
      <c r="Q659" s="407"/>
      <c r="R659" s="407"/>
    </row>
    <row r="660" spans="1:18" ht="12.75" x14ac:dyDescent="0.2">
      <c r="A660" s="152">
        <v>6212000</v>
      </c>
      <c r="B660" s="73"/>
      <c r="C660" s="51" t="s">
        <v>127</v>
      </c>
      <c r="D660" s="89"/>
      <c r="E660" s="89"/>
      <c r="F660" s="89"/>
      <c r="G660" s="89"/>
      <c r="H660" s="89"/>
      <c r="I660" s="89"/>
      <c r="J660" s="212">
        <f t="shared" si="69"/>
        <v>0</v>
      </c>
      <c r="K660" s="212">
        <f t="shared" si="69"/>
        <v>0</v>
      </c>
      <c r="L660" s="212">
        <f t="shared" si="69"/>
        <v>0</v>
      </c>
      <c r="M660" s="212">
        <f t="shared" si="69"/>
        <v>0</v>
      </c>
      <c r="N660" s="212">
        <f t="shared" si="69"/>
        <v>0</v>
      </c>
      <c r="O660" s="212">
        <f t="shared" si="69"/>
        <v>0</v>
      </c>
      <c r="P660" s="155">
        <f t="shared" si="69"/>
        <v>0</v>
      </c>
      <c r="Q660" s="407"/>
      <c r="R660" s="407"/>
    </row>
    <row r="661" spans="1:18" ht="12.75" x14ac:dyDescent="0.2">
      <c r="A661" s="152">
        <v>6212000</v>
      </c>
      <c r="B661" s="73"/>
      <c r="C661" s="51" t="s">
        <v>130</v>
      </c>
      <c r="D661" s="89"/>
      <c r="E661" s="89"/>
      <c r="F661" s="89"/>
      <c r="G661" s="89"/>
      <c r="H661" s="89"/>
      <c r="I661" s="89"/>
      <c r="J661" s="212">
        <f t="shared" si="69"/>
        <v>0</v>
      </c>
      <c r="K661" s="212">
        <f t="shared" si="69"/>
        <v>0</v>
      </c>
      <c r="L661" s="212">
        <f t="shared" si="69"/>
        <v>0</v>
      </c>
      <c r="M661" s="212">
        <f t="shared" si="69"/>
        <v>0</v>
      </c>
      <c r="N661" s="212">
        <f t="shared" si="69"/>
        <v>0</v>
      </c>
      <c r="O661" s="212">
        <f t="shared" si="69"/>
        <v>0</v>
      </c>
      <c r="P661" s="155">
        <f t="shared" si="69"/>
        <v>0</v>
      </c>
      <c r="Q661" s="407"/>
      <c r="R661" s="407"/>
    </row>
    <row r="662" spans="1:18" ht="12.75" x14ac:dyDescent="0.2">
      <c r="A662" s="152">
        <v>6212000</v>
      </c>
      <c r="B662" s="73"/>
      <c r="C662" s="51" t="s">
        <v>125</v>
      </c>
      <c r="D662" s="89"/>
      <c r="E662" s="89"/>
      <c r="F662" s="89"/>
      <c r="G662" s="89"/>
      <c r="H662" s="89"/>
      <c r="I662" s="89"/>
      <c r="J662" s="212">
        <f t="shared" si="69"/>
        <v>0</v>
      </c>
      <c r="K662" s="212">
        <f t="shared" si="69"/>
        <v>0</v>
      </c>
      <c r="L662" s="212">
        <f t="shared" si="69"/>
        <v>0</v>
      </c>
      <c r="M662" s="212">
        <f t="shared" si="69"/>
        <v>0</v>
      </c>
      <c r="N662" s="212">
        <f t="shared" si="69"/>
        <v>0</v>
      </c>
      <c r="O662" s="212">
        <f t="shared" si="69"/>
        <v>0</v>
      </c>
      <c r="P662" s="155">
        <f t="shared" si="69"/>
        <v>0</v>
      </c>
      <c r="Q662" s="407"/>
      <c r="R662" s="407"/>
    </row>
    <row r="663" spans="1:18" ht="12.75" x14ac:dyDescent="0.2">
      <c r="A663" s="152">
        <v>6212000</v>
      </c>
      <c r="B663" s="73"/>
      <c r="C663" s="51" t="s">
        <v>128</v>
      </c>
      <c r="D663" s="89"/>
      <c r="E663" s="89"/>
      <c r="F663" s="89"/>
      <c r="G663" s="89"/>
      <c r="H663" s="89"/>
      <c r="I663" s="89"/>
      <c r="J663" s="212">
        <f t="shared" ref="J663:P672" si="70">SUMIFS(J$26:J$180,$A$26:$A$180,$A663,$C$26:$C$180,$C663)</f>
        <v>0</v>
      </c>
      <c r="K663" s="212">
        <f t="shared" si="70"/>
        <v>0</v>
      </c>
      <c r="L663" s="212">
        <f t="shared" si="70"/>
        <v>0</v>
      </c>
      <c r="M663" s="212">
        <f t="shared" si="70"/>
        <v>0</v>
      </c>
      <c r="N663" s="212">
        <f t="shared" si="70"/>
        <v>0</v>
      </c>
      <c r="O663" s="212">
        <f t="shared" si="70"/>
        <v>0</v>
      </c>
      <c r="P663" s="155">
        <f t="shared" si="70"/>
        <v>0</v>
      </c>
      <c r="Q663" s="407"/>
      <c r="R663" s="407"/>
    </row>
    <row r="664" spans="1:18" ht="12.75" x14ac:dyDescent="0.2">
      <c r="A664" s="152">
        <v>6212000</v>
      </c>
      <c r="B664" s="73"/>
      <c r="C664" s="51" t="s">
        <v>1016</v>
      </c>
      <c r="D664" s="89"/>
      <c r="E664" s="89"/>
      <c r="F664" s="89"/>
      <c r="G664" s="89"/>
      <c r="H664" s="89"/>
      <c r="I664" s="89"/>
      <c r="J664" s="212">
        <f t="shared" si="70"/>
        <v>0</v>
      </c>
      <c r="K664" s="212">
        <f t="shared" si="70"/>
        <v>0</v>
      </c>
      <c r="L664" s="212">
        <f t="shared" si="70"/>
        <v>0</v>
      </c>
      <c r="M664" s="212">
        <f t="shared" si="70"/>
        <v>0</v>
      </c>
      <c r="N664" s="212">
        <f t="shared" si="70"/>
        <v>0</v>
      </c>
      <c r="O664" s="212">
        <f t="shared" si="70"/>
        <v>0</v>
      </c>
      <c r="P664" s="155">
        <f t="shared" si="70"/>
        <v>0</v>
      </c>
      <c r="Q664" s="407"/>
      <c r="R664" s="407"/>
    </row>
    <row r="665" spans="1:18" ht="12.75" x14ac:dyDescent="0.2">
      <c r="A665" s="152">
        <v>6212000</v>
      </c>
      <c r="B665" s="73"/>
      <c r="C665" s="51" t="s">
        <v>1015</v>
      </c>
      <c r="D665" s="89"/>
      <c r="E665" s="89"/>
      <c r="F665" s="89"/>
      <c r="G665" s="89"/>
      <c r="H665" s="89"/>
      <c r="I665" s="89"/>
      <c r="J665" s="212">
        <f t="shared" si="70"/>
        <v>0</v>
      </c>
      <c r="K665" s="212">
        <f t="shared" si="70"/>
        <v>0</v>
      </c>
      <c r="L665" s="212">
        <f t="shared" si="70"/>
        <v>0</v>
      </c>
      <c r="M665" s="212">
        <f t="shared" si="70"/>
        <v>0</v>
      </c>
      <c r="N665" s="212">
        <f t="shared" si="70"/>
        <v>0</v>
      </c>
      <c r="O665" s="212">
        <f t="shared" si="70"/>
        <v>0</v>
      </c>
      <c r="P665" s="155">
        <f t="shared" si="70"/>
        <v>0</v>
      </c>
      <c r="Q665" s="407"/>
      <c r="R665" s="407"/>
    </row>
    <row r="666" spans="1:18" ht="12.75" x14ac:dyDescent="0.2">
      <c r="A666" s="152">
        <v>6212000</v>
      </c>
      <c r="B666" s="73"/>
      <c r="C666" s="51" t="s">
        <v>930</v>
      </c>
      <c r="D666" s="89"/>
      <c r="E666" s="89"/>
      <c r="F666" s="89"/>
      <c r="G666" s="89"/>
      <c r="H666" s="89"/>
      <c r="I666" s="89"/>
      <c r="J666" s="212">
        <f t="shared" si="70"/>
        <v>0</v>
      </c>
      <c r="K666" s="212">
        <f t="shared" si="70"/>
        <v>0</v>
      </c>
      <c r="L666" s="212">
        <f t="shared" si="70"/>
        <v>0</v>
      </c>
      <c r="M666" s="212">
        <f t="shared" si="70"/>
        <v>0</v>
      </c>
      <c r="N666" s="212">
        <f t="shared" si="70"/>
        <v>0</v>
      </c>
      <c r="O666" s="212">
        <f t="shared" si="70"/>
        <v>0</v>
      </c>
      <c r="P666" s="155">
        <f t="shared" si="70"/>
        <v>0</v>
      </c>
      <c r="Q666" s="407"/>
      <c r="R666" s="407"/>
    </row>
    <row r="667" spans="1:18" ht="12.75" x14ac:dyDescent="0.2">
      <c r="A667" s="152">
        <v>6212000</v>
      </c>
      <c r="B667" s="73"/>
      <c r="C667" s="51" t="s">
        <v>931</v>
      </c>
      <c r="D667" s="89"/>
      <c r="E667" s="89"/>
      <c r="F667" s="89"/>
      <c r="G667" s="89"/>
      <c r="H667" s="89"/>
      <c r="I667" s="89"/>
      <c r="J667" s="212">
        <f t="shared" si="70"/>
        <v>0</v>
      </c>
      <c r="K667" s="212">
        <f t="shared" si="70"/>
        <v>0</v>
      </c>
      <c r="L667" s="212">
        <f t="shared" si="70"/>
        <v>0</v>
      </c>
      <c r="M667" s="212">
        <f t="shared" si="70"/>
        <v>0</v>
      </c>
      <c r="N667" s="212">
        <f t="shared" si="70"/>
        <v>0</v>
      </c>
      <c r="O667" s="212">
        <f t="shared" si="70"/>
        <v>0</v>
      </c>
      <c r="P667" s="155">
        <f t="shared" si="70"/>
        <v>0</v>
      </c>
      <c r="Q667" s="407"/>
      <c r="R667" s="407"/>
    </row>
    <row r="668" spans="1:18" ht="12.75" x14ac:dyDescent="0.2">
      <c r="A668" s="152">
        <v>6212000</v>
      </c>
      <c r="B668" s="73"/>
      <c r="C668" s="51" t="s">
        <v>926</v>
      </c>
      <c r="D668" s="89"/>
      <c r="E668" s="89"/>
      <c r="F668" s="89"/>
      <c r="G668" s="89"/>
      <c r="H668" s="89"/>
      <c r="I668" s="89"/>
      <c r="J668" s="212">
        <f t="shared" si="70"/>
        <v>0</v>
      </c>
      <c r="K668" s="212">
        <f t="shared" si="70"/>
        <v>0</v>
      </c>
      <c r="L668" s="212">
        <f t="shared" si="70"/>
        <v>0</v>
      </c>
      <c r="M668" s="212">
        <f t="shared" si="70"/>
        <v>0</v>
      </c>
      <c r="N668" s="212">
        <f t="shared" si="70"/>
        <v>0</v>
      </c>
      <c r="O668" s="212">
        <f t="shared" si="70"/>
        <v>0</v>
      </c>
      <c r="P668" s="155">
        <f t="shared" si="70"/>
        <v>0</v>
      </c>
      <c r="Q668" s="407"/>
      <c r="R668" s="407"/>
    </row>
    <row r="669" spans="1:18" ht="12.75" x14ac:dyDescent="0.2">
      <c r="A669" s="152">
        <v>6212000</v>
      </c>
      <c r="B669" s="73"/>
      <c r="C669" s="51" t="s">
        <v>110</v>
      </c>
      <c r="D669" s="89"/>
      <c r="E669" s="89"/>
      <c r="F669" s="89"/>
      <c r="G669" s="89"/>
      <c r="H669" s="89"/>
      <c r="I669" s="89"/>
      <c r="J669" s="212">
        <f t="shared" si="70"/>
        <v>0</v>
      </c>
      <c r="K669" s="212">
        <f t="shared" si="70"/>
        <v>0</v>
      </c>
      <c r="L669" s="212">
        <f t="shared" si="70"/>
        <v>0</v>
      </c>
      <c r="M669" s="212">
        <f t="shared" si="70"/>
        <v>0</v>
      </c>
      <c r="N669" s="212">
        <f t="shared" si="70"/>
        <v>0</v>
      </c>
      <c r="O669" s="212">
        <f t="shared" si="70"/>
        <v>0</v>
      </c>
      <c r="P669" s="155">
        <f t="shared" si="70"/>
        <v>0</v>
      </c>
      <c r="Q669" s="407"/>
      <c r="R669" s="407"/>
    </row>
    <row r="670" spans="1:18" ht="12.75" x14ac:dyDescent="0.2">
      <c r="A670" s="152">
        <v>6212000</v>
      </c>
      <c r="B670" s="73"/>
      <c r="C670" s="51" t="s">
        <v>133</v>
      </c>
      <c r="D670" s="89"/>
      <c r="E670" s="89"/>
      <c r="F670" s="89"/>
      <c r="G670" s="89"/>
      <c r="H670" s="89"/>
      <c r="I670" s="89"/>
      <c r="J670" s="212">
        <f t="shared" si="70"/>
        <v>0</v>
      </c>
      <c r="K670" s="212">
        <f t="shared" si="70"/>
        <v>0</v>
      </c>
      <c r="L670" s="212">
        <f t="shared" si="70"/>
        <v>0</v>
      </c>
      <c r="M670" s="212">
        <f t="shared" si="70"/>
        <v>0</v>
      </c>
      <c r="N670" s="212">
        <f t="shared" si="70"/>
        <v>0</v>
      </c>
      <c r="O670" s="212">
        <f t="shared" si="70"/>
        <v>0</v>
      </c>
      <c r="P670" s="155">
        <f t="shared" si="70"/>
        <v>0</v>
      </c>
      <c r="Q670" s="407"/>
      <c r="R670" s="407"/>
    </row>
    <row r="671" spans="1:18" ht="12.75" x14ac:dyDescent="0.2">
      <c r="A671" s="152">
        <v>6212000</v>
      </c>
      <c r="B671" s="73"/>
      <c r="C671" s="51" t="s">
        <v>134</v>
      </c>
      <c r="D671" s="89"/>
      <c r="E671" s="89"/>
      <c r="F671" s="89"/>
      <c r="G671" s="89"/>
      <c r="H671" s="89"/>
      <c r="I671" s="89"/>
      <c r="J671" s="212">
        <f t="shared" si="70"/>
        <v>0</v>
      </c>
      <c r="K671" s="212">
        <f t="shared" si="70"/>
        <v>0</v>
      </c>
      <c r="L671" s="212">
        <f t="shared" si="70"/>
        <v>0</v>
      </c>
      <c r="M671" s="212">
        <f t="shared" si="70"/>
        <v>0</v>
      </c>
      <c r="N671" s="212">
        <f t="shared" si="70"/>
        <v>0</v>
      </c>
      <c r="O671" s="212">
        <f t="shared" si="70"/>
        <v>0</v>
      </c>
      <c r="P671" s="155">
        <f t="shared" si="70"/>
        <v>0</v>
      </c>
      <c r="Q671" s="407"/>
      <c r="R671" s="407"/>
    </row>
    <row r="672" spans="1:18" ht="12.75" x14ac:dyDescent="0.2">
      <c r="A672" s="152">
        <v>6212000</v>
      </c>
      <c r="B672" s="73"/>
      <c r="C672" s="51" t="s">
        <v>138</v>
      </c>
      <c r="D672" s="89"/>
      <c r="E672" s="89"/>
      <c r="F672" s="89"/>
      <c r="G672" s="89"/>
      <c r="H672" s="89"/>
      <c r="I672" s="89"/>
      <c r="J672" s="212">
        <f t="shared" si="70"/>
        <v>0</v>
      </c>
      <c r="K672" s="212">
        <f t="shared" si="70"/>
        <v>0</v>
      </c>
      <c r="L672" s="212">
        <f t="shared" si="70"/>
        <v>0</v>
      </c>
      <c r="M672" s="212">
        <f t="shared" si="70"/>
        <v>0</v>
      </c>
      <c r="N672" s="212">
        <f t="shared" si="70"/>
        <v>0</v>
      </c>
      <c r="O672" s="212">
        <f t="shared" si="70"/>
        <v>0</v>
      </c>
      <c r="P672" s="155">
        <f t="shared" si="70"/>
        <v>0</v>
      </c>
      <c r="Q672" s="407"/>
      <c r="R672" s="407"/>
    </row>
    <row r="673" spans="1:18" ht="12.75" x14ac:dyDescent="0.2">
      <c r="A673" s="152">
        <v>6212000</v>
      </c>
      <c r="B673" s="73"/>
      <c r="C673" s="51" t="s">
        <v>106</v>
      </c>
      <c r="D673" s="89"/>
      <c r="E673" s="89"/>
      <c r="F673" s="89"/>
      <c r="G673" s="89"/>
      <c r="H673" s="89"/>
      <c r="I673" s="89"/>
      <c r="J673" s="212">
        <f t="shared" ref="J673:P682" si="71">SUMIFS(J$26:J$180,$A$26:$A$180,$A673,$C$26:$C$180,$C673)</f>
        <v>0</v>
      </c>
      <c r="K673" s="212">
        <f t="shared" si="71"/>
        <v>0</v>
      </c>
      <c r="L673" s="212">
        <f t="shared" si="71"/>
        <v>0</v>
      </c>
      <c r="M673" s="212">
        <f t="shared" si="71"/>
        <v>0</v>
      </c>
      <c r="N673" s="212">
        <f t="shared" si="71"/>
        <v>0</v>
      </c>
      <c r="O673" s="212">
        <f t="shared" si="71"/>
        <v>0</v>
      </c>
      <c r="P673" s="155">
        <f t="shared" si="71"/>
        <v>0</v>
      </c>
      <c r="Q673" s="407"/>
      <c r="R673" s="407"/>
    </row>
    <row r="674" spans="1:18" ht="12.75" x14ac:dyDescent="0.2">
      <c r="A674" s="152">
        <v>6212000</v>
      </c>
      <c r="B674" s="73"/>
      <c r="C674" s="51" t="s">
        <v>1024</v>
      </c>
      <c r="D674" s="89"/>
      <c r="E674" s="89"/>
      <c r="F674" s="89"/>
      <c r="G674" s="89"/>
      <c r="H674" s="89"/>
      <c r="I674" s="89"/>
      <c r="J674" s="212">
        <f t="shared" si="71"/>
        <v>0</v>
      </c>
      <c r="K674" s="212">
        <f t="shared" si="71"/>
        <v>0</v>
      </c>
      <c r="L674" s="212">
        <f t="shared" si="71"/>
        <v>0</v>
      </c>
      <c r="M674" s="212">
        <f t="shared" si="71"/>
        <v>0</v>
      </c>
      <c r="N674" s="212">
        <f t="shared" si="71"/>
        <v>0</v>
      </c>
      <c r="O674" s="212">
        <f t="shared" si="71"/>
        <v>0</v>
      </c>
      <c r="P674" s="155">
        <f t="shared" si="71"/>
        <v>0</v>
      </c>
      <c r="Q674" s="407"/>
      <c r="R674" s="407"/>
    </row>
    <row r="675" spans="1:18" ht="12.75" x14ac:dyDescent="0.2">
      <c r="A675" s="152">
        <v>6212000</v>
      </c>
      <c r="B675" s="73"/>
      <c r="C675" s="51" t="s">
        <v>1025</v>
      </c>
      <c r="D675" s="89"/>
      <c r="E675" s="89"/>
      <c r="F675" s="89"/>
      <c r="G675" s="89"/>
      <c r="H675" s="89"/>
      <c r="I675" s="89"/>
      <c r="J675" s="212">
        <f t="shared" si="71"/>
        <v>0</v>
      </c>
      <c r="K675" s="212">
        <f t="shared" si="71"/>
        <v>0</v>
      </c>
      <c r="L675" s="212">
        <f t="shared" si="71"/>
        <v>0</v>
      </c>
      <c r="M675" s="212">
        <f t="shared" si="71"/>
        <v>0</v>
      </c>
      <c r="N675" s="212">
        <f t="shared" si="71"/>
        <v>0</v>
      </c>
      <c r="O675" s="212">
        <f t="shared" si="71"/>
        <v>0</v>
      </c>
      <c r="P675" s="155">
        <f t="shared" si="71"/>
        <v>0</v>
      </c>
      <c r="Q675" s="407"/>
      <c r="R675" s="407"/>
    </row>
    <row r="676" spans="1:18" ht="12.75" x14ac:dyDescent="0.2">
      <c r="A676" s="152">
        <v>6212000</v>
      </c>
      <c r="B676" s="73"/>
      <c r="C676" s="51" t="s">
        <v>960</v>
      </c>
      <c r="D676" s="89"/>
      <c r="E676" s="89"/>
      <c r="F676" s="89"/>
      <c r="G676" s="89"/>
      <c r="H676" s="89"/>
      <c r="I676" s="89"/>
      <c r="J676" s="212">
        <f t="shared" si="71"/>
        <v>0</v>
      </c>
      <c r="K676" s="212">
        <f t="shared" si="71"/>
        <v>0</v>
      </c>
      <c r="L676" s="212">
        <f t="shared" si="71"/>
        <v>0</v>
      </c>
      <c r="M676" s="212">
        <f t="shared" si="71"/>
        <v>0</v>
      </c>
      <c r="N676" s="212">
        <f t="shared" si="71"/>
        <v>0</v>
      </c>
      <c r="O676" s="212">
        <f t="shared" si="71"/>
        <v>0</v>
      </c>
      <c r="P676" s="155">
        <f t="shared" si="71"/>
        <v>0</v>
      </c>
      <c r="Q676" s="407"/>
      <c r="R676" s="407"/>
    </row>
    <row r="677" spans="1:18" ht="12.75" x14ac:dyDescent="0.2">
      <c r="A677" s="152">
        <v>6212000</v>
      </c>
      <c r="B677" s="73"/>
      <c r="C677" s="51" t="s">
        <v>961</v>
      </c>
      <c r="D677" s="89"/>
      <c r="E677" s="89"/>
      <c r="F677" s="89"/>
      <c r="G677" s="89"/>
      <c r="H677" s="89"/>
      <c r="I677" s="89"/>
      <c r="J677" s="212">
        <f t="shared" si="71"/>
        <v>0</v>
      </c>
      <c r="K677" s="212">
        <f t="shared" si="71"/>
        <v>0</v>
      </c>
      <c r="L677" s="212">
        <f t="shared" si="71"/>
        <v>0</v>
      </c>
      <c r="M677" s="212">
        <f t="shared" si="71"/>
        <v>0</v>
      </c>
      <c r="N677" s="212">
        <f t="shared" si="71"/>
        <v>0</v>
      </c>
      <c r="O677" s="212">
        <f t="shared" si="71"/>
        <v>0</v>
      </c>
      <c r="P677" s="155">
        <f t="shared" si="71"/>
        <v>0</v>
      </c>
      <c r="Q677" s="407"/>
      <c r="R677" s="407"/>
    </row>
    <row r="678" spans="1:18" ht="12.75" x14ac:dyDescent="0.2">
      <c r="A678" s="152">
        <v>6212000</v>
      </c>
      <c r="B678" s="73"/>
      <c r="C678" s="51" t="s">
        <v>948</v>
      </c>
      <c r="D678" s="89"/>
      <c r="E678" s="89"/>
      <c r="F678" s="89"/>
      <c r="G678" s="89"/>
      <c r="H678" s="89"/>
      <c r="I678" s="89"/>
      <c r="J678" s="212">
        <f t="shared" si="71"/>
        <v>0</v>
      </c>
      <c r="K678" s="212">
        <f t="shared" si="71"/>
        <v>0</v>
      </c>
      <c r="L678" s="212">
        <f t="shared" si="71"/>
        <v>0</v>
      </c>
      <c r="M678" s="212">
        <f t="shared" si="71"/>
        <v>0</v>
      </c>
      <c r="N678" s="212">
        <f t="shared" si="71"/>
        <v>0</v>
      </c>
      <c r="O678" s="212">
        <f t="shared" si="71"/>
        <v>0</v>
      </c>
      <c r="P678" s="155">
        <f t="shared" si="71"/>
        <v>0</v>
      </c>
      <c r="Q678" s="407"/>
      <c r="R678" s="407"/>
    </row>
    <row r="679" spans="1:18" ht="12.75" x14ac:dyDescent="0.2">
      <c r="A679" s="152">
        <v>6212000</v>
      </c>
      <c r="B679" s="73"/>
      <c r="C679" s="51" t="s">
        <v>949</v>
      </c>
      <c r="D679" s="89"/>
      <c r="E679" s="89"/>
      <c r="F679" s="89"/>
      <c r="G679" s="89"/>
      <c r="H679" s="89"/>
      <c r="I679" s="89"/>
      <c r="J679" s="212">
        <f t="shared" si="71"/>
        <v>0</v>
      </c>
      <c r="K679" s="212">
        <f t="shared" si="71"/>
        <v>0</v>
      </c>
      <c r="L679" s="212">
        <f t="shared" si="71"/>
        <v>0</v>
      </c>
      <c r="M679" s="212">
        <f t="shared" si="71"/>
        <v>0</v>
      </c>
      <c r="N679" s="212">
        <f t="shared" si="71"/>
        <v>0</v>
      </c>
      <c r="O679" s="212">
        <f t="shared" si="71"/>
        <v>0</v>
      </c>
      <c r="P679" s="155">
        <f t="shared" si="71"/>
        <v>0</v>
      </c>
      <c r="Q679" s="407"/>
      <c r="R679" s="407"/>
    </row>
    <row r="680" spans="1:18" ht="12.75" x14ac:dyDescent="0.2">
      <c r="A680" s="152">
        <v>6212000</v>
      </c>
      <c r="B680" s="73"/>
      <c r="C680" s="51" t="s">
        <v>132</v>
      </c>
      <c r="D680" s="89"/>
      <c r="E680" s="89"/>
      <c r="F680" s="89"/>
      <c r="G680" s="89"/>
      <c r="H680" s="89"/>
      <c r="I680" s="89"/>
      <c r="J680" s="212">
        <f t="shared" si="71"/>
        <v>0</v>
      </c>
      <c r="K680" s="212">
        <f t="shared" si="71"/>
        <v>0</v>
      </c>
      <c r="L680" s="212">
        <f t="shared" si="71"/>
        <v>0</v>
      </c>
      <c r="M680" s="212">
        <f t="shared" si="71"/>
        <v>0</v>
      </c>
      <c r="N680" s="212">
        <f t="shared" si="71"/>
        <v>0</v>
      </c>
      <c r="O680" s="212">
        <f t="shared" si="71"/>
        <v>0</v>
      </c>
      <c r="P680" s="155">
        <f t="shared" si="71"/>
        <v>0</v>
      </c>
      <c r="Q680" s="407"/>
      <c r="R680" s="407"/>
    </row>
    <row r="681" spans="1:18" ht="12.75" x14ac:dyDescent="0.2">
      <c r="A681" s="152">
        <v>6212000</v>
      </c>
      <c r="B681" s="73"/>
      <c r="C681" s="51" t="s">
        <v>121</v>
      </c>
      <c r="D681" s="89"/>
      <c r="E681" s="89"/>
      <c r="F681" s="89"/>
      <c r="G681" s="89"/>
      <c r="H681" s="89"/>
      <c r="I681" s="89"/>
      <c r="J681" s="212">
        <f t="shared" si="71"/>
        <v>0</v>
      </c>
      <c r="K681" s="212">
        <f t="shared" si="71"/>
        <v>0</v>
      </c>
      <c r="L681" s="212">
        <f t="shared" si="71"/>
        <v>0</v>
      </c>
      <c r="M681" s="212">
        <f t="shared" si="71"/>
        <v>0</v>
      </c>
      <c r="N681" s="212">
        <f t="shared" si="71"/>
        <v>0</v>
      </c>
      <c r="O681" s="212">
        <f t="shared" si="71"/>
        <v>0</v>
      </c>
      <c r="P681" s="155">
        <f t="shared" si="71"/>
        <v>0</v>
      </c>
      <c r="Q681" s="407"/>
      <c r="R681" s="407"/>
    </row>
    <row r="682" spans="1:18" ht="12.75" x14ac:dyDescent="0.2">
      <c r="A682" s="152">
        <v>6212000</v>
      </c>
      <c r="B682" s="73"/>
      <c r="C682" s="51" t="s">
        <v>131</v>
      </c>
      <c r="D682" s="89"/>
      <c r="E682" s="89"/>
      <c r="F682" s="89"/>
      <c r="G682" s="89"/>
      <c r="H682" s="89"/>
      <c r="I682" s="89"/>
      <c r="J682" s="212">
        <f t="shared" si="71"/>
        <v>0</v>
      </c>
      <c r="K682" s="212">
        <f t="shared" si="71"/>
        <v>0</v>
      </c>
      <c r="L682" s="212">
        <f t="shared" si="71"/>
        <v>0</v>
      </c>
      <c r="M682" s="212">
        <f t="shared" si="71"/>
        <v>0</v>
      </c>
      <c r="N682" s="212">
        <f t="shared" si="71"/>
        <v>0</v>
      </c>
      <c r="O682" s="212">
        <f t="shared" si="71"/>
        <v>0</v>
      </c>
      <c r="P682" s="155">
        <f t="shared" si="71"/>
        <v>0</v>
      </c>
      <c r="Q682" s="407"/>
      <c r="R682" s="407"/>
    </row>
    <row r="683" spans="1:18" ht="12.75" x14ac:dyDescent="0.2">
      <c r="A683" s="152">
        <v>6212000</v>
      </c>
      <c r="B683" s="73"/>
      <c r="C683" s="51" t="s">
        <v>967</v>
      </c>
      <c r="D683" s="89"/>
      <c r="E683" s="89"/>
      <c r="F683" s="89"/>
      <c r="G683" s="89"/>
      <c r="H683" s="89"/>
      <c r="I683" s="89"/>
      <c r="J683" s="212">
        <f t="shared" ref="J683:P692" si="72">SUMIFS(J$26:J$180,$A$26:$A$180,$A683,$C$26:$C$180,$C683)</f>
        <v>0</v>
      </c>
      <c r="K683" s="212">
        <f t="shared" si="72"/>
        <v>0</v>
      </c>
      <c r="L683" s="212">
        <f t="shared" si="72"/>
        <v>0</v>
      </c>
      <c r="M683" s="212">
        <f t="shared" si="72"/>
        <v>0</v>
      </c>
      <c r="N683" s="212">
        <f t="shared" si="72"/>
        <v>0</v>
      </c>
      <c r="O683" s="212">
        <f t="shared" si="72"/>
        <v>0</v>
      </c>
      <c r="P683" s="155">
        <f t="shared" si="72"/>
        <v>0</v>
      </c>
      <c r="Q683" s="407"/>
      <c r="R683" s="407"/>
    </row>
    <row r="684" spans="1:18" ht="12.75" x14ac:dyDescent="0.2">
      <c r="A684" s="152">
        <v>6212000</v>
      </c>
      <c r="B684" s="73"/>
      <c r="C684" s="51" t="s">
        <v>118</v>
      </c>
      <c r="D684" s="89"/>
      <c r="E684" s="89"/>
      <c r="F684" s="89"/>
      <c r="G684" s="89"/>
      <c r="H684" s="89"/>
      <c r="I684" s="89"/>
      <c r="J684" s="212">
        <f t="shared" si="72"/>
        <v>0</v>
      </c>
      <c r="K684" s="212">
        <f t="shared" si="72"/>
        <v>0</v>
      </c>
      <c r="L684" s="212">
        <f t="shared" si="72"/>
        <v>0</v>
      </c>
      <c r="M684" s="212">
        <f t="shared" si="72"/>
        <v>0</v>
      </c>
      <c r="N684" s="212">
        <f t="shared" si="72"/>
        <v>0</v>
      </c>
      <c r="O684" s="212">
        <f t="shared" si="72"/>
        <v>0</v>
      </c>
      <c r="P684" s="155">
        <f t="shared" si="72"/>
        <v>0</v>
      </c>
      <c r="Q684" s="407"/>
      <c r="R684" s="407"/>
    </row>
    <row r="685" spans="1:18" ht="12.75" x14ac:dyDescent="0.2">
      <c r="A685" s="152">
        <v>6212000</v>
      </c>
      <c r="B685" s="73"/>
      <c r="C685" s="51" t="s">
        <v>971</v>
      </c>
      <c r="D685" s="89"/>
      <c r="E685" s="89"/>
      <c r="F685" s="89"/>
      <c r="G685" s="89"/>
      <c r="H685" s="89"/>
      <c r="I685" s="89"/>
      <c r="J685" s="212">
        <f t="shared" si="72"/>
        <v>0</v>
      </c>
      <c r="K685" s="212">
        <f t="shared" si="72"/>
        <v>0</v>
      </c>
      <c r="L685" s="212">
        <f t="shared" si="72"/>
        <v>0</v>
      </c>
      <c r="M685" s="212">
        <f t="shared" si="72"/>
        <v>0</v>
      </c>
      <c r="N685" s="212">
        <f t="shared" si="72"/>
        <v>0</v>
      </c>
      <c r="O685" s="212">
        <f t="shared" si="72"/>
        <v>0</v>
      </c>
      <c r="P685" s="155">
        <f t="shared" si="72"/>
        <v>0</v>
      </c>
      <c r="Q685" s="407"/>
      <c r="R685" s="407"/>
    </row>
    <row r="686" spans="1:18" ht="12.75" x14ac:dyDescent="0.2">
      <c r="A686" s="152">
        <v>6212000</v>
      </c>
      <c r="B686" s="73"/>
      <c r="C686" s="51" t="s">
        <v>957</v>
      </c>
      <c r="D686" s="89"/>
      <c r="E686" s="89"/>
      <c r="F686" s="89"/>
      <c r="G686" s="89"/>
      <c r="H686" s="89"/>
      <c r="I686" s="89"/>
      <c r="J686" s="212">
        <f t="shared" si="72"/>
        <v>0</v>
      </c>
      <c r="K686" s="212">
        <f t="shared" si="72"/>
        <v>0</v>
      </c>
      <c r="L686" s="212">
        <f t="shared" si="72"/>
        <v>0</v>
      </c>
      <c r="M686" s="212">
        <f t="shared" si="72"/>
        <v>0</v>
      </c>
      <c r="N686" s="212">
        <f t="shared" si="72"/>
        <v>0</v>
      </c>
      <c r="O686" s="212">
        <f t="shared" si="72"/>
        <v>0</v>
      </c>
      <c r="P686" s="155">
        <f t="shared" si="72"/>
        <v>0</v>
      </c>
      <c r="Q686" s="407"/>
      <c r="R686" s="407"/>
    </row>
    <row r="687" spans="1:18" ht="12.75" x14ac:dyDescent="0.2">
      <c r="A687" s="152">
        <v>6212000</v>
      </c>
      <c r="B687" s="73"/>
      <c r="C687" s="51" t="s">
        <v>97</v>
      </c>
      <c r="D687" s="89"/>
      <c r="E687" s="89"/>
      <c r="F687" s="89"/>
      <c r="G687" s="89"/>
      <c r="H687" s="89"/>
      <c r="I687" s="89"/>
      <c r="J687" s="212">
        <f t="shared" si="72"/>
        <v>0</v>
      </c>
      <c r="K687" s="212">
        <f t="shared" si="72"/>
        <v>0</v>
      </c>
      <c r="L687" s="212">
        <f t="shared" si="72"/>
        <v>0</v>
      </c>
      <c r="M687" s="212">
        <f t="shared" si="72"/>
        <v>0</v>
      </c>
      <c r="N687" s="212">
        <f t="shared" si="72"/>
        <v>0</v>
      </c>
      <c r="O687" s="212">
        <f t="shared" si="72"/>
        <v>0</v>
      </c>
      <c r="P687" s="155">
        <f t="shared" si="72"/>
        <v>0</v>
      </c>
      <c r="Q687" s="407"/>
      <c r="R687" s="407"/>
    </row>
    <row r="688" spans="1:18" ht="12.75" x14ac:dyDescent="0.2">
      <c r="A688" s="152">
        <v>6212000</v>
      </c>
      <c r="B688" s="73"/>
      <c r="C688" s="51" t="s">
        <v>49</v>
      </c>
      <c r="D688" s="89"/>
      <c r="E688" s="89"/>
      <c r="F688" s="89"/>
      <c r="G688" s="89"/>
      <c r="H688" s="89"/>
      <c r="I688" s="89"/>
      <c r="J688" s="212">
        <f t="shared" si="72"/>
        <v>0</v>
      </c>
      <c r="K688" s="212">
        <f t="shared" si="72"/>
        <v>0</v>
      </c>
      <c r="L688" s="212">
        <f t="shared" si="72"/>
        <v>0</v>
      </c>
      <c r="M688" s="212">
        <f t="shared" si="72"/>
        <v>0</v>
      </c>
      <c r="N688" s="212">
        <f t="shared" si="72"/>
        <v>0</v>
      </c>
      <c r="O688" s="212">
        <f t="shared" si="72"/>
        <v>0</v>
      </c>
      <c r="P688" s="155">
        <f t="shared" si="72"/>
        <v>0</v>
      </c>
      <c r="Q688" s="407"/>
      <c r="R688" s="407"/>
    </row>
    <row r="689" spans="1:18" ht="12.75" x14ac:dyDescent="0.2">
      <c r="A689" s="152">
        <v>6212000</v>
      </c>
      <c r="B689" s="73"/>
      <c r="C689" s="51" t="s">
        <v>1017</v>
      </c>
      <c r="D689" s="89"/>
      <c r="E689" s="89"/>
      <c r="F689" s="89"/>
      <c r="G689" s="89"/>
      <c r="H689" s="89"/>
      <c r="I689" s="89"/>
      <c r="J689" s="212">
        <f t="shared" si="72"/>
        <v>0</v>
      </c>
      <c r="K689" s="212">
        <f t="shared" si="72"/>
        <v>0</v>
      </c>
      <c r="L689" s="212">
        <f t="shared" si="72"/>
        <v>0</v>
      </c>
      <c r="M689" s="212">
        <f t="shared" si="72"/>
        <v>0</v>
      </c>
      <c r="N689" s="212">
        <f t="shared" si="72"/>
        <v>0</v>
      </c>
      <c r="O689" s="212">
        <f t="shared" si="72"/>
        <v>0</v>
      </c>
      <c r="P689" s="155">
        <f t="shared" si="72"/>
        <v>0</v>
      </c>
      <c r="Q689" s="407"/>
      <c r="R689" s="407"/>
    </row>
    <row r="690" spans="1:18" ht="12.75" x14ac:dyDescent="0.2">
      <c r="A690" s="152">
        <v>6212000</v>
      </c>
      <c r="B690" s="73"/>
      <c r="C690" s="51" t="s">
        <v>1018</v>
      </c>
      <c r="D690" s="89"/>
      <c r="E690" s="89"/>
      <c r="F690" s="89"/>
      <c r="G690" s="89"/>
      <c r="H690" s="89"/>
      <c r="I690" s="89"/>
      <c r="J690" s="212">
        <f t="shared" si="72"/>
        <v>0</v>
      </c>
      <c r="K690" s="212">
        <f t="shared" si="72"/>
        <v>0</v>
      </c>
      <c r="L690" s="212">
        <f t="shared" si="72"/>
        <v>0</v>
      </c>
      <c r="M690" s="212">
        <f t="shared" si="72"/>
        <v>0</v>
      </c>
      <c r="N690" s="212">
        <f t="shared" si="72"/>
        <v>0</v>
      </c>
      <c r="O690" s="212">
        <f t="shared" si="72"/>
        <v>0</v>
      </c>
      <c r="P690" s="155">
        <f t="shared" si="72"/>
        <v>0</v>
      </c>
      <c r="Q690" s="407"/>
      <c r="R690" s="407"/>
    </row>
    <row r="691" spans="1:18" ht="12.75" x14ac:dyDescent="0.2">
      <c r="A691" s="152">
        <v>6212000</v>
      </c>
      <c r="B691" s="73"/>
      <c r="C691" s="51" t="s">
        <v>928</v>
      </c>
      <c r="D691" s="89"/>
      <c r="E691" s="89"/>
      <c r="F691" s="89"/>
      <c r="G691" s="89"/>
      <c r="H691" s="89"/>
      <c r="I691" s="89"/>
      <c r="J691" s="212">
        <f t="shared" si="72"/>
        <v>0</v>
      </c>
      <c r="K691" s="212">
        <f t="shared" si="72"/>
        <v>0</v>
      </c>
      <c r="L691" s="212">
        <f t="shared" si="72"/>
        <v>0</v>
      </c>
      <c r="M691" s="212">
        <f t="shared" si="72"/>
        <v>0</v>
      </c>
      <c r="N691" s="212">
        <f t="shared" si="72"/>
        <v>0</v>
      </c>
      <c r="O691" s="212">
        <f t="shared" si="72"/>
        <v>0</v>
      </c>
      <c r="P691" s="155">
        <f t="shared" si="72"/>
        <v>0</v>
      </c>
      <c r="Q691" s="407"/>
      <c r="R691" s="407"/>
    </row>
    <row r="692" spans="1:18" ht="12.75" x14ac:dyDescent="0.2">
      <c r="A692" s="152">
        <v>6212000</v>
      </c>
      <c r="B692" s="73"/>
      <c r="C692" s="51" t="s">
        <v>946</v>
      </c>
      <c r="D692" s="89"/>
      <c r="E692" s="89"/>
      <c r="F692" s="89"/>
      <c r="G692" s="89"/>
      <c r="H692" s="89"/>
      <c r="I692" s="89"/>
      <c r="J692" s="212">
        <f t="shared" si="72"/>
        <v>0</v>
      </c>
      <c r="K692" s="212">
        <f t="shared" si="72"/>
        <v>0</v>
      </c>
      <c r="L692" s="212">
        <f t="shared" si="72"/>
        <v>0</v>
      </c>
      <c r="M692" s="212">
        <f t="shared" si="72"/>
        <v>0</v>
      </c>
      <c r="N692" s="212">
        <f t="shared" si="72"/>
        <v>0</v>
      </c>
      <c r="O692" s="212">
        <f t="shared" si="72"/>
        <v>0</v>
      </c>
      <c r="P692" s="155">
        <f t="shared" si="72"/>
        <v>0</v>
      </c>
      <c r="Q692" s="407"/>
      <c r="R692" s="407"/>
    </row>
    <row r="693" spans="1:18" ht="12.75" x14ac:dyDescent="0.2">
      <c r="A693" s="152">
        <v>6212000</v>
      </c>
      <c r="B693" s="73"/>
      <c r="C693" s="51" t="s">
        <v>947</v>
      </c>
      <c r="D693" s="89"/>
      <c r="E693" s="89"/>
      <c r="F693" s="89"/>
      <c r="G693" s="89"/>
      <c r="H693" s="89"/>
      <c r="I693" s="89"/>
      <c r="J693" s="212">
        <f t="shared" ref="J693:P702" si="73">SUMIFS(J$26:J$180,$A$26:$A$180,$A693,$C$26:$C$180,$C693)</f>
        <v>0</v>
      </c>
      <c r="K693" s="212">
        <f t="shared" si="73"/>
        <v>0</v>
      </c>
      <c r="L693" s="212">
        <f t="shared" si="73"/>
        <v>0</v>
      </c>
      <c r="M693" s="212">
        <f t="shared" si="73"/>
        <v>0</v>
      </c>
      <c r="N693" s="212">
        <f t="shared" si="73"/>
        <v>0</v>
      </c>
      <c r="O693" s="212">
        <f t="shared" si="73"/>
        <v>0</v>
      </c>
      <c r="P693" s="155">
        <f t="shared" si="73"/>
        <v>0</v>
      </c>
      <c r="Q693" s="407"/>
      <c r="R693" s="407"/>
    </row>
    <row r="694" spans="1:18" ht="12.75" x14ac:dyDescent="0.2">
      <c r="A694" s="152">
        <v>6212000</v>
      </c>
      <c r="B694" s="73"/>
      <c r="C694" s="51" t="s">
        <v>1020</v>
      </c>
      <c r="D694" s="89"/>
      <c r="E694" s="89"/>
      <c r="F694" s="89"/>
      <c r="G694" s="89"/>
      <c r="H694" s="89"/>
      <c r="I694" s="89"/>
      <c r="J694" s="212">
        <f t="shared" si="73"/>
        <v>0</v>
      </c>
      <c r="K694" s="212">
        <f t="shared" si="73"/>
        <v>0</v>
      </c>
      <c r="L694" s="212">
        <f t="shared" si="73"/>
        <v>0</v>
      </c>
      <c r="M694" s="212">
        <f t="shared" si="73"/>
        <v>0</v>
      </c>
      <c r="N694" s="212">
        <f t="shared" si="73"/>
        <v>0</v>
      </c>
      <c r="O694" s="212">
        <f t="shared" si="73"/>
        <v>0</v>
      </c>
      <c r="P694" s="155">
        <f t="shared" si="73"/>
        <v>0</v>
      </c>
      <c r="Q694" s="407"/>
      <c r="R694" s="407"/>
    </row>
    <row r="695" spans="1:18" ht="12.75" x14ac:dyDescent="0.2">
      <c r="A695" s="152">
        <v>6212000</v>
      </c>
      <c r="B695" s="73"/>
      <c r="C695" s="51" t="s">
        <v>1021</v>
      </c>
      <c r="D695" s="89"/>
      <c r="E695" s="89"/>
      <c r="F695" s="89"/>
      <c r="G695" s="89"/>
      <c r="H695" s="89"/>
      <c r="I695" s="89"/>
      <c r="J695" s="212">
        <f t="shared" si="73"/>
        <v>0</v>
      </c>
      <c r="K695" s="212">
        <f t="shared" si="73"/>
        <v>0</v>
      </c>
      <c r="L695" s="212">
        <f t="shared" si="73"/>
        <v>0</v>
      </c>
      <c r="M695" s="212">
        <f t="shared" si="73"/>
        <v>0</v>
      </c>
      <c r="N695" s="212">
        <f t="shared" si="73"/>
        <v>0</v>
      </c>
      <c r="O695" s="212">
        <f t="shared" si="73"/>
        <v>0</v>
      </c>
      <c r="P695" s="155">
        <f t="shared" si="73"/>
        <v>0</v>
      </c>
      <c r="Q695" s="407"/>
      <c r="R695" s="407"/>
    </row>
    <row r="696" spans="1:18" ht="12.75" x14ac:dyDescent="0.2">
      <c r="A696" s="152">
        <v>6212000</v>
      </c>
      <c r="B696" s="73"/>
      <c r="C696" s="51" t="s">
        <v>489</v>
      </c>
      <c r="D696" s="89"/>
      <c r="E696" s="89"/>
      <c r="F696" s="89"/>
      <c r="G696" s="89"/>
      <c r="H696" s="89"/>
      <c r="I696" s="89"/>
      <c r="J696" s="212">
        <f t="shared" si="73"/>
        <v>0</v>
      </c>
      <c r="K696" s="212">
        <f t="shared" si="73"/>
        <v>0</v>
      </c>
      <c r="L696" s="212">
        <f t="shared" si="73"/>
        <v>0</v>
      </c>
      <c r="M696" s="212">
        <f t="shared" si="73"/>
        <v>0</v>
      </c>
      <c r="N696" s="212">
        <f t="shared" si="73"/>
        <v>0</v>
      </c>
      <c r="O696" s="212">
        <f t="shared" si="73"/>
        <v>0</v>
      </c>
      <c r="P696" s="155">
        <f t="shared" si="73"/>
        <v>0</v>
      </c>
      <c r="Q696" s="407"/>
      <c r="R696" s="407"/>
    </row>
    <row r="697" spans="1:18" ht="12.75" x14ac:dyDescent="0.2">
      <c r="A697" s="152">
        <v>6212000</v>
      </c>
      <c r="B697" s="73"/>
      <c r="C697" s="51" t="s">
        <v>968</v>
      </c>
      <c r="D697" s="89"/>
      <c r="E697" s="89"/>
      <c r="F697" s="89"/>
      <c r="G697" s="89"/>
      <c r="H697" s="89"/>
      <c r="I697" s="89"/>
      <c r="J697" s="212">
        <f t="shared" si="73"/>
        <v>0</v>
      </c>
      <c r="K697" s="212">
        <f t="shared" si="73"/>
        <v>0</v>
      </c>
      <c r="L697" s="212">
        <f t="shared" si="73"/>
        <v>0</v>
      </c>
      <c r="M697" s="212">
        <f t="shared" si="73"/>
        <v>0</v>
      </c>
      <c r="N697" s="212">
        <f t="shared" si="73"/>
        <v>0</v>
      </c>
      <c r="O697" s="212">
        <f t="shared" si="73"/>
        <v>0</v>
      </c>
      <c r="P697" s="155">
        <f t="shared" si="73"/>
        <v>0</v>
      </c>
      <c r="Q697" s="407"/>
      <c r="R697" s="407"/>
    </row>
    <row r="698" spans="1:18" ht="12.75" x14ac:dyDescent="0.2">
      <c r="A698" s="152">
        <v>6212000</v>
      </c>
      <c r="B698" s="73"/>
      <c r="C698" s="51" t="s">
        <v>98</v>
      </c>
      <c r="D698" s="89"/>
      <c r="E698" s="89"/>
      <c r="F698" s="89"/>
      <c r="G698" s="89"/>
      <c r="H698" s="89"/>
      <c r="I698" s="89"/>
      <c r="J698" s="212">
        <f t="shared" si="73"/>
        <v>0</v>
      </c>
      <c r="K698" s="212">
        <f t="shared" si="73"/>
        <v>0</v>
      </c>
      <c r="L698" s="212">
        <f t="shared" si="73"/>
        <v>0</v>
      </c>
      <c r="M698" s="212">
        <f t="shared" si="73"/>
        <v>0</v>
      </c>
      <c r="N698" s="212">
        <f t="shared" si="73"/>
        <v>0</v>
      </c>
      <c r="O698" s="212">
        <f t="shared" si="73"/>
        <v>0</v>
      </c>
      <c r="P698" s="155">
        <f t="shared" si="73"/>
        <v>0</v>
      </c>
      <c r="Q698" s="407"/>
      <c r="R698" s="407"/>
    </row>
    <row r="699" spans="1:18" ht="12.75" x14ac:dyDescent="0.2">
      <c r="A699" s="152">
        <v>6212000</v>
      </c>
      <c r="B699" s="73"/>
      <c r="C699" s="51" t="s">
        <v>1048</v>
      </c>
      <c r="D699" s="89"/>
      <c r="E699" s="89"/>
      <c r="F699" s="89"/>
      <c r="G699" s="89"/>
      <c r="H699" s="89"/>
      <c r="I699" s="89"/>
      <c r="J699" s="212">
        <f t="shared" si="73"/>
        <v>0</v>
      </c>
      <c r="K699" s="212">
        <f t="shared" si="73"/>
        <v>0</v>
      </c>
      <c r="L699" s="212">
        <f t="shared" si="73"/>
        <v>0</v>
      </c>
      <c r="M699" s="212">
        <f t="shared" si="73"/>
        <v>0</v>
      </c>
      <c r="N699" s="212">
        <f t="shared" si="73"/>
        <v>0</v>
      </c>
      <c r="O699" s="212">
        <f t="shared" si="73"/>
        <v>0</v>
      </c>
      <c r="P699" s="155">
        <f t="shared" si="73"/>
        <v>0</v>
      </c>
      <c r="Q699" s="407"/>
      <c r="R699" s="407"/>
    </row>
    <row r="700" spans="1:18" ht="12.75" x14ac:dyDescent="0.2">
      <c r="A700" s="152">
        <v>6212000</v>
      </c>
      <c r="B700" s="73"/>
      <c r="C700" s="51" t="s">
        <v>1030</v>
      </c>
      <c r="D700" s="89"/>
      <c r="E700" s="89"/>
      <c r="F700" s="89"/>
      <c r="G700" s="89"/>
      <c r="H700" s="89"/>
      <c r="I700" s="89"/>
      <c r="J700" s="212">
        <f t="shared" si="73"/>
        <v>0</v>
      </c>
      <c r="K700" s="212">
        <f t="shared" si="73"/>
        <v>0</v>
      </c>
      <c r="L700" s="212">
        <f t="shared" si="73"/>
        <v>0</v>
      </c>
      <c r="M700" s="212">
        <f t="shared" si="73"/>
        <v>0</v>
      </c>
      <c r="N700" s="212">
        <f t="shared" si="73"/>
        <v>0</v>
      </c>
      <c r="O700" s="212">
        <f t="shared" si="73"/>
        <v>0</v>
      </c>
      <c r="P700" s="155">
        <f t="shared" si="73"/>
        <v>0</v>
      </c>
      <c r="Q700" s="407"/>
      <c r="R700" s="407"/>
    </row>
    <row r="701" spans="1:18" ht="12.75" x14ac:dyDescent="0.2">
      <c r="A701" s="152">
        <v>6212000</v>
      </c>
      <c r="B701" s="73"/>
      <c r="C701" s="51" t="s">
        <v>977</v>
      </c>
      <c r="D701" s="89"/>
      <c r="E701" s="89"/>
      <c r="F701" s="89"/>
      <c r="G701" s="89"/>
      <c r="H701" s="89"/>
      <c r="I701" s="89"/>
      <c r="J701" s="212">
        <f t="shared" si="73"/>
        <v>0</v>
      </c>
      <c r="K701" s="212">
        <f t="shared" si="73"/>
        <v>0</v>
      </c>
      <c r="L701" s="212">
        <f t="shared" si="73"/>
        <v>0</v>
      </c>
      <c r="M701" s="212">
        <f t="shared" si="73"/>
        <v>0</v>
      </c>
      <c r="N701" s="212">
        <f t="shared" si="73"/>
        <v>0</v>
      </c>
      <c r="O701" s="212">
        <f t="shared" si="73"/>
        <v>0</v>
      </c>
      <c r="P701" s="155">
        <f t="shared" si="73"/>
        <v>0</v>
      </c>
      <c r="Q701" s="407"/>
      <c r="R701" s="407"/>
    </row>
    <row r="702" spans="1:18" ht="12.75" x14ac:dyDescent="0.2">
      <c r="A702" s="152">
        <v>6212000</v>
      </c>
      <c r="B702" s="73"/>
      <c r="C702" s="51" t="s">
        <v>99</v>
      </c>
      <c r="D702" s="89"/>
      <c r="E702" s="89"/>
      <c r="F702" s="89"/>
      <c r="G702" s="89"/>
      <c r="H702" s="89"/>
      <c r="I702" s="89"/>
      <c r="J702" s="212">
        <f t="shared" si="73"/>
        <v>1500</v>
      </c>
      <c r="K702" s="212">
        <f t="shared" si="73"/>
        <v>0</v>
      </c>
      <c r="L702" s="212">
        <f t="shared" si="73"/>
        <v>0</v>
      </c>
      <c r="M702" s="212">
        <f t="shared" si="73"/>
        <v>0</v>
      </c>
      <c r="N702" s="212">
        <f t="shared" si="73"/>
        <v>0</v>
      </c>
      <c r="O702" s="212">
        <f t="shared" si="73"/>
        <v>0</v>
      </c>
      <c r="P702" s="155">
        <f t="shared" si="73"/>
        <v>1500</v>
      </c>
      <c r="Q702" s="407"/>
      <c r="R702" s="407"/>
    </row>
    <row r="703" spans="1:18" ht="12.75" x14ac:dyDescent="0.2">
      <c r="A703" s="152">
        <v>6212000</v>
      </c>
      <c r="B703" s="73"/>
      <c r="C703" s="51" t="s">
        <v>1047</v>
      </c>
      <c r="D703" s="89"/>
      <c r="E703" s="89"/>
      <c r="F703" s="89"/>
      <c r="G703" s="89"/>
      <c r="H703" s="89"/>
      <c r="I703" s="89"/>
      <c r="J703" s="212">
        <f t="shared" ref="J703:P712" si="74">SUMIFS(J$26:J$180,$A$26:$A$180,$A703,$C$26:$C$180,$C703)</f>
        <v>0</v>
      </c>
      <c r="K703" s="212">
        <f t="shared" si="74"/>
        <v>0</v>
      </c>
      <c r="L703" s="212">
        <f t="shared" si="74"/>
        <v>0</v>
      </c>
      <c r="M703" s="212">
        <f t="shared" si="74"/>
        <v>0</v>
      </c>
      <c r="N703" s="212">
        <f t="shared" si="74"/>
        <v>0</v>
      </c>
      <c r="O703" s="212">
        <f t="shared" si="74"/>
        <v>0</v>
      </c>
      <c r="P703" s="155">
        <f t="shared" si="74"/>
        <v>0</v>
      </c>
      <c r="Q703" s="407"/>
      <c r="R703" s="407"/>
    </row>
    <row r="704" spans="1:18" ht="12.75" x14ac:dyDescent="0.2">
      <c r="A704" s="152">
        <v>6212000</v>
      </c>
      <c r="B704" s="73"/>
      <c r="C704" s="51" t="s">
        <v>1041</v>
      </c>
      <c r="D704" s="89"/>
      <c r="E704" s="89"/>
      <c r="F704" s="89"/>
      <c r="G704" s="89"/>
      <c r="H704" s="89"/>
      <c r="I704" s="89"/>
      <c r="J704" s="212">
        <f t="shared" si="74"/>
        <v>0</v>
      </c>
      <c r="K704" s="212">
        <f t="shared" si="74"/>
        <v>0</v>
      </c>
      <c r="L704" s="212">
        <f t="shared" si="74"/>
        <v>0</v>
      </c>
      <c r="M704" s="212">
        <f t="shared" si="74"/>
        <v>0</v>
      </c>
      <c r="N704" s="212">
        <f t="shared" si="74"/>
        <v>0</v>
      </c>
      <c r="O704" s="212">
        <f t="shared" si="74"/>
        <v>0</v>
      </c>
      <c r="P704" s="155">
        <f t="shared" si="74"/>
        <v>0</v>
      </c>
      <c r="Q704" s="407"/>
      <c r="R704" s="407"/>
    </row>
    <row r="705" spans="1:18" ht="12.75" x14ac:dyDescent="0.2">
      <c r="A705" s="152">
        <v>6212000</v>
      </c>
      <c r="B705" s="73"/>
      <c r="C705" s="51" t="s">
        <v>102</v>
      </c>
      <c r="D705" s="89"/>
      <c r="E705" s="89"/>
      <c r="F705" s="89"/>
      <c r="G705" s="89"/>
      <c r="H705" s="89"/>
      <c r="I705" s="89"/>
      <c r="J705" s="212">
        <f t="shared" si="74"/>
        <v>0</v>
      </c>
      <c r="K705" s="212">
        <f t="shared" si="74"/>
        <v>0</v>
      </c>
      <c r="L705" s="212">
        <f t="shared" si="74"/>
        <v>0</v>
      </c>
      <c r="M705" s="212">
        <f t="shared" si="74"/>
        <v>0</v>
      </c>
      <c r="N705" s="212">
        <f t="shared" si="74"/>
        <v>0</v>
      </c>
      <c r="O705" s="212">
        <f t="shared" si="74"/>
        <v>0</v>
      </c>
      <c r="P705" s="155">
        <f t="shared" si="74"/>
        <v>0</v>
      </c>
      <c r="Q705" s="407"/>
      <c r="R705" s="407"/>
    </row>
    <row r="706" spans="1:18" ht="12.75" x14ac:dyDescent="0.2">
      <c r="A706" s="152">
        <v>6212000</v>
      </c>
      <c r="B706" s="73"/>
      <c r="C706" s="51" t="s">
        <v>124</v>
      </c>
      <c r="D706" s="89"/>
      <c r="E706" s="89"/>
      <c r="F706" s="89"/>
      <c r="G706" s="89"/>
      <c r="H706" s="89"/>
      <c r="I706" s="89"/>
      <c r="J706" s="212">
        <f t="shared" si="74"/>
        <v>0</v>
      </c>
      <c r="K706" s="212">
        <f t="shared" si="74"/>
        <v>0</v>
      </c>
      <c r="L706" s="212">
        <f t="shared" si="74"/>
        <v>0</v>
      </c>
      <c r="M706" s="212">
        <f t="shared" si="74"/>
        <v>0</v>
      </c>
      <c r="N706" s="212">
        <f t="shared" si="74"/>
        <v>0</v>
      </c>
      <c r="O706" s="212">
        <f t="shared" si="74"/>
        <v>0</v>
      </c>
      <c r="P706" s="155">
        <f t="shared" si="74"/>
        <v>0</v>
      </c>
      <c r="Q706" s="407"/>
      <c r="R706" s="407"/>
    </row>
    <row r="707" spans="1:18" ht="12.75" x14ac:dyDescent="0.2">
      <c r="A707" s="152">
        <v>6212000</v>
      </c>
      <c r="B707" s="73"/>
      <c r="C707" s="51" t="s">
        <v>103</v>
      </c>
      <c r="D707" s="89"/>
      <c r="E707" s="89"/>
      <c r="F707" s="89"/>
      <c r="G707" s="89"/>
      <c r="H707" s="89"/>
      <c r="I707" s="89"/>
      <c r="J707" s="212">
        <f t="shared" si="74"/>
        <v>0</v>
      </c>
      <c r="K707" s="212">
        <f t="shared" si="74"/>
        <v>0</v>
      </c>
      <c r="L707" s="212">
        <f t="shared" si="74"/>
        <v>0</v>
      </c>
      <c r="M707" s="212">
        <f t="shared" si="74"/>
        <v>0</v>
      </c>
      <c r="N707" s="212">
        <f t="shared" si="74"/>
        <v>0</v>
      </c>
      <c r="O707" s="212">
        <f t="shared" si="74"/>
        <v>0</v>
      </c>
      <c r="P707" s="155">
        <f t="shared" si="74"/>
        <v>0</v>
      </c>
      <c r="Q707" s="407"/>
      <c r="R707" s="407"/>
    </row>
    <row r="708" spans="1:18" ht="12.75" x14ac:dyDescent="0.2">
      <c r="A708" s="152">
        <v>6212000</v>
      </c>
      <c r="B708" s="73"/>
      <c r="C708" s="51" t="s">
        <v>104</v>
      </c>
      <c r="D708" s="89"/>
      <c r="E708" s="89"/>
      <c r="F708" s="89"/>
      <c r="G708" s="89"/>
      <c r="H708" s="89"/>
      <c r="I708" s="89"/>
      <c r="J708" s="212">
        <f t="shared" si="74"/>
        <v>0</v>
      </c>
      <c r="K708" s="212">
        <f t="shared" si="74"/>
        <v>0</v>
      </c>
      <c r="L708" s="212">
        <f t="shared" si="74"/>
        <v>0</v>
      </c>
      <c r="M708" s="212">
        <f t="shared" si="74"/>
        <v>0</v>
      </c>
      <c r="N708" s="212">
        <f t="shared" si="74"/>
        <v>0</v>
      </c>
      <c r="O708" s="212">
        <f t="shared" si="74"/>
        <v>0</v>
      </c>
      <c r="P708" s="155">
        <f t="shared" si="74"/>
        <v>0</v>
      </c>
      <c r="Q708" s="407"/>
      <c r="R708" s="407"/>
    </row>
    <row r="709" spans="1:18" ht="12.75" x14ac:dyDescent="0.2">
      <c r="A709" s="152">
        <v>6212000</v>
      </c>
      <c r="B709" s="73"/>
      <c r="C709" s="51" t="s">
        <v>491</v>
      </c>
      <c r="D709" s="89"/>
      <c r="E709" s="89"/>
      <c r="F709" s="89"/>
      <c r="G709" s="89"/>
      <c r="H709" s="89"/>
      <c r="I709" s="89"/>
      <c r="J709" s="212">
        <f t="shared" si="74"/>
        <v>0</v>
      </c>
      <c r="K709" s="212">
        <f t="shared" si="74"/>
        <v>0</v>
      </c>
      <c r="L709" s="212">
        <f t="shared" si="74"/>
        <v>0</v>
      </c>
      <c r="M709" s="212">
        <f t="shared" si="74"/>
        <v>0</v>
      </c>
      <c r="N709" s="212">
        <f t="shared" si="74"/>
        <v>0</v>
      </c>
      <c r="O709" s="212">
        <f t="shared" si="74"/>
        <v>0</v>
      </c>
      <c r="P709" s="155">
        <f t="shared" si="74"/>
        <v>0</v>
      </c>
      <c r="Q709" s="407"/>
      <c r="R709" s="407"/>
    </row>
    <row r="710" spans="1:18" ht="12.75" x14ac:dyDescent="0.2">
      <c r="A710" s="152">
        <v>6212000</v>
      </c>
      <c r="B710" s="73"/>
      <c r="C710" s="51" t="s">
        <v>105</v>
      </c>
      <c r="D710" s="89"/>
      <c r="E710" s="89"/>
      <c r="F710" s="89"/>
      <c r="G710" s="89"/>
      <c r="H710" s="89"/>
      <c r="I710" s="89"/>
      <c r="J710" s="212">
        <f t="shared" si="74"/>
        <v>0</v>
      </c>
      <c r="K710" s="212">
        <f t="shared" si="74"/>
        <v>0</v>
      </c>
      <c r="L710" s="212">
        <f t="shared" si="74"/>
        <v>0</v>
      </c>
      <c r="M710" s="212">
        <f t="shared" si="74"/>
        <v>0</v>
      </c>
      <c r="N710" s="212">
        <f t="shared" si="74"/>
        <v>0</v>
      </c>
      <c r="O710" s="212">
        <f t="shared" si="74"/>
        <v>0</v>
      </c>
      <c r="P710" s="155">
        <f t="shared" si="74"/>
        <v>0</v>
      </c>
      <c r="Q710" s="407"/>
      <c r="R710" s="407"/>
    </row>
    <row r="711" spans="1:18" ht="12.75" x14ac:dyDescent="0.2">
      <c r="A711" s="152">
        <v>6212000</v>
      </c>
      <c r="B711" s="73"/>
      <c r="C711" s="51" t="s">
        <v>129</v>
      </c>
      <c r="D711" s="89"/>
      <c r="E711" s="89"/>
      <c r="F711" s="89"/>
      <c r="G711" s="89"/>
      <c r="H711" s="89"/>
      <c r="I711" s="89"/>
      <c r="J711" s="212">
        <f t="shared" si="74"/>
        <v>0</v>
      </c>
      <c r="K711" s="212">
        <f t="shared" si="74"/>
        <v>0</v>
      </c>
      <c r="L711" s="212">
        <f t="shared" si="74"/>
        <v>0</v>
      </c>
      <c r="M711" s="212">
        <f t="shared" si="74"/>
        <v>0</v>
      </c>
      <c r="N711" s="212">
        <f t="shared" si="74"/>
        <v>0</v>
      </c>
      <c r="O711" s="212">
        <f t="shared" si="74"/>
        <v>0</v>
      </c>
      <c r="P711" s="155">
        <f t="shared" si="74"/>
        <v>0</v>
      </c>
      <c r="Q711" s="407"/>
      <c r="R711" s="407"/>
    </row>
    <row r="712" spans="1:18" ht="12.75" x14ac:dyDescent="0.2">
      <c r="A712" s="152">
        <v>6212000</v>
      </c>
      <c r="B712" s="73"/>
      <c r="C712" s="51" t="s">
        <v>108</v>
      </c>
      <c r="D712" s="89"/>
      <c r="E712" s="89"/>
      <c r="F712" s="89"/>
      <c r="G712" s="89"/>
      <c r="H712" s="89"/>
      <c r="I712" s="89"/>
      <c r="J712" s="212">
        <f t="shared" si="74"/>
        <v>0</v>
      </c>
      <c r="K712" s="212">
        <f t="shared" si="74"/>
        <v>0</v>
      </c>
      <c r="L712" s="212">
        <f t="shared" si="74"/>
        <v>0</v>
      </c>
      <c r="M712" s="212">
        <f t="shared" si="74"/>
        <v>0</v>
      </c>
      <c r="N712" s="212">
        <f t="shared" si="74"/>
        <v>0</v>
      </c>
      <c r="O712" s="212">
        <f t="shared" si="74"/>
        <v>0</v>
      </c>
      <c r="P712" s="155">
        <f t="shared" si="74"/>
        <v>0</v>
      </c>
      <c r="Q712" s="407"/>
      <c r="R712" s="407"/>
    </row>
    <row r="713" spans="1:18" ht="12.75" x14ac:dyDescent="0.2">
      <c r="A713" s="152">
        <v>6212000</v>
      </c>
      <c r="B713" s="73"/>
      <c r="C713" s="51" t="s">
        <v>119</v>
      </c>
      <c r="D713" s="89"/>
      <c r="E713" s="89"/>
      <c r="F713" s="89"/>
      <c r="G713" s="89"/>
      <c r="H713" s="89"/>
      <c r="I713" s="89"/>
      <c r="J713" s="212">
        <f t="shared" ref="J713:P722" si="75">SUMIFS(J$26:J$180,$A$26:$A$180,$A713,$C$26:$C$180,$C713)</f>
        <v>0</v>
      </c>
      <c r="K713" s="212">
        <f t="shared" si="75"/>
        <v>0</v>
      </c>
      <c r="L713" s="212">
        <f t="shared" si="75"/>
        <v>0</v>
      </c>
      <c r="M713" s="212">
        <f t="shared" si="75"/>
        <v>0</v>
      </c>
      <c r="N713" s="212">
        <f t="shared" si="75"/>
        <v>0</v>
      </c>
      <c r="O713" s="212">
        <f t="shared" si="75"/>
        <v>0</v>
      </c>
      <c r="P713" s="155">
        <f t="shared" si="75"/>
        <v>0</v>
      </c>
      <c r="Q713" s="407"/>
      <c r="R713" s="407"/>
    </row>
    <row r="714" spans="1:18" ht="12.75" x14ac:dyDescent="0.2">
      <c r="A714" s="152">
        <v>6212000</v>
      </c>
      <c r="B714" s="73"/>
      <c r="C714" s="51" t="s">
        <v>954</v>
      </c>
      <c r="D714" s="89"/>
      <c r="E714" s="89"/>
      <c r="F714" s="89"/>
      <c r="G714" s="89"/>
      <c r="H714" s="89"/>
      <c r="I714" s="89"/>
      <c r="J714" s="212">
        <f t="shared" si="75"/>
        <v>0</v>
      </c>
      <c r="K714" s="212">
        <f t="shared" si="75"/>
        <v>0</v>
      </c>
      <c r="L714" s="212">
        <f t="shared" si="75"/>
        <v>0</v>
      </c>
      <c r="M714" s="212">
        <f t="shared" si="75"/>
        <v>0</v>
      </c>
      <c r="N714" s="212">
        <f t="shared" si="75"/>
        <v>0</v>
      </c>
      <c r="O714" s="212">
        <f t="shared" si="75"/>
        <v>3645</v>
      </c>
      <c r="P714" s="155">
        <f t="shared" si="75"/>
        <v>3645</v>
      </c>
      <c r="Q714" s="407"/>
      <c r="R714" s="407"/>
    </row>
    <row r="715" spans="1:18" ht="12.75" x14ac:dyDescent="0.2">
      <c r="A715" s="152">
        <v>6212000</v>
      </c>
      <c r="B715" s="73"/>
      <c r="C715" s="51" t="s">
        <v>1031</v>
      </c>
      <c r="D715" s="89"/>
      <c r="E715" s="89"/>
      <c r="F715" s="89"/>
      <c r="G715" s="89"/>
      <c r="H715" s="89"/>
      <c r="I715" s="89"/>
      <c r="J715" s="212">
        <f t="shared" si="75"/>
        <v>0</v>
      </c>
      <c r="K715" s="212">
        <f t="shared" si="75"/>
        <v>0</v>
      </c>
      <c r="L715" s="212">
        <f t="shared" si="75"/>
        <v>0</v>
      </c>
      <c r="M715" s="212">
        <f t="shared" si="75"/>
        <v>0</v>
      </c>
      <c r="N715" s="212">
        <f t="shared" si="75"/>
        <v>0</v>
      </c>
      <c r="O715" s="212">
        <f t="shared" si="75"/>
        <v>0</v>
      </c>
      <c r="P715" s="155">
        <f t="shared" si="75"/>
        <v>0</v>
      </c>
      <c r="Q715" s="407"/>
      <c r="R715" s="407"/>
    </row>
    <row r="716" spans="1:18" ht="12.75" x14ac:dyDescent="0.2">
      <c r="A716" s="152">
        <v>6212000</v>
      </c>
      <c r="B716" s="73"/>
      <c r="C716" s="51" t="s">
        <v>1009</v>
      </c>
      <c r="D716" s="89"/>
      <c r="E716" s="89"/>
      <c r="F716" s="89"/>
      <c r="G716" s="89"/>
      <c r="H716" s="89"/>
      <c r="I716" s="89"/>
      <c r="J716" s="212">
        <f t="shared" si="75"/>
        <v>0</v>
      </c>
      <c r="K716" s="212">
        <f t="shared" si="75"/>
        <v>0</v>
      </c>
      <c r="L716" s="212">
        <f t="shared" si="75"/>
        <v>0</v>
      </c>
      <c r="M716" s="212">
        <f t="shared" si="75"/>
        <v>0</v>
      </c>
      <c r="N716" s="212">
        <f t="shared" si="75"/>
        <v>0</v>
      </c>
      <c r="O716" s="212">
        <f t="shared" si="75"/>
        <v>0</v>
      </c>
      <c r="P716" s="155">
        <f t="shared" si="75"/>
        <v>0</v>
      </c>
      <c r="Q716" s="407"/>
      <c r="R716" s="407"/>
    </row>
    <row r="717" spans="1:18" ht="12.75" x14ac:dyDescent="0.2">
      <c r="A717" s="152">
        <v>6212000</v>
      </c>
      <c r="B717" s="73"/>
      <c r="C717" s="51" t="s">
        <v>107</v>
      </c>
      <c r="D717" s="89"/>
      <c r="E717" s="89"/>
      <c r="F717" s="89"/>
      <c r="G717" s="89"/>
      <c r="H717" s="89"/>
      <c r="I717" s="89"/>
      <c r="J717" s="212">
        <f t="shared" si="75"/>
        <v>0</v>
      </c>
      <c r="K717" s="212">
        <f t="shared" si="75"/>
        <v>0</v>
      </c>
      <c r="L717" s="212">
        <f t="shared" si="75"/>
        <v>0</v>
      </c>
      <c r="M717" s="212">
        <f t="shared" si="75"/>
        <v>0</v>
      </c>
      <c r="N717" s="212">
        <f t="shared" si="75"/>
        <v>0</v>
      </c>
      <c r="O717" s="212">
        <f t="shared" si="75"/>
        <v>0</v>
      </c>
      <c r="P717" s="155">
        <f t="shared" si="75"/>
        <v>0</v>
      </c>
      <c r="Q717" s="407"/>
      <c r="R717" s="407"/>
    </row>
    <row r="718" spans="1:18" ht="12.75" x14ac:dyDescent="0.2">
      <c r="A718" s="152">
        <v>6212000</v>
      </c>
      <c r="B718" s="73"/>
      <c r="C718" s="51" t="s">
        <v>1026</v>
      </c>
      <c r="D718" s="89"/>
      <c r="E718" s="89"/>
      <c r="F718" s="89"/>
      <c r="G718" s="89"/>
      <c r="H718" s="89"/>
      <c r="I718" s="89"/>
      <c r="J718" s="212">
        <f t="shared" si="75"/>
        <v>0</v>
      </c>
      <c r="K718" s="212">
        <f t="shared" si="75"/>
        <v>0</v>
      </c>
      <c r="L718" s="212">
        <f t="shared" si="75"/>
        <v>0</v>
      </c>
      <c r="M718" s="212">
        <f t="shared" si="75"/>
        <v>0</v>
      </c>
      <c r="N718" s="212">
        <f t="shared" si="75"/>
        <v>0</v>
      </c>
      <c r="O718" s="212">
        <f t="shared" si="75"/>
        <v>0</v>
      </c>
      <c r="P718" s="155">
        <f t="shared" si="75"/>
        <v>0</v>
      </c>
      <c r="Q718" s="407"/>
      <c r="R718" s="407"/>
    </row>
    <row r="719" spans="1:18" ht="12.75" x14ac:dyDescent="0.2">
      <c r="A719" s="152">
        <v>6212000</v>
      </c>
      <c r="B719" s="73"/>
      <c r="C719" s="51" t="s">
        <v>1027</v>
      </c>
      <c r="D719" s="89"/>
      <c r="E719" s="89"/>
      <c r="F719" s="89"/>
      <c r="G719" s="89"/>
      <c r="H719" s="89"/>
      <c r="I719" s="89"/>
      <c r="J719" s="212">
        <f t="shared" si="75"/>
        <v>0</v>
      </c>
      <c r="K719" s="212">
        <f t="shared" si="75"/>
        <v>0</v>
      </c>
      <c r="L719" s="212">
        <f t="shared" si="75"/>
        <v>0</v>
      </c>
      <c r="M719" s="212">
        <f t="shared" si="75"/>
        <v>0</v>
      </c>
      <c r="N719" s="212">
        <f t="shared" si="75"/>
        <v>0</v>
      </c>
      <c r="O719" s="212">
        <f t="shared" si="75"/>
        <v>0</v>
      </c>
      <c r="P719" s="155">
        <f t="shared" si="75"/>
        <v>0</v>
      </c>
      <c r="Q719" s="407"/>
      <c r="R719" s="407"/>
    </row>
    <row r="720" spans="1:18" ht="12.75" x14ac:dyDescent="0.2">
      <c r="A720" s="152">
        <v>6212000</v>
      </c>
      <c r="B720" s="73"/>
      <c r="C720" s="51" t="s">
        <v>955</v>
      </c>
      <c r="D720" s="89"/>
      <c r="E720" s="89"/>
      <c r="F720" s="89"/>
      <c r="G720" s="89"/>
      <c r="H720" s="89"/>
      <c r="I720" s="89"/>
      <c r="J720" s="212">
        <f t="shared" si="75"/>
        <v>0</v>
      </c>
      <c r="K720" s="212">
        <f t="shared" si="75"/>
        <v>0</v>
      </c>
      <c r="L720" s="212">
        <f t="shared" si="75"/>
        <v>0</v>
      </c>
      <c r="M720" s="212">
        <f t="shared" si="75"/>
        <v>0</v>
      </c>
      <c r="N720" s="212">
        <f t="shared" si="75"/>
        <v>0</v>
      </c>
      <c r="O720" s="212">
        <f t="shared" si="75"/>
        <v>0</v>
      </c>
      <c r="P720" s="155">
        <f t="shared" si="75"/>
        <v>0</v>
      </c>
      <c r="Q720" s="407"/>
      <c r="R720" s="407"/>
    </row>
    <row r="721" spans="1:18" ht="12.75" x14ac:dyDescent="0.2">
      <c r="A721" s="152">
        <v>6212000</v>
      </c>
      <c r="B721" s="73"/>
      <c r="C721" s="51" t="s">
        <v>958</v>
      </c>
      <c r="D721" s="89"/>
      <c r="E721" s="89"/>
      <c r="F721" s="89"/>
      <c r="G721" s="89"/>
      <c r="H721" s="89"/>
      <c r="I721" s="89"/>
      <c r="J721" s="212">
        <f t="shared" si="75"/>
        <v>0</v>
      </c>
      <c r="K721" s="212">
        <f t="shared" si="75"/>
        <v>0</v>
      </c>
      <c r="L721" s="212">
        <f t="shared" si="75"/>
        <v>0</v>
      </c>
      <c r="M721" s="212">
        <f t="shared" si="75"/>
        <v>0</v>
      </c>
      <c r="N721" s="212">
        <f t="shared" si="75"/>
        <v>0</v>
      </c>
      <c r="O721" s="212">
        <f t="shared" si="75"/>
        <v>0</v>
      </c>
      <c r="P721" s="155">
        <f t="shared" si="75"/>
        <v>0</v>
      </c>
      <c r="Q721" s="407"/>
      <c r="R721" s="407"/>
    </row>
    <row r="722" spans="1:18" ht="12.75" x14ac:dyDescent="0.2">
      <c r="A722" s="152">
        <v>6212000</v>
      </c>
      <c r="B722" s="73"/>
      <c r="C722" s="51" t="s">
        <v>1032</v>
      </c>
      <c r="D722" s="89"/>
      <c r="E722" s="89"/>
      <c r="F722" s="89"/>
      <c r="G722" s="89"/>
      <c r="H722" s="89"/>
      <c r="I722" s="89"/>
      <c r="J722" s="212">
        <f t="shared" si="75"/>
        <v>0</v>
      </c>
      <c r="K722" s="212">
        <f t="shared" si="75"/>
        <v>0</v>
      </c>
      <c r="L722" s="212">
        <f t="shared" si="75"/>
        <v>0</v>
      </c>
      <c r="M722" s="212">
        <f t="shared" si="75"/>
        <v>0</v>
      </c>
      <c r="N722" s="212">
        <f t="shared" si="75"/>
        <v>0</v>
      </c>
      <c r="O722" s="212">
        <f t="shared" si="75"/>
        <v>0</v>
      </c>
      <c r="P722" s="155">
        <f t="shared" si="75"/>
        <v>0</v>
      </c>
      <c r="Q722" s="407"/>
      <c r="R722" s="407"/>
    </row>
    <row r="723" spans="1:18" ht="12.75" x14ac:dyDescent="0.2">
      <c r="A723" s="152">
        <v>6212000</v>
      </c>
      <c r="B723" s="73"/>
      <c r="C723" s="51" t="s">
        <v>109</v>
      </c>
      <c r="D723" s="89"/>
      <c r="E723" s="89"/>
      <c r="F723" s="89"/>
      <c r="G723" s="89"/>
      <c r="H723" s="89"/>
      <c r="I723" s="89"/>
      <c r="J723" s="212">
        <f t="shared" ref="J723:P732" si="76">SUMIFS(J$26:J$180,$A$26:$A$180,$A723,$C$26:$C$180,$C723)</f>
        <v>0</v>
      </c>
      <c r="K723" s="212">
        <f t="shared" si="76"/>
        <v>0</v>
      </c>
      <c r="L723" s="212">
        <f t="shared" si="76"/>
        <v>0</v>
      </c>
      <c r="M723" s="212">
        <f t="shared" si="76"/>
        <v>0</v>
      </c>
      <c r="N723" s="212">
        <f t="shared" si="76"/>
        <v>0</v>
      </c>
      <c r="O723" s="212">
        <f t="shared" si="76"/>
        <v>0</v>
      </c>
      <c r="P723" s="155">
        <f t="shared" si="76"/>
        <v>0</v>
      </c>
      <c r="Q723" s="407"/>
      <c r="R723" s="407"/>
    </row>
    <row r="724" spans="1:18" ht="12.75" x14ac:dyDescent="0.2">
      <c r="A724" s="152">
        <v>6212000</v>
      </c>
      <c r="B724" s="73"/>
      <c r="C724" s="51" t="s">
        <v>966</v>
      </c>
      <c r="D724" s="89"/>
      <c r="E724" s="89"/>
      <c r="F724" s="89"/>
      <c r="G724" s="89"/>
      <c r="H724" s="89"/>
      <c r="I724" s="89"/>
      <c r="J724" s="212">
        <f t="shared" si="76"/>
        <v>0</v>
      </c>
      <c r="K724" s="212">
        <f t="shared" si="76"/>
        <v>0</v>
      </c>
      <c r="L724" s="212">
        <f t="shared" si="76"/>
        <v>0</v>
      </c>
      <c r="M724" s="212">
        <f t="shared" si="76"/>
        <v>0</v>
      </c>
      <c r="N724" s="212">
        <f t="shared" si="76"/>
        <v>0</v>
      </c>
      <c r="O724" s="212">
        <f t="shared" si="76"/>
        <v>0</v>
      </c>
      <c r="P724" s="155">
        <f t="shared" si="76"/>
        <v>0</v>
      </c>
      <c r="Q724" s="407"/>
      <c r="R724" s="407"/>
    </row>
    <row r="725" spans="1:18" ht="12.75" x14ac:dyDescent="0.2">
      <c r="A725" s="152">
        <v>6212000</v>
      </c>
      <c r="B725" s="73"/>
      <c r="C725" s="51" t="s">
        <v>981</v>
      </c>
      <c r="D725" s="89"/>
      <c r="E725" s="89"/>
      <c r="F725" s="89"/>
      <c r="G725" s="89"/>
      <c r="H725" s="89"/>
      <c r="I725" s="89"/>
      <c r="J725" s="212">
        <f t="shared" si="76"/>
        <v>0</v>
      </c>
      <c r="K725" s="212">
        <f t="shared" si="76"/>
        <v>0</v>
      </c>
      <c r="L725" s="212">
        <f t="shared" si="76"/>
        <v>0</v>
      </c>
      <c r="M725" s="212">
        <f t="shared" si="76"/>
        <v>0</v>
      </c>
      <c r="N725" s="212">
        <f t="shared" si="76"/>
        <v>0</v>
      </c>
      <c r="O725" s="212">
        <f t="shared" si="76"/>
        <v>0</v>
      </c>
      <c r="P725" s="155">
        <f t="shared" si="76"/>
        <v>0</v>
      </c>
      <c r="Q725" s="407"/>
      <c r="R725" s="407"/>
    </row>
    <row r="726" spans="1:18" ht="12.75" x14ac:dyDescent="0.2">
      <c r="A726" s="152">
        <v>6212000</v>
      </c>
      <c r="B726" s="73"/>
      <c r="C726" s="51" t="s">
        <v>963</v>
      </c>
      <c r="D726" s="89"/>
      <c r="E726" s="89"/>
      <c r="F726" s="89"/>
      <c r="G726" s="89"/>
      <c r="H726" s="89"/>
      <c r="I726" s="89"/>
      <c r="J726" s="212">
        <f t="shared" si="76"/>
        <v>0</v>
      </c>
      <c r="K726" s="212">
        <f t="shared" si="76"/>
        <v>0</v>
      </c>
      <c r="L726" s="212">
        <f t="shared" si="76"/>
        <v>0</v>
      </c>
      <c r="M726" s="212">
        <f t="shared" si="76"/>
        <v>0</v>
      </c>
      <c r="N726" s="212">
        <f t="shared" si="76"/>
        <v>0</v>
      </c>
      <c r="O726" s="212">
        <f t="shared" si="76"/>
        <v>0</v>
      </c>
      <c r="P726" s="155">
        <f t="shared" si="76"/>
        <v>0</v>
      </c>
      <c r="Q726" s="407"/>
      <c r="R726" s="407"/>
    </row>
    <row r="727" spans="1:18" ht="12.75" x14ac:dyDescent="0.2">
      <c r="A727" s="152">
        <v>6212000</v>
      </c>
      <c r="B727" s="73"/>
      <c r="C727" s="51" t="s">
        <v>120</v>
      </c>
      <c r="D727" s="89"/>
      <c r="E727" s="89"/>
      <c r="F727" s="89"/>
      <c r="G727" s="89"/>
      <c r="H727" s="89"/>
      <c r="I727" s="89"/>
      <c r="J727" s="212">
        <f t="shared" si="76"/>
        <v>0</v>
      </c>
      <c r="K727" s="212">
        <f t="shared" si="76"/>
        <v>0</v>
      </c>
      <c r="L727" s="212">
        <f t="shared" si="76"/>
        <v>0</v>
      </c>
      <c r="M727" s="212">
        <f t="shared" si="76"/>
        <v>0</v>
      </c>
      <c r="N727" s="212">
        <f t="shared" si="76"/>
        <v>0</v>
      </c>
      <c r="O727" s="212">
        <f t="shared" si="76"/>
        <v>0</v>
      </c>
      <c r="P727" s="155">
        <f t="shared" si="76"/>
        <v>0</v>
      </c>
      <c r="Q727" s="407"/>
      <c r="R727" s="407"/>
    </row>
    <row r="728" spans="1:18" ht="12.75" x14ac:dyDescent="0.2">
      <c r="A728" s="152">
        <v>6212000</v>
      </c>
      <c r="B728" s="73"/>
      <c r="C728" s="51" t="s">
        <v>989</v>
      </c>
      <c r="D728" s="89"/>
      <c r="E728" s="89"/>
      <c r="F728" s="89"/>
      <c r="G728" s="89"/>
      <c r="H728" s="89"/>
      <c r="I728" s="89"/>
      <c r="J728" s="212">
        <f t="shared" si="76"/>
        <v>0</v>
      </c>
      <c r="K728" s="212">
        <f t="shared" si="76"/>
        <v>0</v>
      </c>
      <c r="L728" s="212">
        <f t="shared" si="76"/>
        <v>0</v>
      </c>
      <c r="M728" s="212">
        <f t="shared" si="76"/>
        <v>0</v>
      </c>
      <c r="N728" s="212">
        <f t="shared" si="76"/>
        <v>0</v>
      </c>
      <c r="O728" s="212">
        <f t="shared" si="76"/>
        <v>0</v>
      </c>
      <c r="P728" s="155">
        <f t="shared" si="76"/>
        <v>0</v>
      </c>
      <c r="Q728" s="407"/>
      <c r="R728" s="407"/>
    </row>
    <row r="729" spans="1:18" ht="12.75" x14ac:dyDescent="0.2">
      <c r="A729" s="152">
        <v>6215000</v>
      </c>
      <c r="B729" s="73"/>
      <c r="C729" s="51" t="s">
        <v>986</v>
      </c>
      <c r="D729" s="89"/>
      <c r="E729" s="89"/>
      <c r="F729" s="89"/>
      <c r="G729" s="89"/>
      <c r="H729" s="89"/>
      <c r="I729" s="89"/>
      <c r="J729" s="212">
        <f t="shared" si="76"/>
        <v>0</v>
      </c>
      <c r="K729" s="212">
        <f t="shared" si="76"/>
        <v>0</v>
      </c>
      <c r="L729" s="212">
        <f t="shared" si="76"/>
        <v>0</v>
      </c>
      <c r="M729" s="212">
        <f t="shared" si="76"/>
        <v>0</v>
      </c>
      <c r="N729" s="212">
        <f t="shared" si="76"/>
        <v>0</v>
      </c>
      <c r="O729" s="212">
        <f t="shared" si="76"/>
        <v>0</v>
      </c>
      <c r="P729" s="155">
        <f t="shared" si="76"/>
        <v>0</v>
      </c>
      <c r="Q729" s="407"/>
      <c r="R729" s="407"/>
    </row>
    <row r="730" spans="1:18" ht="12.75" x14ac:dyDescent="0.2">
      <c r="A730" s="152">
        <v>6215000</v>
      </c>
      <c r="B730" s="73"/>
      <c r="C730" s="51" t="s">
        <v>988</v>
      </c>
      <c r="D730" s="89"/>
      <c r="E730" s="89"/>
      <c r="F730" s="89"/>
      <c r="G730" s="89"/>
      <c r="H730" s="89"/>
      <c r="I730" s="89"/>
      <c r="J730" s="212">
        <f t="shared" si="76"/>
        <v>0</v>
      </c>
      <c r="K730" s="212">
        <f t="shared" si="76"/>
        <v>0</v>
      </c>
      <c r="L730" s="212">
        <f t="shared" si="76"/>
        <v>0</v>
      </c>
      <c r="M730" s="212">
        <f t="shared" si="76"/>
        <v>0</v>
      </c>
      <c r="N730" s="212">
        <f t="shared" si="76"/>
        <v>0</v>
      </c>
      <c r="O730" s="212">
        <f t="shared" si="76"/>
        <v>0</v>
      </c>
      <c r="P730" s="155">
        <f t="shared" si="76"/>
        <v>0</v>
      </c>
      <c r="Q730" s="407"/>
      <c r="R730" s="407"/>
    </row>
    <row r="731" spans="1:18" ht="12.75" x14ac:dyDescent="0.2">
      <c r="A731" s="152">
        <v>6215000</v>
      </c>
      <c r="B731" s="73"/>
      <c r="C731" s="51" t="s">
        <v>1058</v>
      </c>
      <c r="D731" s="89"/>
      <c r="E731" s="89"/>
      <c r="F731" s="89"/>
      <c r="G731" s="89"/>
      <c r="H731" s="89"/>
      <c r="I731" s="89"/>
      <c r="J731" s="212">
        <f t="shared" si="76"/>
        <v>0</v>
      </c>
      <c r="K731" s="212">
        <f t="shared" si="76"/>
        <v>0</v>
      </c>
      <c r="L731" s="212">
        <f t="shared" si="76"/>
        <v>0</v>
      </c>
      <c r="M731" s="212">
        <f t="shared" si="76"/>
        <v>0</v>
      </c>
      <c r="N731" s="212">
        <f t="shared" si="76"/>
        <v>0</v>
      </c>
      <c r="O731" s="212">
        <f t="shared" si="76"/>
        <v>0</v>
      </c>
      <c r="P731" s="155">
        <f t="shared" si="76"/>
        <v>0</v>
      </c>
      <c r="Q731" s="407"/>
      <c r="R731" s="407"/>
    </row>
    <row r="732" spans="1:18" ht="12.75" x14ac:dyDescent="0.2">
      <c r="A732" s="152">
        <v>6215000</v>
      </c>
      <c r="B732" s="73"/>
      <c r="C732" s="51" t="s">
        <v>972</v>
      </c>
      <c r="D732" s="89"/>
      <c r="E732" s="89"/>
      <c r="F732" s="89"/>
      <c r="G732" s="89"/>
      <c r="H732" s="89"/>
      <c r="I732" s="89"/>
      <c r="J732" s="212">
        <f t="shared" si="76"/>
        <v>0</v>
      </c>
      <c r="K732" s="212">
        <f t="shared" si="76"/>
        <v>0</v>
      </c>
      <c r="L732" s="212">
        <f t="shared" si="76"/>
        <v>0</v>
      </c>
      <c r="M732" s="212">
        <f t="shared" si="76"/>
        <v>0</v>
      </c>
      <c r="N732" s="212">
        <f t="shared" si="76"/>
        <v>0</v>
      </c>
      <c r="O732" s="212">
        <f t="shared" si="76"/>
        <v>0</v>
      </c>
      <c r="P732" s="155">
        <f t="shared" si="76"/>
        <v>0</v>
      </c>
      <c r="Q732" s="407"/>
      <c r="R732" s="407"/>
    </row>
    <row r="733" spans="1:18" ht="12.75" x14ac:dyDescent="0.2">
      <c r="A733" s="152">
        <v>6215000</v>
      </c>
      <c r="B733" s="73"/>
      <c r="C733" s="51" t="s">
        <v>973</v>
      </c>
      <c r="D733" s="89"/>
      <c r="E733" s="89"/>
      <c r="F733" s="89"/>
      <c r="G733" s="89"/>
      <c r="H733" s="89"/>
      <c r="I733" s="89"/>
      <c r="J733" s="212">
        <f t="shared" ref="J733:P742" si="77">SUMIFS(J$26:J$180,$A$26:$A$180,$A733,$C$26:$C$180,$C733)</f>
        <v>0</v>
      </c>
      <c r="K733" s="212">
        <f t="shared" si="77"/>
        <v>0</v>
      </c>
      <c r="L733" s="212">
        <f t="shared" si="77"/>
        <v>0</v>
      </c>
      <c r="M733" s="212">
        <f t="shared" si="77"/>
        <v>0</v>
      </c>
      <c r="N733" s="212">
        <f t="shared" si="77"/>
        <v>0</v>
      </c>
      <c r="O733" s="212">
        <f t="shared" si="77"/>
        <v>0</v>
      </c>
      <c r="P733" s="155">
        <f t="shared" si="77"/>
        <v>0</v>
      </c>
      <c r="Q733" s="407"/>
      <c r="R733" s="407"/>
    </row>
    <row r="734" spans="1:18" ht="12.75" x14ac:dyDescent="0.2">
      <c r="A734" s="152">
        <v>6215000</v>
      </c>
      <c r="B734" s="73"/>
      <c r="C734" s="51" t="s">
        <v>980</v>
      </c>
      <c r="D734" s="89"/>
      <c r="E734" s="89"/>
      <c r="F734" s="89"/>
      <c r="G734" s="89"/>
      <c r="H734" s="89"/>
      <c r="I734" s="89"/>
      <c r="J734" s="212">
        <f t="shared" si="77"/>
        <v>0</v>
      </c>
      <c r="K734" s="212">
        <f t="shared" si="77"/>
        <v>0</v>
      </c>
      <c r="L734" s="212">
        <f t="shared" si="77"/>
        <v>0</v>
      </c>
      <c r="M734" s="212">
        <f t="shared" si="77"/>
        <v>0</v>
      </c>
      <c r="N734" s="212">
        <f t="shared" si="77"/>
        <v>0</v>
      </c>
      <c r="O734" s="212">
        <f t="shared" si="77"/>
        <v>0</v>
      </c>
      <c r="P734" s="155">
        <f t="shared" si="77"/>
        <v>0</v>
      </c>
      <c r="Q734" s="407"/>
      <c r="R734" s="407"/>
    </row>
    <row r="735" spans="1:18" ht="12.75" x14ac:dyDescent="0.2">
      <c r="A735" s="152">
        <v>6215000</v>
      </c>
      <c r="B735" s="73"/>
      <c r="C735" s="51" t="s">
        <v>982</v>
      </c>
      <c r="D735" s="89"/>
      <c r="E735" s="89"/>
      <c r="F735" s="89"/>
      <c r="G735" s="89"/>
      <c r="H735" s="89"/>
      <c r="I735" s="89"/>
      <c r="J735" s="212">
        <f t="shared" si="77"/>
        <v>0</v>
      </c>
      <c r="K735" s="212">
        <f t="shared" si="77"/>
        <v>0</v>
      </c>
      <c r="L735" s="212">
        <f t="shared" si="77"/>
        <v>0</v>
      </c>
      <c r="M735" s="212">
        <f t="shared" si="77"/>
        <v>0</v>
      </c>
      <c r="N735" s="212">
        <f t="shared" si="77"/>
        <v>0</v>
      </c>
      <c r="O735" s="212">
        <f t="shared" si="77"/>
        <v>0</v>
      </c>
      <c r="P735" s="155">
        <f t="shared" si="77"/>
        <v>0</v>
      </c>
      <c r="Q735" s="407"/>
      <c r="R735" s="407"/>
    </row>
    <row r="736" spans="1:18" ht="12.75" x14ac:dyDescent="0.2">
      <c r="A736" s="152">
        <v>6215000</v>
      </c>
      <c r="B736" s="73"/>
      <c r="C736" s="51" t="s">
        <v>46</v>
      </c>
      <c r="D736" s="89"/>
      <c r="E736" s="89"/>
      <c r="F736" s="89"/>
      <c r="G736" s="89"/>
      <c r="H736" s="89"/>
      <c r="I736" s="89"/>
      <c r="J736" s="212">
        <f t="shared" si="77"/>
        <v>0</v>
      </c>
      <c r="K736" s="212">
        <f t="shared" si="77"/>
        <v>0</v>
      </c>
      <c r="L736" s="212">
        <f t="shared" si="77"/>
        <v>0</v>
      </c>
      <c r="M736" s="212">
        <f t="shared" si="77"/>
        <v>0</v>
      </c>
      <c r="N736" s="212">
        <f t="shared" si="77"/>
        <v>0</v>
      </c>
      <c r="O736" s="212">
        <f t="shared" si="77"/>
        <v>0</v>
      </c>
      <c r="P736" s="155">
        <f t="shared" si="77"/>
        <v>0</v>
      </c>
      <c r="Q736" s="407"/>
      <c r="R736" s="407"/>
    </row>
    <row r="737" spans="1:18" ht="12.75" x14ac:dyDescent="0.2">
      <c r="A737" s="152">
        <v>6215000</v>
      </c>
      <c r="B737" s="73"/>
      <c r="C737" s="51" t="s">
        <v>1019</v>
      </c>
      <c r="D737" s="89"/>
      <c r="E737" s="89"/>
      <c r="F737" s="89"/>
      <c r="G737" s="89"/>
      <c r="H737" s="89"/>
      <c r="I737" s="89"/>
      <c r="J737" s="212">
        <f t="shared" si="77"/>
        <v>0</v>
      </c>
      <c r="K737" s="212">
        <f t="shared" si="77"/>
        <v>0</v>
      </c>
      <c r="L737" s="212">
        <f t="shared" si="77"/>
        <v>1200</v>
      </c>
      <c r="M737" s="212">
        <f t="shared" si="77"/>
        <v>0</v>
      </c>
      <c r="N737" s="212">
        <f t="shared" si="77"/>
        <v>0</v>
      </c>
      <c r="O737" s="212">
        <f t="shared" si="77"/>
        <v>12250</v>
      </c>
      <c r="P737" s="155">
        <f t="shared" si="77"/>
        <v>13450</v>
      </c>
      <c r="Q737" s="407"/>
      <c r="R737" s="407"/>
    </row>
    <row r="738" spans="1:18" ht="12.75" x14ac:dyDescent="0.2">
      <c r="A738" s="152">
        <v>6215000</v>
      </c>
      <c r="B738" s="73"/>
      <c r="C738" s="51" t="s">
        <v>1050</v>
      </c>
      <c r="D738" s="89"/>
      <c r="E738" s="89"/>
      <c r="F738" s="89"/>
      <c r="G738" s="89"/>
      <c r="H738" s="89"/>
      <c r="I738" s="89"/>
      <c r="J738" s="212">
        <f t="shared" si="77"/>
        <v>0</v>
      </c>
      <c r="K738" s="212">
        <f t="shared" si="77"/>
        <v>0</v>
      </c>
      <c r="L738" s="212">
        <f t="shared" si="77"/>
        <v>0</v>
      </c>
      <c r="M738" s="212">
        <f t="shared" si="77"/>
        <v>0</v>
      </c>
      <c r="N738" s="212">
        <f t="shared" si="77"/>
        <v>0</v>
      </c>
      <c r="O738" s="212">
        <f t="shared" si="77"/>
        <v>0</v>
      </c>
      <c r="P738" s="155">
        <f t="shared" si="77"/>
        <v>0</v>
      </c>
      <c r="Q738" s="407"/>
      <c r="R738" s="407"/>
    </row>
    <row r="739" spans="1:18" ht="12.75" x14ac:dyDescent="0.2">
      <c r="A739" s="152">
        <v>6215000</v>
      </c>
      <c r="B739" s="73"/>
      <c r="C739" s="51" t="s">
        <v>100</v>
      </c>
      <c r="D739" s="89"/>
      <c r="E739" s="89"/>
      <c r="F739" s="89"/>
      <c r="G739" s="89"/>
      <c r="H739" s="89"/>
      <c r="I739" s="89"/>
      <c r="J739" s="212">
        <f t="shared" si="77"/>
        <v>0</v>
      </c>
      <c r="K739" s="212">
        <f t="shared" si="77"/>
        <v>0</v>
      </c>
      <c r="L739" s="212">
        <f t="shared" si="77"/>
        <v>0</v>
      </c>
      <c r="M739" s="212">
        <f t="shared" si="77"/>
        <v>0</v>
      </c>
      <c r="N739" s="212">
        <f t="shared" si="77"/>
        <v>0</v>
      </c>
      <c r="O739" s="212">
        <f t="shared" si="77"/>
        <v>0</v>
      </c>
      <c r="P739" s="155">
        <f t="shared" si="77"/>
        <v>0</v>
      </c>
      <c r="Q739" s="407"/>
      <c r="R739" s="407"/>
    </row>
    <row r="740" spans="1:18" ht="12.75" x14ac:dyDescent="0.2">
      <c r="A740" s="152">
        <v>6215000</v>
      </c>
      <c r="B740" s="73"/>
      <c r="C740" s="51" t="s">
        <v>101</v>
      </c>
      <c r="D740" s="89"/>
      <c r="E740" s="89"/>
      <c r="F740" s="89"/>
      <c r="G740" s="89"/>
      <c r="H740" s="89"/>
      <c r="I740" s="89"/>
      <c r="J740" s="212">
        <f t="shared" si="77"/>
        <v>0</v>
      </c>
      <c r="K740" s="212">
        <f t="shared" si="77"/>
        <v>0</v>
      </c>
      <c r="L740" s="212">
        <f t="shared" si="77"/>
        <v>0</v>
      </c>
      <c r="M740" s="212">
        <f t="shared" si="77"/>
        <v>0</v>
      </c>
      <c r="N740" s="212">
        <f t="shared" si="77"/>
        <v>0</v>
      </c>
      <c r="O740" s="212">
        <f t="shared" si="77"/>
        <v>0</v>
      </c>
      <c r="P740" s="155">
        <f t="shared" si="77"/>
        <v>0</v>
      </c>
      <c r="Q740" s="407"/>
      <c r="R740" s="407"/>
    </row>
    <row r="741" spans="1:18" ht="12.75" x14ac:dyDescent="0.2">
      <c r="A741" s="152">
        <v>6215000</v>
      </c>
      <c r="B741" s="73"/>
      <c r="C741" s="51" t="s">
        <v>1056</v>
      </c>
      <c r="D741" s="89"/>
      <c r="E741" s="89"/>
      <c r="F741" s="89"/>
      <c r="G741" s="89"/>
      <c r="H741" s="89"/>
      <c r="I741" s="89"/>
      <c r="J741" s="212">
        <f t="shared" si="77"/>
        <v>0</v>
      </c>
      <c r="K741" s="212">
        <f t="shared" si="77"/>
        <v>0</v>
      </c>
      <c r="L741" s="212">
        <f t="shared" si="77"/>
        <v>0</v>
      </c>
      <c r="M741" s="212">
        <f t="shared" si="77"/>
        <v>0</v>
      </c>
      <c r="N741" s="212">
        <f t="shared" si="77"/>
        <v>0</v>
      </c>
      <c r="O741" s="212">
        <f t="shared" si="77"/>
        <v>0</v>
      </c>
      <c r="P741" s="155">
        <f t="shared" si="77"/>
        <v>0</v>
      </c>
      <c r="Q741" s="407"/>
      <c r="R741" s="407"/>
    </row>
    <row r="742" spans="1:18" ht="12.75" x14ac:dyDescent="0.2">
      <c r="A742" s="152">
        <v>6215000</v>
      </c>
      <c r="B742" s="73"/>
      <c r="C742" s="51" t="s">
        <v>1057</v>
      </c>
      <c r="D742" s="89"/>
      <c r="E742" s="89"/>
      <c r="F742" s="89"/>
      <c r="G742" s="89"/>
      <c r="H742" s="89"/>
      <c r="I742" s="89"/>
      <c r="J742" s="212">
        <f t="shared" si="77"/>
        <v>0</v>
      </c>
      <c r="K742" s="212">
        <f t="shared" si="77"/>
        <v>0</v>
      </c>
      <c r="L742" s="212">
        <f t="shared" si="77"/>
        <v>0</v>
      </c>
      <c r="M742" s="212">
        <f t="shared" si="77"/>
        <v>0</v>
      </c>
      <c r="N742" s="212">
        <f t="shared" si="77"/>
        <v>0</v>
      </c>
      <c r="O742" s="212">
        <f t="shared" si="77"/>
        <v>0</v>
      </c>
      <c r="P742" s="155">
        <f t="shared" si="77"/>
        <v>0</v>
      </c>
      <c r="Q742" s="407"/>
      <c r="R742" s="407"/>
    </row>
    <row r="743" spans="1:18" ht="12.75" x14ac:dyDescent="0.2">
      <c r="A743" s="152">
        <v>6215000</v>
      </c>
      <c r="B743" s="73"/>
      <c r="C743" s="51" t="s">
        <v>944</v>
      </c>
      <c r="D743" s="89"/>
      <c r="E743" s="89"/>
      <c r="F743" s="89"/>
      <c r="G743" s="89"/>
      <c r="H743" s="89"/>
      <c r="I743" s="89"/>
      <c r="J743" s="212">
        <f t="shared" ref="J743:P752" si="78">SUMIFS(J$26:J$180,$A$26:$A$180,$A743,$C$26:$C$180,$C743)</f>
        <v>0</v>
      </c>
      <c r="K743" s="212">
        <f t="shared" si="78"/>
        <v>0</v>
      </c>
      <c r="L743" s="212">
        <f t="shared" si="78"/>
        <v>0</v>
      </c>
      <c r="M743" s="212">
        <f t="shared" si="78"/>
        <v>0</v>
      </c>
      <c r="N743" s="212">
        <f t="shared" si="78"/>
        <v>0</v>
      </c>
      <c r="O743" s="212">
        <f t="shared" si="78"/>
        <v>0</v>
      </c>
      <c r="P743" s="155">
        <f t="shared" si="78"/>
        <v>0</v>
      </c>
      <c r="Q743" s="407"/>
      <c r="R743" s="407"/>
    </row>
    <row r="744" spans="1:18" ht="12.75" x14ac:dyDescent="0.2">
      <c r="A744" s="152">
        <v>6215000</v>
      </c>
      <c r="B744" s="73"/>
      <c r="C744" s="51" t="s">
        <v>945</v>
      </c>
      <c r="D744" s="89"/>
      <c r="E744" s="89"/>
      <c r="F744" s="89"/>
      <c r="G744" s="89"/>
      <c r="H744" s="89"/>
      <c r="I744" s="89"/>
      <c r="J744" s="212">
        <f t="shared" si="78"/>
        <v>0</v>
      </c>
      <c r="K744" s="212">
        <f t="shared" si="78"/>
        <v>0</v>
      </c>
      <c r="L744" s="212">
        <f t="shared" si="78"/>
        <v>0</v>
      </c>
      <c r="M744" s="212">
        <f t="shared" si="78"/>
        <v>0</v>
      </c>
      <c r="N744" s="212">
        <f t="shared" si="78"/>
        <v>0</v>
      </c>
      <c r="O744" s="212">
        <f t="shared" si="78"/>
        <v>0</v>
      </c>
      <c r="P744" s="155">
        <f t="shared" si="78"/>
        <v>0</v>
      </c>
      <c r="Q744" s="407"/>
      <c r="R744" s="407"/>
    </row>
    <row r="745" spans="1:18" ht="12.75" x14ac:dyDescent="0.2">
      <c r="A745" s="152">
        <v>6215000</v>
      </c>
      <c r="B745" s="73"/>
      <c r="C745" s="51" t="s">
        <v>965</v>
      </c>
      <c r="D745" s="89"/>
      <c r="E745" s="89"/>
      <c r="F745" s="89"/>
      <c r="G745" s="89"/>
      <c r="H745" s="89"/>
      <c r="I745" s="89"/>
      <c r="J745" s="212">
        <f t="shared" si="78"/>
        <v>0</v>
      </c>
      <c r="K745" s="212">
        <f t="shared" si="78"/>
        <v>0</v>
      </c>
      <c r="L745" s="212">
        <f t="shared" si="78"/>
        <v>0</v>
      </c>
      <c r="M745" s="212">
        <f t="shared" si="78"/>
        <v>0</v>
      </c>
      <c r="N745" s="212">
        <f t="shared" si="78"/>
        <v>0</v>
      </c>
      <c r="O745" s="212">
        <f t="shared" si="78"/>
        <v>0</v>
      </c>
      <c r="P745" s="155">
        <f t="shared" si="78"/>
        <v>0</v>
      </c>
      <c r="Q745" s="407"/>
      <c r="R745" s="407"/>
    </row>
    <row r="746" spans="1:18" ht="12.75" x14ac:dyDescent="0.2">
      <c r="A746" s="152">
        <v>6215000</v>
      </c>
      <c r="B746" s="73"/>
      <c r="C746" s="51" t="s">
        <v>1011</v>
      </c>
      <c r="D746" s="89"/>
      <c r="E746" s="89"/>
      <c r="F746" s="89"/>
      <c r="G746" s="89"/>
      <c r="H746" s="89"/>
      <c r="I746" s="89"/>
      <c r="J746" s="212">
        <f t="shared" si="78"/>
        <v>0</v>
      </c>
      <c r="K746" s="212">
        <f t="shared" si="78"/>
        <v>0</v>
      </c>
      <c r="L746" s="212">
        <f t="shared" si="78"/>
        <v>0</v>
      </c>
      <c r="M746" s="212">
        <f t="shared" si="78"/>
        <v>0</v>
      </c>
      <c r="N746" s="212">
        <f t="shared" si="78"/>
        <v>0</v>
      </c>
      <c r="O746" s="212">
        <f t="shared" si="78"/>
        <v>0</v>
      </c>
      <c r="P746" s="155">
        <f t="shared" si="78"/>
        <v>0</v>
      </c>
      <c r="Q746" s="407"/>
      <c r="R746" s="407"/>
    </row>
    <row r="747" spans="1:18" ht="12.75" x14ac:dyDescent="0.2">
      <c r="A747" s="152">
        <v>6215000</v>
      </c>
      <c r="B747" s="73"/>
      <c r="C747" s="51" t="s">
        <v>1010</v>
      </c>
      <c r="D747" s="89"/>
      <c r="E747" s="89"/>
      <c r="F747" s="89"/>
      <c r="G747" s="89"/>
      <c r="H747" s="89"/>
      <c r="I747" s="89"/>
      <c r="J747" s="212">
        <f t="shared" si="78"/>
        <v>0</v>
      </c>
      <c r="K747" s="212">
        <f t="shared" si="78"/>
        <v>0</v>
      </c>
      <c r="L747" s="212">
        <f t="shared" si="78"/>
        <v>0</v>
      </c>
      <c r="M747" s="212">
        <f t="shared" si="78"/>
        <v>0</v>
      </c>
      <c r="N747" s="212">
        <f t="shared" si="78"/>
        <v>0</v>
      </c>
      <c r="O747" s="212">
        <f t="shared" si="78"/>
        <v>0</v>
      </c>
      <c r="P747" s="155">
        <f t="shared" si="78"/>
        <v>0</v>
      </c>
      <c r="Q747" s="407"/>
      <c r="R747" s="407"/>
    </row>
    <row r="748" spans="1:18" ht="12.75" x14ac:dyDescent="0.2">
      <c r="A748" s="152">
        <v>6215000</v>
      </c>
      <c r="B748" s="73"/>
      <c r="C748" s="51" t="s">
        <v>1013</v>
      </c>
      <c r="D748" s="89"/>
      <c r="E748" s="89"/>
      <c r="F748" s="89"/>
      <c r="G748" s="89"/>
      <c r="H748" s="89"/>
      <c r="I748" s="89"/>
      <c r="J748" s="212">
        <f t="shared" si="78"/>
        <v>0</v>
      </c>
      <c r="K748" s="212">
        <f t="shared" si="78"/>
        <v>0</v>
      </c>
      <c r="L748" s="212">
        <f t="shared" si="78"/>
        <v>0</v>
      </c>
      <c r="M748" s="212">
        <f t="shared" si="78"/>
        <v>0</v>
      </c>
      <c r="N748" s="212">
        <f t="shared" si="78"/>
        <v>0</v>
      </c>
      <c r="O748" s="212">
        <f t="shared" si="78"/>
        <v>0</v>
      </c>
      <c r="P748" s="155">
        <f t="shared" si="78"/>
        <v>0</v>
      </c>
      <c r="Q748" s="407"/>
      <c r="R748" s="407"/>
    </row>
    <row r="749" spans="1:18" ht="12.75" x14ac:dyDescent="0.2">
      <c r="A749" s="152">
        <v>6215000</v>
      </c>
      <c r="B749" s="73"/>
      <c r="C749" s="51" t="s">
        <v>1012</v>
      </c>
      <c r="D749" s="89"/>
      <c r="E749" s="89"/>
      <c r="F749" s="89"/>
      <c r="G749" s="89"/>
      <c r="H749" s="89"/>
      <c r="I749" s="89"/>
      <c r="J749" s="212">
        <f t="shared" si="78"/>
        <v>0</v>
      </c>
      <c r="K749" s="212">
        <f t="shared" si="78"/>
        <v>0</v>
      </c>
      <c r="L749" s="212">
        <f t="shared" si="78"/>
        <v>0</v>
      </c>
      <c r="M749" s="212">
        <f t="shared" si="78"/>
        <v>0</v>
      </c>
      <c r="N749" s="212">
        <f t="shared" si="78"/>
        <v>0</v>
      </c>
      <c r="O749" s="212">
        <f t="shared" si="78"/>
        <v>0</v>
      </c>
      <c r="P749" s="155">
        <f t="shared" si="78"/>
        <v>0</v>
      </c>
      <c r="Q749" s="407"/>
      <c r="R749" s="407"/>
    </row>
    <row r="750" spans="1:18" ht="12.75" x14ac:dyDescent="0.2">
      <c r="A750" s="152">
        <v>6215000</v>
      </c>
      <c r="B750" s="73"/>
      <c r="C750" s="51" t="s">
        <v>1052</v>
      </c>
      <c r="D750" s="89"/>
      <c r="E750" s="89"/>
      <c r="F750" s="89"/>
      <c r="G750" s="89"/>
      <c r="H750" s="89"/>
      <c r="I750" s="89"/>
      <c r="J750" s="212">
        <f t="shared" si="78"/>
        <v>0</v>
      </c>
      <c r="K750" s="212">
        <f t="shared" si="78"/>
        <v>0</v>
      </c>
      <c r="L750" s="212">
        <f t="shared" si="78"/>
        <v>0</v>
      </c>
      <c r="M750" s="212">
        <f t="shared" si="78"/>
        <v>0</v>
      </c>
      <c r="N750" s="212">
        <f t="shared" si="78"/>
        <v>0</v>
      </c>
      <c r="O750" s="212">
        <f t="shared" si="78"/>
        <v>0</v>
      </c>
      <c r="P750" s="155">
        <f t="shared" si="78"/>
        <v>0</v>
      </c>
      <c r="Q750" s="407"/>
      <c r="R750" s="407"/>
    </row>
    <row r="751" spans="1:18" ht="12.75" x14ac:dyDescent="0.2">
      <c r="A751" s="152">
        <v>6215000</v>
      </c>
      <c r="B751" s="73"/>
      <c r="C751" s="51" t="s">
        <v>1053</v>
      </c>
      <c r="D751" s="89"/>
      <c r="E751" s="89"/>
      <c r="F751" s="89"/>
      <c r="G751" s="89"/>
      <c r="H751" s="89"/>
      <c r="I751" s="89"/>
      <c r="J751" s="212">
        <f t="shared" si="78"/>
        <v>0</v>
      </c>
      <c r="K751" s="212">
        <f t="shared" si="78"/>
        <v>0</v>
      </c>
      <c r="L751" s="212">
        <f t="shared" si="78"/>
        <v>0</v>
      </c>
      <c r="M751" s="212">
        <f t="shared" si="78"/>
        <v>0</v>
      </c>
      <c r="N751" s="212">
        <f t="shared" si="78"/>
        <v>0</v>
      </c>
      <c r="O751" s="212">
        <f t="shared" si="78"/>
        <v>0</v>
      </c>
      <c r="P751" s="155">
        <f t="shared" si="78"/>
        <v>0</v>
      </c>
      <c r="Q751" s="407"/>
      <c r="R751" s="407"/>
    </row>
    <row r="752" spans="1:18" ht="12.75" x14ac:dyDescent="0.2">
      <c r="A752" s="152">
        <v>6215000</v>
      </c>
      <c r="B752" s="73"/>
      <c r="C752" s="51" t="s">
        <v>984</v>
      </c>
      <c r="D752" s="89"/>
      <c r="E752" s="89"/>
      <c r="F752" s="89"/>
      <c r="G752" s="89"/>
      <c r="H752" s="89"/>
      <c r="I752" s="89"/>
      <c r="J752" s="212">
        <f t="shared" si="78"/>
        <v>0</v>
      </c>
      <c r="K752" s="212">
        <f t="shared" si="78"/>
        <v>0</v>
      </c>
      <c r="L752" s="212">
        <f t="shared" si="78"/>
        <v>0</v>
      </c>
      <c r="M752" s="212">
        <f t="shared" si="78"/>
        <v>0</v>
      </c>
      <c r="N752" s="212">
        <f t="shared" si="78"/>
        <v>0</v>
      </c>
      <c r="O752" s="212">
        <f t="shared" si="78"/>
        <v>0</v>
      </c>
      <c r="P752" s="155">
        <f t="shared" si="78"/>
        <v>0</v>
      </c>
      <c r="Q752" s="407"/>
      <c r="R752" s="407"/>
    </row>
    <row r="753" spans="1:18" ht="12.75" x14ac:dyDescent="0.2">
      <c r="A753" s="152">
        <v>6215000</v>
      </c>
      <c r="B753" s="73"/>
      <c r="C753" s="51" t="s">
        <v>985</v>
      </c>
      <c r="D753" s="89"/>
      <c r="E753" s="89"/>
      <c r="F753" s="89"/>
      <c r="G753" s="89"/>
      <c r="H753" s="89"/>
      <c r="I753" s="89"/>
      <c r="J753" s="212">
        <f t="shared" ref="J753:P762" si="79">SUMIFS(J$26:J$180,$A$26:$A$180,$A753,$C$26:$C$180,$C753)</f>
        <v>0</v>
      </c>
      <c r="K753" s="212">
        <f t="shared" si="79"/>
        <v>0</v>
      </c>
      <c r="L753" s="212">
        <f t="shared" si="79"/>
        <v>0</v>
      </c>
      <c r="M753" s="212">
        <f t="shared" si="79"/>
        <v>0</v>
      </c>
      <c r="N753" s="212">
        <f t="shared" si="79"/>
        <v>0</v>
      </c>
      <c r="O753" s="212">
        <f t="shared" si="79"/>
        <v>0</v>
      </c>
      <c r="P753" s="155">
        <f t="shared" si="79"/>
        <v>0</v>
      </c>
      <c r="Q753" s="407"/>
      <c r="R753" s="407"/>
    </row>
    <row r="754" spans="1:18" ht="12.75" x14ac:dyDescent="0.2">
      <c r="A754" s="152">
        <v>6215000</v>
      </c>
      <c r="B754" s="73"/>
      <c r="C754" s="51" t="s">
        <v>1005</v>
      </c>
      <c r="D754" s="89"/>
      <c r="E754" s="89"/>
      <c r="F754" s="89"/>
      <c r="G754" s="89"/>
      <c r="H754" s="89"/>
      <c r="I754" s="89"/>
      <c r="J754" s="212">
        <f t="shared" si="79"/>
        <v>0</v>
      </c>
      <c r="K754" s="212">
        <f t="shared" si="79"/>
        <v>0</v>
      </c>
      <c r="L754" s="212">
        <f t="shared" si="79"/>
        <v>0</v>
      </c>
      <c r="M754" s="212">
        <f t="shared" si="79"/>
        <v>0</v>
      </c>
      <c r="N754" s="212">
        <f t="shared" si="79"/>
        <v>0</v>
      </c>
      <c r="O754" s="212">
        <f t="shared" si="79"/>
        <v>0</v>
      </c>
      <c r="P754" s="155">
        <f t="shared" si="79"/>
        <v>0</v>
      </c>
      <c r="Q754" s="407"/>
      <c r="R754" s="407"/>
    </row>
    <row r="755" spans="1:18" ht="12.75" x14ac:dyDescent="0.2">
      <c r="A755" s="152">
        <v>6215000</v>
      </c>
      <c r="B755" s="73"/>
      <c r="C755" s="51" t="s">
        <v>1004</v>
      </c>
      <c r="D755" s="89"/>
      <c r="E755" s="89"/>
      <c r="F755" s="89"/>
      <c r="G755" s="89"/>
      <c r="H755" s="89"/>
      <c r="I755" s="89"/>
      <c r="J755" s="212">
        <f t="shared" si="79"/>
        <v>0</v>
      </c>
      <c r="K755" s="212">
        <f t="shared" si="79"/>
        <v>0</v>
      </c>
      <c r="L755" s="212">
        <f t="shared" si="79"/>
        <v>0</v>
      </c>
      <c r="M755" s="212">
        <f t="shared" si="79"/>
        <v>0</v>
      </c>
      <c r="N755" s="212">
        <f t="shared" si="79"/>
        <v>0</v>
      </c>
      <c r="O755" s="212">
        <f t="shared" si="79"/>
        <v>0</v>
      </c>
      <c r="P755" s="155">
        <f t="shared" si="79"/>
        <v>0</v>
      </c>
      <c r="Q755" s="407"/>
      <c r="R755" s="407"/>
    </row>
    <row r="756" spans="1:18" ht="12.75" x14ac:dyDescent="0.2">
      <c r="A756" s="152">
        <v>6215000</v>
      </c>
      <c r="B756" s="73"/>
      <c r="C756" s="51" t="s">
        <v>1008</v>
      </c>
      <c r="D756" s="89"/>
      <c r="E756" s="89"/>
      <c r="F756" s="89"/>
      <c r="G756" s="89"/>
      <c r="H756" s="89"/>
      <c r="I756" s="89"/>
      <c r="J756" s="212">
        <f t="shared" si="79"/>
        <v>0</v>
      </c>
      <c r="K756" s="212">
        <f t="shared" si="79"/>
        <v>0</v>
      </c>
      <c r="L756" s="212">
        <f t="shared" si="79"/>
        <v>0</v>
      </c>
      <c r="M756" s="212">
        <f t="shared" si="79"/>
        <v>0</v>
      </c>
      <c r="N756" s="212">
        <f t="shared" si="79"/>
        <v>0</v>
      </c>
      <c r="O756" s="212">
        <f t="shared" si="79"/>
        <v>0</v>
      </c>
      <c r="P756" s="155">
        <f t="shared" si="79"/>
        <v>0</v>
      </c>
      <c r="Q756" s="407"/>
      <c r="R756" s="407"/>
    </row>
    <row r="757" spans="1:18" ht="12.75" x14ac:dyDescent="0.2">
      <c r="A757" s="152">
        <v>6215000</v>
      </c>
      <c r="B757" s="73"/>
      <c r="C757" s="51" t="s">
        <v>1006</v>
      </c>
      <c r="D757" s="89"/>
      <c r="E757" s="89"/>
      <c r="F757" s="89"/>
      <c r="G757" s="89"/>
      <c r="H757" s="89"/>
      <c r="I757" s="89"/>
      <c r="J757" s="212">
        <f t="shared" si="79"/>
        <v>0</v>
      </c>
      <c r="K757" s="212">
        <f t="shared" si="79"/>
        <v>0</v>
      </c>
      <c r="L757" s="212">
        <f t="shared" si="79"/>
        <v>0</v>
      </c>
      <c r="M757" s="212">
        <f t="shared" si="79"/>
        <v>0</v>
      </c>
      <c r="N757" s="212">
        <f t="shared" si="79"/>
        <v>0</v>
      </c>
      <c r="O757" s="212">
        <f t="shared" si="79"/>
        <v>0</v>
      </c>
      <c r="P757" s="155">
        <f t="shared" si="79"/>
        <v>0</v>
      </c>
      <c r="Q757" s="407"/>
      <c r="R757" s="407"/>
    </row>
    <row r="758" spans="1:18" ht="12.75" x14ac:dyDescent="0.2">
      <c r="A758" s="152">
        <v>6215000</v>
      </c>
      <c r="B758" s="73"/>
      <c r="C758" s="51" t="s">
        <v>1034</v>
      </c>
      <c r="D758" s="89"/>
      <c r="E758" s="89"/>
      <c r="F758" s="89"/>
      <c r="G758" s="89"/>
      <c r="H758" s="89"/>
      <c r="I758" s="89"/>
      <c r="J758" s="212">
        <f t="shared" si="79"/>
        <v>0</v>
      </c>
      <c r="K758" s="212">
        <f t="shared" si="79"/>
        <v>0</v>
      </c>
      <c r="L758" s="212">
        <f t="shared" si="79"/>
        <v>0</v>
      </c>
      <c r="M758" s="212">
        <f t="shared" si="79"/>
        <v>0</v>
      </c>
      <c r="N758" s="212">
        <f t="shared" si="79"/>
        <v>0</v>
      </c>
      <c r="O758" s="212">
        <f t="shared" si="79"/>
        <v>0</v>
      </c>
      <c r="P758" s="155">
        <f t="shared" si="79"/>
        <v>0</v>
      </c>
      <c r="Q758" s="407"/>
      <c r="R758" s="407"/>
    </row>
    <row r="759" spans="1:18" ht="12.75" x14ac:dyDescent="0.2">
      <c r="A759" s="152">
        <v>6215000</v>
      </c>
      <c r="B759" s="73"/>
      <c r="C759" s="51" t="s">
        <v>1035</v>
      </c>
      <c r="D759" s="89"/>
      <c r="E759" s="89"/>
      <c r="F759" s="89"/>
      <c r="G759" s="89"/>
      <c r="H759" s="89"/>
      <c r="I759" s="89"/>
      <c r="J759" s="212">
        <f t="shared" si="79"/>
        <v>0</v>
      </c>
      <c r="K759" s="212">
        <f t="shared" si="79"/>
        <v>0</v>
      </c>
      <c r="L759" s="212">
        <f t="shared" si="79"/>
        <v>0</v>
      </c>
      <c r="M759" s="212">
        <f t="shared" si="79"/>
        <v>0</v>
      </c>
      <c r="N759" s="212">
        <f t="shared" si="79"/>
        <v>0</v>
      </c>
      <c r="O759" s="212">
        <f t="shared" si="79"/>
        <v>0</v>
      </c>
      <c r="P759" s="155">
        <f t="shared" si="79"/>
        <v>0</v>
      </c>
      <c r="Q759" s="407"/>
      <c r="R759" s="407"/>
    </row>
    <row r="760" spans="1:18" ht="12.75" x14ac:dyDescent="0.2">
      <c r="A760" s="152">
        <v>6215000</v>
      </c>
      <c r="B760" s="73"/>
      <c r="C760" s="51" t="s">
        <v>922</v>
      </c>
      <c r="D760" s="89"/>
      <c r="E760" s="89"/>
      <c r="F760" s="89"/>
      <c r="G760" s="89"/>
      <c r="H760" s="89"/>
      <c r="I760" s="89"/>
      <c r="J760" s="212">
        <f t="shared" si="79"/>
        <v>0</v>
      </c>
      <c r="K760" s="212">
        <f t="shared" si="79"/>
        <v>0</v>
      </c>
      <c r="L760" s="212">
        <f t="shared" si="79"/>
        <v>0</v>
      </c>
      <c r="M760" s="212">
        <f t="shared" si="79"/>
        <v>0</v>
      </c>
      <c r="N760" s="212">
        <f t="shared" si="79"/>
        <v>0</v>
      </c>
      <c r="O760" s="212">
        <f t="shared" si="79"/>
        <v>0</v>
      </c>
      <c r="P760" s="155">
        <f t="shared" si="79"/>
        <v>0</v>
      </c>
      <c r="Q760" s="407"/>
      <c r="R760" s="407"/>
    </row>
    <row r="761" spans="1:18" ht="12.75" x14ac:dyDescent="0.2">
      <c r="A761" s="152">
        <v>6215000</v>
      </c>
      <c r="B761" s="73"/>
      <c r="C761" s="51" t="s">
        <v>942</v>
      </c>
      <c r="D761" s="89"/>
      <c r="E761" s="89"/>
      <c r="F761" s="89"/>
      <c r="G761" s="89"/>
      <c r="H761" s="89"/>
      <c r="I761" s="89"/>
      <c r="J761" s="212">
        <f t="shared" si="79"/>
        <v>0</v>
      </c>
      <c r="K761" s="212">
        <f t="shared" si="79"/>
        <v>0</v>
      </c>
      <c r="L761" s="212">
        <f t="shared" si="79"/>
        <v>0</v>
      </c>
      <c r="M761" s="212">
        <f t="shared" si="79"/>
        <v>0</v>
      </c>
      <c r="N761" s="212">
        <f t="shared" si="79"/>
        <v>0</v>
      </c>
      <c r="O761" s="212">
        <f t="shared" si="79"/>
        <v>0</v>
      </c>
      <c r="P761" s="155">
        <f t="shared" si="79"/>
        <v>0</v>
      </c>
      <c r="Q761" s="407"/>
      <c r="R761" s="407"/>
    </row>
    <row r="762" spans="1:18" ht="12.75" x14ac:dyDescent="0.2">
      <c r="A762" s="152">
        <v>6215000</v>
      </c>
      <c r="B762" s="73"/>
      <c r="C762" s="51" t="s">
        <v>943</v>
      </c>
      <c r="D762" s="89"/>
      <c r="E762" s="89"/>
      <c r="F762" s="89"/>
      <c r="G762" s="89"/>
      <c r="H762" s="89"/>
      <c r="I762" s="89"/>
      <c r="J762" s="212">
        <f t="shared" si="79"/>
        <v>0</v>
      </c>
      <c r="K762" s="212">
        <f t="shared" si="79"/>
        <v>0</v>
      </c>
      <c r="L762" s="212">
        <f t="shared" si="79"/>
        <v>0</v>
      </c>
      <c r="M762" s="212">
        <f t="shared" si="79"/>
        <v>0</v>
      </c>
      <c r="N762" s="212">
        <f t="shared" si="79"/>
        <v>0</v>
      </c>
      <c r="O762" s="212">
        <f t="shared" si="79"/>
        <v>0</v>
      </c>
      <c r="P762" s="155">
        <f t="shared" si="79"/>
        <v>0</v>
      </c>
      <c r="Q762" s="407"/>
      <c r="R762" s="407"/>
    </row>
    <row r="763" spans="1:18" ht="12.75" x14ac:dyDescent="0.2">
      <c r="A763" s="152">
        <v>6215000</v>
      </c>
      <c r="B763" s="73"/>
      <c r="C763" s="51" t="s">
        <v>938</v>
      </c>
      <c r="D763" s="89"/>
      <c r="E763" s="89"/>
      <c r="F763" s="89"/>
      <c r="G763" s="89"/>
      <c r="H763" s="89"/>
      <c r="I763" s="89"/>
      <c r="J763" s="212">
        <f t="shared" ref="J763:P772" si="80">SUMIFS(J$26:J$180,$A$26:$A$180,$A763,$C$26:$C$180,$C763)</f>
        <v>0</v>
      </c>
      <c r="K763" s="212">
        <f t="shared" si="80"/>
        <v>0</v>
      </c>
      <c r="L763" s="212">
        <f t="shared" si="80"/>
        <v>0</v>
      </c>
      <c r="M763" s="212">
        <f t="shared" si="80"/>
        <v>0</v>
      </c>
      <c r="N763" s="212">
        <f t="shared" si="80"/>
        <v>0</v>
      </c>
      <c r="O763" s="212">
        <f t="shared" si="80"/>
        <v>0</v>
      </c>
      <c r="P763" s="155">
        <f t="shared" si="80"/>
        <v>0</v>
      </c>
      <c r="Q763" s="407"/>
      <c r="R763" s="407"/>
    </row>
    <row r="764" spans="1:18" ht="12.75" x14ac:dyDescent="0.2">
      <c r="A764" s="152">
        <v>6215000</v>
      </c>
      <c r="B764" s="73"/>
      <c r="C764" s="51" t="s">
        <v>939</v>
      </c>
      <c r="D764" s="89"/>
      <c r="E764" s="89"/>
      <c r="F764" s="89"/>
      <c r="G764" s="89"/>
      <c r="H764" s="89"/>
      <c r="I764" s="89"/>
      <c r="J764" s="212">
        <f t="shared" si="80"/>
        <v>0</v>
      </c>
      <c r="K764" s="212">
        <f t="shared" si="80"/>
        <v>0</v>
      </c>
      <c r="L764" s="212">
        <f t="shared" si="80"/>
        <v>0</v>
      </c>
      <c r="M764" s="212">
        <f t="shared" si="80"/>
        <v>0</v>
      </c>
      <c r="N764" s="212">
        <f t="shared" si="80"/>
        <v>0</v>
      </c>
      <c r="O764" s="212">
        <f t="shared" si="80"/>
        <v>0</v>
      </c>
      <c r="P764" s="155">
        <f t="shared" si="80"/>
        <v>0</v>
      </c>
      <c r="Q764" s="407"/>
      <c r="R764" s="407"/>
    </row>
    <row r="765" spans="1:18" ht="12.75" x14ac:dyDescent="0.2">
      <c r="A765" s="152">
        <v>6215000</v>
      </c>
      <c r="B765" s="73"/>
      <c r="C765" s="51" t="s">
        <v>934</v>
      </c>
      <c r="D765" s="89"/>
      <c r="E765" s="89"/>
      <c r="F765" s="89"/>
      <c r="G765" s="89"/>
      <c r="H765" s="89"/>
      <c r="I765" s="89"/>
      <c r="J765" s="212">
        <f t="shared" si="80"/>
        <v>0</v>
      </c>
      <c r="K765" s="212">
        <f t="shared" si="80"/>
        <v>0</v>
      </c>
      <c r="L765" s="212">
        <f t="shared" si="80"/>
        <v>0</v>
      </c>
      <c r="M765" s="212">
        <f t="shared" si="80"/>
        <v>0</v>
      </c>
      <c r="N765" s="212">
        <f t="shared" si="80"/>
        <v>0</v>
      </c>
      <c r="O765" s="212">
        <f t="shared" si="80"/>
        <v>0</v>
      </c>
      <c r="P765" s="155">
        <f t="shared" si="80"/>
        <v>0</v>
      </c>
      <c r="Q765" s="407"/>
      <c r="R765" s="407"/>
    </row>
    <row r="766" spans="1:18" ht="12.75" x14ac:dyDescent="0.2">
      <c r="A766" s="152">
        <v>6215000</v>
      </c>
      <c r="B766" s="73"/>
      <c r="C766" s="51" t="s">
        <v>935</v>
      </c>
      <c r="D766" s="89"/>
      <c r="E766" s="89"/>
      <c r="F766" s="89"/>
      <c r="G766" s="89"/>
      <c r="H766" s="89"/>
      <c r="I766" s="89"/>
      <c r="J766" s="212">
        <f t="shared" si="80"/>
        <v>0</v>
      </c>
      <c r="K766" s="212">
        <f t="shared" si="80"/>
        <v>0</v>
      </c>
      <c r="L766" s="212">
        <f t="shared" si="80"/>
        <v>0</v>
      </c>
      <c r="M766" s="212">
        <f t="shared" si="80"/>
        <v>0</v>
      </c>
      <c r="N766" s="212">
        <f t="shared" si="80"/>
        <v>0</v>
      </c>
      <c r="O766" s="212">
        <f t="shared" si="80"/>
        <v>0</v>
      </c>
      <c r="P766" s="155">
        <f t="shared" si="80"/>
        <v>0</v>
      </c>
      <c r="Q766" s="407"/>
      <c r="R766" s="407"/>
    </row>
    <row r="767" spans="1:18" ht="12.75" x14ac:dyDescent="0.2">
      <c r="A767" s="152">
        <v>6215000</v>
      </c>
      <c r="B767" s="73"/>
      <c r="C767" s="51" t="s">
        <v>953</v>
      </c>
      <c r="D767" s="89"/>
      <c r="E767" s="89"/>
      <c r="F767" s="89"/>
      <c r="G767" s="89"/>
      <c r="H767" s="89"/>
      <c r="I767" s="89"/>
      <c r="J767" s="212">
        <f t="shared" si="80"/>
        <v>0</v>
      </c>
      <c r="K767" s="212">
        <f t="shared" si="80"/>
        <v>0</v>
      </c>
      <c r="L767" s="212">
        <f t="shared" si="80"/>
        <v>0</v>
      </c>
      <c r="M767" s="212">
        <f t="shared" si="80"/>
        <v>0</v>
      </c>
      <c r="N767" s="212">
        <f t="shared" si="80"/>
        <v>0</v>
      </c>
      <c r="O767" s="212">
        <f t="shared" si="80"/>
        <v>0</v>
      </c>
      <c r="P767" s="155">
        <f t="shared" si="80"/>
        <v>0</v>
      </c>
      <c r="Q767" s="407"/>
      <c r="R767" s="407"/>
    </row>
    <row r="768" spans="1:18" ht="12.75" x14ac:dyDescent="0.2">
      <c r="A768" s="152">
        <v>6215000</v>
      </c>
      <c r="B768" s="73"/>
      <c r="C768" s="51" t="s">
        <v>924</v>
      </c>
      <c r="D768" s="89"/>
      <c r="E768" s="89"/>
      <c r="F768" s="89"/>
      <c r="G768" s="89"/>
      <c r="H768" s="89"/>
      <c r="I768" s="89"/>
      <c r="J768" s="212">
        <f t="shared" si="80"/>
        <v>0</v>
      </c>
      <c r="K768" s="212">
        <f t="shared" si="80"/>
        <v>0</v>
      </c>
      <c r="L768" s="212">
        <f t="shared" si="80"/>
        <v>0</v>
      </c>
      <c r="M768" s="212">
        <f t="shared" si="80"/>
        <v>0</v>
      </c>
      <c r="N768" s="212">
        <f t="shared" si="80"/>
        <v>0</v>
      </c>
      <c r="O768" s="212">
        <f t="shared" si="80"/>
        <v>0</v>
      </c>
      <c r="P768" s="155">
        <f t="shared" si="80"/>
        <v>0</v>
      </c>
      <c r="Q768" s="407"/>
      <c r="R768" s="407"/>
    </row>
    <row r="769" spans="1:18" ht="12.75" x14ac:dyDescent="0.2">
      <c r="A769" s="152">
        <v>6215000</v>
      </c>
      <c r="B769" s="73"/>
      <c r="C769" s="51" t="s">
        <v>927</v>
      </c>
      <c r="D769" s="89"/>
      <c r="E769" s="89"/>
      <c r="F769" s="89"/>
      <c r="G769" s="89"/>
      <c r="H769" s="89"/>
      <c r="I769" s="89"/>
      <c r="J769" s="212">
        <f t="shared" si="80"/>
        <v>0</v>
      </c>
      <c r="K769" s="212">
        <f t="shared" si="80"/>
        <v>0</v>
      </c>
      <c r="L769" s="212">
        <f t="shared" si="80"/>
        <v>0</v>
      </c>
      <c r="M769" s="212">
        <f t="shared" si="80"/>
        <v>0</v>
      </c>
      <c r="N769" s="212">
        <f t="shared" si="80"/>
        <v>0</v>
      </c>
      <c r="O769" s="212">
        <f t="shared" si="80"/>
        <v>0</v>
      </c>
      <c r="P769" s="155">
        <f t="shared" si="80"/>
        <v>0</v>
      </c>
      <c r="Q769" s="407"/>
      <c r="R769" s="407"/>
    </row>
    <row r="770" spans="1:18" ht="12.75" x14ac:dyDescent="0.2">
      <c r="A770" s="152">
        <v>6215000</v>
      </c>
      <c r="B770" s="73"/>
      <c r="C770" s="51" t="s">
        <v>951</v>
      </c>
      <c r="D770" s="89"/>
      <c r="E770" s="89"/>
      <c r="F770" s="89"/>
      <c r="G770" s="89"/>
      <c r="H770" s="89"/>
      <c r="I770" s="89"/>
      <c r="J770" s="212">
        <f t="shared" si="80"/>
        <v>0</v>
      </c>
      <c r="K770" s="212">
        <f t="shared" si="80"/>
        <v>0</v>
      </c>
      <c r="L770" s="212">
        <f t="shared" si="80"/>
        <v>0</v>
      </c>
      <c r="M770" s="212">
        <f t="shared" si="80"/>
        <v>0</v>
      </c>
      <c r="N770" s="212">
        <f t="shared" si="80"/>
        <v>0</v>
      </c>
      <c r="O770" s="212">
        <f t="shared" si="80"/>
        <v>0</v>
      </c>
      <c r="P770" s="155">
        <f t="shared" si="80"/>
        <v>0</v>
      </c>
      <c r="Q770" s="407"/>
      <c r="R770" s="407"/>
    </row>
    <row r="771" spans="1:18" ht="12.75" x14ac:dyDescent="0.2">
      <c r="A771" s="152">
        <v>6215000</v>
      </c>
      <c r="B771" s="73"/>
      <c r="C771" s="51" t="s">
        <v>1055</v>
      </c>
      <c r="D771" s="89"/>
      <c r="E771" s="89"/>
      <c r="F771" s="89"/>
      <c r="G771" s="89"/>
      <c r="H771" s="89"/>
      <c r="I771" s="89"/>
      <c r="J771" s="212">
        <f t="shared" si="80"/>
        <v>0</v>
      </c>
      <c r="K771" s="212">
        <f t="shared" si="80"/>
        <v>0</v>
      </c>
      <c r="L771" s="212">
        <f t="shared" si="80"/>
        <v>0</v>
      </c>
      <c r="M771" s="212">
        <f t="shared" si="80"/>
        <v>0</v>
      </c>
      <c r="N771" s="212">
        <f t="shared" si="80"/>
        <v>0</v>
      </c>
      <c r="O771" s="212">
        <f t="shared" si="80"/>
        <v>0</v>
      </c>
      <c r="P771" s="155">
        <f t="shared" si="80"/>
        <v>0</v>
      </c>
      <c r="Q771" s="407"/>
      <c r="R771" s="407"/>
    </row>
    <row r="772" spans="1:18" ht="12.75" x14ac:dyDescent="0.2">
      <c r="A772" s="152">
        <v>6215000</v>
      </c>
      <c r="B772" s="73"/>
      <c r="C772" s="51" t="s">
        <v>940</v>
      </c>
      <c r="D772" s="89"/>
      <c r="E772" s="89"/>
      <c r="F772" s="89"/>
      <c r="G772" s="89"/>
      <c r="H772" s="89"/>
      <c r="I772" s="89"/>
      <c r="J772" s="212">
        <f t="shared" si="80"/>
        <v>0</v>
      </c>
      <c r="K772" s="212">
        <f t="shared" si="80"/>
        <v>0</v>
      </c>
      <c r="L772" s="212">
        <f t="shared" si="80"/>
        <v>0</v>
      </c>
      <c r="M772" s="212">
        <f t="shared" si="80"/>
        <v>0</v>
      </c>
      <c r="N772" s="212">
        <f t="shared" si="80"/>
        <v>0</v>
      </c>
      <c r="O772" s="212">
        <f t="shared" si="80"/>
        <v>0</v>
      </c>
      <c r="P772" s="155">
        <f t="shared" si="80"/>
        <v>0</v>
      </c>
      <c r="Q772" s="407"/>
      <c r="R772" s="407"/>
    </row>
    <row r="773" spans="1:18" ht="12.75" x14ac:dyDescent="0.2">
      <c r="A773" s="152">
        <v>6215000</v>
      </c>
      <c r="B773" s="73"/>
      <c r="C773" s="51" t="s">
        <v>941</v>
      </c>
      <c r="D773" s="89"/>
      <c r="E773" s="89"/>
      <c r="F773" s="89"/>
      <c r="G773" s="89"/>
      <c r="H773" s="89"/>
      <c r="I773" s="89"/>
      <c r="J773" s="212">
        <f t="shared" ref="J773:P782" si="81">SUMIFS(J$26:J$180,$A$26:$A$180,$A773,$C$26:$C$180,$C773)</f>
        <v>0</v>
      </c>
      <c r="K773" s="212">
        <f t="shared" si="81"/>
        <v>0</v>
      </c>
      <c r="L773" s="212">
        <f t="shared" si="81"/>
        <v>0</v>
      </c>
      <c r="M773" s="212">
        <f t="shared" si="81"/>
        <v>0</v>
      </c>
      <c r="N773" s="212">
        <f t="shared" si="81"/>
        <v>0</v>
      </c>
      <c r="O773" s="212">
        <f t="shared" si="81"/>
        <v>0</v>
      </c>
      <c r="P773" s="155">
        <f t="shared" si="81"/>
        <v>0</v>
      </c>
      <c r="Q773" s="407"/>
      <c r="R773" s="407"/>
    </row>
    <row r="774" spans="1:18" ht="12.75" x14ac:dyDescent="0.2">
      <c r="A774" s="152">
        <v>6215000</v>
      </c>
      <c r="B774" s="73"/>
      <c r="C774" s="51" t="s">
        <v>936</v>
      </c>
      <c r="D774" s="89"/>
      <c r="E774" s="89"/>
      <c r="F774" s="89"/>
      <c r="G774" s="89"/>
      <c r="H774" s="89"/>
      <c r="I774" s="89"/>
      <c r="J774" s="212">
        <f t="shared" si="81"/>
        <v>0</v>
      </c>
      <c r="K774" s="212">
        <f t="shared" si="81"/>
        <v>0</v>
      </c>
      <c r="L774" s="212">
        <f t="shared" si="81"/>
        <v>0</v>
      </c>
      <c r="M774" s="212">
        <f t="shared" si="81"/>
        <v>0</v>
      </c>
      <c r="N774" s="212">
        <f t="shared" si="81"/>
        <v>0</v>
      </c>
      <c r="O774" s="212">
        <f t="shared" si="81"/>
        <v>0</v>
      </c>
      <c r="P774" s="155">
        <f t="shared" si="81"/>
        <v>0</v>
      </c>
      <c r="Q774" s="407"/>
      <c r="R774" s="407"/>
    </row>
    <row r="775" spans="1:18" ht="12.75" x14ac:dyDescent="0.2">
      <c r="A775" s="152">
        <v>6215000</v>
      </c>
      <c r="B775" s="73"/>
      <c r="C775" s="51" t="s">
        <v>937</v>
      </c>
      <c r="D775" s="89"/>
      <c r="E775" s="89"/>
      <c r="F775" s="89"/>
      <c r="G775" s="89"/>
      <c r="H775" s="89"/>
      <c r="I775" s="89"/>
      <c r="J775" s="212">
        <f t="shared" si="81"/>
        <v>0</v>
      </c>
      <c r="K775" s="212">
        <f t="shared" si="81"/>
        <v>0</v>
      </c>
      <c r="L775" s="212">
        <f t="shared" si="81"/>
        <v>0</v>
      </c>
      <c r="M775" s="212">
        <f t="shared" si="81"/>
        <v>0</v>
      </c>
      <c r="N775" s="212">
        <f t="shared" si="81"/>
        <v>0</v>
      </c>
      <c r="O775" s="212">
        <f t="shared" si="81"/>
        <v>0</v>
      </c>
      <c r="P775" s="155">
        <f t="shared" si="81"/>
        <v>0</v>
      </c>
      <c r="Q775" s="407"/>
      <c r="R775" s="407"/>
    </row>
    <row r="776" spans="1:18" ht="12.75" x14ac:dyDescent="0.2">
      <c r="A776" s="152">
        <v>6215000</v>
      </c>
      <c r="B776" s="73"/>
      <c r="C776" s="51" t="s">
        <v>932</v>
      </c>
      <c r="D776" s="89"/>
      <c r="E776" s="89"/>
      <c r="F776" s="89"/>
      <c r="G776" s="89"/>
      <c r="H776" s="89"/>
      <c r="I776" s="89"/>
      <c r="J776" s="212">
        <f t="shared" si="81"/>
        <v>0</v>
      </c>
      <c r="K776" s="212">
        <f t="shared" si="81"/>
        <v>0</v>
      </c>
      <c r="L776" s="212">
        <f t="shared" si="81"/>
        <v>0</v>
      </c>
      <c r="M776" s="212">
        <f t="shared" si="81"/>
        <v>0</v>
      </c>
      <c r="N776" s="212">
        <f t="shared" si="81"/>
        <v>0</v>
      </c>
      <c r="O776" s="212">
        <f t="shared" si="81"/>
        <v>0</v>
      </c>
      <c r="P776" s="155">
        <f t="shared" si="81"/>
        <v>0</v>
      </c>
      <c r="Q776" s="407"/>
      <c r="R776" s="407"/>
    </row>
    <row r="777" spans="1:18" ht="12.75" x14ac:dyDescent="0.2">
      <c r="A777" s="152">
        <v>6215000</v>
      </c>
      <c r="B777" s="73"/>
      <c r="C777" s="51" t="s">
        <v>933</v>
      </c>
      <c r="D777" s="89"/>
      <c r="E777" s="89"/>
      <c r="F777" s="89"/>
      <c r="G777" s="89"/>
      <c r="H777" s="89"/>
      <c r="I777" s="89"/>
      <c r="J777" s="212">
        <f t="shared" si="81"/>
        <v>540</v>
      </c>
      <c r="K777" s="212">
        <f t="shared" si="81"/>
        <v>0</v>
      </c>
      <c r="L777" s="212">
        <f t="shared" si="81"/>
        <v>0</v>
      </c>
      <c r="M777" s="212">
        <f t="shared" si="81"/>
        <v>0</v>
      </c>
      <c r="N777" s="212">
        <f t="shared" si="81"/>
        <v>0</v>
      </c>
      <c r="O777" s="212">
        <f t="shared" si="81"/>
        <v>0</v>
      </c>
      <c r="P777" s="155">
        <f t="shared" si="81"/>
        <v>540</v>
      </c>
      <c r="Q777" s="407"/>
      <c r="R777" s="407"/>
    </row>
    <row r="778" spans="1:18" ht="12.75" x14ac:dyDescent="0.2">
      <c r="A778" s="152">
        <v>6215000</v>
      </c>
      <c r="B778" s="73"/>
      <c r="C778" s="51" t="s">
        <v>952</v>
      </c>
      <c r="D778" s="89"/>
      <c r="E778" s="89"/>
      <c r="F778" s="89"/>
      <c r="G778" s="89"/>
      <c r="H778" s="89"/>
      <c r="I778" s="89"/>
      <c r="J778" s="212">
        <f t="shared" si="81"/>
        <v>0</v>
      </c>
      <c r="K778" s="212">
        <f t="shared" si="81"/>
        <v>0</v>
      </c>
      <c r="L778" s="212">
        <f t="shared" si="81"/>
        <v>0</v>
      </c>
      <c r="M778" s="212">
        <f t="shared" si="81"/>
        <v>0</v>
      </c>
      <c r="N778" s="212">
        <f t="shared" si="81"/>
        <v>0</v>
      </c>
      <c r="O778" s="212">
        <f t="shared" si="81"/>
        <v>0</v>
      </c>
      <c r="P778" s="155">
        <f t="shared" si="81"/>
        <v>0</v>
      </c>
      <c r="Q778" s="407"/>
      <c r="R778" s="407"/>
    </row>
    <row r="779" spans="1:18" ht="12.75" x14ac:dyDescent="0.2">
      <c r="A779" s="152">
        <v>6215000</v>
      </c>
      <c r="B779" s="73"/>
      <c r="C779" s="51" t="s">
        <v>923</v>
      </c>
      <c r="D779" s="89"/>
      <c r="E779" s="89"/>
      <c r="F779" s="89"/>
      <c r="G779" s="89"/>
      <c r="H779" s="89"/>
      <c r="I779" s="89"/>
      <c r="J779" s="212">
        <f t="shared" si="81"/>
        <v>0</v>
      </c>
      <c r="K779" s="212">
        <f t="shared" si="81"/>
        <v>0</v>
      </c>
      <c r="L779" s="212">
        <f t="shared" si="81"/>
        <v>0</v>
      </c>
      <c r="M779" s="212">
        <f t="shared" si="81"/>
        <v>0</v>
      </c>
      <c r="N779" s="212">
        <f t="shared" si="81"/>
        <v>0</v>
      </c>
      <c r="O779" s="212">
        <f t="shared" si="81"/>
        <v>0</v>
      </c>
      <c r="P779" s="155">
        <f t="shared" si="81"/>
        <v>0</v>
      </c>
      <c r="Q779" s="407"/>
      <c r="R779" s="407"/>
    </row>
    <row r="780" spans="1:18" ht="12.75" x14ac:dyDescent="0.2">
      <c r="A780" s="152">
        <v>6215000</v>
      </c>
      <c r="B780" s="73"/>
      <c r="C780" s="51" t="s">
        <v>925</v>
      </c>
      <c r="D780" s="89"/>
      <c r="E780" s="89"/>
      <c r="F780" s="89"/>
      <c r="G780" s="89"/>
      <c r="H780" s="89"/>
      <c r="I780" s="89"/>
      <c r="J780" s="212">
        <f t="shared" si="81"/>
        <v>0</v>
      </c>
      <c r="K780" s="212">
        <f t="shared" si="81"/>
        <v>0</v>
      </c>
      <c r="L780" s="212">
        <f t="shared" si="81"/>
        <v>0</v>
      </c>
      <c r="M780" s="212">
        <f t="shared" si="81"/>
        <v>0</v>
      </c>
      <c r="N780" s="212">
        <f t="shared" si="81"/>
        <v>0</v>
      </c>
      <c r="O780" s="212">
        <f t="shared" si="81"/>
        <v>0</v>
      </c>
      <c r="P780" s="155">
        <f t="shared" si="81"/>
        <v>0</v>
      </c>
      <c r="Q780" s="407"/>
      <c r="R780" s="407"/>
    </row>
    <row r="781" spans="1:18" ht="12.75" x14ac:dyDescent="0.2">
      <c r="A781" s="152">
        <v>6215000</v>
      </c>
      <c r="B781" s="73"/>
      <c r="C781" s="51" t="s">
        <v>950</v>
      </c>
      <c r="D781" s="89"/>
      <c r="E781" s="89"/>
      <c r="F781" s="89"/>
      <c r="G781" s="89"/>
      <c r="H781" s="89"/>
      <c r="I781" s="89"/>
      <c r="J781" s="212">
        <f t="shared" si="81"/>
        <v>0</v>
      </c>
      <c r="K781" s="212">
        <f t="shared" si="81"/>
        <v>0</v>
      </c>
      <c r="L781" s="212">
        <f t="shared" si="81"/>
        <v>0</v>
      </c>
      <c r="M781" s="212">
        <f t="shared" si="81"/>
        <v>0</v>
      </c>
      <c r="N781" s="212">
        <f t="shared" si="81"/>
        <v>0</v>
      </c>
      <c r="O781" s="212">
        <f t="shared" si="81"/>
        <v>0</v>
      </c>
      <c r="P781" s="155">
        <f t="shared" si="81"/>
        <v>0</v>
      </c>
      <c r="Q781" s="407"/>
      <c r="R781" s="407"/>
    </row>
    <row r="782" spans="1:18" ht="12.75" x14ac:dyDescent="0.2">
      <c r="A782" s="152">
        <v>6215000</v>
      </c>
      <c r="B782" s="73"/>
      <c r="C782" s="51" t="s">
        <v>1054</v>
      </c>
      <c r="D782" s="89"/>
      <c r="E782" s="89"/>
      <c r="F782" s="89"/>
      <c r="G782" s="89"/>
      <c r="H782" s="89"/>
      <c r="I782" s="89"/>
      <c r="J782" s="212">
        <f t="shared" si="81"/>
        <v>0</v>
      </c>
      <c r="K782" s="212">
        <f t="shared" si="81"/>
        <v>0</v>
      </c>
      <c r="L782" s="212">
        <f t="shared" si="81"/>
        <v>0</v>
      </c>
      <c r="M782" s="212">
        <f t="shared" si="81"/>
        <v>0</v>
      </c>
      <c r="N782" s="212">
        <f t="shared" si="81"/>
        <v>0</v>
      </c>
      <c r="O782" s="212">
        <f t="shared" si="81"/>
        <v>0</v>
      </c>
      <c r="P782" s="155">
        <f t="shared" si="81"/>
        <v>0</v>
      </c>
      <c r="Q782" s="407"/>
      <c r="R782" s="407"/>
    </row>
    <row r="783" spans="1:18" ht="12.75" x14ac:dyDescent="0.2">
      <c r="A783" s="152">
        <v>6215000</v>
      </c>
      <c r="B783" s="73"/>
      <c r="C783" s="51" t="s">
        <v>921</v>
      </c>
      <c r="D783" s="89"/>
      <c r="E783" s="89"/>
      <c r="F783" s="89"/>
      <c r="G783" s="89"/>
      <c r="H783" s="89"/>
      <c r="I783" s="89"/>
      <c r="J783" s="212">
        <f t="shared" ref="J783:P792" si="82">SUMIFS(J$26:J$180,$A$26:$A$180,$A783,$C$26:$C$180,$C783)</f>
        <v>0</v>
      </c>
      <c r="K783" s="212">
        <f t="shared" si="82"/>
        <v>0</v>
      </c>
      <c r="L783" s="212">
        <f t="shared" si="82"/>
        <v>0</v>
      </c>
      <c r="M783" s="212">
        <f t="shared" si="82"/>
        <v>0</v>
      </c>
      <c r="N783" s="212">
        <f t="shared" si="82"/>
        <v>0</v>
      </c>
      <c r="O783" s="212">
        <f t="shared" si="82"/>
        <v>0</v>
      </c>
      <c r="P783" s="155">
        <f t="shared" si="82"/>
        <v>0</v>
      </c>
      <c r="Q783" s="407"/>
      <c r="R783" s="407"/>
    </row>
    <row r="784" spans="1:18" ht="12.75" x14ac:dyDescent="0.2">
      <c r="A784" s="152">
        <v>6215000</v>
      </c>
      <c r="B784" s="73"/>
      <c r="C784" s="51" t="s">
        <v>1022</v>
      </c>
      <c r="D784" s="89"/>
      <c r="E784" s="89"/>
      <c r="F784" s="89"/>
      <c r="G784" s="89"/>
      <c r="H784" s="89"/>
      <c r="I784" s="89"/>
      <c r="J784" s="212">
        <f t="shared" si="82"/>
        <v>0</v>
      </c>
      <c r="K784" s="212">
        <f t="shared" si="82"/>
        <v>0</v>
      </c>
      <c r="L784" s="212">
        <f t="shared" si="82"/>
        <v>0</v>
      </c>
      <c r="M784" s="212">
        <f t="shared" si="82"/>
        <v>0</v>
      </c>
      <c r="N784" s="212">
        <f t="shared" si="82"/>
        <v>0</v>
      </c>
      <c r="O784" s="212">
        <f t="shared" si="82"/>
        <v>0</v>
      </c>
      <c r="P784" s="155">
        <f t="shared" si="82"/>
        <v>0</v>
      </c>
      <c r="Q784" s="407"/>
      <c r="R784" s="407"/>
    </row>
    <row r="785" spans="1:18" ht="12.75" x14ac:dyDescent="0.2">
      <c r="A785" s="152">
        <v>6215000</v>
      </c>
      <c r="B785" s="73"/>
      <c r="C785" s="51" t="s">
        <v>1023</v>
      </c>
      <c r="D785" s="89"/>
      <c r="E785" s="89"/>
      <c r="F785" s="89"/>
      <c r="G785" s="89"/>
      <c r="H785" s="89"/>
      <c r="I785" s="89"/>
      <c r="J785" s="212">
        <f t="shared" si="82"/>
        <v>0</v>
      </c>
      <c r="K785" s="212">
        <f t="shared" si="82"/>
        <v>0</v>
      </c>
      <c r="L785" s="212">
        <f t="shared" si="82"/>
        <v>0</v>
      </c>
      <c r="M785" s="212">
        <f t="shared" si="82"/>
        <v>0</v>
      </c>
      <c r="N785" s="212">
        <f t="shared" si="82"/>
        <v>0</v>
      </c>
      <c r="O785" s="212">
        <f t="shared" si="82"/>
        <v>0</v>
      </c>
      <c r="P785" s="155">
        <f t="shared" si="82"/>
        <v>0</v>
      </c>
      <c r="Q785" s="407"/>
      <c r="R785" s="407"/>
    </row>
    <row r="786" spans="1:18" ht="12.75" x14ac:dyDescent="0.2">
      <c r="A786" s="152">
        <v>6215000</v>
      </c>
      <c r="B786" s="73"/>
      <c r="C786" s="51" t="s">
        <v>137</v>
      </c>
      <c r="D786" s="89"/>
      <c r="E786" s="89"/>
      <c r="F786" s="89"/>
      <c r="G786" s="89"/>
      <c r="H786" s="89"/>
      <c r="I786" s="89"/>
      <c r="J786" s="212">
        <f t="shared" si="82"/>
        <v>0</v>
      </c>
      <c r="K786" s="212">
        <f t="shared" si="82"/>
        <v>0</v>
      </c>
      <c r="L786" s="212">
        <f t="shared" si="82"/>
        <v>0</v>
      </c>
      <c r="M786" s="212">
        <f t="shared" si="82"/>
        <v>0</v>
      </c>
      <c r="N786" s="212">
        <f t="shared" si="82"/>
        <v>0</v>
      </c>
      <c r="O786" s="212">
        <f t="shared" si="82"/>
        <v>0</v>
      </c>
      <c r="P786" s="155">
        <f t="shared" si="82"/>
        <v>0</v>
      </c>
      <c r="Q786" s="407"/>
      <c r="R786" s="407"/>
    </row>
    <row r="787" spans="1:18" ht="12.75" x14ac:dyDescent="0.2">
      <c r="A787" s="152">
        <v>6215000</v>
      </c>
      <c r="B787" s="73"/>
      <c r="C787" s="51" t="s">
        <v>956</v>
      </c>
      <c r="D787" s="89"/>
      <c r="E787" s="89"/>
      <c r="F787" s="89"/>
      <c r="G787" s="89"/>
      <c r="H787" s="89"/>
      <c r="I787" s="89"/>
      <c r="J787" s="212">
        <f t="shared" si="82"/>
        <v>0</v>
      </c>
      <c r="K787" s="212">
        <f t="shared" si="82"/>
        <v>0</v>
      </c>
      <c r="L787" s="212">
        <f t="shared" si="82"/>
        <v>0</v>
      </c>
      <c r="M787" s="212">
        <f t="shared" si="82"/>
        <v>0</v>
      </c>
      <c r="N787" s="212">
        <f t="shared" si="82"/>
        <v>0</v>
      </c>
      <c r="O787" s="212">
        <f t="shared" si="82"/>
        <v>0</v>
      </c>
      <c r="P787" s="155">
        <f t="shared" si="82"/>
        <v>0</v>
      </c>
      <c r="Q787" s="407"/>
      <c r="R787" s="407"/>
    </row>
    <row r="788" spans="1:18" ht="12.75" x14ac:dyDescent="0.2">
      <c r="A788" s="152">
        <v>6215000</v>
      </c>
      <c r="B788" s="73"/>
      <c r="C788" s="51" t="s">
        <v>1045</v>
      </c>
      <c r="D788" s="89"/>
      <c r="E788" s="89"/>
      <c r="F788" s="89"/>
      <c r="G788" s="89"/>
      <c r="H788" s="89"/>
      <c r="I788" s="89"/>
      <c r="J788" s="212">
        <f t="shared" si="82"/>
        <v>0</v>
      </c>
      <c r="K788" s="212">
        <f t="shared" si="82"/>
        <v>0</v>
      </c>
      <c r="L788" s="212">
        <f t="shared" si="82"/>
        <v>0</v>
      </c>
      <c r="M788" s="212">
        <f t="shared" si="82"/>
        <v>0</v>
      </c>
      <c r="N788" s="212">
        <f t="shared" si="82"/>
        <v>0</v>
      </c>
      <c r="O788" s="212">
        <f t="shared" si="82"/>
        <v>0</v>
      </c>
      <c r="P788" s="155">
        <f t="shared" si="82"/>
        <v>0</v>
      </c>
      <c r="Q788" s="407"/>
      <c r="R788" s="407"/>
    </row>
    <row r="789" spans="1:18" ht="12.75" x14ac:dyDescent="0.2">
      <c r="A789" s="152">
        <v>6215000</v>
      </c>
      <c r="B789" s="73"/>
      <c r="C789" s="51" t="s">
        <v>1046</v>
      </c>
      <c r="D789" s="89"/>
      <c r="E789" s="89"/>
      <c r="F789" s="89"/>
      <c r="G789" s="89"/>
      <c r="H789" s="89"/>
      <c r="I789" s="89"/>
      <c r="J789" s="212">
        <f t="shared" si="82"/>
        <v>0</v>
      </c>
      <c r="K789" s="212">
        <f t="shared" si="82"/>
        <v>0</v>
      </c>
      <c r="L789" s="212">
        <f t="shared" si="82"/>
        <v>0</v>
      </c>
      <c r="M789" s="212">
        <f t="shared" si="82"/>
        <v>0</v>
      </c>
      <c r="N789" s="212">
        <f t="shared" si="82"/>
        <v>0</v>
      </c>
      <c r="O789" s="212">
        <f t="shared" si="82"/>
        <v>0</v>
      </c>
      <c r="P789" s="155">
        <f t="shared" si="82"/>
        <v>0</v>
      </c>
      <c r="Q789" s="407"/>
      <c r="R789" s="407"/>
    </row>
    <row r="790" spans="1:18" ht="12.75" x14ac:dyDescent="0.2">
      <c r="A790" s="152">
        <v>6215000</v>
      </c>
      <c r="B790" s="73"/>
      <c r="C790" s="51" t="s">
        <v>1036</v>
      </c>
      <c r="D790" s="89"/>
      <c r="E790" s="89"/>
      <c r="F790" s="89"/>
      <c r="G790" s="89"/>
      <c r="H790" s="89"/>
      <c r="I790" s="89"/>
      <c r="J790" s="212">
        <f t="shared" si="82"/>
        <v>0</v>
      </c>
      <c r="K790" s="212">
        <f t="shared" si="82"/>
        <v>0</v>
      </c>
      <c r="L790" s="212">
        <f t="shared" si="82"/>
        <v>0</v>
      </c>
      <c r="M790" s="212">
        <f t="shared" si="82"/>
        <v>0</v>
      </c>
      <c r="N790" s="212">
        <f t="shared" si="82"/>
        <v>0</v>
      </c>
      <c r="O790" s="212">
        <f t="shared" si="82"/>
        <v>0</v>
      </c>
      <c r="P790" s="155">
        <f t="shared" si="82"/>
        <v>0</v>
      </c>
      <c r="Q790" s="407"/>
      <c r="R790" s="407"/>
    </row>
    <row r="791" spans="1:18" ht="12.75" x14ac:dyDescent="0.2">
      <c r="A791" s="152">
        <v>6215000</v>
      </c>
      <c r="B791" s="73"/>
      <c r="C791" s="51" t="s">
        <v>1037</v>
      </c>
      <c r="D791" s="89"/>
      <c r="E791" s="89"/>
      <c r="F791" s="89"/>
      <c r="G791" s="89"/>
      <c r="H791" s="89"/>
      <c r="I791" s="89"/>
      <c r="J791" s="212">
        <f t="shared" si="82"/>
        <v>0</v>
      </c>
      <c r="K791" s="212">
        <f t="shared" si="82"/>
        <v>0</v>
      </c>
      <c r="L791" s="212">
        <f t="shared" si="82"/>
        <v>0</v>
      </c>
      <c r="M791" s="212">
        <f t="shared" si="82"/>
        <v>0</v>
      </c>
      <c r="N791" s="212">
        <f t="shared" si="82"/>
        <v>0</v>
      </c>
      <c r="O791" s="212">
        <f t="shared" si="82"/>
        <v>0</v>
      </c>
      <c r="P791" s="155">
        <f t="shared" si="82"/>
        <v>0</v>
      </c>
      <c r="Q791" s="407"/>
      <c r="R791" s="407"/>
    </row>
    <row r="792" spans="1:18" ht="12.75" x14ac:dyDescent="0.2">
      <c r="A792" s="152">
        <v>6215000</v>
      </c>
      <c r="B792" s="73"/>
      <c r="C792" s="51" t="s">
        <v>990</v>
      </c>
      <c r="D792" s="89"/>
      <c r="E792" s="89"/>
      <c r="F792" s="89"/>
      <c r="G792" s="89"/>
      <c r="H792" s="89"/>
      <c r="I792" s="89"/>
      <c r="J792" s="212">
        <f t="shared" si="82"/>
        <v>0</v>
      </c>
      <c r="K792" s="212">
        <f t="shared" si="82"/>
        <v>0</v>
      </c>
      <c r="L792" s="212">
        <f t="shared" si="82"/>
        <v>0</v>
      </c>
      <c r="M792" s="212">
        <f t="shared" si="82"/>
        <v>0</v>
      </c>
      <c r="N792" s="212">
        <f t="shared" si="82"/>
        <v>0</v>
      </c>
      <c r="O792" s="212">
        <f t="shared" si="82"/>
        <v>0</v>
      </c>
      <c r="P792" s="155">
        <f t="shared" si="82"/>
        <v>0</v>
      </c>
      <c r="Q792" s="407"/>
      <c r="R792" s="407"/>
    </row>
    <row r="793" spans="1:18" ht="12.75" x14ac:dyDescent="0.2">
      <c r="A793" s="152">
        <v>6215000</v>
      </c>
      <c r="B793" s="73"/>
      <c r="C793" s="51" t="s">
        <v>1040</v>
      </c>
      <c r="D793" s="89"/>
      <c r="E793" s="89"/>
      <c r="F793" s="89"/>
      <c r="G793" s="89"/>
      <c r="H793" s="89"/>
      <c r="I793" s="89"/>
      <c r="J793" s="212">
        <f t="shared" ref="J793:P802" si="83">SUMIFS(J$26:J$180,$A$26:$A$180,$A793,$C$26:$C$180,$C793)</f>
        <v>0</v>
      </c>
      <c r="K793" s="212">
        <f t="shared" si="83"/>
        <v>0</v>
      </c>
      <c r="L793" s="212">
        <f t="shared" si="83"/>
        <v>0</v>
      </c>
      <c r="M793" s="212">
        <f t="shared" si="83"/>
        <v>0</v>
      </c>
      <c r="N793" s="212">
        <f t="shared" si="83"/>
        <v>0</v>
      </c>
      <c r="O793" s="212">
        <f t="shared" si="83"/>
        <v>0</v>
      </c>
      <c r="P793" s="155">
        <f t="shared" si="83"/>
        <v>0</v>
      </c>
      <c r="Q793" s="407"/>
      <c r="R793" s="407"/>
    </row>
    <row r="794" spans="1:18" ht="12.75" x14ac:dyDescent="0.2">
      <c r="A794" s="152">
        <v>6215000</v>
      </c>
      <c r="B794" s="73"/>
      <c r="C794" s="51" t="s">
        <v>991</v>
      </c>
      <c r="D794" s="89"/>
      <c r="E794" s="89"/>
      <c r="F794" s="89"/>
      <c r="G794" s="89"/>
      <c r="H794" s="89"/>
      <c r="I794" s="89"/>
      <c r="J794" s="212">
        <f t="shared" si="83"/>
        <v>0</v>
      </c>
      <c r="K794" s="212">
        <f t="shared" si="83"/>
        <v>0</v>
      </c>
      <c r="L794" s="212">
        <f t="shared" si="83"/>
        <v>0</v>
      </c>
      <c r="M794" s="212">
        <f t="shared" si="83"/>
        <v>0</v>
      </c>
      <c r="N794" s="212">
        <f t="shared" si="83"/>
        <v>0</v>
      </c>
      <c r="O794" s="212">
        <f t="shared" si="83"/>
        <v>0</v>
      </c>
      <c r="P794" s="155">
        <f t="shared" si="83"/>
        <v>0</v>
      </c>
      <c r="Q794" s="407"/>
      <c r="R794" s="407"/>
    </row>
    <row r="795" spans="1:18" ht="12.75" x14ac:dyDescent="0.2">
      <c r="A795" s="152">
        <v>6215000</v>
      </c>
      <c r="B795" s="73"/>
      <c r="C795" s="51" t="s">
        <v>959</v>
      </c>
      <c r="D795" s="89"/>
      <c r="E795" s="89"/>
      <c r="F795" s="89"/>
      <c r="G795" s="89"/>
      <c r="H795" s="89"/>
      <c r="I795" s="89"/>
      <c r="J795" s="212">
        <f t="shared" si="83"/>
        <v>0</v>
      </c>
      <c r="K795" s="212">
        <f t="shared" si="83"/>
        <v>0</v>
      </c>
      <c r="L795" s="212">
        <f t="shared" si="83"/>
        <v>0</v>
      </c>
      <c r="M795" s="212">
        <f t="shared" si="83"/>
        <v>0</v>
      </c>
      <c r="N795" s="212">
        <f t="shared" si="83"/>
        <v>0</v>
      </c>
      <c r="O795" s="212">
        <f t="shared" si="83"/>
        <v>0</v>
      </c>
      <c r="P795" s="155">
        <f t="shared" si="83"/>
        <v>0</v>
      </c>
      <c r="Q795" s="407"/>
      <c r="R795" s="407"/>
    </row>
    <row r="796" spans="1:18" ht="12.75" x14ac:dyDescent="0.2">
      <c r="A796" s="152">
        <v>6215000</v>
      </c>
      <c r="B796" s="73"/>
      <c r="C796" s="51" t="s">
        <v>964</v>
      </c>
      <c r="D796" s="89"/>
      <c r="E796" s="89"/>
      <c r="F796" s="89"/>
      <c r="G796" s="89"/>
      <c r="H796" s="89"/>
      <c r="I796" s="89"/>
      <c r="J796" s="212">
        <f t="shared" si="83"/>
        <v>0</v>
      </c>
      <c r="K796" s="212">
        <f t="shared" si="83"/>
        <v>0</v>
      </c>
      <c r="L796" s="212">
        <f t="shared" si="83"/>
        <v>0</v>
      </c>
      <c r="M796" s="212">
        <f t="shared" si="83"/>
        <v>0</v>
      </c>
      <c r="N796" s="212">
        <f t="shared" si="83"/>
        <v>0</v>
      </c>
      <c r="O796" s="212">
        <f t="shared" si="83"/>
        <v>0</v>
      </c>
      <c r="P796" s="155">
        <f t="shared" si="83"/>
        <v>0</v>
      </c>
      <c r="Q796" s="407"/>
      <c r="R796" s="407"/>
    </row>
    <row r="797" spans="1:18" ht="12.75" x14ac:dyDescent="0.2">
      <c r="A797" s="152">
        <v>6215000</v>
      </c>
      <c r="B797" s="73"/>
      <c r="C797" s="51" t="s">
        <v>1003</v>
      </c>
      <c r="D797" s="89"/>
      <c r="E797" s="89"/>
      <c r="F797" s="89"/>
      <c r="G797" s="89"/>
      <c r="H797" s="89"/>
      <c r="I797" s="89"/>
      <c r="J797" s="212">
        <f t="shared" si="83"/>
        <v>0</v>
      </c>
      <c r="K797" s="212">
        <f t="shared" si="83"/>
        <v>0</v>
      </c>
      <c r="L797" s="212">
        <f t="shared" si="83"/>
        <v>0</v>
      </c>
      <c r="M797" s="212">
        <f t="shared" si="83"/>
        <v>0</v>
      </c>
      <c r="N797" s="212">
        <f t="shared" si="83"/>
        <v>0</v>
      </c>
      <c r="O797" s="212">
        <f t="shared" si="83"/>
        <v>0</v>
      </c>
      <c r="P797" s="155">
        <f t="shared" si="83"/>
        <v>0</v>
      </c>
      <c r="Q797" s="407"/>
      <c r="R797" s="407"/>
    </row>
    <row r="798" spans="1:18" ht="12.75" x14ac:dyDescent="0.2">
      <c r="A798" s="152">
        <v>6215000</v>
      </c>
      <c r="B798" s="73"/>
      <c r="C798" s="51" t="s">
        <v>992</v>
      </c>
      <c r="D798" s="89"/>
      <c r="E798" s="89"/>
      <c r="F798" s="89"/>
      <c r="G798" s="89"/>
      <c r="H798" s="89"/>
      <c r="I798" s="89"/>
      <c r="J798" s="212">
        <f t="shared" si="83"/>
        <v>0</v>
      </c>
      <c r="K798" s="212">
        <f t="shared" si="83"/>
        <v>0</v>
      </c>
      <c r="L798" s="212">
        <f t="shared" si="83"/>
        <v>0</v>
      </c>
      <c r="M798" s="212">
        <f t="shared" si="83"/>
        <v>0</v>
      </c>
      <c r="N798" s="212">
        <f t="shared" si="83"/>
        <v>0</v>
      </c>
      <c r="O798" s="212">
        <f t="shared" si="83"/>
        <v>0</v>
      </c>
      <c r="P798" s="155">
        <f t="shared" si="83"/>
        <v>0</v>
      </c>
      <c r="Q798" s="407"/>
      <c r="R798" s="407"/>
    </row>
    <row r="799" spans="1:18" ht="12.75" x14ac:dyDescent="0.2">
      <c r="A799" s="152">
        <v>6215000</v>
      </c>
      <c r="B799" s="73"/>
      <c r="C799" s="51" t="s">
        <v>994</v>
      </c>
      <c r="D799" s="89"/>
      <c r="E799" s="89"/>
      <c r="F799" s="89"/>
      <c r="G799" s="89"/>
      <c r="H799" s="89"/>
      <c r="I799" s="89"/>
      <c r="J799" s="212">
        <f t="shared" si="83"/>
        <v>0</v>
      </c>
      <c r="K799" s="212">
        <f t="shared" si="83"/>
        <v>0</v>
      </c>
      <c r="L799" s="212">
        <f t="shared" si="83"/>
        <v>0</v>
      </c>
      <c r="M799" s="212">
        <f t="shared" si="83"/>
        <v>0</v>
      </c>
      <c r="N799" s="212">
        <f t="shared" si="83"/>
        <v>0</v>
      </c>
      <c r="O799" s="212">
        <f t="shared" si="83"/>
        <v>0</v>
      </c>
      <c r="P799" s="155">
        <f t="shared" si="83"/>
        <v>0</v>
      </c>
      <c r="Q799" s="407"/>
      <c r="R799" s="407"/>
    </row>
    <row r="800" spans="1:18" ht="12.75" x14ac:dyDescent="0.2">
      <c r="A800" s="152">
        <v>6215000</v>
      </c>
      <c r="B800" s="73"/>
      <c r="C800" s="51" t="s">
        <v>993</v>
      </c>
      <c r="D800" s="89"/>
      <c r="E800" s="89"/>
      <c r="F800" s="89"/>
      <c r="G800" s="89"/>
      <c r="H800" s="89"/>
      <c r="I800" s="89"/>
      <c r="J800" s="212">
        <f t="shared" si="83"/>
        <v>0</v>
      </c>
      <c r="K800" s="212">
        <f t="shared" si="83"/>
        <v>0</v>
      </c>
      <c r="L800" s="212">
        <f t="shared" si="83"/>
        <v>0</v>
      </c>
      <c r="M800" s="212">
        <f t="shared" si="83"/>
        <v>0</v>
      </c>
      <c r="N800" s="212">
        <f t="shared" si="83"/>
        <v>0</v>
      </c>
      <c r="O800" s="212">
        <f t="shared" si="83"/>
        <v>0</v>
      </c>
      <c r="P800" s="155">
        <f t="shared" si="83"/>
        <v>0</v>
      </c>
      <c r="Q800" s="407"/>
      <c r="R800" s="407"/>
    </row>
    <row r="801" spans="1:18" ht="12.75" x14ac:dyDescent="0.2">
      <c r="A801" s="152">
        <v>6215000</v>
      </c>
      <c r="B801" s="73"/>
      <c r="C801" s="51" t="s">
        <v>995</v>
      </c>
      <c r="D801" s="89"/>
      <c r="E801" s="89"/>
      <c r="F801" s="89"/>
      <c r="G801" s="89"/>
      <c r="H801" s="89"/>
      <c r="I801" s="89"/>
      <c r="J801" s="212">
        <f t="shared" si="83"/>
        <v>0</v>
      </c>
      <c r="K801" s="212">
        <f t="shared" si="83"/>
        <v>0</v>
      </c>
      <c r="L801" s="212">
        <f t="shared" si="83"/>
        <v>0</v>
      </c>
      <c r="M801" s="212">
        <f t="shared" si="83"/>
        <v>0</v>
      </c>
      <c r="N801" s="212">
        <f t="shared" si="83"/>
        <v>0</v>
      </c>
      <c r="O801" s="212">
        <f t="shared" si="83"/>
        <v>0</v>
      </c>
      <c r="P801" s="155">
        <f t="shared" si="83"/>
        <v>0</v>
      </c>
      <c r="Q801" s="407"/>
      <c r="R801" s="407"/>
    </row>
    <row r="802" spans="1:18" ht="12.75" x14ac:dyDescent="0.2">
      <c r="A802" s="152">
        <v>6215000</v>
      </c>
      <c r="B802" s="73"/>
      <c r="C802" s="51" t="s">
        <v>1001</v>
      </c>
      <c r="D802" s="89"/>
      <c r="E802" s="89"/>
      <c r="F802" s="89"/>
      <c r="G802" s="89"/>
      <c r="H802" s="89"/>
      <c r="I802" s="89"/>
      <c r="J802" s="212">
        <f t="shared" si="83"/>
        <v>0</v>
      </c>
      <c r="K802" s="212">
        <f t="shared" si="83"/>
        <v>0</v>
      </c>
      <c r="L802" s="212">
        <f t="shared" si="83"/>
        <v>0</v>
      </c>
      <c r="M802" s="212">
        <f t="shared" si="83"/>
        <v>0</v>
      </c>
      <c r="N802" s="212">
        <f t="shared" si="83"/>
        <v>0</v>
      </c>
      <c r="O802" s="212">
        <f t="shared" si="83"/>
        <v>0</v>
      </c>
      <c r="P802" s="155">
        <f t="shared" si="83"/>
        <v>0</v>
      </c>
      <c r="Q802" s="407"/>
      <c r="R802" s="407"/>
    </row>
    <row r="803" spans="1:18" ht="12.75" x14ac:dyDescent="0.2">
      <c r="A803" s="152">
        <v>6215000</v>
      </c>
      <c r="B803" s="73"/>
      <c r="C803" s="51" t="s">
        <v>978</v>
      </c>
      <c r="D803" s="89"/>
      <c r="E803" s="89"/>
      <c r="F803" s="89"/>
      <c r="G803" s="89"/>
      <c r="H803" s="89"/>
      <c r="I803" s="89"/>
      <c r="J803" s="212">
        <f t="shared" ref="J803:P812" si="84">SUMIFS(J$26:J$180,$A$26:$A$180,$A803,$C$26:$C$180,$C803)</f>
        <v>0</v>
      </c>
      <c r="K803" s="212">
        <f t="shared" si="84"/>
        <v>0</v>
      </c>
      <c r="L803" s="212">
        <f t="shared" si="84"/>
        <v>0</v>
      </c>
      <c r="M803" s="212">
        <f t="shared" si="84"/>
        <v>0</v>
      </c>
      <c r="N803" s="212">
        <f t="shared" si="84"/>
        <v>0</v>
      </c>
      <c r="O803" s="212">
        <f t="shared" si="84"/>
        <v>0</v>
      </c>
      <c r="P803" s="155">
        <f t="shared" si="84"/>
        <v>0</v>
      </c>
      <c r="Q803" s="407"/>
      <c r="R803" s="407"/>
    </row>
    <row r="804" spans="1:18" ht="12.75" x14ac:dyDescent="0.2">
      <c r="A804" s="152">
        <v>6215000</v>
      </c>
      <c r="B804" s="73"/>
      <c r="C804" s="51" t="s">
        <v>494</v>
      </c>
      <c r="D804" s="89"/>
      <c r="E804" s="89"/>
      <c r="F804" s="89"/>
      <c r="G804" s="89"/>
      <c r="H804" s="89"/>
      <c r="I804" s="89"/>
      <c r="J804" s="212">
        <f t="shared" si="84"/>
        <v>0</v>
      </c>
      <c r="K804" s="212">
        <f t="shared" si="84"/>
        <v>0</v>
      </c>
      <c r="L804" s="212">
        <f t="shared" si="84"/>
        <v>0</v>
      </c>
      <c r="M804" s="212">
        <f t="shared" si="84"/>
        <v>0</v>
      </c>
      <c r="N804" s="212">
        <f t="shared" si="84"/>
        <v>0</v>
      </c>
      <c r="O804" s="212">
        <f t="shared" si="84"/>
        <v>0</v>
      </c>
      <c r="P804" s="155">
        <f t="shared" si="84"/>
        <v>0</v>
      </c>
      <c r="Q804" s="407"/>
      <c r="R804" s="407"/>
    </row>
    <row r="805" spans="1:18" ht="12.75" x14ac:dyDescent="0.2">
      <c r="A805" s="152">
        <v>6215000</v>
      </c>
      <c r="B805" s="73"/>
      <c r="C805" s="51" t="s">
        <v>976</v>
      </c>
      <c r="D805" s="89"/>
      <c r="E805" s="89"/>
      <c r="F805" s="89"/>
      <c r="G805" s="89"/>
      <c r="H805" s="89"/>
      <c r="I805" s="89"/>
      <c r="J805" s="212">
        <f t="shared" si="84"/>
        <v>0</v>
      </c>
      <c r="K805" s="212">
        <f t="shared" si="84"/>
        <v>0</v>
      </c>
      <c r="L805" s="212">
        <f t="shared" si="84"/>
        <v>0</v>
      </c>
      <c r="M805" s="212">
        <f t="shared" si="84"/>
        <v>0</v>
      </c>
      <c r="N805" s="212">
        <f t="shared" si="84"/>
        <v>0</v>
      </c>
      <c r="O805" s="212">
        <f t="shared" si="84"/>
        <v>0</v>
      </c>
      <c r="P805" s="155">
        <f t="shared" si="84"/>
        <v>0</v>
      </c>
      <c r="Q805" s="407"/>
      <c r="R805" s="407"/>
    </row>
    <row r="806" spans="1:18" ht="12.75" x14ac:dyDescent="0.2">
      <c r="A806" s="152">
        <v>6215000</v>
      </c>
      <c r="B806" s="73"/>
      <c r="C806" s="51" t="s">
        <v>1002</v>
      </c>
      <c r="D806" s="89"/>
      <c r="E806" s="89"/>
      <c r="F806" s="89"/>
      <c r="G806" s="89"/>
      <c r="H806" s="89"/>
      <c r="I806" s="89"/>
      <c r="J806" s="212">
        <f t="shared" si="84"/>
        <v>0</v>
      </c>
      <c r="K806" s="212">
        <f t="shared" si="84"/>
        <v>0</v>
      </c>
      <c r="L806" s="212">
        <f t="shared" si="84"/>
        <v>0</v>
      </c>
      <c r="M806" s="212">
        <f t="shared" si="84"/>
        <v>0</v>
      </c>
      <c r="N806" s="212">
        <f t="shared" si="84"/>
        <v>0</v>
      </c>
      <c r="O806" s="212">
        <f t="shared" si="84"/>
        <v>0</v>
      </c>
      <c r="P806" s="155">
        <f t="shared" si="84"/>
        <v>0</v>
      </c>
      <c r="Q806" s="407"/>
      <c r="R806" s="407"/>
    </row>
    <row r="807" spans="1:18" ht="12.75" x14ac:dyDescent="0.2">
      <c r="A807" s="152">
        <v>6215000</v>
      </c>
      <c r="B807" s="73"/>
      <c r="C807" s="51" t="s">
        <v>1014</v>
      </c>
      <c r="D807" s="89"/>
      <c r="E807" s="89"/>
      <c r="F807" s="89"/>
      <c r="G807" s="89"/>
      <c r="H807" s="89"/>
      <c r="I807" s="89"/>
      <c r="J807" s="212">
        <f t="shared" si="84"/>
        <v>0</v>
      </c>
      <c r="K807" s="212">
        <f t="shared" si="84"/>
        <v>0</v>
      </c>
      <c r="L807" s="212">
        <f t="shared" si="84"/>
        <v>0</v>
      </c>
      <c r="M807" s="212">
        <f t="shared" si="84"/>
        <v>0</v>
      </c>
      <c r="N807" s="212">
        <f t="shared" si="84"/>
        <v>0</v>
      </c>
      <c r="O807" s="212">
        <f t="shared" si="84"/>
        <v>0</v>
      </c>
      <c r="P807" s="155">
        <f t="shared" si="84"/>
        <v>0</v>
      </c>
      <c r="Q807" s="407"/>
      <c r="R807" s="407"/>
    </row>
    <row r="808" spans="1:18" ht="12.75" x14ac:dyDescent="0.2">
      <c r="A808" s="152">
        <v>6215000</v>
      </c>
      <c r="B808" s="73"/>
      <c r="C808" s="51" t="s">
        <v>998</v>
      </c>
      <c r="D808" s="89"/>
      <c r="E808" s="89"/>
      <c r="F808" s="89"/>
      <c r="G808" s="89"/>
      <c r="H808" s="89"/>
      <c r="I808" s="89"/>
      <c r="J808" s="212">
        <f t="shared" si="84"/>
        <v>0</v>
      </c>
      <c r="K808" s="212">
        <f t="shared" si="84"/>
        <v>0</v>
      </c>
      <c r="L808" s="212">
        <f t="shared" si="84"/>
        <v>0</v>
      </c>
      <c r="M808" s="212">
        <f t="shared" si="84"/>
        <v>0</v>
      </c>
      <c r="N808" s="212">
        <f t="shared" si="84"/>
        <v>0</v>
      </c>
      <c r="O808" s="212">
        <f t="shared" si="84"/>
        <v>0</v>
      </c>
      <c r="P808" s="155">
        <f t="shared" si="84"/>
        <v>0</v>
      </c>
      <c r="Q808" s="407"/>
      <c r="R808" s="407"/>
    </row>
    <row r="809" spans="1:18" ht="12.75" x14ac:dyDescent="0.2">
      <c r="A809" s="152">
        <v>6215000</v>
      </c>
      <c r="B809" s="73"/>
      <c r="C809" s="51" t="s">
        <v>996</v>
      </c>
      <c r="D809" s="89"/>
      <c r="E809" s="89"/>
      <c r="F809" s="89"/>
      <c r="G809" s="89"/>
      <c r="H809" s="89"/>
      <c r="I809" s="89"/>
      <c r="J809" s="212">
        <f t="shared" si="84"/>
        <v>0</v>
      </c>
      <c r="K809" s="212">
        <f t="shared" si="84"/>
        <v>0</v>
      </c>
      <c r="L809" s="212">
        <f t="shared" si="84"/>
        <v>0</v>
      </c>
      <c r="M809" s="212">
        <f t="shared" si="84"/>
        <v>0</v>
      </c>
      <c r="N809" s="212">
        <f t="shared" si="84"/>
        <v>0</v>
      </c>
      <c r="O809" s="212">
        <f t="shared" si="84"/>
        <v>0</v>
      </c>
      <c r="P809" s="155">
        <f t="shared" si="84"/>
        <v>0</v>
      </c>
      <c r="Q809" s="407"/>
      <c r="R809" s="407"/>
    </row>
    <row r="810" spans="1:18" ht="12.75" x14ac:dyDescent="0.2">
      <c r="A810" s="152">
        <v>6215000</v>
      </c>
      <c r="B810" s="73"/>
      <c r="C810" s="51" t="s">
        <v>1043</v>
      </c>
      <c r="D810" s="89"/>
      <c r="E810" s="89"/>
      <c r="F810" s="89"/>
      <c r="G810" s="89"/>
      <c r="H810" s="89"/>
      <c r="I810" s="89"/>
      <c r="J810" s="212">
        <f t="shared" si="84"/>
        <v>0</v>
      </c>
      <c r="K810" s="212">
        <f t="shared" si="84"/>
        <v>0</v>
      </c>
      <c r="L810" s="212">
        <f t="shared" si="84"/>
        <v>0</v>
      </c>
      <c r="M810" s="212">
        <f t="shared" si="84"/>
        <v>0</v>
      </c>
      <c r="N810" s="212">
        <f t="shared" si="84"/>
        <v>0</v>
      </c>
      <c r="O810" s="212">
        <f t="shared" si="84"/>
        <v>0</v>
      </c>
      <c r="P810" s="155">
        <f t="shared" si="84"/>
        <v>0</v>
      </c>
      <c r="Q810" s="407"/>
      <c r="R810" s="407"/>
    </row>
    <row r="811" spans="1:18" ht="12.75" x14ac:dyDescent="0.2">
      <c r="A811" s="152">
        <v>6215000</v>
      </c>
      <c r="B811" s="73"/>
      <c r="C811" s="51" t="s">
        <v>1044</v>
      </c>
      <c r="D811" s="89"/>
      <c r="E811" s="89"/>
      <c r="F811" s="89"/>
      <c r="G811" s="89"/>
      <c r="H811" s="89"/>
      <c r="I811" s="89"/>
      <c r="J811" s="212">
        <f t="shared" si="84"/>
        <v>0</v>
      </c>
      <c r="K811" s="212">
        <f t="shared" si="84"/>
        <v>0</v>
      </c>
      <c r="L811" s="212">
        <f t="shared" si="84"/>
        <v>0</v>
      </c>
      <c r="M811" s="212">
        <f t="shared" si="84"/>
        <v>0</v>
      </c>
      <c r="N811" s="212">
        <f t="shared" si="84"/>
        <v>0</v>
      </c>
      <c r="O811" s="212">
        <f t="shared" si="84"/>
        <v>0</v>
      </c>
      <c r="P811" s="155">
        <f t="shared" si="84"/>
        <v>0</v>
      </c>
      <c r="Q811" s="407"/>
      <c r="R811" s="407"/>
    </row>
    <row r="812" spans="1:18" ht="12.75" x14ac:dyDescent="0.2">
      <c r="A812" s="152">
        <v>6215000</v>
      </c>
      <c r="B812" s="73"/>
      <c r="C812" s="51" t="s">
        <v>1039</v>
      </c>
      <c r="D812" s="89"/>
      <c r="E812" s="89"/>
      <c r="F812" s="89"/>
      <c r="G812" s="89"/>
      <c r="H812" s="89"/>
      <c r="I812" s="89"/>
      <c r="J812" s="212">
        <f t="shared" si="84"/>
        <v>0</v>
      </c>
      <c r="K812" s="212">
        <f t="shared" si="84"/>
        <v>0</v>
      </c>
      <c r="L812" s="212">
        <f t="shared" si="84"/>
        <v>0</v>
      </c>
      <c r="M812" s="212">
        <f t="shared" si="84"/>
        <v>0</v>
      </c>
      <c r="N812" s="212">
        <f t="shared" si="84"/>
        <v>0</v>
      </c>
      <c r="O812" s="212">
        <f t="shared" si="84"/>
        <v>0</v>
      </c>
      <c r="P812" s="155">
        <f t="shared" si="84"/>
        <v>0</v>
      </c>
      <c r="Q812" s="407"/>
      <c r="R812" s="407"/>
    </row>
    <row r="813" spans="1:18" ht="12.75" x14ac:dyDescent="0.2">
      <c r="A813" s="152">
        <v>6215000</v>
      </c>
      <c r="B813" s="73"/>
      <c r="C813" s="51" t="s">
        <v>1028</v>
      </c>
      <c r="D813" s="89"/>
      <c r="E813" s="89"/>
      <c r="F813" s="89"/>
      <c r="G813" s="89"/>
      <c r="H813" s="89"/>
      <c r="I813" s="89"/>
      <c r="J813" s="212">
        <f t="shared" ref="J813:P822" si="85">SUMIFS(J$26:J$180,$A$26:$A$180,$A813,$C$26:$C$180,$C813)</f>
        <v>0</v>
      </c>
      <c r="K813" s="212">
        <f t="shared" si="85"/>
        <v>0</v>
      </c>
      <c r="L813" s="212">
        <f t="shared" si="85"/>
        <v>0</v>
      </c>
      <c r="M813" s="212">
        <f t="shared" si="85"/>
        <v>0</v>
      </c>
      <c r="N813" s="212">
        <f t="shared" si="85"/>
        <v>0</v>
      </c>
      <c r="O813" s="212">
        <f t="shared" si="85"/>
        <v>0</v>
      </c>
      <c r="P813" s="155">
        <f t="shared" si="85"/>
        <v>0</v>
      </c>
      <c r="Q813" s="407"/>
      <c r="R813" s="407"/>
    </row>
    <row r="814" spans="1:18" ht="12.75" x14ac:dyDescent="0.2">
      <c r="A814" s="152">
        <v>6215000</v>
      </c>
      <c r="B814" s="73"/>
      <c r="C814" s="51" t="s">
        <v>1029</v>
      </c>
      <c r="D814" s="89"/>
      <c r="E814" s="89"/>
      <c r="F814" s="89"/>
      <c r="G814" s="89"/>
      <c r="H814" s="89"/>
      <c r="I814" s="89"/>
      <c r="J814" s="212">
        <f t="shared" si="85"/>
        <v>0</v>
      </c>
      <c r="K814" s="212">
        <f t="shared" si="85"/>
        <v>0</v>
      </c>
      <c r="L814" s="212">
        <f t="shared" si="85"/>
        <v>0</v>
      </c>
      <c r="M814" s="212">
        <f t="shared" si="85"/>
        <v>0</v>
      </c>
      <c r="N814" s="212">
        <f t="shared" si="85"/>
        <v>0</v>
      </c>
      <c r="O814" s="212">
        <f t="shared" si="85"/>
        <v>0</v>
      </c>
      <c r="P814" s="155">
        <f t="shared" si="85"/>
        <v>0</v>
      </c>
      <c r="Q814" s="407"/>
      <c r="R814" s="407"/>
    </row>
    <row r="815" spans="1:18" ht="12.75" x14ac:dyDescent="0.2">
      <c r="A815" s="152">
        <v>6215000</v>
      </c>
      <c r="B815" s="73"/>
      <c r="C815" s="51" t="s">
        <v>113</v>
      </c>
      <c r="D815" s="89"/>
      <c r="E815" s="89"/>
      <c r="F815" s="89"/>
      <c r="G815" s="89"/>
      <c r="H815" s="89"/>
      <c r="I815" s="89"/>
      <c r="J815" s="212">
        <f t="shared" si="85"/>
        <v>0</v>
      </c>
      <c r="K815" s="212">
        <f t="shared" si="85"/>
        <v>0</v>
      </c>
      <c r="L815" s="212">
        <f t="shared" si="85"/>
        <v>0</v>
      </c>
      <c r="M815" s="212">
        <f t="shared" si="85"/>
        <v>0</v>
      </c>
      <c r="N815" s="212">
        <f t="shared" si="85"/>
        <v>0</v>
      </c>
      <c r="O815" s="212">
        <f t="shared" si="85"/>
        <v>0</v>
      </c>
      <c r="P815" s="155">
        <f t="shared" si="85"/>
        <v>0</v>
      </c>
      <c r="Q815" s="407"/>
      <c r="R815" s="407"/>
    </row>
    <row r="816" spans="1:18" ht="12.75" x14ac:dyDescent="0.2">
      <c r="A816" s="152">
        <v>6215000</v>
      </c>
      <c r="B816" s="73"/>
      <c r="C816" s="51" t="s">
        <v>1038</v>
      </c>
      <c r="D816" s="89"/>
      <c r="E816" s="89"/>
      <c r="F816" s="89"/>
      <c r="G816" s="89"/>
      <c r="H816" s="89"/>
      <c r="I816" s="89"/>
      <c r="J816" s="212">
        <f t="shared" si="85"/>
        <v>0</v>
      </c>
      <c r="K816" s="212">
        <f t="shared" si="85"/>
        <v>0</v>
      </c>
      <c r="L816" s="212">
        <f t="shared" si="85"/>
        <v>0</v>
      </c>
      <c r="M816" s="212">
        <f t="shared" si="85"/>
        <v>0</v>
      </c>
      <c r="N816" s="212">
        <f t="shared" si="85"/>
        <v>0</v>
      </c>
      <c r="O816" s="212">
        <f t="shared" si="85"/>
        <v>0</v>
      </c>
      <c r="P816" s="155">
        <f t="shared" si="85"/>
        <v>0</v>
      </c>
      <c r="Q816" s="407"/>
      <c r="R816" s="407"/>
    </row>
    <row r="817" spans="1:18" ht="12.75" x14ac:dyDescent="0.2">
      <c r="A817" s="152">
        <v>6215000</v>
      </c>
      <c r="B817" s="73"/>
      <c r="C817" s="51" t="s">
        <v>1033</v>
      </c>
      <c r="D817" s="89"/>
      <c r="E817" s="89"/>
      <c r="F817" s="89"/>
      <c r="G817" s="89"/>
      <c r="H817" s="89"/>
      <c r="I817" s="89"/>
      <c r="J817" s="212">
        <f t="shared" si="85"/>
        <v>0</v>
      </c>
      <c r="K817" s="212">
        <f t="shared" si="85"/>
        <v>0</v>
      </c>
      <c r="L817" s="212">
        <f t="shared" si="85"/>
        <v>0</v>
      </c>
      <c r="M817" s="212">
        <f t="shared" si="85"/>
        <v>0</v>
      </c>
      <c r="N817" s="212">
        <f t="shared" si="85"/>
        <v>0</v>
      </c>
      <c r="O817" s="212">
        <f t="shared" si="85"/>
        <v>0</v>
      </c>
      <c r="P817" s="155">
        <f t="shared" si="85"/>
        <v>0</v>
      </c>
      <c r="Q817" s="407"/>
      <c r="R817" s="407"/>
    </row>
    <row r="818" spans="1:18" ht="12.75" x14ac:dyDescent="0.2">
      <c r="A818" s="152">
        <v>6215000</v>
      </c>
      <c r="B818" s="73"/>
      <c r="C818" s="51" t="s">
        <v>1007</v>
      </c>
      <c r="D818" s="89"/>
      <c r="E818" s="89"/>
      <c r="F818" s="89"/>
      <c r="G818" s="89"/>
      <c r="H818" s="89"/>
      <c r="I818" s="89"/>
      <c r="J818" s="212">
        <f t="shared" si="85"/>
        <v>0</v>
      </c>
      <c r="K818" s="212">
        <f t="shared" si="85"/>
        <v>0</v>
      </c>
      <c r="L818" s="212">
        <f t="shared" si="85"/>
        <v>0</v>
      </c>
      <c r="M818" s="212">
        <f t="shared" si="85"/>
        <v>0</v>
      </c>
      <c r="N818" s="212">
        <f t="shared" si="85"/>
        <v>0</v>
      </c>
      <c r="O818" s="212">
        <f t="shared" si="85"/>
        <v>0</v>
      </c>
      <c r="P818" s="155">
        <f t="shared" si="85"/>
        <v>0</v>
      </c>
      <c r="Q818" s="407"/>
      <c r="R818" s="407"/>
    </row>
    <row r="819" spans="1:18" ht="12.75" x14ac:dyDescent="0.2">
      <c r="A819" s="152">
        <v>6215000</v>
      </c>
      <c r="B819" s="73"/>
      <c r="C819" s="51" t="s">
        <v>969</v>
      </c>
      <c r="D819" s="89"/>
      <c r="E819" s="89"/>
      <c r="F819" s="89"/>
      <c r="G819" s="89"/>
      <c r="H819" s="89"/>
      <c r="I819" s="89"/>
      <c r="J819" s="212">
        <f t="shared" si="85"/>
        <v>0</v>
      </c>
      <c r="K819" s="212">
        <f t="shared" si="85"/>
        <v>0</v>
      </c>
      <c r="L819" s="212">
        <f t="shared" si="85"/>
        <v>0</v>
      </c>
      <c r="M819" s="212">
        <f t="shared" si="85"/>
        <v>0</v>
      </c>
      <c r="N819" s="212">
        <f t="shared" si="85"/>
        <v>0</v>
      </c>
      <c r="O819" s="212">
        <f t="shared" si="85"/>
        <v>0</v>
      </c>
      <c r="P819" s="155">
        <f t="shared" si="85"/>
        <v>0</v>
      </c>
      <c r="Q819" s="407"/>
      <c r="R819" s="407"/>
    </row>
    <row r="820" spans="1:18" ht="12.75" x14ac:dyDescent="0.2">
      <c r="A820" s="152">
        <v>6215000</v>
      </c>
      <c r="B820" s="73"/>
      <c r="C820" s="51" t="s">
        <v>987</v>
      </c>
      <c r="D820" s="89"/>
      <c r="E820" s="89"/>
      <c r="F820" s="89"/>
      <c r="G820" s="89"/>
      <c r="H820" s="89"/>
      <c r="I820" s="89"/>
      <c r="J820" s="212">
        <f t="shared" si="85"/>
        <v>0</v>
      </c>
      <c r="K820" s="212">
        <f t="shared" si="85"/>
        <v>0</v>
      </c>
      <c r="L820" s="212">
        <f t="shared" si="85"/>
        <v>0</v>
      </c>
      <c r="M820" s="212">
        <f t="shared" si="85"/>
        <v>0</v>
      </c>
      <c r="N820" s="212">
        <f t="shared" si="85"/>
        <v>0</v>
      </c>
      <c r="O820" s="212">
        <f t="shared" si="85"/>
        <v>0</v>
      </c>
      <c r="P820" s="155">
        <f t="shared" si="85"/>
        <v>0</v>
      </c>
      <c r="Q820" s="407"/>
      <c r="R820" s="407"/>
    </row>
    <row r="821" spans="1:18" ht="12.75" x14ac:dyDescent="0.2">
      <c r="A821" s="152">
        <v>6215000</v>
      </c>
      <c r="B821" s="73"/>
      <c r="C821" s="51" t="s">
        <v>1000</v>
      </c>
      <c r="D821" s="89"/>
      <c r="E821" s="89"/>
      <c r="F821" s="89"/>
      <c r="G821" s="89"/>
      <c r="H821" s="89"/>
      <c r="I821" s="89"/>
      <c r="J821" s="212">
        <f t="shared" si="85"/>
        <v>0</v>
      </c>
      <c r="K821" s="212">
        <f t="shared" si="85"/>
        <v>0</v>
      </c>
      <c r="L821" s="212">
        <f t="shared" si="85"/>
        <v>0</v>
      </c>
      <c r="M821" s="212">
        <f t="shared" si="85"/>
        <v>0</v>
      </c>
      <c r="N821" s="212">
        <f t="shared" si="85"/>
        <v>0</v>
      </c>
      <c r="O821" s="212">
        <f t="shared" si="85"/>
        <v>0</v>
      </c>
      <c r="P821" s="155">
        <f t="shared" si="85"/>
        <v>0</v>
      </c>
      <c r="Q821" s="407"/>
      <c r="R821" s="407"/>
    </row>
    <row r="822" spans="1:18" ht="12.75" x14ac:dyDescent="0.2">
      <c r="A822" s="152">
        <v>6215000</v>
      </c>
      <c r="B822" s="73"/>
      <c r="C822" s="51" t="s">
        <v>116</v>
      </c>
      <c r="D822" s="89"/>
      <c r="E822" s="89"/>
      <c r="F822" s="89"/>
      <c r="G822" s="89"/>
      <c r="H822" s="89"/>
      <c r="I822" s="89"/>
      <c r="J822" s="212">
        <f t="shared" si="85"/>
        <v>0</v>
      </c>
      <c r="K822" s="212">
        <f t="shared" si="85"/>
        <v>0</v>
      </c>
      <c r="L822" s="212">
        <f t="shared" si="85"/>
        <v>0</v>
      </c>
      <c r="M822" s="212">
        <f t="shared" si="85"/>
        <v>0</v>
      </c>
      <c r="N822" s="212">
        <f t="shared" si="85"/>
        <v>0</v>
      </c>
      <c r="O822" s="212">
        <f t="shared" si="85"/>
        <v>0</v>
      </c>
      <c r="P822" s="155">
        <f t="shared" si="85"/>
        <v>0</v>
      </c>
      <c r="Q822" s="407"/>
      <c r="R822" s="407"/>
    </row>
    <row r="823" spans="1:18" ht="12.75" x14ac:dyDescent="0.2">
      <c r="A823" s="152">
        <v>6215000</v>
      </c>
      <c r="B823" s="73"/>
      <c r="C823" s="51" t="s">
        <v>114</v>
      </c>
      <c r="D823" s="89"/>
      <c r="E823" s="89"/>
      <c r="F823" s="89"/>
      <c r="G823" s="89"/>
      <c r="H823" s="89"/>
      <c r="I823" s="89"/>
      <c r="J823" s="212">
        <f t="shared" ref="J823:P832" si="86">SUMIFS(J$26:J$180,$A$26:$A$180,$A823,$C$26:$C$180,$C823)</f>
        <v>0</v>
      </c>
      <c r="K823" s="212">
        <f t="shared" si="86"/>
        <v>0</v>
      </c>
      <c r="L823" s="212">
        <f t="shared" si="86"/>
        <v>0</v>
      </c>
      <c r="M823" s="212">
        <f t="shared" si="86"/>
        <v>0</v>
      </c>
      <c r="N823" s="212">
        <f t="shared" si="86"/>
        <v>0</v>
      </c>
      <c r="O823" s="212">
        <f t="shared" si="86"/>
        <v>0</v>
      </c>
      <c r="P823" s="155">
        <f t="shared" si="86"/>
        <v>0</v>
      </c>
      <c r="Q823" s="407"/>
      <c r="R823" s="407"/>
    </row>
    <row r="824" spans="1:18" ht="12.75" x14ac:dyDescent="0.2">
      <c r="A824" s="152">
        <v>6215000</v>
      </c>
      <c r="B824" s="73"/>
      <c r="C824" s="51" t="s">
        <v>111</v>
      </c>
      <c r="D824" s="89"/>
      <c r="E824" s="89"/>
      <c r="F824" s="89"/>
      <c r="G824" s="89"/>
      <c r="H824" s="89"/>
      <c r="I824" s="89"/>
      <c r="J824" s="212">
        <f t="shared" si="86"/>
        <v>0</v>
      </c>
      <c r="K824" s="212">
        <f t="shared" si="86"/>
        <v>0</v>
      </c>
      <c r="L824" s="212">
        <f t="shared" si="86"/>
        <v>0</v>
      </c>
      <c r="M824" s="212">
        <f t="shared" si="86"/>
        <v>0</v>
      </c>
      <c r="N824" s="212">
        <f t="shared" si="86"/>
        <v>0</v>
      </c>
      <c r="O824" s="212">
        <f t="shared" si="86"/>
        <v>0</v>
      </c>
      <c r="P824" s="155">
        <f t="shared" si="86"/>
        <v>0</v>
      </c>
      <c r="Q824" s="407"/>
      <c r="R824" s="407"/>
    </row>
    <row r="825" spans="1:18" ht="12.75" x14ac:dyDescent="0.2">
      <c r="A825" s="152">
        <v>6215000</v>
      </c>
      <c r="B825" s="73"/>
      <c r="C825" s="51" t="s">
        <v>117</v>
      </c>
      <c r="D825" s="89"/>
      <c r="E825" s="89"/>
      <c r="F825" s="89"/>
      <c r="G825" s="89"/>
      <c r="H825" s="89"/>
      <c r="I825" s="89"/>
      <c r="J825" s="212">
        <f t="shared" si="86"/>
        <v>0</v>
      </c>
      <c r="K825" s="212">
        <f t="shared" si="86"/>
        <v>0</v>
      </c>
      <c r="L825" s="212">
        <f t="shared" si="86"/>
        <v>0</v>
      </c>
      <c r="M825" s="212">
        <f t="shared" si="86"/>
        <v>0</v>
      </c>
      <c r="N825" s="212">
        <f t="shared" si="86"/>
        <v>0</v>
      </c>
      <c r="O825" s="212">
        <f t="shared" si="86"/>
        <v>0</v>
      </c>
      <c r="P825" s="155">
        <f t="shared" si="86"/>
        <v>0</v>
      </c>
      <c r="Q825" s="407"/>
      <c r="R825" s="407"/>
    </row>
    <row r="826" spans="1:18" ht="12.75" x14ac:dyDescent="0.2">
      <c r="A826" s="152">
        <v>6215000</v>
      </c>
      <c r="B826" s="73"/>
      <c r="C826" s="51" t="s">
        <v>112</v>
      </c>
      <c r="D826" s="89"/>
      <c r="E826" s="89"/>
      <c r="F826" s="89"/>
      <c r="G826" s="89"/>
      <c r="H826" s="89"/>
      <c r="I826" s="89"/>
      <c r="J826" s="212">
        <f t="shared" si="86"/>
        <v>0</v>
      </c>
      <c r="K826" s="212">
        <f t="shared" si="86"/>
        <v>0</v>
      </c>
      <c r="L826" s="212">
        <f t="shared" si="86"/>
        <v>0</v>
      </c>
      <c r="M826" s="212">
        <f t="shared" si="86"/>
        <v>0</v>
      </c>
      <c r="N826" s="212">
        <f t="shared" si="86"/>
        <v>0</v>
      </c>
      <c r="O826" s="212">
        <f t="shared" si="86"/>
        <v>0</v>
      </c>
      <c r="P826" s="155">
        <f t="shared" si="86"/>
        <v>0</v>
      </c>
      <c r="Q826" s="407"/>
      <c r="R826" s="407"/>
    </row>
    <row r="827" spans="1:18" ht="12.75" x14ac:dyDescent="0.2">
      <c r="A827" s="152">
        <v>6215000</v>
      </c>
      <c r="B827" s="73"/>
      <c r="C827" s="51" t="s">
        <v>136</v>
      </c>
      <c r="D827" s="89"/>
      <c r="E827" s="89"/>
      <c r="F827" s="89"/>
      <c r="G827" s="89"/>
      <c r="H827" s="89"/>
      <c r="I827" s="89"/>
      <c r="J827" s="212">
        <f t="shared" si="86"/>
        <v>0</v>
      </c>
      <c r="K827" s="212">
        <f t="shared" si="86"/>
        <v>0</v>
      </c>
      <c r="L827" s="212">
        <f t="shared" si="86"/>
        <v>0</v>
      </c>
      <c r="M827" s="212">
        <f t="shared" si="86"/>
        <v>0</v>
      </c>
      <c r="N827" s="212">
        <f t="shared" si="86"/>
        <v>0</v>
      </c>
      <c r="O827" s="212">
        <f t="shared" si="86"/>
        <v>0</v>
      </c>
      <c r="P827" s="155">
        <f t="shared" si="86"/>
        <v>0</v>
      </c>
      <c r="Q827" s="407"/>
      <c r="R827" s="407"/>
    </row>
    <row r="828" spans="1:18" ht="12.75" x14ac:dyDescent="0.2">
      <c r="A828" s="152">
        <v>6215000</v>
      </c>
      <c r="B828" s="73"/>
      <c r="C828" s="51" t="s">
        <v>962</v>
      </c>
      <c r="D828" s="89"/>
      <c r="E828" s="89"/>
      <c r="F828" s="89"/>
      <c r="G828" s="89"/>
      <c r="H828" s="89"/>
      <c r="I828" s="89"/>
      <c r="J828" s="212">
        <f t="shared" si="86"/>
        <v>0</v>
      </c>
      <c r="K828" s="212">
        <f t="shared" si="86"/>
        <v>0</v>
      </c>
      <c r="L828" s="212">
        <f t="shared" si="86"/>
        <v>0</v>
      </c>
      <c r="M828" s="212">
        <f t="shared" si="86"/>
        <v>0</v>
      </c>
      <c r="N828" s="212">
        <f t="shared" si="86"/>
        <v>0</v>
      </c>
      <c r="O828" s="212">
        <f t="shared" si="86"/>
        <v>0</v>
      </c>
      <c r="P828" s="155">
        <f t="shared" si="86"/>
        <v>0</v>
      </c>
      <c r="Q828" s="407"/>
      <c r="R828" s="407"/>
    </row>
    <row r="829" spans="1:18" ht="12.75" x14ac:dyDescent="0.2">
      <c r="A829" s="152">
        <v>6215000</v>
      </c>
      <c r="B829" s="73"/>
      <c r="C829" s="51" t="s">
        <v>115</v>
      </c>
      <c r="D829" s="89"/>
      <c r="E829" s="89"/>
      <c r="F829" s="89"/>
      <c r="G829" s="89"/>
      <c r="H829" s="89"/>
      <c r="I829" s="89"/>
      <c r="J829" s="212">
        <f t="shared" si="86"/>
        <v>0</v>
      </c>
      <c r="K829" s="212">
        <f t="shared" si="86"/>
        <v>0</v>
      </c>
      <c r="L829" s="212">
        <f t="shared" si="86"/>
        <v>0</v>
      </c>
      <c r="M829" s="212">
        <f t="shared" si="86"/>
        <v>0</v>
      </c>
      <c r="N829" s="212">
        <f t="shared" si="86"/>
        <v>0</v>
      </c>
      <c r="O829" s="212">
        <f t="shared" si="86"/>
        <v>0</v>
      </c>
      <c r="P829" s="155">
        <f t="shared" si="86"/>
        <v>0</v>
      </c>
      <c r="Q829" s="407"/>
      <c r="R829" s="407"/>
    </row>
    <row r="830" spans="1:18" ht="12.75" x14ac:dyDescent="0.2">
      <c r="A830" s="152">
        <v>6215000</v>
      </c>
      <c r="B830" s="73"/>
      <c r="C830" s="51" t="s">
        <v>997</v>
      </c>
      <c r="D830" s="89"/>
      <c r="E830" s="89"/>
      <c r="F830" s="89"/>
      <c r="G830" s="89"/>
      <c r="H830" s="89"/>
      <c r="I830" s="89"/>
      <c r="J830" s="212">
        <f t="shared" si="86"/>
        <v>0</v>
      </c>
      <c r="K830" s="212">
        <f t="shared" si="86"/>
        <v>0</v>
      </c>
      <c r="L830" s="212">
        <f t="shared" si="86"/>
        <v>0</v>
      </c>
      <c r="M830" s="212">
        <f t="shared" si="86"/>
        <v>0</v>
      </c>
      <c r="N830" s="212">
        <f t="shared" si="86"/>
        <v>0</v>
      </c>
      <c r="O830" s="212">
        <f t="shared" si="86"/>
        <v>0</v>
      </c>
      <c r="P830" s="155">
        <f t="shared" si="86"/>
        <v>0</v>
      </c>
      <c r="Q830" s="407"/>
      <c r="R830" s="407"/>
    </row>
    <row r="831" spans="1:18" ht="12.75" x14ac:dyDescent="0.2">
      <c r="A831" s="152">
        <v>6215000</v>
      </c>
      <c r="B831" s="73"/>
      <c r="C831" s="51" t="s">
        <v>999</v>
      </c>
      <c r="D831" s="89"/>
      <c r="E831" s="89"/>
      <c r="F831" s="89"/>
      <c r="G831" s="89"/>
      <c r="H831" s="89"/>
      <c r="I831" s="89"/>
      <c r="J831" s="212">
        <f t="shared" si="86"/>
        <v>0</v>
      </c>
      <c r="K831" s="212">
        <f t="shared" si="86"/>
        <v>0</v>
      </c>
      <c r="L831" s="212">
        <f t="shared" si="86"/>
        <v>0</v>
      </c>
      <c r="M831" s="212">
        <f t="shared" si="86"/>
        <v>0</v>
      </c>
      <c r="N831" s="212">
        <f t="shared" si="86"/>
        <v>0</v>
      </c>
      <c r="O831" s="212">
        <f t="shared" si="86"/>
        <v>0</v>
      </c>
      <c r="P831" s="155">
        <f t="shared" si="86"/>
        <v>0</v>
      </c>
      <c r="Q831" s="407"/>
      <c r="R831" s="407"/>
    </row>
    <row r="832" spans="1:18" ht="12.75" x14ac:dyDescent="0.2">
      <c r="A832" s="152">
        <v>6215000</v>
      </c>
      <c r="B832" s="73"/>
      <c r="C832" s="51" t="s">
        <v>1049</v>
      </c>
      <c r="D832" s="89"/>
      <c r="E832" s="89"/>
      <c r="F832" s="89"/>
      <c r="G832" s="89"/>
      <c r="H832" s="89"/>
      <c r="I832" s="89"/>
      <c r="J832" s="212">
        <f t="shared" si="86"/>
        <v>0</v>
      </c>
      <c r="K832" s="212">
        <f t="shared" si="86"/>
        <v>0</v>
      </c>
      <c r="L832" s="212">
        <f t="shared" si="86"/>
        <v>0</v>
      </c>
      <c r="M832" s="212">
        <f t="shared" si="86"/>
        <v>0</v>
      </c>
      <c r="N832" s="212">
        <f t="shared" si="86"/>
        <v>0</v>
      </c>
      <c r="O832" s="212">
        <f t="shared" si="86"/>
        <v>0</v>
      </c>
      <c r="P832" s="155">
        <f t="shared" si="86"/>
        <v>0</v>
      </c>
      <c r="Q832" s="407"/>
      <c r="R832" s="407"/>
    </row>
    <row r="833" spans="1:18" ht="12.75" x14ac:dyDescent="0.2">
      <c r="A833" s="152">
        <v>6215000</v>
      </c>
      <c r="B833" s="73"/>
      <c r="C833" s="51" t="s">
        <v>96</v>
      </c>
      <c r="D833" s="89"/>
      <c r="E833" s="89"/>
      <c r="F833" s="89"/>
      <c r="G833" s="89"/>
      <c r="H833" s="89"/>
      <c r="I833" s="89"/>
      <c r="J833" s="212">
        <f t="shared" ref="J833:P842" si="87">SUMIFS(J$26:J$180,$A$26:$A$180,$A833,$C$26:$C$180,$C833)</f>
        <v>1080</v>
      </c>
      <c r="K833" s="212">
        <f t="shared" si="87"/>
        <v>0</v>
      </c>
      <c r="L833" s="212">
        <f t="shared" si="87"/>
        <v>0</v>
      </c>
      <c r="M833" s="212">
        <f t="shared" si="87"/>
        <v>0</v>
      </c>
      <c r="N833" s="212">
        <f t="shared" si="87"/>
        <v>0</v>
      </c>
      <c r="O833" s="212">
        <f t="shared" si="87"/>
        <v>0</v>
      </c>
      <c r="P833" s="155">
        <f t="shared" si="87"/>
        <v>1080</v>
      </c>
      <c r="Q833" s="407"/>
      <c r="R833" s="407"/>
    </row>
    <row r="834" spans="1:18" ht="12.75" x14ac:dyDescent="0.2">
      <c r="A834" s="152">
        <v>6215000</v>
      </c>
      <c r="B834" s="73"/>
      <c r="C834" s="51" t="s">
        <v>983</v>
      </c>
      <c r="D834" s="89"/>
      <c r="E834" s="89"/>
      <c r="F834" s="89"/>
      <c r="G834" s="89"/>
      <c r="H834" s="89"/>
      <c r="I834" s="89"/>
      <c r="J834" s="212">
        <f t="shared" si="87"/>
        <v>0</v>
      </c>
      <c r="K834" s="212">
        <f t="shared" si="87"/>
        <v>0</v>
      </c>
      <c r="L834" s="212">
        <f t="shared" si="87"/>
        <v>0</v>
      </c>
      <c r="M834" s="212">
        <f t="shared" si="87"/>
        <v>0</v>
      </c>
      <c r="N834" s="212">
        <f t="shared" si="87"/>
        <v>0</v>
      </c>
      <c r="O834" s="212">
        <f t="shared" si="87"/>
        <v>0</v>
      </c>
      <c r="P834" s="155">
        <f t="shared" si="87"/>
        <v>0</v>
      </c>
      <c r="Q834" s="407"/>
      <c r="R834" s="407"/>
    </row>
    <row r="835" spans="1:18" ht="12.75" x14ac:dyDescent="0.2">
      <c r="A835" s="152">
        <v>6215000</v>
      </c>
      <c r="B835" s="73"/>
      <c r="C835" s="51" t="s">
        <v>1042</v>
      </c>
      <c r="D835" s="89"/>
      <c r="E835" s="89"/>
      <c r="F835" s="89"/>
      <c r="G835" s="89"/>
      <c r="H835" s="89"/>
      <c r="I835" s="89"/>
      <c r="J835" s="212">
        <f t="shared" si="87"/>
        <v>0</v>
      </c>
      <c r="K835" s="212">
        <f t="shared" si="87"/>
        <v>0</v>
      </c>
      <c r="L835" s="212">
        <f t="shared" si="87"/>
        <v>0</v>
      </c>
      <c r="M835" s="212">
        <f t="shared" si="87"/>
        <v>0</v>
      </c>
      <c r="N835" s="212">
        <f t="shared" si="87"/>
        <v>0</v>
      </c>
      <c r="O835" s="212">
        <f t="shared" si="87"/>
        <v>0</v>
      </c>
      <c r="P835" s="155">
        <f t="shared" si="87"/>
        <v>0</v>
      </c>
      <c r="Q835" s="407"/>
      <c r="R835" s="407"/>
    </row>
    <row r="836" spans="1:18" ht="12.75" x14ac:dyDescent="0.2">
      <c r="A836" s="152">
        <v>6215000</v>
      </c>
      <c r="B836" s="73"/>
      <c r="C836" s="51" t="s">
        <v>979</v>
      </c>
      <c r="D836" s="89"/>
      <c r="E836" s="89"/>
      <c r="F836" s="89"/>
      <c r="G836" s="89"/>
      <c r="H836" s="89"/>
      <c r="I836" s="89"/>
      <c r="J836" s="212">
        <f t="shared" si="87"/>
        <v>0</v>
      </c>
      <c r="K836" s="212">
        <f t="shared" si="87"/>
        <v>0</v>
      </c>
      <c r="L836" s="212">
        <f t="shared" si="87"/>
        <v>0</v>
      </c>
      <c r="M836" s="212">
        <f t="shared" si="87"/>
        <v>0</v>
      </c>
      <c r="N836" s="212">
        <f t="shared" si="87"/>
        <v>0</v>
      </c>
      <c r="O836" s="212">
        <f t="shared" si="87"/>
        <v>0</v>
      </c>
      <c r="P836" s="155">
        <f t="shared" si="87"/>
        <v>0</v>
      </c>
      <c r="Q836" s="407"/>
      <c r="R836" s="407"/>
    </row>
    <row r="837" spans="1:18" ht="12.75" x14ac:dyDescent="0.2">
      <c r="A837" s="152">
        <v>6215000</v>
      </c>
      <c r="B837" s="73"/>
      <c r="C837" s="51" t="s">
        <v>47</v>
      </c>
      <c r="D837" s="89"/>
      <c r="E837" s="89"/>
      <c r="F837" s="89"/>
      <c r="G837" s="89"/>
      <c r="H837" s="89"/>
      <c r="I837" s="89"/>
      <c r="J837" s="212">
        <f t="shared" si="87"/>
        <v>0</v>
      </c>
      <c r="K837" s="212">
        <f t="shared" si="87"/>
        <v>0</v>
      </c>
      <c r="L837" s="212">
        <f t="shared" si="87"/>
        <v>0</v>
      </c>
      <c r="M837" s="212">
        <f t="shared" si="87"/>
        <v>0</v>
      </c>
      <c r="N837" s="212">
        <f t="shared" si="87"/>
        <v>0</v>
      </c>
      <c r="O837" s="212">
        <f t="shared" si="87"/>
        <v>0</v>
      </c>
      <c r="P837" s="155">
        <f t="shared" si="87"/>
        <v>0</v>
      </c>
      <c r="Q837" s="407"/>
      <c r="R837" s="407"/>
    </row>
    <row r="838" spans="1:18" ht="12.75" x14ac:dyDescent="0.2">
      <c r="A838" s="152">
        <v>6215000</v>
      </c>
      <c r="B838" s="73"/>
      <c r="C838" s="51" t="s">
        <v>48</v>
      </c>
      <c r="D838" s="89"/>
      <c r="E838" s="89"/>
      <c r="F838" s="89"/>
      <c r="G838" s="89"/>
      <c r="H838" s="89"/>
      <c r="I838" s="89"/>
      <c r="J838" s="212">
        <f t="shared" si="87"/>
        <v>0</v>
      </c>
      <c r="K838" s="212">
        <f t="shared" si="87"/>
        <v>0</v>
      </c>
      <c r="L838" s="212">
        <f t="shared" si="87"/>
        <v>0</v>
      </c>
      <c r="M838" s="212">
        <f t="shared" si="87"/>
        <v>0</v>
      </c>
      <c r="N838" s="212">
        <f t="shared" si="87"/>
        <v>0</v>
      </c>
      <c r="O838" s="212">
        <f t="shared" si="87"/>
        <v>0</v>
      </c>
      <c r="P838" s="155">
        <f t="shared" si="87"/>
        <v>0</v>
      </c>
      <c r="Q838" s="407"/>
      <c r="R838" s="407"/>
    </row>
    <row r="839" spans="1:18" ht="12.75" x14ac:dyDescent="0.2">
      <c r="A839" s="152">
        <v>6215000</v>
      </c>
      <c r="B839" s="73"/>
      <c r="C839" s="51" t="s">
        <v>1051</v>
      </c>
      <c r="D839" s="89"/>
      <c r="E839" s="89"/>
      <c r="F839" s="89"/>
      <c r="G839" s="89"/>
      <c r="H839" s="89"/>
      <c r="I839" s="89"/>
      <c r="J839" s="212">
        <f t="shared" si="87"/>
        <v>0</v>
      </c>
      <c r="K839" s="212">
        <f t="shared" si="87"/>
        <v>0</v>
      </c>
      <c r="L839" s="212">
        <f t="shared" si="87"/>
        <v>0</v>
      </c>
      <c r="M839" s="212">
        <f t="shared" si="87"/>
        <v>0</v>
      </c>
      <c r="N839" s="212">
        <f t="shared" si="87"/>
        <v>0</v>
      </c>
      <c r="O839" s="212">
        <f t="shared" si="87"/>
        <v>0</v>
      </c>
      <c r="P839" s="155">
        <f t="shared" si="87"/>
        <v>0</v>
      </c>
      <c r="Q839" s="407"/>
      <c r="R839" s="407"/>
    </row>
    <row r="840" spans="1:18" ht="12.75" x14ac:dyDescent="0.2">
      <c r="A840" s="152">
        <v>6215000</v>
      </c>
      <c r="B840" s="73"/>
      <c r="C840" s="51" t="s">
        <v>929</v>
      </c>
      <c r="D840" s="89"/>
      <c r="E840" s="89"/>
      <c r="F840" s="89"/>
      <c r="G840" s="89"/>
      <c r="H840" s="89"/>
      <c r="I840" s="89"/>
      <c r="J840" s="212">
        <f t="shared" si="87"/>
        <v>0</v>
      </c>
      <c r="K840" s="212">
        <f t="shared" si="87"/>
        <v>0</v>
      </c>
      <c r="L840" s="212">
        <f t="shared" si="87"/>
        <v>0</v>
      </c>
      <c r="M840" s="212">
        <f t="shared" si="87"/>
        <v>0</v>
      </c>
      <c r="N840" s="212">
        <f t="shared" si="87"/>
        <v>0</v>
      </c>
      <c r="O840" s="212">
        <f t="shared" si="87"/>
        <v>0</v>
      </c>
      <c r="P840" s="155">
        <f t="shared" si="87"/>
        <v>0</v>
      </c>
      <c r="Q840" s="407"/>
      <c r="R840" s="407"/>
    </row>
    <row r="841" spans="1:18" ht="12.75" x14ac:dyDescent="0.2">
      <c r="A841" s="152">
        <v>6215000</v>
      </c>
      <c r="B841" s="73"/>
      <c r="C841" s="51" t="s">
        <v>970</v>
      </c>
      <c r="D841" s="89"/>
      <c r="E841" s="89"/>
      <c r="F841" s="89"/>
      <c r="G841" s="89"/>
      <c r="H841" s="89"/>
      <c r="I841" s="89"/>
      <c r="J841" s="212">
        <f t="shared" si="87"/>
        <v>0</v>
      </c>
      <c r="K841" s="212">
        <f t="shared" si="87"/>
        <v>0</v>
      </c>
      <c r="L841" s="212">
        <f t="shared" si="87"/>
        <v>0</v>
      </c>
      <c r="M841" s="212">
        <f t="shared" si="87"/>
        <v>0</v>
      </c>
      <c r="N841" s="212">
        <f t="shared" si="87"/>
        <v>0</v>
      </c>
      <c r="O841" s="212">
        <f t="shared" si="87"/>
        <v>0</v>
      </c>
      <c r="P841" s="155">
        <f t="shared" si="87"/>
        <v>0</v>
      </c>
      <c r="Q841" s="407"/>
      <c r="R841" s="407"/>
    </row>
    <row r="842" spans="1:18" ht="12.75" x14ac:dyDescent="0.2">
      <c r="A842" s="152">
        <v>6215000</v>
      </c>
      <c r="B842" s="73"/>
      <c r="C842" s="51" t="s">
        <v>122</v>
      </c>
      <c r="D842" s="89"/>
      <c r="E842" s="89"/>
      <c r="F842" s="89"/>
      <c r="G842" s="89"/>
      <c r="H842" s="89"/>
      <c r="I842" s="89"/>
      <c r="J842" s="212">
        <f t="shared" si="87"/>
        <v>0</v>
      </c>
      <c r="K842" s="212">
        <f t="shared" si="87"/>
        <v>0</v>
      </c>
      <c r="L842" s="212">
        <f t="shared" si="87"/>
        <v>0</v>
      </c>
      <c r="M842" s="212">
        <f t="shared" si="87"/>
        <v>0</v>
      </c>
      <c r="N842" s="212">
        <f t="shared" si="87"/>
        <v>0</v>
      </c>
      <c r="O842" s="212">
        <f t="shared" si="87"/>
        <v>0</v>
      </c>
      <c r="P842" s="155">
        <f t="shared" si="87"/>
        <v>0</v>
      </c>
      <c r="Q842" s="407"/>
      <c r="R842" s="407"/>
    </row>
    <row r="843" spans="1:18" ht="12.75" x14ac:dyDescent="0.2">
      <c r="A843" s="152">
        <v>6215000</v>
      </c>
      <c r="B843" s="73"/>
      <c r="C843" s="51" t="s">
        <v>135</v>
      </c>
      <c r="D843" s="89"/>
      <c r="E843" s="89"/>
      <c r="F843" s="89"/>
      <c r="G843" s="89"/>
      <c r="H843" s="89"/>
      <c r="I843" s="89"/>
      <c r="J843" s="212">
        <f t="shared" ref="J843:P852" si="88">SUMIFS(J$26:J$180,$A$26:$A$180,$A843,$C$26:$C$180,$C843)</f>
        <v>0</v>
      </c>
      <c r="K843" s="212">
        <f t="shared" si="88"/>
        <v>0</v>
      </c>
      <c r="L843" s="212">
        <f t="shared" si="88"/>
        <v>0</v>
      </c>
      <c r="M843" s="212">
        <f t="shared" si="88"/>
        <v>0</v>
      </c>
      <c r="N843" s="212">
        <f t="shared" si="88"/>
        <v>0</v>
      </c>
      <c r="O843" s="212">
        <f t="shared" si="88"/>
        <v>0</v>
      </c>
      <c r="P843" s="155">
        <f t="shared" si="88"/>
        <v>0</v>
      </c>
      <c r="Q843" s="407"/>
      <c r="R843" s="407"/>
    </row>
    <row r="844" spans="1:18" ht="12.75" x14ac:dyDescent="0.2">
      <c r="A844" s="152">
        <v>6215000</v>
      </c>
      <c r="B844" s="73"/>
      <c r="C844" s="51" t="s">
        <v>123</v>
      </c>
      <c r="D844" s="89"/>
      <c r="E844" s="89"/>
      <c r="F844" s="89"/>
      <c r="G844" s="89"/>
      <c r="H844" s="89"/>
      <c r="I844" s="89"/>
      <c r="J844" s="212">
        <f t="shared" si="88"/>
        <v>0</v>
      </c>
      <c r="K844" s="212">
        <f t="shared" si="88"/>
        <v>0</v>
      </c>
      <c r="L844" s="212">
        <f t="shared" si="88"/>
        <v>0</v>
      </c>
      <c r="M844" s="212">
        <f t="shared" si="88"/>
        <v>0</v>
      </c>
      <c r="N844" s="212">
        <f t="shared" si="88"/>
        <v>0</v>
      </c>
      <c r="O844" s="212">
        <f t="shared" si="88"/>
        <v>0</v>
      </c>
      <c r="P844" s="155">
        <f t="shared" si="88"/>
        <v>0</v>
      </c>
      <c r="Q844" s="407"/>
      <c r="R844" s="407"/>
    </row>
    <row r="845" spans="1:18" ht="12.75" x14ac:dyDescent="0.2">
      <c r="A845" s="152">
        <v>6215000</v>
      </c>
      <c r="B845" s="73"/>
      <c r="C845" s="51" t="s">
        <v>974</v>
      </c>
      <c r="D845" s="89"/>
      <c r="E845" s="89"/>
      <c r="F845" s="89"/>
      <c r="G845" s="89"/>
      <c r="H845" s="89"/>
      <c r="I845" s="89"/>
      <c r="J845" s="212">
        <f t="shared" si="88"/>
        <v>0</v>
      </c>
      <c r="K845" s="212">
        <f t="shared" si="88"/>
        <v>0</v>
      </c>
      <c r="L845" s="212">
        <f t="shared" si="88"/>
        <v>0</v>
      </c>
      <c r="M845" s="212">
        <f t="shared" si="88"/>
        <v>0</v>
      </c>
      <c r="N845" s="212">
        <f t="shared" si="88"/>
        <v>0</v>
      </c>
      <c r="O845" s="212">
        <f t="shared" si="88"/>
        <v>0</v>
      </c>
      <c r="P845" s="155">
        <f t="shared" si="88"/>
        <v>0</v>
      </c>
      <c r="Q845" s="407"/>
      <c r="R845" s="407"/>
    </row>
    <row r="846" spans="1:18" ht="12.75" x14ac:dyDescent="0.2">
      <c r="A846" s="152">
        <v>6215000</v>
      </c>
      <c r="B846" s="73"/>
      <c r="C846" s="51" t="s">
        <v>975</v>
      </c>
      <c r="D846" s="89"/>
      <c r="E846" s="89"/>
      <c r="F846" s="89"/>
      <c r="G846" s="89"/>
      <c r="H846" s="89"/>
      <c r="I846" s="89"/>
      <c r="J846" s="212">
        <f t="shared" si="88"/>
        <v>0</v>
      </c>
      <c r="K846" s="212">
        <f t="shared" si="88"/>
        <v>0</v>
      </c>
      <c r="L846" s="212">
        <f t="shared" si="88"/>
        <v>0</v>
      </c>
      <c r="M846" s="212">
        <f t="shared" si="88"/>
        <v>0</v>
      </c>
      <c r="N846" s="212">
        <f t="shared" si="88"/>
        <v>0</v>
      </c>
      <c r="O846" s="212">
        <f t="shared" si="88"/>
        <v>0</v>
      </c>
      <c r="P846" s="155">
        <f t="shared" si="88"/>
        <v>0</v>
      </c>
      <c r="Q846" s="407"/>
      <c r="R846" s="407"/>
    </row>
    <row r="847" spans="1:18" ht="12.75" x14ac:dyDescent="0.2">
      <c r="A847" s="152">
        <v>6215000</v>
      </c>
      <c r="B847" s="73"/>
      <c r="C847" s="51" t="s">
        <v>126</v>
      </c>
      <c r="D847" s="89"/>
      <c r="E847" s="89"/>
      <c r="F847" s="89"/>
      <c r="G847" s="89"/>
      <c r="H847" s="89"/>
      <c r="I847" s="89"/>
      <c r="J847" s="212">
        <f t="shared" si="88"/>
        <v>0</v>
      </c>
      <c r="K847" s="212">
        <f t="shared" si="88"/>
        <v>0</v>
      </c>
      <c r="L847" s="212">
        <f t="shared" si="88"/>
        <v>0</v>
      </c>
      <c r="M847" s="212">
        <f t="shared" si="88"/>
        <v>0</v>
      </c>
      <c r="N847" s="212">
        <f t="shared" si="88"/>
        <v>0</v>
      </c>
      <c r="O847" s="212">
        <f t="shared" si="88"/>
        <v>0</v>
      </c>
      <c r="P847" s="155">
        <f t="shared" si="88"/>
        <v>0</v>
      </c>
      <c r="Q847" s="407"/>
      <c r="R847" s="407"/>
    </row>
    <row r="848" spans="1:18" ht="12.75" x14ac:dyDescent="0.2">
      <c r="A848" s="152">
        <v>6215000</v>
      </c>
      <c r="B848" s="73"/>
      <c r="C848" s="51" t="s">
        <v>127</v>
      </c>
      <c r="D848" s="89"/>
      <c r="E848" s="89"/>
      <c r="F848" s="89"/>
      <c r="G848" s="89"/>
      <c r="H848" s="89"/>
      <c r="I848" s="89"/>
      <c r="J848" s="212">
        <f t="shared" si="88"/>
        <v>0</v>
      </c>
      <c r="K848" s="212">
        <f t="shared" si="88"/>
        <v>0</v>
      </c>
      <c r="L848" s="212">
        <f t="shared" si="88"/>
        <v>0</v>
      </c>
      <c r="M848" s="212">
        <f t="shared" si="88"/>
        <v>0</v>
      </c>
      <c r="N848" s="212">
        <f t="shared" si="88"/>
        <v>0</v>
      </c>
      <c r="O848" s="212">
        <f t="shared" si="88"/>
        <v>0</v>
      </c>
      <c r="P848" s="155">
        <f t="shared" si="88"/>
        <v>0</v>
      </c>
      <c r="Q848" s="407"/>
      <c r="R848" s="407"/>
    </row>
    <row r="849" spans="1:18" ht="12.75" x14ac:dyDescent="0.2">
      <c r="A849" s="152">
        <v>6215000</v>
      </c>
      <c r="B849" s="73"/>
      <c r="C849" s="51" t="s">
        <v>130</v>
      </c>
      <c r="D849" s="89"/>
      <c r="E849" s="89"/>
      <c r="F849" s="89"/>
      <c r="G849" s="89"/>
      <c r="H849" s="89"/>
      <c r="I849" s="89"/>
      <c r="J849" s="212">
        <f t="shared" si="88"/>
        <v>0</v>
      </c>
      <c r="K849" s="212">
        <f t="shared" si="88"/>
        <v>0</v>
      </c>
      <c r="L849" s="212">
        <f t="shared" si="88"/>
        <v>0</v>
      </c>
      <c r="M849" s="212">
        <f t="shared" si="88"/>
        <v>0</v>
      </c>
      <c r="N849" s="212">
        <f t="shared" si="88"/>
        <v>0</v>
      </c>
      <c r="O849" s="212">
        <f t="shared" si="88"/>
        <v>0</v>
      </c>
      <c r="P849" s="155">
        <f t="shared" si="88"/>
        <v>0</v>
      </c>
      <c r="Q849" s="407"/>
      <c r="R849" s="407"/>
    </row>
    <row r="850" spans="1:18" ht="12.75" x14ac:dyDescent="0.2">
      <c r="A850" s="152">
        <v>6215000</v>
      </c>
      <c r="B850" s="73"/>
      <c r="C850" s="51" t="s">
        <v>125</v>
      </c>
      <c r="D850" s="89"/>
      <c r="E850" s="89"/>
      <c r="F850" s="89"/>
      <c r="G850" s="89"/>
      <c r="H850" s="89"/>
      <c r="I850" s="89"/>
      <c r="J850" s="212">
        <f t="shared" si="88"/>
        <v>0</v>
      </c>
      <c r="K850" s="212">
        <f t="shared" si="88"/>
        <v>0</v>
      </c>
      <c r="L850" s="212">
        <f t="shared" si="88"/>
        <v>0</v>
      </c>
      <c r="M850" s="212">
        <f t="shared" si="88"/>
        <v>0</v>
      </c>
      <c r="N850" s="212">
        <f t="shared" si="88"/>
        <v>0</v>
      </c>
      <c r="O850" s="212">
        <f t="shared" si="88"/>
        <v>0</v>
      </c>
      <c r="P850" s="155">
        <f t="shared" si="88"/>
        <v>0</v>
      </c>
      <c r="Q850" s="407"/>
      <c r="R850" s="407"/>
    </row>
    <row r="851" spans="1:18" ht="12.75" x14ac:dyDescent="0.2">
      <c r="A851" s="152">
        <v>6215000</v>
      </c>
      <c r="B851" s="73"/>
      <c r="C851" s="51" t="s">
        <v>128</v>
      </c>
      <c r="D851" s="89"/>
      <c r="E851" s="89"/>
      <c r="F851" s="89"/>
      <c r="G851" s="89"/>
      <c r="H851" s="89"/>
      <c r="I851" s="89"/>
      <c r="J851" s="212">
        <f t="shared" si="88"/>
        <v>0</v>
      </c>
      <c r="K851" s="212">
        <f t="shared" si="88"/>
        <v>0</v>
      </c>
      <c r="L851" s="212">
        <f t="shared" si="88"/>
        <v>0</v>
      </c>
      <c r="M851" s="212">
        <f t="shared" si="88"/>
        <v>0</v>
      </c>
      <c r="N851" s="212">
        <f t="shared" si="88"/>
        <v>0</v>
      </c>
      <c r="O851" s="212">
        <f t="shared" si="88"/>
        <v>0</v>
      </c>
      <c r="P851" s="155">
        <f t="shared" si="88"/>
        <v>0</v>
      </c>
      <c r="Q851" s="407"/>
      <c r="R851" s="407"/>
    </row>
    <row r="852" spans="1:18" ht="12.75" x14ac:dyDescent="0.2">
      <c r="A852" s="152">
        <v>6215000</v>
      </c>
      <c r="B852" s="73"/>
      <c r="C852" s="51" t="s">
        <v>1016</v>
      </c>
      <c r="D852" s="89"/>
      <c r="E852" s="89"/>
      <c r="F852" s="89"/>
      <c r="G852" s="89"/>
      <c r="H852" s="89"/>
      <c r="I852" s="89"/>
      <c r="J852" s="212">
        <f t="shared" si="88"/>
        <v>0</v>
      </c>
      <c r="K852" s="212">
        <f t="shared" si="88"/>
        <v>0</v>
      </c>
      <c r="L852" s="212">
        <f t="shared" si="88"/>
        <v>0</v>
      </c>
      <c r="M852" s="212">
        <f t="shared" si="88"/>
        <v>0</v>
      </c>
      <c r="N852" s="212">
        <f t="shared" si="88"/>
        <v>0</v>
      </c>
      <c r="O852" s="212">
        <f t="shared" si="88"/>
        <v>0</v>
      </c>
      <c r="P852" s="155">
        <f t="shared" si="88"/>
        <v>0</v>
      </c>
      <c r="Q852" s="407"/>
      <c r="R852" s="407"/>
    </row>
    <row r="853" spans="1:18" ht="12.75" x14ac:dyDescent="0.2">
      <c r="A853" s="152">
        <v>6215000</v>
      </c>
      <c r="B853" s="73"/>
      <c r="C853" s="51" t="s">
        <v>1015</v>
      </c>
      <c r="D853" s="89"/>
      <c r="E853" s="89"/>
      <c r="F853" s="89"/>
      <c r="G853" s="89"/>
      <c r="H853" s="89"/>
      <c r="I853" s="89"/>
      <c r="J853" s="212">
        <f t="shared" ref="J853:P862" si="89">SUMIFS(J$26:J$180,$A$26:$A$180,$A853,$C$26:$C$180,$C853)</f>
        <v>0</v>
      </c>
      <c r="K853" s="212">
        <f t="shared" si="89"/>
        <v>0</v>
      </c>
      <c r="L853" s="212">
        <f t="shared" si="89"/>
        <v>0</v>
      </c>
      <c r="M853" s="212">
        <f t="shared" si="89"/>
        <v>0</v>
      </c>
      <c r="N853" s="212">
        <f t="shared" si="89"/>
        <v>0</v>
      </c>
      <c r="O853" s="212">
        <f t="shared" si="89"/>
        <v>0</v>
      </c>
      <c r="P853" s="155">
        <f t="shared" si="89"/>
        <v>0</v>
      </c>
      <c r="Q853" s="407"/>
      <c r="R853" s="407"/>
    </row>
    <row r="854" spans="1:18" ht="12.75" x14ac:dyDescent="0.2">
      <c r="A854" s="152">
        <v>6215000</v>
      </c>
      <c r="B854" s="73"/>
      <c r="C854" s="51" t="s">
        <v>930</v>
      </c>
      <c r="D854" s="89"/>
      <c r="E854" s="89"/>
      <c r="F854" s="89"/>
      <c r="G854" s="89"/>
      <c r="H854" s="89"/>
      <c r="I854" s="89"/>
      <c r="J854" s="212">
        <f t="shared" si="89"/>
        <v>0</v>
      </c>
      <c r="K854" s="212">
        <f t="shared" si="89"/>
        <v>0</v>
      </c>
      <c r="L854" s="212">
        <f t="shared" si="89"/>
        <v>0</v>
      </c>
      <c r="M854" s="212">
        <f t="shared" si="89"/>
        <v>0</v>
      </c>
      <c r="N854" s="212">
        <f t="shared" si="89"/>
        <v>0</v>
      </c>
      <c r="O854" s="212">
        <f t="shared" si="89"/>
        <v>0</v>
      </c>
      <c r="P854" s="155">
        <f t="shared" si="89"/>
        <v>0</v>
      </c>
      <c r="Q854" s="407"/>
      <c r="R854" s="407"/>
    </row>
    <row r="855" spans="1:18" ht="12.75" x14ac:dyDescent="0.2">
      <c r="A855" s="152">
        <v>6215000</v>
      </c>
      <c r="B855" s="73"/>
      <c r="C855" s="51" t="s">
        <v>931</v>
      </c>
      <c r="D855" s="89"/>
      <c r="E855" s="89"/>
      <c r="F855" s="89"/>
      <c r="G855" s="89"/>
      <c r="H855" s="89"/>
      <c r="I855" s="89"/>
      <c r="J855" s="212">
        <f t="shared" si="89"/>
        <v>0</v>
      </c>
      <c r="K855" s="212">
        <f t="shared" si="89"/>
        <v>0</v>
      </c>
      <c r="L855" s="212">
        <f t="shared" si="89"/>
        <v>0</v>
      </c>
      <c r="M855" s="212">
        <f t="shared" si="89"/>
        <v>0</v>
      </c>
      <c r="N855" s="212">
        <f t="shared" si="89"/>
        <v>0</v>
      </c>
      <c r="O855" s="212">
        <f t="shared" si="89"/>
        <v>0</v>
      </c>
      <c r="P855" s="155">
        <f t="shared" si="89"/>
        <v>0</v>
      </c>
      <c r="Q855" s="407"/>
      <c r="R855" s="407"/>
    </row>
    <row r="856" spans="1:18" ht="12.75" x14ac:dyDescent="0.2">
      <c r="A856" s="152">
        <v>6215000</v>
      </c>
      <c r="B856" s="73"/>
      <c r="C856" s="51" t="s">
        <v>926</v>
      </c>
      <c r="D856" s="89"/>
      <c r="E856" s="89"/>
      <c r="F856" s="89"/>
      <c r="G856" s="89"/>
      <c r="H856" s="89"/>
      <c r="I856" s="89"/>
      <c r="J856" s="212">
        <f t="shared" si="89"/>
        <v>0</v>
      </c>
      <c r="K856" s="212">
        <f t="shared" si="89"/>
        <v>0</v>
      </c>
      <c r="L856" s="212">
        <f t="shared" si="89"/>
        <v>0</v>
      </c>
      <c r="M856" s="212">
        <f t="shared" si="89"/>
        <v>0</v>
      </c>
      <c r="N856" s="212">
        <f t="shared" si="89"/>
        <v>0</v>
      </c>
      <c r="O856" s="212">
        <f t="shared" si="89"/>
        <v>0</v>
      </c>
      <c r="P856" s="155">
        <f t="shared" si="89"/>
        <v>0</v>
      </c>
      <c r="Q856" s="407"/>
      <c r="R856" s="407"/>
    </row>
    <row r="857" spans="1:18" ht="12.75" x14ac:dyDescent="0.2">
      <c r="A857" s="152">
        <v>6215000</v>
      </c>
      <c r="B857" s="73"/>
      <c r="C857" s="51" t="s">
        <v>110</v>
      </c>
      <c r="D857" s="89"/>
      <c r="E857" s="89"/>
      <c r="F857" s="89"/>
      <c r="G857" s="89"/>
      <c r="H857" s="89"/>
      <c r="I857" s="89"/>
      <c r="J857" s="212">
        <f t="shared" si="89"/>
        <v>0</v>
      </c>
      <c r="K857" s="212">
        <f t="shared" si="89"/>
        <v>0</v>
      </c>
      <c r="L857" s="212">
        <f t="shared" si="89"/>
        <v>0</v>
      </c>
      <c r="M857" s="212">
        <f t="shared" si="89"/>
        <v>0</v>
      </c>
      <c r="N857" s="212">
        <f t="shared" si="89"/>
        <v>0</v>
      </c>
      <c r="O857" s="212">
        <f t="shared" si="89"/>
        <v>0</v>
      </c>
      <c r="P857" s="155">
        <f t="shared" si="89"/>
        <v>0</v>
      </c>
      <c r="Q857" s="407"/>
      <c r="R857" s="407"/>
    </row>
    <row r="858" spans="1:18" ht="12.75" x14ac:dyDescent="0.2">
      <c r="A858" s="152">
        <v>6215000</v>
      </c>
      <c r="B858" s="73"/>
      <c r="C858" s="51" t="s">
        <v>133</v>
      </c>
      <c r="D858" s="89"/>
      <c r="E858" s="89"/>
      <c r="F858" s="89"/>
      <c r="G858" s="89"/>
      <c r="H858" s="89"/>
      <c r="I858" s="89"/>
      <c r="J858" s="212">
        <f t="shared" si="89"/>
        <v>0</v>
      </c>
      <c r="K858" s="212">
        <f t="shared" si="89"/>
        <v>0</v>
      </c>
      <c r="L858" s="212">
        <f t="shared" si="89"/>
        <v>0</v>
      </c>
      <c r="M858" s="212">
        <f t="shared" si="89"/>
        <v>0</v>
      </c>
      <c r="N858" s="212">
        <f t="shared" si="89"/>
        <v>0</v>
      </c>
      <c r="O858" s="212">
        <f t="shared" si="89"/>
        <v>0</v>
      </c>
      <c r="P858" s="155">
        <f t="shared" si="89"/>
        <v>0</v>
      </c>
      <c r="Q858" s="407"/>
      <c r="R858" s="407"/>
    </row>
    <row r="859" spans="1:18" ht="12.75" x14ac:dyDescent="0.2">
      <c r="A859" s="152">
        <v>6215000</v>
      </c>
      <c r="B859" s="73"/>
      <c r="C859" s="51" t="s">
        <v>134</v>
      </c>
      <c r="D859" s="89"/>
      <c r="E859" s="89"/>
      <c r="F859" s="89"/>
      <c r="G859" s="89"/>
      <c r="H859" s="89"/>
      <c r="I859" s="89"/>
      <c r="J859" s="212">
        <f t="shared" si="89"/>
        <v>0</v>
      </c>
      <c r="K859" s="212">
        <f t="shared" si="89"/>
        <v>0</v>
      </c>
      <c r="L859" s="212">
        <f t="shared" si="89"/>
        <v>0</v>
      </c>
      <c r="M859" s="212">
        <f t="shared" si="89"/>
        <v>0</v>
      </c>
      <c r="N859" s="212">
        <f t="shared" si="89"/>
        <v>0</v>
      </c>
      <c r="O859" s="212">
        <f t="shared" si="89"/>
        <v>0</v>
      </c>
      <c r="P859" s="155">
        <f t="shared" si="89"/>
        <v>0</v>
      </c>
      <c r="Q859" s="407"/>
      <c r="R859" s="407"/>
    </row>
    <row r="860" spans="1:18" ht="12.75" x14ac:dyDescent="0.2">
      <c r="A860" s="152">
        <v>6215000</v>
      </c>
      <c r="B860" s="73"/>
      <c r="C860" s="51" t="s">
        <v>138</v>
      </c>
      <c r="D860" s="89"/>
      <c r="E860" s="89"/>
      <c r="F860" s="89"/>
      <c r="G860" s="89"/>
      <c r="H860" s="89"/>
      <c r="I860" s="89"/>
      <c r="J860" s="212">
        <f t="shared" si="89"/>
        <v>0</v>
      </c>
      <c r="K860" s="212">
        <f t="shared" si="89"/>
        <v>0</v>
      </c>
      <c r="L860" s="212">
        <f t="shared" si="89"/>
        <v>0</v>
      </c>
      <c r="M860" s="212">
        <f t="shared" si="89"/>
        <v>0</v>
      </c>
      <c r="N860" s="212">
        <f t="shared" si="89"/>
        <v>0</v>
      </c>
      <c r="O860" s="212">
        <f t="shared" si="89"/>
        <v>0</v>
      </c>
      <c r="P860" s="155">
        <f t="shared" si="89"/>
        <v>0</v>
      </c>
      <c r="Q860" s="407"/>
      <c r="R860" s="407"/>
    </row>
    <row r="861" spans="1:18" ht="12.75" x14ac:dyDescent="0.2">
      <c r="A861" s="152">
        <v>6215000</v>
      </c>
      <c r="B861" s="73"/>
      <c r="C861" s="51" t="s">
        <v>106</v>
      </c>
      <c r="D861" s="89"/>
      <c r="E861" s="89"/>
      <c r="F861" s="89"/>
      <c r="G861" s="89"/>
      <c r="H861" s="89"/>
      <c r="I861" s="89"/>
      <c r="J861" s="212">
        <f t="shared" si="89"/>
        <v>0</v>
      </c>
      <c r="K861" s="212">
        <f t="shared" si="89"/>
        <v>0</v>
      </c>
      <c r="L861" s="212">
        <f t="shared" si="89"/>
        <v>0</v>
      </c>
      <c r="M861" s="212">
        <f t="shared" si="89"/>
        <v>0</v>
      </c>
      <c r="N861" s="212">
        <f t="shared" si="89"/>
        <v>0</v>
      </c>
      <c r="O861" s="212">
        <f t="shared" si="89"/>
        <v>0</v>
      </c>
      <c r="P861" s="155">
        <f t="shared" si="89"/>
        <v>0</v>
      </c>
      <c r="Q861" s="407"/>
      <c r="R861" s="407"/>
    </row>
    <row r="862" spans="1:18" ht="12.75" x14ac:dyDescent="0.2">
      <c r="A862" s="152">
        <v>6215000</v>
      </c>
      <c r="B862" s="73"/>
      <c r="C862" s="51" t="s">
        <v>1024</v>
      </c>
      <c r="D862" s="89"/>
      <c r="E862" s="89"/>
      <c r="F862" s="89"/>
      <c r="G862" s="89"/>
      <c r="H862" s="89"/>
      <c r="I862" s="89"/>
      <c r="J862" s="212">
        <f t="shared" si="89"/>
        <v>0</v>
      </c>
      <c r="K862" s="212">
        <f t="shared" si="89"/>
        <v>0</v>
      </c>
      <c r="L862" s="212">
        <f t="shared" si="89"/>
        <v>0</v>
      </c>
      <c r="M862" s="212">
        <f t="shared" si="89"/>
        <v>0</v>
      </c>
      <c r="N862" s="212">
        <f t="shared" si="89"/>
        <v>0</v>
      </c>
      <c r="O862" s="212">
        <f t="shared" si="89"/>
        <v>0</v>
      </c>
      <c r="P862" s="155">
        <f t="shared" si="89"/>
        <v>0</v>
      </c>
      <c r="Q862" s="407"/>
      <c r="R862" s="407"/>
    </row>
    <row r="863" spans="1:18" ht="12.75" x14ac:dyDescent="0.2">
      <c r="A863" s="152">
        <v>6215000</v>
      </c>
      <c r="B863" s="73"/>
      <c r="C863" s="51" t="s">
        <v>1025</v>
      </c>
      <c r="D863" s="89"/>
      <c r="E863" s="89"/>
      <c r="F863" s="89"/>
      <c r="G863" s="89"/>
      <c r="H863" s="89"/>
      <c r="I863" s="89"/>
      <c r="J863" s="212">
        <f t="shared" ref="J863:P872" si="90">SUMIFS(J$26:J$180,$A$26:$A$180,$A863,$C$26:$C$180,$C863)</f>
        <v>0</v>
      </c>
      <c r="K863" s="212">
        <f t="shared" si="90"/>
        <v>0</v>
      </c>
      <c r="L863" s="212">
        <f t="shared" si="90"/>
        <v>0</v>
      </c>
      <c r="M863" s="212">
        <f t="shared" si="90"/>
        <v>0</v>
      </c>
      <c r="N863" s="212">
        <f t="shared" si="90"/>
        <v>0</v>
      </c>
      <c r="O863" s="212">
        <f t="shared" si="90"/>
        <v>0</v>
      </c>
      <c r="P863" s="155">
        <f t="shared" si="90"/>
        <v>0</v>
      </c>
      <c r="Q863" s="407"/>
      <c r="R863" s="407"/>
    </row>
    <row r="864" spans="1:18" ht="12.75" x14ac:dyDescent="0.2">
      <c r="A864" s="152">
        <v>6215000</v>
      </c>
      <c r="B864" s="73"/>
      <c r="C864" s="51" t="s">
        <v>960</v>
      </c>
      <c r="D864" s="89"/>
      <c r="E864" s="89"/>
      <c r="F864" s="89"/>
      <c r="G864" s="89"/>
      <c r="H864" s="89"/>
      <c r="I864" s="89"/>
      <c r="J864" s="212">
        <f t="shared" si="90"/>
        <v>0</v>
      </c>
      <c r="K864" s="212">
        <f t="shared" si="90"/>
        <v>0</v>
      </c>
      <c r="L864" s="212">
        <f t="shared" si="90"/>
        <v>0</v>
      </c>
      <c r="M864" s="212">
        <f t="shared" si="90"/>
        <v>0</v>
      </c>
      <c r="N864" s="212">
        <f t="shared" si="90"/>
        <v>0</v>
      </c>
      <c r="O864" s="212">
        <f t="shared" si="90"/>
        <v>0</v>
      </c>
      <c r="P864" s="155">
        <f t="shared" si="90"/>
        <v>0</v>
      </c>
      <c r="Q864" s="407"/>
      <c r="R864" s="407"/>
    </row>
    <row r="865" spans="1:18" ht="12.75" x14ac:dyDescent="0.2">
      <c r="A865" s="152">
        <v>6215000</v>
      </c>
      <c r="B865" s="73"/>
      <c r="C865" s="51" t="s">
        <v>961</v>
      </c>
      <c r="D865" s="89"/>
      <c r="E865" s="89"/>
      <c r="F865" s="89"/>
      <c r="G865" s="89"/>
      <c r="H865" s="89"/>
      <c r="I865" s="89"/>
      <c r="J865" s="212">
        <f t="shared" si="90"/>
        <v>0</v>
      </c>
      <c r="K865" s="212">
        <f t="shared" si="90"/>
        <v>0</v>
      </c>
      <c r="L865" s="212">
        <f t="shared" si="90"/>
        <v>0</v>
      </c>
      <c r="M865" s="212">
        <f t="shared" si="90"/>
        <v>0</v>
      </c>
      <c r="N865" s="212">
        <f t="shared" si="90"/>
        <v>0</v>
      </c>
      <c r="O865" s="212">
        <f t="shared" si="90"/>
        <v>0</v>
      </c>
      <c r="P865" s="155">
        <f t="shared" si="90"/>
        <v>0</v>
      </c>
      <c r="Q865" s="407"/>
      <c r="R865" s="407"/>
    </row>
    <row r="866" spans="1:18" ht="12.75" x14ac:dyDescent="0.2">
      <c r="A866" s="152">
        <v>6215000</v>
      </c>
      <c r="B866" s="73"/>
      <c r="C866" s="51" t="s">
        <v>948</v>
      </c>
      <c r="D866" s="89"/>
      <c r="E866" s="89"/>
      <c r="F866" s="89"/>
      <c r="G866" s="89"/>
      <c r="H866" s="89"/>
      <c r="I866" s="89"/>
      <c r="J866" s="212">
        <f t="shared" si="90"/>
        <v>0</v>
      </c>
      <c r="K866" s="212">
        <f t="shared" si="90"/>
        <v>0</v>
      </c>
      <c r="L866" s="212">
        <f t="shared" si="90"/>
        <v>0</v>
      </c>
      <c r="M866" s="212">
        <f t="shared" si="90"/>
        <v>0</v>
      </c>
      <c r="N866" s="212">
        <f t="shared" si="90"/>
        <v>0</v>
      </c>
      <c r="O866" s="212">
        <f t="shared" si="90"/>
        <v>0</v>
      </c>
      <c r="P866" s="155">
        <f t="shared" si="90"/>
        <v>0</v>
      </c>
      <c r="Q866" s="407"/>
      <c r="R866" s="407"/>
    </row>
    <row r="867" spans="1:18" ht="12.75" x14ac:dyDescent="0.2">
      <c r="A867" s="152">
        <v>6215000</v>
      </c>
      <c r="B867" s="73"/>
      <c r="C867" s="51" t="s">
        <v>949</v>
      </c>
      <c r="D867" s="89"/>
      <c r="E867" s="89"/>
      <c r="F867" s="89"/>
      <c r="G867" s="89"/>
      <c r="H867" s="89"/>
      <c r="I867" s="89"/>
      <c r="J867" s="212">
        <f t="shared" si="90"/>
        <v>0</v>
      </c>
      <c r="K867" s="212">
        <f t="shared" si="90"/>
        <v>0</v>
      </c>
      <c r="L867" s="212">
        <f t="shared" si="90"/>
        <v>0</v>
      </c>
      <c r="M867" s="212">
        <f t="shared" si="90"/>
        <v>0</v>
      </c>
      <c r="N867" s="212">
        <f t="shared" si="90"/>
        <v>0</v>
      </c>
      <c r="O867" s="212">
        <f t="shared" si="90"/>
        <v>0</v>
      </c>
      <c r="P867" s="155">
        <f t="shared" si="90"/>
        <v>0</v>
      </c>
      <c r="Q867" s="407"/>
      <c r="R867" s="407"/>
    </row>
    <row r="868" spans="1:18" ht="12.75" x14ac:dyDescent="0.2">
      <c r="A868" s="152">
        <v>6215000</v>
      </c>
      <c r="B868" s="73"/>
      <c r="C868" s="51" t="s">
        <v>132</v>
      </c>
      <c r="D868" s="89"/>
      <c r="E868" s="89"/>
      <c r="F868" s="89"/>
      <c r="G868" s="89"/>
      <c r="H868" s="89"/>
      <c r="I868" s="89"/>
      <c r="J868" s="212">
        <f t="shared" si="90"/>
        <v>0</v>
      </c>
      <c r="K868" s="212">
        <f t="shared" si="90"/>
        <v>0</v>
      </c>
      <c r="L868" s="212">
        <f t="shared" si="90"/>
        <v>0</v>
      </c>
      <c r="M868" s="212">
        <f t="shared" si="90"/>
        <v>0</v>
      </c>
      <c r="N868" s="212">
        <f t="shared" si="90"/>
        <v>0</v>
      </c>
      <c r="O868" s="212">
        <f t="shared" si="90"/>
        <v>0</v>
      </c>
      <c r="P868" s="155">
        <f t="shared" si="90"/>
        <v>0</v>
      </c>
      <c r="Q868" s="407"/>
      <c r="R868" s="407"/>
    </row>
    <row r="869" spans="1:18" ht="12.75" x14ac:dyDescent="0.2">
      <c r="A869" s="152">
        <v>6215000</v>
      </c>
      <c r="B869" s="73"/>
      <c r="C869" s="51" t="s">
        <v>121</v>
      </c>
      <c r="D869" s="89"/>
      <c r="E869" s="89"/>
      <c r="F869" s="89"/>
      <c r="G869" s="89"/>
      <c r="H869" s="89"/>
      <c r="I869" s="89"/>
      <c r="J869" s="212">
        <f t="shared" si="90"/>
        <v>0</v>
      </c>
      <c r="K869" s="212">
        <f t="shared" si="90"/>
        <v>0</v>
      </c>
      <c r="L869" s="212">
        <f t="shared" si="90"/>
        <v>0</v>
      </c>
      <c r="M869" s="212">
        <f t="shared" si="90"/>
        <v>0</v>
      </c>
      <c r="N869" s="212">
        <f t="shared" si="90"/>
        <v>0</v>
      </c>
      <c r="O869" s="212">
        <f t="shared" si="90"/>
        <v>0</v>
      </c>
      <c r="P869" s="155">
        <f t="shared" si="90"/>
        <v>0</v>
      </c>
      <c r="Q869" s="407"/>
      <c r="R869" s="407"/>
    </row>
    <row r="870" spans="1:18" ht="12.75" x14ac:dyDescent="0.2">
      <c r="A870" s="152">
        <v>6215000</v>
      </c>
      <c r="B870" s="73"/>
      <c r="C870" s="51" t="s">
        <v>131</v>
      </c>
      <c r="D870" s="89"/>
      <c r="E870" s="89"/>
      <c r="F870" s="89"/>
      <c r="G870" s="89"/>
      <c r="H870" s="89"/>
      <c r="I870" s="89"/>
      <c r="J870" s="212">
        <f t="shared" si="90"/>
        <v>0</v>
      </c>
      <c r="K870" s="212">
        <f t="shared" si="90"/>
        <v>0</v>
      </c>
      <c r="L870" s="212">
        <f t="shared" si="90"/>
        <v>0</v>
      </c>
      <c r="M870" s="212">
        <f t="shared" si="90"/>
        <v>0</v>
      </c>
      <c r="N870" s="212">
        <f t="shared" si="90"/>
        <v>0</v>
      </c>
      <c r="O870" s="212">
        <f t="shared" si="90"/>
        <v>0</v>
      </c>
      <c r="P870" s="155">
        <f t="shared" si="90"/>
        <v>0</v>
      </c>
      <c r="Q870" s="407"/>
      <c r="R870" s="407"/>
    </row>
    <row r="871" spans="1:18" ht="12.75" x14ac:dyDescent="0.2">
      <c r="A871" s="152">
        <v>6215000</v>
      </c>
      <c r="B871" s="73"/>
      <c r="C871" s="51" t="s">
        <v>967</v>
      </c>
      <c r="D871" s="89"/>
      <c r="E871" s="89"/>
      <c r="F871" s="89"/>
      <c r="G871" s="89"/>
      <c r="H871" s="89"/>
      <c r="I871" s="89"/>
      <c r="J871" s="212">
        <f t="shared" si="90"/>
        <v>0</v>
      </c>
      <c r="K871" s="212">
        <f t="shared" si="90"/>
        <v>0</v>
      </c>
      <c r="L871" s="212">
        <f t="shared" si="90"/>
        <v>0</v>
      </c>
      <c r="M871" s="212">
        <f t="shared" si="90"/>
        <v>0</v>
      </c>
      <c r="N871" s="212">
        <f t="shared" si="90"/>
        <v>0</v>
      </c>
      <c r="O871" s="212">
        <f t="shared" si="90"/>
        <v>0</v>
      </c>
      <c r="P871" s="155">
        <f t="shared" si="90"/>
        <v>0</v>
      </c>
      <c r="Q871" s="407"/>
      <c r="R871" s="407"/>
    </row>
    <row r="872" spans="1:18" ht="12.75" x14ac:dyDescent="0.2">
      <c r="A872" s="152">
        <v>6215000</v>
      </c>
      <c r="B872" s="73"/>
      <c r="C872" s="51" t="s">
        <v>118</v>
      </c>
      <c r="D872" s="89"/>
      <c r="E872" s="89"/>
      <c r="F872" s="89"/>
      <c r="G872" s="89"/>
      <c r="H872" s="89"/>
      <c r="I872" s="89"/>
      <c r="J872" s="212">
        <f t="shared" si="90"/>
        <v>0</v>
      </c>
      <c r="K872" s="212">
        <f t="shared" si="90"/>
        <v>0</v>
      </c>
      <c r="L872" s="212">
        <f t="shared" si="90"/>
        <v>0</v>
      </c>
      <c r="M872" s="212">
        <f t="shared" si="90"/>
        <v>0</v>
      </c>
      <c r="N872" s="212">
        <f t="shared" si="90"/>
        <v>0</v>
      </c>
      <c r="O872" s="212">
        <f t="shared" si="90"/>
        <v>0</v>
      </c>
      <c r="P872" s="155">
        <f t="shared" si="90"/>
        <v>0</v>
      </c>
      <c r="Q872" s="407"/>
      <c r="R872" s="407"/>
    </row>
    <row r="873" spans="1:18" ht="12.75" x14ac:dyDescent="0.2">
      <c r="A873" s="152">
        <v>6215000</v>
      </c>
      <c r="B873" s="73"/>
      <c r="C873" s="51" t="s">
        <v>971</v>
      </c>
      <c r="D873" s="89"/>
      <c r="E873" s="89"/>
      <c r="F873" s="89"/>
      <c r="G873" s="89"/>
      <c r="H873" s="89"/>
      <c r="I873" s="89"/>
      <c r="J873" s="212">
        <f t="shared" ref="J873:P882" si="91">SUMIFS(J$26:J$180,$A$26:$A$180,$A873,$C$26:$C$180,$C873)</f>
        <v>0</v>
      </c>
      <c r="K873" s="212">
        <f t="shared" si="91"/>
        <v>0</v>
      </c>
      <c r="L873" s="212">
        <f t="shared" si="91"/>
        <v>0</v>
      </c>
      <c r="M873" s="212">
        <f t="shared" si="91"/>
        <v>0</v>
      </c>
      <c r="N873" s="212">
        <f t="shared" si="91"/>
        <v>0</v>
      </c>
      <c r="O873" s="212">
        <f t="shared" si="91"/>
        <v>0</v>
      </c>
      <c r="P873" s="155">
        <f t="shared" si="91"/>
        <v>0</v>
      </c>
      <c r="Q873" s="407"/>
      <c r="R873" s="407"/>
    </row>
    <row r="874" spans="1:18" ht="12.75" x14ac:dyDescent="0.2">
      <c r="A874" s="152">
        <v>6215000</v>
      </c>
      <c r="B874" s="73"/>
      <c r="C874" s="51" t="s">
        <v>957</v>
      </c>
      <c r="D874" s="89"/>
      <c r="E874" s="89"/>
      <c r="F874" s="89"/>
      <c r="G874" s="89"/>
      <c r="H874" s="89"/>
      <c r="I874" s="89"/>
      <c r="J874" s="212">
        <f t="shared" si="91"/>
        <v>0</v>
      </c>
      <c r="K874" s="212">
        <f t="shared" si="91"/>
        <v>0</v>
      </c>
      <c r="L874" s="212">
        <f t="shared" si="91"/>
        <v>0</v>
      </c>
      <c r="M874" s="212">
        <f t="shared" si="91"/>
        <v>0</v>
      </c>
      <c r="N874" s="212">
        <f t="shared" si="91"/>
        <v>0</v>
      </c>
      <c r="O874" s="212">
        <f t="shared" si="91"/>
        <v>0</v>
      </c>
      <c r="P874" s="155">
        <f t="shared" si="91"/>
        <v>0</v>
      </c>
      <c r="Q874" s="407"/>
      <c r="R874" s="407"/>
    </row>
    <row r="875" spans="1:18" ht="12.75" x14ac:dyDescent="0.2">
      <c r="A875" s="152">
        <v>6215000</v>
      </c>
      <c r="B875" s="73"/>
      <c r="C875" s="51" t="s">
        <v>97</v>
      </c>
      <c r="D875" s="89"/>
      <c r="E875" s="89"/>
      <c r="F875" s="89"/>
      <c r="G875" s="89"/>
      <c r="H875" s="89"/>
      <c r="I875" s="89"/>
      <c r="J875" s="212">
        <f t="shared" si="91"/>
        <v>0</v>
      </c>
      <c r="K875" s="212">
        <f t="shared" si="91"/>
        <v>0</v>
      </c>
      <c r="L875" s="212">
        <f t="shared" si="91"/>
        <v>0</v>
      </c>
      <c r="M875" s="212">
        <f t="shared" si="91"/>
        <v>0</v>
      </c>
      <c r="N875" s="212">
        <f t="shared" si="91"/>
        <v>0</v>
      </c>
      <c r="O875" s="212">
        <f t="shared" si="91"/>
        <v>0</v>
      </c>
      <c r="P875" s="155">
        <f t="shared" si="91"/>
        <v>0</v>
      </c>
      <c r="Q875" s="407"/>
      <c r="R875" s="407"/>
    </row>
    <row r="876" spans="1:18" ht="12.75" x14ac:dyDescent="0.2">
      <c r="A876" s="152">
        <v>6215000</v>
      </c>
      <c r="B876" s="73"/>
      <c r="C876" s="51" t="s">
        <v>49</v>
      </c>
      <c r="D876" s="89"/>
      <c r="E876" s="89"/>
      <c r="F876" s="89"/>
      <c r="G876" s="89"/>
      <c r="H876" s="89"/>
      <c r="I876" s="89"/>
      <c r="J876" s="212">
        <f t="shared" si="91"/>
        <v>0</v>
      </c>
      <c r="K876" s="212">
        <f t="shared" si="91"/>
        <v>0</v>
      </c>
      <c r="L876" s="212">
        <f t="shared" si="91"/>
        <v>0</v>
      </c>
      <c r="M876" s="212">
        <f t="shared" si="91"/>
        <v>0</v>
      </c>
      <c r="N876" s="212">
        <f t="shared" si="91"/>
        <v>0</v>
      </c>
      <c r="O876" s="212">
        <f t="shared" si="91"/>
        <v>0</v>
      </c>
      <c r="P876" s="155">
        <f t="shared" si="91"/>
        <v>0</v>
      </c>
      <c r="Q876" s="407"/>
      <c r="R876" s="407"/>
    </row>
    <row r="877" spans="1:18" ht="12.75" x14ac:dyDescent="0.2">
      <c r="A877" s="152">
        <v>6215000</v>
      </c>
      <c r="B877" s="73"/>
      <c r="C877" s="51" t="s">
        <v>1017</v>
      </c>
      <c r="D877" s="89"/>
      <c r="E877" s="89"/>
      <c r="F877" s="89"/>
      <c r="G877" s="89"/>
      <c r="H877" s="89"/>
      <c r="I877" s="89"/>
      <c r="J877" s="212">
        <f t="shared" si="91"/>
        <v>0</v>
      </c>
      <c r="K877" s="212">
        <f t="shared" si="91"/>
        <v>0</v>
      </c>
      <c r="L877" s="212">
        <f t="shared" si="91"/>
        <v>0</v>
      </c>
      <c r="M877" s="212">
        <f t="shared" si="91"/>
        <v>0</v>
      </c>
      <c r="N877" s="212">
        <f t="shared" si="91"/>
        <v>0</v>
      </c>
      <c r="O877" s="212">
        <f t="shared" si="91"/>
        <v>0</v>
      </c>
      <c r="P877" s="155">
        <f t="shared" si="91"/>
        <v>0</v>
      </c>
      <c r="Q877" s="407"/>
      <c r="R877" s="407"/>
    </row>
    <row r="878" spans="1:18" ht="12.75" x14ac:dyDescent="0.2">
      <c r="A878" s="152">
        <v>6215000</v>
      </c>
      <c r="B878" s="73"/>
      <c r="C878" s="51" t="s">
        <v>1018</v>
      </c>
      <c r="D878" s="89"/>
      <c r="E878" s="89"/>
      <c r="F878" s="89"/>
      <c r="G878" s="89"/>
      <c r="H878" s="89"/>
      <c r="I878" s="89"/>
      <c r="J878" s="212">
        <f t="shared" si="91"/>
        <v>0</v>
      </c>
      <c r="K878" s="212">
        <f t="shared" si="91"/>
        <v>0</v>
      </c>
      <c r="L878" s="212">
        <f t="shared" si="91"/>
        <v>0</v>
      </c>
      <c r="M878" s="212">
        <f t="shared" si="91"/>
        <v>0</v>
      </c>
      <c r="N878" s="212">
        <f t="shared" si="91"/>
        <v>0</v>
      </c>
      <c r="O878" s="212">
        <f t="shared" si="91"/>
        <v>0</v>
      </c>
      <c r="P878" s="155">
        <f t="shared" si="91"/>
        <v>0</v>
      </c>
      <c r="Q878" s="407"/>
      <c r="R878" s="407"/>
    </row>
    <row r="879" spans="1:18" ht="12.75" x14ac:dyDescent="0.2">
      <c r="A879" s="152">
        <v>6215000</v>
      </c>
      <c r="B879" s="73"/>
      <c r="C879" s="51" t="s">
        <v>928</v>
      </c>
      <c r="D879" s="89"/>
      <c r="E879" s="89"/>
      <c r="F879" s="89"/>
      <c r="G879" s="89"/>
      <c r="H879" s="89"/>
      <c r="I879" s="89"/>
      <c r="J879" s="212">
        <f t="shared" si="91"/>
        <v>0</v>
      </c>
      <c r="K879" s="212">
        <f t="shared" si="91"/>
        <v>0</v>
      </c>
      <c r="L879" s="212">
        <f t="shared" si="91"/>
        <v>0</v>
      </c>
      <c r="M879" s="212">
        <f t="shared" si="91"/>
        <v>0</v>
      </c>
      <c r="N879" s="212">
        <f t="shared" si="91"/>
        <v>0</v>
      </c>
      <c r="O879" s="212">
        <f t="shared" si="91"/>
        <v>0</v>
      </c>
      <c r="P879" s="155">
        <f t="shared" si="91"/>
        <v>0</v>
      </c>
      <c r="Q879" s="407"/>
      <c r="R879" s="407"/>
    </row>
    <row r="880" spans="1:18" ht="12.75" x14ac:dyDescent="0.2">
      <c r="A880" s="152">
        <v>6215000</v>
      </c>
      <c r="B880" s="73"/>
      <c r="C880" s="51" t="s">
        <v>946</v>
      </c>
      <c r="D880" s="89"/>
      <c r="E880" s="89"/>
      <c r="F880" s="89"/>
      <c r="G880" s="89"/>
      <c r="H880" s="89"/>
      <c r="I880" s="89"/>
      <c r="J880" s="212">
        <f t="shared" si="91"/>
        <v>0</v>
      </c>
      <c r="K880" s="212">
        <f t="shared" si="91"/>
        <v>0</v>
      </c>
      <c r="L880" s="212">
        <f t="shared" si="91"/>
        <v>0</v>
      </c>
      <c r="M880" s="212">
        <f t="shared" si="91"/>
        <v>0</v>
      </c>
      <c r="N880" s="212">
        <f t="shared" si="91"/>
        <v>0</v>
      </c>
      <c r="O880" s="212">
        <f t="shared" si="91"/>
        <v>0</v>
      </c>
      <c r="P880" s="155">
        <f t="shared" si="91"/>
        <v>0</v>
      </c>
      <c r="Q880" s="407"/>
      <c r="R880" s="407"/>
    </row>
    <row r="881" spans="1:18" ht="12.75" x14ac:dyDescent="0.2">
      <c r="A881" s="152">
        <v>6215000</v>
      </c>
      <c r="B881" s="73"/>
      <c r="C881" s="51" t="s">
        <v>947</v>
      </c>
      <c r="D881" s="89"/>
      <c r="E881" s="89"/>
      <c r="F881" s="89"/>
      <c r="G881" s="89"/>
      <c r="H881" s="89"/>
      <c r="I881" s="89"/>
      <c r="J881" s="212">
        <f t="shared" si="91"/>
        <v>0</v>
      </c>
      <c r="K881" s="212">
        <f t="shared" si="91"/>
        <v>0</v>
      </c>
      <c r="L881" s="212">
        <f t="shared" si="91"/>
        <v>0</v>
      </c>
      <c r="M881" s="212">
        <f t="shared" si="91"/>
        <v>0</v>
      </c>
      <c r="N881" s="212">
        <f t="shared" si="91"/>
        <v>0</v>
      </c>
      <c r="O881" s="212">
        <f t="shared" si="91"/>
        <v>0</v>
      </c>
      <c r="P881" s="155">
        <f t="shared" si="91"/>
        <v>0</v>
      </c>
      <c r="Q881" s="407"/>
      <c r="R881" s="407"/>
    </row>
    <row r="882" spans="1:18" ht="12.75" x14ac:dyDescent="0.2">
      <c r="A882" s="152">
        <v>6215000</v>
      </c>
      <c r="B882" s="73"/>
      <c r="C882" s="51" t="s">
        <v>1020</v>
      </c>
      <c r="D882" s="89"/>
      <c r="E882" s="89"/>
      <c r="F882" s="89"/>
      <c r="G882" s="89"/>
      <c r="H882" s="89"/>
      <c r="I882" s="89"/>
      <c r="J882" s="212">
        <f t="shared" si="91"/>
        <v>0</v>
      </c>
      <c r="K882" s="212">
        <f t="shared" si="91"/>
        <v>0</v>
      </c>
      <c r="L882" s="212">
        <f t="shared" si="91"/>
        <v>0</v>
      </c>
      <c r="M882" s="212">
        <f t="shared" si="91"/>
        <v>0</v>
      </c>
      <c r="N882" s="212">
        <f t="shared" si="91"/>
        <v>0</v>
      </c>
      <c r="O882" s="212">
        <f t="shared" si="91"/>
        <v>0</v>
      </c>
      <c r="P882" s="155">
        <f t="shared" si="91"/>
        <v>0</v>
      </c>
      <c r="Q882" s="407"/>
      <c r="R882" s="407"/>
    </row>
    <row r="883" spans="1:18" ht="12.75" x14ac:dyDescent="0.2">
      <c r="A883" s="152">
        <v>6215000</v>
      </c>
      <c r="B883" s="73"/>
      <c r="C883" s="51" t="s">
        <v>1021</v>
      </c>
      <c r="D883" s="89"/>
      <c r="E883" s="89"/>
      <c r="F883" s="89"/>
      <c r="G883" s="89"/>
      <c r="H883" s="89"/>
      <c r="I883" s="89"/>
      <c r="J883" s="212">
        <f t="shared" ref="J883:P892" si="92">SUMIFS(J$26:J$180,$A$26:$A$180,$A883,$C$26:$C$180,$C883)</f>
        <v>0</v>
      </c>
      <c r="K883" s="212">
        <f t="shared" si="92"/>
        <v>0</v>
      </c>
      <c r="L883" s="212">
        <f t="shared" si="92"/>
        <v>0</v>
      </c>
      <c r="M883" s="212">
        <f t="shared" si="92"/>
        <v>0</v>
      </c>
      <c r="N883" s="212">
        <f t="shared" si="92"/>
        <v>0</v>
      </c>
      <c r="O883" s="212">
        <f t="shared" si="92"/>
        <v>0</v>
      </c>
      <c r="P883" s="155">
        <f t="shared" si="92"/>
        <v>0</v>
      </c>
      <c r="Q883" s="407"/>
      <c r="R883" s="407"/>
    </row>
    <row r="884" spans="1:18" ht="12.75" x14ac:dyDescent="0.2">
      <c r="A884" s="152">
        <v>6215000</v>
      </c>
      <c r="B884" s="73"/>
      <c r="C884" s="51" t="s">
        <v>489</v>
      </c>
      <c r="D884" s="89"/>
      <c r="E884" s="89"/>
      <c r="F884" s="89"/>
      <c r="G884" s="89"/>
      <c r="H884" s="89"/>
      <c r="I884" s="89"/>
      <c r="J884" s="212">
        <f t="shared" si="92"/>
        <v>0</v>
      </c>
      <c r="K884" s="212">
        <f t="shared" si="92"/>
        <v>0</v>
      </c>
      <c r="L884" s="212">
        <f t="shared" si="92"/>
        <v>0</v>
      </c>
      <c r="M884" s="212">
        <f t="shared" si="92"/>
        <v>0</v>
      </c>
      <c r="N884" s="212">
        <f t="shared" si="92"/>
        <v>0</v>
      </c>
      <c r="O884" s="212">
        <f t="shared" si="92"/>
        <v>0</v>
      </c>
      <c r="P884" s="155">
        <f t="shared" si="92"/>
        <v>0</v>
      </c>
      <c r="Q884" s="407"/>
      <c r="R884" s="407"/>
    </row>
    <row r="885" spans="1:18" ht="12.75" x14ac:dyDescent="0.2">
      <c r="A885" s="152">
        <v>6215000</v>
      </c>
      <c r="B885" s="73"/>
      <c r="C885" s="51" t="s">
        <v>968</v>
      </c>
      <c r="D885" s="89"/>
      <c r="E885" s="89"/>
      <c r="F885" s="89"/>
      <c r="G885" s="89"/>
      <c r="H885" s="89"/>
      <c r="I885" s="89"/>
      <c r="J885" s="212">
        <f t="shared" si="92"/>
        <v>0</v>
      </c>
      <c r="K885" s="212">
        <f t="shared" si="92"/>
        <v>0</v>
      </c>
      <c r="L885" s="212">
        <f t="shared" si="92"/>
        <v>0</v>
      </c>
      <c r="M885" s="212">
        <f t="shared" si="92"/>
        <v>0</v>
      </c>
      <c r="N885" s="212">
        <f t="shared" si="92"/>
        <v>0</v>
      </c>
      <c r="O885" s="212">
        <f t="shared" si="92"/>
        <v>0</v>
      </c>
      <c r="P885" s="155">
        <f t="shared" si="92"/>
        <v>0</v>
      </c>
      <c r="Q885" s="407"/>
      <c r="R885" s="407"/>
    </row>
    <row r="886" spans="1:18" ht="12.75" x14ac:dyDescent="0.2">
      <c r="A886" s="152">
        <v>6215000</v>
      </c>
      <c r="B886" s="73"/>
      <c r="C886" s="51" t="s">
        <v>98</v>
      </c>
      <c r="D886" s="89"/>
      <c r="E886" s="89"/>
      <c r="F886" s="89"/>
      <c r="G886" s="89"/>
      <c r="H886" s="89"/>
      <c r="I886" s="89"/>
      <c r="J886" s="212">
        <f t="shared" si="92"/>
        <v>0</v>
      </c>
      <c r="K886" s="212">
        <f t="shared" si="92"/>
        <v>0</v>
      </c>
      <c r="L886" s="212">
        <f t="shared" si="92"/>
        <v>0</v>
      </c>
      <c r="M886" s="212">
        <f t="shared" si="92"/>
        <v>0</v>
      </c>
      <c r="N886" s="212">
        <f t="shared" si="92"/>
        <v>0</v>
      </c>
      <c r="O886" s="212">
        <f t="shared" si="92"/>
        <v>0</v>
      </c>
      <c r="P886" s="155">
        <f t="shared" si="92"/>
        <v>0</v>
      </c>
      <c r="Q886" s="407"/>
      <c r="R886" s="407"/>
    </row>
    <row r="887" spans="1:18" ht="12.75" x14ac:dyDescent="0.2">
      <c r="A887" s="152">
        <v>6215000</v>
      </c>
      <c r="B887" s="73"/>
      <c r="C887" s="51" t="s">
        <v>1048</v>
      </c>
      <c r="D887" s="89"/>
      <c r="E887" s="89"/>
      <c r="F887" s="89"/>
      <c r="G887" s="89"/>
      <c r="H887" s="89"/>
      <c r="I887" s="89"/>
      <c r="J887" s="212">
        <f t="shared" si="92"/>
        <v>0</v>
      </c>
      <c r="K887" s="212">
        <f t="shared" si="92"/>
        <v>0</v>
      </c>
      <c r="L887" s="212">
        <f t="shared" si="92"/>
        <v>0</v>
      </c>
      <c r="M887" s="212">
        <f t="shared" si="92"/>
        <v>0</v>
      </c>
      <c r="N887" s="212">
        <f t="shared" si="92"/>
        <v>0</v>
      </c>
      <c r="O887" s="212">
        <f t="shared" si="92"/>
        <v>0</v>
      </c>
      <c r="P887" s="155">
        <f t="shared" si="92"/>
        <v>0</v>
      </c>
      <c r="Q887" s="407"/>
      <c r="R887" s="407"/>
    </row>
    <row r="888" spans="1:18" ht="12.75" x14ac:dyDescent="0.2">
      <c r="A888" s="152">
        <v>6215000</v>
      </c>
      <c r="B888" s="73"/>
      <c r="C888" s="51" t="s">
        <v>1030</v>
      </c>
      <c r="D888" s="89"/>
      <c r="E888" s="89"/>
      <c r="F888" s="89"/>
      <c r="G888" s="89"/>
      <c r="H888" s="89"/>
      <c r="I888" s="89"/>
      <c r="J888" s="212">
        <f t="shared" si="92"/>
        <v>0</v>
      </c>
      <c r="K888" s="212">
        <f t="shared" si="92"/>
        <v>0</v>
      </c>
      <c r="L888" s="212">
        <f t="shared" si="92"/>
        <v>0</v>
      </c>
      <c r="M888" s="212">
        <f t="shared" si="92"/>
        <v>0</v>
      </c>
      <c r="N888" s="212">
        <f t="shared" si="92"/>
        <v>0</v>
      </c>
      <c r="O888" s="212">
        <f t="shared" si="92"/>
        <v>0</v>
      </c>
      <c r="P888" s="155">
        <f t="shared" si="92"/>
        <v>0</v>
      </c>
      <c r="Q888" s="407"/>
      <c r="R888" s="407"/>
    </row>
    <row r="889" spans="1:18" ht="12.75" x14ac:dyDescent="0.2">
      <c r="A889" s="152">
        <v>6215000</v>
      </c>
      <c r="B889" s="73"/>
      <c r="C889" s="51" t="s">
        <v>977</v>
      </c>
      <c r="D889" s="89"/>
      <c r="E889" s="89"/>
      <c r="F889" s="89"/>
      <c r="G889" s="89"/>
      <c r="H889" s="89"/>
      <c r="I889" s="89"/>
      <c r="J889" s="212">
        <f t="shared" si="92"/>
        <v>0</v>
      </c>
      <c r="K889" s="212">
        <f t="shared" si="92"/>
        <v>0</v>
      </c>
      <c r="L889" s="212">
        <f t="shared" si="92"/>
        <v>0</v>
      </c>
      <c r="M889" s="212">
        <f t="shared" si="92"/>
        <v>0</v>
      </c>
      <c r="N889" s="212">
        <f t="shared" si="92"/>
        <v>0</v>
      </c>
      <c r="O889" s="212">
        <f t="shared" si="92"/>
        <v>0</v>
      </c>
      <c r="P889" s="155">
        <f t="shared" si="92"/>
        <v>0</v>
      </c>
      <c r="Q889" s="407"/>
      <c r="R889" s="407"/>
    </row>
    <row r="890" spans="1:18" ht="12.75" x14ac:dyDescent="0.2">
      <c r="A890" s="152">
        <v>6215000</v>
      </c>
      <c r="B890" s="73"/>
      <c r="C890" s="51" t="s">
        <v>99</v>
      </c>
      <c r="D890" s="89"/>
      <c r="E890" s="89"/>
      <c r="F890" s="89"/>
      <c r="G890" s="89"/>
      <c r="H890" s="89"/>
      <c r="I890" s="89"/>
      <c r="J890" s="212">
        <f t="shared" si="92"/>
        <v>1620</v>
      </c>
      <c r="K890" s="212">
        <f t="shared" si="92"/>
        <v>0</v>
      </c>
      <c r="L890" s="212">
        <f t="shared" si="92"/>
        <v>0</v>
      </c>
      <c r="M890" s="212">
        <f t="shared" si="92"/>
        <v>0</v>
      </c>
      <c r="N890" s="212">
        <f t="shared" si="92"/>
        <v>0</v>
      </c>
      <c r="O890" s="212">
        <f t="shared" si="92"/>
        <v>0</v>
      </c>
      <c r="P890" s="155">
        <f t="shared" si="92"/>
        <v>1620</v>
      </c>
      <c r="Q890" s="407"/>
      <c r="R890" s="407"/>
    </row>
    <row r="891" spans="1:18" ht="12.75" x14ac:dyDescent="0.2">
      <c r="A891" s="152">
        <v>6215000</v>
      </c>
      <c r="B891" s="73"/>
      <c r="C891" s="51" t="s">
        <v>1047</v>
      </c>
      <c r="D891" s="89"/>
      <c r="E891" s="89"/>
      <c r="F891" s="89"/>
      <c r="G891" s="89"/>
      <c r="H891" s="89"/>
      <c r="I891" s="89"/>
      <c r="J891" s="212">
        <f t="shared" si="92"/>
        <v>0</v>
      </c>
      <c r="K891" s="212">
        <f t="shared" si="92"/>
        <v>0</v>
      </c>
      <c r="L891" s="212">
        <f t="shared" si="92"/>
        <v>0</v>
      </c>
      <c r="M891" s="212">
        <f t="shared" si="92"/>
        <v>0</v>
      </c>
      <c r="N891" s="212">
        <f t="shared" si="92"/>
        <v>0</v>
      </c>
      <c r="O891" s="212">
        <f t="shared" si="92"/>
        <v>0</v>
      </c>
      <c r="P891" s="155">
        <f t="shared" si="92"/>
        <v>0</v>
      </c>
      <c r="Q891" s="407"/>
      <c r="R891" s="407"/>
    </row>
    <row r="892" spans="1:18" ht="12.75" x14ac:dyDescent="0.2">
      <c r="A892" s="152">
        <v>6215000</v>
      </c>
      <c r="B892" s="73"/>
      <c r="C892" s="51" t="s">
        <v>1041</v>
      </c>
      <c r="D892" s="89"/>
      <c r="E892" s="89"/>
      <c r="F892" s="89"/>
      <c r="G892" s="89"/>
      <c r="H892" s="89"/>
      <c r="I892" s="89"/>
      <c r="J892" s="212">
        <f t="shared" si="92"/>
        <v>0</v>
      </c>
      <c r="K892" s="212">
        <f t="shared" si="92"/>
        <v>0</v>
      </c>
      <c r="L892" s="212">
        <f t="shared" si="92"/>
        <v>0</v>
      </c>
      <c r="M892" s="212">
        <f t="shared" si="92"/>
        <v>0</v>
      </c>
      <c r="N892" s="212">
        <f t="shared" si="92"/>
        <v>0</v>
      </c>
      <c r="O892" s="212">
        <f t="shared" si="92"/>
        <v>0</v>
      </c>
      <c r="P892" s="155">
        <f t="shared" si="92"/>
        <v>0</v>
      </c>
      <c r="Q892" s="407"/>
      <c r="R892" s="407"/>
    </row>
    <row r="893" spans="1:18" ht="12.75" x14ac:dyDescent="0.2">
      <c r="A893" s="152">
        <v>6215000</v>
      </c>
      <c r="B893" s="73"/>
      <c r="C893" s="51" t="s">
        <v>102</v>
      </c>
      <c r="D893" s="89"/>
      <c r="E893" s="89"/>
      <c r="F893" s="89"/>
      <c r="G893" s="89"/>
      <c r="H893" s="89"/>
      <c r="I893" s="89"/>
      <c r="J893" s="212">
        <f t="shared" ref="J893:P902" si="93">SUMIFS(J$26:J$180,$A$26:$A$180,$A893,$C$26:$C$180,$C893)</f>
        <v>0</v>
      </c>
      <c r="K893" s="212">
        <f t="shared" si="93"/>
        <v>0</v>
      </c>
      <c r="L893" s="212">
        <f t="shared" si="93"/>
        <v>0</v>
      </c>
      <c r="M893" s="212">
        <f t="shared" si="93"/>
        <v>0</v>
      </c>
      <c r="N893" s="212">
        <f t="shared" si="93"/>
        <v>0</v>
      </c>
      <c r="O893" s="212">
        <f t="shared" si="93"/>
        <v>0</v>
      </c>
      <c r="P893" s="155">
        <f t="shared" si="93"/>
        <v>0</v>
      </c>
      <c r="Q893" s="407"/>
      <c r="R893" s="407"/>
    </row>
    <row r="894" spans="1:18" ht="12.75" x14ac:dyDescent="0.2">
      <c r="A894" s="152">
        <v>6215000</v>
      </c>
      <c r="B894" s="73"/>
      <c r="C894" s="51" t="s">
        <v>124</v>
      </c>
      <c r="D894" s="89"/>
      <c r="E894" s="89"/>
      <c r="F894" s="89"/>
      <c r="G894" s="89"/>
      <c r="H894" s="89"/>
      <c r="I894" s="89"/>
      <c r="J894" s="212">
        <f t="shared" si="93"/>
        <v>0</v>
      </c>
      <c r="K894" s="212">
        <f t="shared" si="93"/>
        <v>0</v>
      </c>
      <c r="L894" s="212">
        <f t="shared" si="93"/>
        <v>0</v>
      </c>
      <c r="M894" s="212">
        <f t="shared" si="93"/>
        <v>0</v>
      </c>
      <c r="N894" s="212">
        <f t="shared" si="93"/>
        <v>0</v>
      </c>
      <c r="O894" s="212">
        <f t="shared" si="93"/>
        <v>0</v>
      </c>
      <c r="P894" s="155">
        <f t="shared" si="93"/>
        <v>0</v>
      </c>
      <c r="Q894" s="407"/>
      <c r="R894" s="407"/>
    </row>
    <row r="895" spans="1:18" ht="12.75" x14ac:dyDescent="0.2">
      <c r="A895" s="152">
        <v>6215000</v>
      </c>
      <c r="B895" s="73"/>
      <c r="C895" s="51" t="s">
        <v>103</v>
      </c>
      <c r="D895" s="89"/>
      <c r="E895" s="89"/>
      <c r="F895" s="89"/>
      <c r="G895" s="89"/>
      <c r="H895" s="89"/>
      <c r="I895" s="89"/>
      <c r="J895" s="212">
        <f t="shared" si="93"/>
        <v>0</v>
      </c>
      <c r="K895" s="212">
        <f t="shared" si="93"/>
        <v>0</v>
      </c>
      <c r="L895" s="212">
        <f t="shared" si="93"/>
        <v>0</v>
      </c>
      <c r="M895" s="212">
        <f t="shared" si="93"/>
        <v>0</v>
      </c>
      <c r="N895" s="212">
        <f t="shared" si="93"/>
        <v>0</v>
      </c>
      <c r="O895" s="212">
        <f t="shared" si="93"/>
        <v>0</v>
      </c>
      <c r="P895" s="155">
        <f t="shared" si="93"/>
        <v>0</v>
      </c>
      <c r="Q895" s="407"/>
      <c r="R895" s="407"/>
    </row>
    <row r="896" spans="1:18" ht="12.75" x14ac:dyDescent="0.2">
      <c r="A896" s="152">
        <v>6215000</v>
      </c>
      <c r="B896" s="73"/>
      <c r="C896" s="51" t="s">
        <v>104</v>
      </c>
      <c r="D896" s="89"/>
      <c r="E896" s="89"/>
      <c r="F896" s="89"/>
      <c r="G896" s="89"/>
      <c r="H896" s="89"/>
      <c r="I896" s="89"/>
      <c r="J896" s="212">
        <f t="shared" si="93"/>
        <v>0</v>
      </c>
      <c r="K896" s="212">
        <f t="shared" si="93"/>
        <v>0</v>
      </c>
      <c r="L896" s="212">
        <f t="shared" si="93"/>
        <v>0</v>
      </c>
      <c r="M896" s="212">
        <f t="shared" si="93"/>
        <v>0</v>
      </c>
      <c r="N896" s="212">
        <f t="shared" si="93"/>
        <v>0</v>
      </c>
      <c r="O896" s="212">
        <f t="shared" si="93"/>
        <v>0</v>
      </c>
      <c r="P896" s="155">
        <f t="shared" si="93"/>
        <v>0</v>
      </c>
      <c r="Q896" s="407"/>
      <c r="R896" s="407"/>
    </row>
    <row r="897" spans="1:18" ht="12.75" x14ac:dyDescent="0.2">
      <c r="A897" s="152">
        <v>6215000</v>
      </c>
      <c r="B897" s="73"/>
      <c r="C897" s="51" t="s">
        <v>491</v>
      </c>
      <c r="D897" s="89"/>
      <c r="E897" s="89"/>
      <c r="F897" s="89"/>
      <c r="G897" s="89"/>
      <c r="H897" s="89"/>
      <c r="I897" s="89"/>
      <c r="J897" s="212">
        <f t="shared" si="93"/>
        <v>0</v>
      </c>
      <c r="K897" s="212">
        <f t="shared" si="93"/>
        <v>0</v>
      </c>
      <c r="L897" s="212">
        <f t="shared" si="93"/>
        <v>0</v>
      </c>
      <c r="M897" s="212">
        <f t="shared" si="93"/>
        <v>0</v>
      </c>
      <c r="N897" s="212">
        <f t="shared" si="93"/>
        <v>0</v>
      </c>
      <c r="O897" s="212">
        <f t="shared" si="93"/>
        <v>0</v>
      </c>
      <c r="P897" s="155">
        <f t="shared" si="93"/>
        <v>0</v>
      </c>
      <c r="Q897" s="407"/>
      <c r="R897" s="407"/>
    </row>
    <row r="898" spans="1:18" ht="12.75" x14ac:dyDescent="0.2">
      <c r="A898" s="152">
        <v>6215000</v>
      </c>
      <c r="B898" s="73"/>
      <c r="C898" s="51" t="s">
        <v>105</v>
      </c>
      <c r="D898" s="89"/>
      <c r="E898" s="89"/>
      <c r="F898" s="89"/>
      <c r="G898" s="89"/>
      <c r="H898" s="89"/>
      <c r="I898" s="89"/>
      <c r="J898" s="212">
        <f t="shared" si="93"/>
        <v>0</v>
      </c>
      <c r="K898" s="212">
        <f t="shared" si="93"/>
        <v>0</v>
      </c>
      <c r="L898" s="212">
        <f t="shared" si="93"/>
        <v>0</v>
      </c>
      <c r="M898" s="212">
        <f t="shared" si="93"/>
        <v>0</v>
      </c>
      <c r="N898" s="212">
        <f t="shared" si="93"/>
        <v>0</v>
      </c>
      <c r="O898" s="212">
        <f t="shared" si="93"/>
        <v>0</v>
      </c>
      <c r="P898" s="155">
        <f t="shared" si="93"/>
        <v>0</v>
      </c>
      <c r="Q898" s="407"/>
      <c r="R898" s="407"/>
    </row>
    <row r="899" spans="1:18" ht="12.75" x14ac:dyDescent="0.2">
      <c r="A899" s="152">
        <v>6215000</v>
      </c>
      <c r="B899" s="73"/>
      <c r="C899" s="51" t="s">
        <v>129</v>
      </c>
      <c r="D899" s="89"/>
      <c r="E899" s="89"/>
      <c r="F899" s="89"/>
      <c r="G899" s="89"/>
      <c r="H899" s="89"/>
      <c r="I899" s="89"/>
      <c r="J899" s="212">
        <f t="shared" si="93"/>
        <v>0</v>
      </c>
      <c r="K899" s="212">
        <f t="shared" si="93"/>
        <v>0</v>
      </c>
      <c r="L899" s="212">
        <f t="shared" si="93"/>
        <v>0</v>
      </c>
      <c r="M899" s="212">
        <f t="shared" si="93"/>
        <v>0</v>
      </c>
      <c r="N899" s="212">
        <f t="shared" si="93"/>
        <v>0</v>
      </c>
      <c r="O899" s="212">
        <f t="shared" si="93"/>
        <v>0</v>
      </c>
      <c r="P899" s="155">
        <f t="shared" si="93"/>
        <v>0</v>
      </c>
      <c r="Q899" s="407"/>
      <c r="R899" s="407"/>
    </row>
    <row r="900" spans="1:18" ht="12.75" x14ac:dyDescent="0.2">
      <c r="A900" s="152">
        <v>6215000</v>
      </c>
      <c r="B900" s="73"/>
      <c r="C900" s="51" t="s">
        <v>108</v>
      </c>
      <c r="D900" s="89"/>
      <c r="E900" s="89"/>
      <c r="F900" s="89"/>
      <c r="G900" s="89"/>
      <c r="H900" s="89"/>
      <c r="I900" s="89"/>
      <c r="J900" s="212">
        <f t="shared" si="93"/>
        <v>0</v>
      </c>
      <c r="K900" s="212">
        <f t="shared" si="93"/>
        <v>0</v>
      </c>
      <c r="L900" s="212">
        <f t="shared" si="93"/>
        <v>0</v>
      </c>
      <c r="M900" s="212">
        <f t="shared" si="93"/>
        <v>0</v>
      </c>
      <c r="N900" s="212">
        <f t="shared" si="93"/>
        <v>0</v>
      </c>
      <c r="O900" s="212">
        <f t="shared" si="93"/>
        <v>0</v>
      </c>
      <c r="P900" s="155">
        <f t="shared" si="93"/>
        <v>0</v>
      </c>
      <c r="Q900" s="407"/>
      <c r="R900" s="407"/>
    </row>
    <row r="901" spans="1:18" ht="12.75" x14ac:dyDescent="0.2">
      <c r="A901" s="152">
        <v>6215000</v>
      </c>
      <c r="B901" s="73"/>
      <c r="C901" s="51" t="s">
        <v>119</v>
      </c>
      <c r="D901" s="89"/>
      <c r="E901" s="89"/>
      <c r="F901" s="89"/>
      <c r="G901" s="89"/>
      <c r="H901" s="89"/>
      <c r="I901" s="89"/>
      <c r="J901" s="212">
        <f t="shared" si="93"/>
        <v>0</v>
      </c>
      <c r="K901" s="212">
        <f t="shared" si="93"/>
        <v>0</v>
      </c>
      <c r="L901" s="212">
        <f t="shared" si="93"/>
        <v>0</v>
      </c>
      <c r="M901" s="212">
        <f t="shared" si="93"/>
        <v>0</v>
      </c>
      <c r="N901" s="212">
        <f t="shared" si="93"/>
        <v>0</v>
      </c>
      <c r="O901" s="212">
        <f t="shared" si="93"/>
        <v>0</v>
      </c>
      <c r="P901" s="155">
        <f t="shared" si="93"/>
        <v>0</v>
      </c>
      <c r="Q901" s="407"/>
      <c r="R901" s="407"/>
    </row>
    <row r="902" spans="1:18" ht="12.75" x14ac:dyDescent="0.2">
      <c r="A902" s="152">
        <v>6215000</v>
      </c>
      <c r="B902" s="73"/>
      <c r="C902" s="51" t="s">
        <v>954</v>
      </c>
      <c r="D902" s="89"/>
      <c r="E902" s="89"/>
      <c r="F902" s="89"/>
      <c r="G902" s="89"/>
      <c r="H902" s="89"/>
      <c r="I902" s="89"/>
      <c r="J902" s="212">
        <f t="shared" si="93"/>
        <v>0</v>
      </c>
      <c r="K902" s="212">
        <f t="shared" si="93"/>
        <v>0</v>
      </c>
      <c r="L902" s="212">
        <f t="shared" si="93"/>
        <v>0</v>
      </c>
      <c r="M902" s="212">
        <f t="shared" si="93"/>
        <v>0</v>
      </c>
      <c r="N902" s="212">
        <f t="shared" si="93"/>
        <v>0</v>
      </c>
      <c r="O902" s="212">
        <f t="shared" si="93"/>
        <v>0</v>
      </c>
      <c r="P902" s="155">
        <f t="shared" si="93"/>
        <v>0</v>
      </c>
      <c r="Q902" s="407"/>
      <c r="R902" s="407"/>
    </row>
    <row r="903" spans="1:18" ht="12.75" x14ac:dyDescent="0.2">
      <c r="A903" s="152">
        <v>6215000</v>
      </c>
      <c r="B903" s="73"/>
      <c r="C903" s="51" t="s">
        <v>1031</v>
      </c>
      <c r="D903" s="89"/>
      <c r="E903" s="89"/>
      <c r="F903" s="89"/>
      <c r="G903" s="89"/>
      <c r="H903" s="89"/>
      <c r="I903" s="89"/>
      <c r="J903" s="212">
        <f t="shared" ref="J903:P912" si="94">SUMIFS(J$26:J$180,$A$26:$A$180,$A903,$C$26:$C$180,$C903)</f>
        <v>0</v>
      </c>
      <c r="K903" s="212">
        <f t="shared" si="94"/>
        <v>0</v>
      </c>
      <c r="L903" s="212">
        <f t="shared" si="94"/>
        <v>0</v>
      </c>
      <c r="M903" s="212">
        <f t="shared" si="94"/>
        <v>0</v>
      </c>
      <c r="N903" s="212">
        <f t="shared" si="94"/>
        <v>0</v>
      </c>
      <c r="O903" s="212">
        <f t="shared" si="94"/>
        <v>0</v>
      </c>
      <c r="P903" s="155">
        <f t="shared" si="94"/>
        <v>0</v>
      </c>
      <c r="Q903" s="407"/>
      <c r="R903" s="407"/>
    </row>
    <row r="904" spans="1:18" ht="12.75" x14ac:dyDescent="0.2">
      <c r="A904" s="152">
        <v>6215000</v>
      </c>
      <c r="B904" s="73"/>
      <c r="C904" s="51" t="s">
        <v>1009</v>
      </c>
      <c r="D904" s="89"/>
      <c r="E904" s="89"/>
      <c r="F904" s="89"/>
      <c r="G904" s="89"/>
      <c r="H904" s="89"/>
      <c r="I904" s="89"/>
      <c r="J904" s="212">
        <f t="shared" si="94"/>
        <v>0</v>
      </c>
      <c r="K904" s="212">
        <f t="shared" si="94"/>
        <v>0</v>
      </c>
      <c r="L904" s="212">
        <f t="shared" si="94"/>
        <v>0</v>
      </c>
      <c r="M904" s="212">
        <f t="shared" si="94"/>
        <v>0</v>
      </c>
      <c r="N904" s="212">
        <f t="shared" si="94"/>
        <v>0</v>
      </c>
      <c r="O904" s="212">
        <f t="shared" si="94"/>
        <v>0</v>
      </c>
      <c r="P904" s="155">
        <f t="shared" si="94"/>
        <v>0</v>
      </c>
      <c r="Q904" s="407"/>
      <c r="R904" s="407"/>
    </row>
    <row r="905" spans="1:18" ht="12.75" x14ac:dyDescent="0.2">
      <c r="A905" s="152">
        <v>6215000</v>
      </c>
      <c r="B905" s="73"/>
      <c r="C905" s="51" t="s">
        <v>107</v>
      </c>
      <c r="D905" s="89"/>
      <c r="E905" s="89"/>
      <c r="F905" s="89"/>
      <c r="G905" s="89"/>
      <c r="H905" s="89"/>
      <c r="I905" s="89"/>
      <c r="J905" s="212">
        <f t="shared" si="94"/>
        <v>0</v>
      </c>
      <c r="K905" s="212">
        <f t="shared" si="94"/>
        <v>0</v>
      </c>
      <c r="L905" s="212">
        <f t="shared" si="94"/>
        <v>0</v>
      </c>
      <c r="M905" s="212">
        <f t="shared" si="94"/>
        <v>0</v>
      </c>
      <c r="N905" s="212">
        <f t="shared" si="94"/>
        <v>0</v>
      </c>
      <c r="O905" s="212">
        <f t="shared" si="94"/>
        <v>0</v>
      </c>
      <c r="P905" s="155">
        <f t="shared" si="94"/>
        <v>0</v>
      </c>
      <c r="Q905" s="407"/>
      <c r="R905" s="407"/>
    </row>
    <row r="906" spans="1:18" ht="12.75" x14ac:dyDescent="0.2">
      <c r="A906" s="152">
        <v>6215000</v>
      </c>
      <c r="B906" s="73"/>
      <c r="C906" s="51" t="s">
        <v>1026</v>
      </c>
      <c r="D906" s="89"/>
      <c r="E906" s="89"/>
      <c r="F906" s="89"/>
      <c r="G906" s="89"/>
      <c r="H906" s="89"/>
      <c r="I906" s="89"/>
      <c r="J906" s="212">
        <f t="shared" si="94"/>
        <v>0</v>
      </c>
      <c r="K906" s="212">
        <f t="shared" si="94"/>
        <v>0</v>
      </c>
      <c r="L906" s="212">
        <f t="shared" si="94"/>
        <v>0</v>
      </c>
      <c r="M906" s="212">
        <f t="shared" si="94"/>
        <v>0</v>
      </c>
      <c r="N906" s="212">
        <f t="shared" si="94"/>
        <v>0</v>
      </c>
      <c r="O906" s="212">
        <f t="shared" si="94"/>
        <v>0</v>
      </c>
      <c r="P906" s="155">
        <f t="shared" si="94"/>
        <v>0</v>
      </c>
      <c r="Q906" s="407"/>
      <c r="R906" s="407"/>
    </row>
    <row r="907" spans="1:18" ht="12.75" x14ac:dyDescent="0.2">
      <c r="A907" s="152">
        <v>6215000</v>
      </c>
      <c r="B907" s="73"/>
      <c r="C907" s="51" t="s">
        <v>1027</v>
      </c>
      <c r="D907" s="89"/>
      <c r="E907" s="89"/>
      <c r="F907" s="89"/>
      <c r="G907" s="89"/>
      <c r="H907" s="89"/>
      <c r="I907" s="89"/>
      <c r="J907" s="212">
        <f t="shared" si="94"/>
        <v>0</v>
      </c>
      <c r="K907" s="212">
        <f t="shared" si="94"/>
        <v>0</v>
      </c>
      <c r="L907" s="212">
        <f t="shared" si="94"/>
        <v>0</v>
      </c>
      <c r="M907" s="212">
        <f t="shared" si="94"/>
        <v>0</v>
      </c>
      <c r="N907" s="212">
        <f t="shared" si="94"/>
        <v>0</v>
      </c>
      <c r="O907" s="212">
        <f t="shared" si="94"/>
        <v>0</v>
      </c>
      <c r="P907" s="155">
        <f t="shared" si="94"/>
        <v>0</v>
      </c>
      <c r="Q907" s="407"/>
      <c r="R907" s="407"/>
    </row>
    <row r="908" spans="1:18" ht="12.75" x14ac:dyDescent="0.2">
      <c r="A908" s="152">
        <v>6215000</v>
      </c>
      <c r="B908" s="73"/>
      <c r="C908" s="51" t="s">
        <v>955</v>
      </c>
      <c r="D908" s="89"/>
      <c r="E908" s="89"/>
      <c r="F908" s="89"/>
      <c r="G908" s="89"/>
      <c r="H908" s="89"/>
      <c r="I908" s="89"/>
      <c r="J908" s="212">
        <f t="shared" si="94"/>
        <v>0</v>
      </c>
      <c r="K908" s="212">
        <f t="shared" si="94"/>
        <v>0</v>
      </c>
      <c r="L908" s="212">
        <f t="shared" si="94"/>
        <v>0</v>
      </c>
      <c r="M908" s="212">
        <f t="shared" si="94"/>
        <v>0</v>
      </c>
      <c r="N908" s="212">
        <f t="shared" si="94"/>
        <v>0</v>
      </c>
      <c r="O908" s="212">
        <f t="shared" si="94"/>
        <v>0</v>
      </c>
      <c r="P908" s="155">
        <f t="shared" si="94"/>
        <v>0</v>
      </c>
      <c r="Q908" s="407"/>
      <c r="R908" s="407"/>
    </row>
    <row r="909" spans="1:18" ht="12.75" x14ac:dyDescent="0.2">
      <c r="A909" s="152">
        <v>6215000</v>
      </c>
      <c r="B909" s="73"/>
      <c r="C909" s="51" t="s">
        <v>958</v>
      </c>
      <c r="D909" s="89"/>
      <c r="E909" s="89"/>
      <c r="F909" s="89"/>
      <c r="G909" s="89"/>
      <c r="H909" s="89"/>
      <c r="I909" s="89"/>
      <c r="J909" s="212">
        <f t="shared" si="94"/>
        <v>0</v>
      </c>
      <c r="K909" s="212">
        <f t="shared" si="94"/>
        <v>0</v>
      </c>
      <c r="L909" s="212">
        <f t="shared" si="94"/>
        <v>0</v>
      </c>
      <c r="M909" s="212">
        <f t="shared" si="94"/>
        <v>0</v>
      </c>
      <c r="N909" s="212">
        <f t="shared" si="94"/>
        <v>0</v>
      </c>
      <c r="O909" s="212">
        <f t="shared" si="94"/>
        <v>0</v>
      </c>
      <c r="P909" s="155">
        <f t="shared" si="94"/>
        <v>0</v>
      </c>
      <c r="Q909" s="407"/>
      <c r="R909" s="407"/>
    </row>
    <row r="910" spans="1:18" ht="12.75" x14ac:dyDescent="0.2">
      <c r="A910" s="152">
        <v>6215000</v>
      </c>
      <c r="B910" s="73"/>
      <c r="C910" s="51" t="s">
        <v>1032</v>
      </c>
      <c r="D910" s="89"/>
      <c r="E910" s="89"/>
      <c r="F910" s="89"/>
      <c r="G910" s="89"/>
      <c r="H910" s="89"/>
      <c r="I910" s="89"/>
      <c r="J910" s="212">
        <f t="shared" si="94"/>
        <v>0</v>
      </c>
      <c r="K910" s="212">
        <f t="shared" si="94"/>
        <v>0</v>
      </c>
      <c r="L910" s="212">
        <f t="shared" si="94"/>
        <v>0</v>
      </c>
      <c r="M910" s="212">
        <f t="shared" si="94"/>
        <v>0</v>
      </c>
      <c r="N910" s="212">
        <f t="shared" si="94"/>
        <v>0</v>
      </c>
      <c r="O910" s="212">
        <f t="shared" si="94"/>
        <v>0</v>
      </c>
      <c r="P910" s="155">
        <f t="shared" si="94"/>
        <v>0</v>
      </c>
      <c r="Q910" s="407"/>
      <c r="R910" s="407"/>
    </row>
    <row r="911" spans="1:18" ht="12.75" x14ac:dyDescent="0.2">
      <c r="A911" s="152">
        <v>6215000</v>
      </c>
      <c r="B911" s="73"/>
      <c r="C911" s="51" t="s">
        <v>109</v>
      </c>
      <c r="D911" s="89"/>
      <c r="E911" s="89"/>
      <c r="F911" s="89"/>
      <c r="G911" s="89"/>
      <c r="H911" s="89"/>
      <c r="I911" s="89"/>
      <c r="J911" s="212">
        <f t="shared" si="94"/>
        <v>0</v>
      </c>
      <c r="K911" s="212">
        <f t="shared" si="94"/>
        <v>0</v>
      </c>
      <c r="L911" s="212">
        <f t="shared" si="94"/>
        <v>0</v>
      </c>
      <c r="M911" s="212">
        <f t="shared" si="94"/>
        <v>0</v>
      </c>
      <c r="N911" s="212">
        <f t="shared" si="94"/>
        <v>0</v>
      </c>
      <c r="O911" s="212">
        <f t="shared" si="94"/>
        <v>0</v>
      </c>
      <c r="P911" s="155">
        <f t="shared" si="94"/>
        <v>0</v>
      </c>
      <c r="Q911" s="407"/>
      <c r="R911" s="407"/>
    </row>
    <row r="912" spans="1:18" ht="12.75" x14ac:dyDescent="0.2">
      <c r="A912" s="152">
        <v>6215000</v>
      </c>
      <c r="B912" s="73"/>
      <c r="C912" s="51" t="s">
        <v>966</v>
      </c>
      <c r="D912" s="89"/>
      <c r="E912" s="89"/>
      <c r="F912" s="89"/>
      <c r="G912" s="89"/>
      <c r="H912" s="89"/>
      <c r="I912" s="89"/>
      <c r="J912" s="212">
        <f t="shared" si="94"/>
        <v>0</v>
      </c>
      <c r="K912" s="212">
        <f t="shared" si="94"/>
        <v>0</v>
      </c>
      <c r="L912" s="212">
        <f t="shared" si="94"/>
        <v>0</v>
      </c>
      <c r="M912" s="212">
        <f t="shared" si="94"/>
        <v>0</v>
      </c>
      <c r="N912" s="212">
        <f t="shared" si="94"/>
        <v>0</v>
      </c>
      <c r="O912" s="212">
        <f t="shared" si="94"/>
        <v>0</v>
      </c>
      <c r="P912" s="155">
        <f t="shared" si="94"/>
        <v>0</v>
      </c>
      <c r="Q912" s="407"/>
      <c r="R912" s="407"/>
    </row>
    <row r="913" spans="1:18" ht="12.75" x14ac:dyDescent="0.2">
      <c r="A913" s="152">
        <v>6215000</v>
      </c>
      <c r="B913" s="73"/>
      <c r="C913" s="51" t="s">
        <v>981</v>
      </c>
      <c r="D913" s="89"/>
      <c r="E913" s="89"/>
      <c r="F913" s="89"/>
      <c r="G913" s="89"/>
      <c r="H913" s="89"/>
      <c r="I913" s="89"/>
      <c r="J913" s="212">
        <f t="shared" ref="J913:P922" si="95">SUMIFS(J$26:J$180,$A$26:$A$180,$A913,$C$26:$C$180,$C913)</f>
        <v>0</v>
      </c>
      <c r="K913" s="212">
        <f t="shared" si="95"/>
        <v>0</v>
      </c>
      <c r="L913" s="212">
        <f t="shared" si="95"/>
        <v>0</v>
      </c>
      <c r="M913" s="212">
        <f t="shared" si="95"/>
        <v>0</v>
      </c>
      <c r="N913" s="212">
        <f t="shared" si="95"/>
        <v>0</v>
      </c>
      <c r="O913" s="212">
        <f t="shared" si="95"/>
        <v>0</v>
      </c>
      <c r="P913" s="155">
        <f t="shared" si="95"/>
        <v>0</v>
      </c>
      <c r="Q913" s="407"/>
      <c r="R913" s="407"/>
    </row>
    <row r="914" spans="1:18" ht="12.75" x14ac:dyDescent="0.2">
      <c r="A914" s="152">
        <v>6215000</v>
      </c>
      <c r="B914" s="73"/>
      <c r="C914" s="51" t="s">
        <v>963</v>
      </c>
      <c r="D914" s="89"/>
      <c r="E914" s="89"/>
      <c r="F914" s="89"/>
      <c r="G914" s="89"/>
      <c r="H914" s="89"/>
      <c r="I914" s="89"/>
      <c r="J914" s="212">
        <f t="shared" si="95"/>
        <v>0</v>
      </c>
      <c r="K914" s="212">
        <f t="shared" si="95"/>
        <v>0</v>
      </c>
      <c r="L914" s="212">
        <f t="shared" si="95"/>
        <v>0</v>
      </c>
      <c r="M914" s="212">
        <f t="shared" si="95"/>
        <v>0</v>
      </c>
      <c r="N914" s="212">
        <f t="shared" si="95"/>
        <v>0</v>
      </c>
      <c r="O914" s="212">
        <f t="shared" si="95"/>
        <v>0</v>
      </c>
      <c r="P914" s="155">
        <f t="shared" si="95"/>
        <v>0</v>
      </c>
      <c r="Q914" s="407"/>
      <c r="R914" s="407"/>
    </row>
    <row r="915" spans="1:18" ht="12.75" x14ac:dyDescent="0.2">
      <c r="A915" s="152">
        <v>6215000</v>
      </c>
      <c r="B915" s="73"/>
      <c r="C915" s="51" t="s">
        <v>120</v>
      </c>
      <c r="D915" s="89"/>
      <c r="E915" s="89"/>
      <c r="F915" s="89"/>
      <c r="G915" s="89"/>
      <c r="H915" s="89"/>
      <c r="I915" s="89"/>
      <c r="J915" s="212">
        <f t="shared" si="95"/>
        <v>0</v>
      </c>
      <c r="K915" s="212">
        <f t="shared" si="95"/>
        <v>0</v>
      </c>
      <c r="L915" s="212">
        <f t="shared" si="95"/>
        <v>0</v>
      </c>
      <c r="M915" s="212">
        <f t="shared" si="95"/>
        <v>0</v>
      </c>
      <c r="N915" s="212">
        <f t="shared" si="95"/>
        <v>0</v>
      </c>
      <c r="O915" s="212">
        <f t="shared" si="95"/>
        <v>0</v>
      </c>
      <c r="P915" s="155">
        <f t="shared" si="95"/>
        <v>0</v>
      </c>
      <c r="Q915" s="407"/>
      <c r="R915" s="407"/>
    </row>
    <row r="916" spans="1:18" ht="12.75" x14ac:dyDescent="0.2">
      <c r="A916" s="152">
        <v>6215000</v>
      </c>
      <c r="B916" s="73"/>
      <c r="C916" s="51" t="s">
        <v>989</v>
      </c>
      <c r="D916" s="89"/>
      <c r="E916" s="89"/>
      <c r="F916" s="89"/>
      <c r="G916" s="89"/>
      <c r="H916" s="89"/>
      <c r="I916" s="89"/>
      <c r="J916" s="212">
        <f t="shared" si="95"/>
        <v>0</v>
      </c>
      <c r="K916" s="212">
        <f t="shared" si="95"/>
        <v>0</v>
      </c>
      <c r="L916" s="212">
        <f t="shared" si="95"/>
        <v>0</v>
      </c>
      <c r="M916" s="212">
        <f t="shared" si="95"/>
        <v>0</v>
      </c>
      <c r="N916" s="212">
        <f t="shared" si="95"/>
        <v>0</v>
      </c>
      <c r="O916" s="212">
        <f t="shared" si="95"/>
        <v>0</v>
      </c>
      <c r="P916" s="155">
        <f t="shared" si="95"/>
        <v>0</v>
      </c>
      <c r="Q916" s="407"/>
      <c r="R916" s="407"/>
    </row>
    <row r="917" spans="1:18" ht="12.75" x14ac:dyDescent="0.2">
      <c r="A917" s="152">
        <v>6220000</v>
      </c>
      <c r="B917" s="73"/>
      <c r="C917" s="51" t="s">
        <v>986</v>
      </c>
      <c r="D917" s="89"/>
      <c r="E917" s="89"/>
      <c r="F917" s="89"/>
      <c r="G917" s="89"/>
      <c r="H917" s="89"/>
      <c r="I917" s="89"/>
      <c r="J917" s="212">
        <f t="shared" si="95"/>
        <v>0</v>
      </c>
      <c r="K917" s="212">
        <f t="shared" si="95"/>
        <v>0</v>
      </c>
      <c r="L917" s="212">
        <f t="shared" si="95"/>
        <v>0</v>
      </c>
      <c r="M917" s="212">
        <f t="shared" si="95"/>
        <v>0</v>
      </c>
      <c r="N917" s="212">
        <f t="shared" si="95"/>
        <v>0</v>
      </c>
      <c r="O917" s="212">
        <f t="shared" si="95"/>
        <v>0</v>
      </c>
      <c r="P917" s="155">
        <f t="shared" si="95"/>
        <v>0</v>
      </c>
      <c r="Q917" s="407"/>
      <c r="R917" s="407"/>
    </row>
    <row r="918" spans="1:18" ht="12.75" x14ac:dyDescent="0.2">
      <c r="A918" s="152">
        <v>6220000</v>
      </c>
      <c r="B918" s="73"/>
      <c r="C918" s="51" t="s">
        <v>988</v>
      </c>
      <c r="D918" s="89"/>
      <c r="E918" s="89"/>
      <c r="F918" s="89"/>
      <c r="G918" s="89"/>
      <c r="H918" s="89"/>
      <c r="I918" s="89"/>
      <c r="J918" s="212">
        <f t="shared" si="95"/>
        <v>0</v>
      </c>
      <c r="K918" s="212">
        <f t="shared" si="95"/>
        <v>0</v>
      </c>
      <c r="L918" s="212">
        <f t="shared" si="95"/>
        <v>0</v>
      </c>
      <c r="M918" s="212">
        <f t="shared" si="95"/>
        <v>0</v>
      </c>
      <c r="N918" s="212">
        <f t="shared" si="95"/>
        <v>0</v>
      </c>
      <c r="O918" s="212">
        <f t="shared" si="95"/>
        <v>0</v>
      </c>
      <c r="P918" s="155">
        <f t="shared" si="95"/>
        <v>0</v>
      </c>
      <c r="Q918" s="407"/>
      <c r="R918" s="407"/>
    </row>
    <row r="919" spans="1:18" ht="12.75" x14ac:dyDescent="0.2">
      <c r="A919" s="152">
        <v>6220000</v>
      </c>
      <c r="B919" s="73"/>
      <c r="C919" s="51" t="s">
        <v>1058</v>
      </c>
      <c r="D919" s="89"/>
      <c r="E919" s="89"/>
      <c r="F919" s="89"/>
      <c r="G919" s="89"/>
      <c r="H919" s="89"/>
      <c r="I919" s="89"/>
      <c r="J919" s="212">
        <f t="shared" si="95"/>
        <v>0</v>
      </c>
      <c r="K919" s="212">
        <f t="shared" si="95"/>
        <v>0</v>
      </c>
      <c r="L919" s="212">
        <f t="shared" si="95"/>
        <v>0</v>
      </c>
      <c r="M919" s="212">
        <f t="shared" si="95"/>
        <v>0</v>
      </c>
      <c r="N919" s="212">
        <f t="shared" si="95"/>
        <v>0</v>
      </c>
      <c r="O919" s="212">
        <f t="shared" si="95"/>
        <v>0</v>
      </c>
      <c r="P919" s="155">
        <f t="shared" si="95"/>
        <v>0</v>
      </c>
      <c r="Q919" s="407"/>
      <c r="R919" s="407"/>
    </row>
    <row r="920" spans="1:18" ht="12.75" x14ac:dyDescent="0.2">
      <c r="A920" s="152">
        <v>6220000</v>
      </c>
      <c r="B920" s="73"/>
      <c r="C920" s="51" t="s">
        <v>972</v>
      </c>
      <c r="D920" s="89"/>
      <c r="E920" s="89"/>
      <c r="F920" s="89"/>
      <c r="G920" s="89"/>
      <c r="H920" s="89"/>
      <c r="I920" s="89"/>
      <c r="J920" s="212">
        <f t="shared" si="95"/>
        <v>0</v>
      </c>
      <c r="K920" s="212">
        <f t="shared" si="95"/>
        <v>0</v>
      </c>
      <c r="L920" s="212">
        <f t="shared" si="95"/>
        <v>0</v>
      </c>
      <c r="M920" s="212">
        <f t="shared" si="95"/>
        <v>0</v>
      </c>
      <c r="N920" s="212">
        <f t="shared" si="95"/>
        <v>0</v>
      </c>
      <c r="O920" s="212">
        <f t="shared" si="95"/>
        <v>0</v>
      </c>
      <c r="P920" s="155">
        <f t="shared" si="95"/>
        <v>0</v>
      </c>
      <c r="Q920" s="407"/>
      <c r="R920" s="407"/>
    </row>
    <row r="921" spans="1:18" ht="12.75" x14ac:dyDescent="0.2">
      <c r="A921" s="152">
        <v>6220000</v>
      </c>
      <c r="B921" s="73"/>
      <c r="C921" s="51" t="s">
        <v>973</v>
      </c>
      <c r="D921" s="89"/>
      <c r="E921" s="89"/>
      <c r="F921" s="89"/>
      <c r="G921" s="89"/>
      <c r="H921" s="89"/>
      <c r="I921" s="89"/>
      <c r="J921" s="212">
        <f t="shared" si="95"/>
        <v>0</v>
      </c>
      <c r="K921" s="212">
        <f t="shared" si="95"/>
        <v>0</v>
      </c>
      <c r="L921" s="212">
        <f t="shared" si="95"/>
        <v>0</v>
      </c>
      <c r="M921" s="212">
        <f t="shared" si="95"/>
        <v>0</v>
      </c>
      <c r="N921" s="212">
        <f t="shared" si="95"/>
        <v>0</v>
      </c>
      <c r="O921" s="212">
        <f t="shared" si="95"/>
        <v>0</v>
      </c>
      <c r="P921" s="155">
        <f t="shared" si="95"/>
        <v>0</v>
      </c>
      <c r="Q921" s="407"/>
      <c r="R921" s="407"/>
    </row>
    <row r="922" spans="1:18" ht="12.75" x14ac:dyDescent="0.2">
      <c r="A922" s="152">
        <v>6220000</v>
      </c>
      <c r="B922" s="73"/>
      <c r="C922" s="51" t="s">
        <v>980</v>
      </c>
      <c r="D922" s="89"/>
      <c r="E922" s="89"/>
      <c r="F922" s="89"/>
      <c r="G922" s="89"/>
      <c r="H922" s="89"/>
      <c r="I922" s="89"/>
      <c r="J922" s="212">
        <f t="shared" si="95"/>
        <v>0</v>
      </c>
      <c r="K922" s="212">
        <f t="shared" si="95"/>
        <v>0</v>
      </c>
      <c r="L922" s="212">
        <f t="shared" si="95"/>
        <v>0</v>
      </c>
      <c r="M922" s="212">
        <f t="shared" si="95"/>
        <v>0</v>
      </c>
      <c r="N922" s="212">
        <f t="shared" si="95"/>
        <v>0</v>
      </c>
      <c r="O922" s="212">
        <f t="shared" si="95"/>
        <v>0</v>
      </c>
      <c r="P922" s="155">
        <f t="shared" si="95"/>
        <v>0</v>
      </c>
      <c r="Q922" s="407"/>
      <c r="R922" s="407"/>
    </row>
    <row r="923" spans="1:18" ht="12.75" x14ac:dyDescent="0.2">
      <c r="A923" s="152">
        <v>6220000</v>
      </c>
      <c r="B923" s="73"/>
      <c r="C923" s="51" t="s">
        <v>982</v>
      </c>
      <c r="D923" s="89"/>
      <c r="E923" s="89"/>
      <c r="F923" s="89"/>
      <c r="G923" s="89"/>
      <c r="H923" s="89"/>
      <c r="I923" s="89"/>
      <c r="J923" s="212">
        <f t="shared" ref="J923:P932" si="96">SUMIFS(J$26:J$180,$A$26:$A$180,$A923,$C$26:$C$180,$C923)</f>
        <v>0</v>
      </c>
      <c r="K923" s="212">
        <f t="shared" si="96"/>
        <v>0</v>
      </c>
      <c r="L923" s="212">
        <f t="shared" si="96"/>
        <v>0</v>
      </c>
      <c r="M923" s="212">
        <f t="shared" si="96"/>
        <v>0</v>
      </c>
      <c r="N923" s="212">
        <f t="shared" si="96"/>
        <v>0</v>
      </c>
      <c r="O923" s="212">
        <f t="shared" si="96"/>
        <v>0</v>
      </c>
      <c r="P923" s="155">
        <f t="shared" si="96"/>
        <v>0</v>
      </c>
      <c r="Q923" s="407"/>
      <c r="R923" s="407"/>
    </row>
    <row r="924" spans="1:18" ht="12.75" x14ac:dyDescent="0.2">
      <c r="A924" s="152">
        <v>6220000</v>
      </c>
      <c r="B924" s="73"/>
      <c r="C924" s="51" t="s">
        <v>46</v>
      </c>
      <c r="D924" s="89"/>
      <c r="E924" s="89"/>
      <c r="F924" s="89"/>
      <c r="G924" s="89"/>
      <c r="H924" s="89"/>
      <c r="I924" s="89"/>
      <c r="J924" s="212">
        <f t="shared" si="96"/>
        <v>0</v>
      </c>
      <c r="K924" s="212">
        <f t="shared" si="96"/>
        <v>0</v>
      </c>
      <c r="L924" s="212">
        <f t="shared" si="96"/>
        <v>4500</v>
      </c>
      <c r="M924" s="212">
        <f t="shared" si="96"/>
        <v>750</v>
      </c>
      <c r="N924" s="212">
        <f t="shared" si="96"/>
        <v>750</v>
      </c>
      <c r="O924" s="212">
        <f t="shared" si="96"/>
        <v>3000</v>
      </c>
      <c r="P924" s="155">
        <f t="shared" si="96"/>
        <v>9000</v>
      </c>
      <c r="Q924" s="407"/>
      <c r="R924" s="407"/>
    </row>
    <row r="925" spans="1:18" ht="12.75" x14ac:dyDescent="0.2">
      <c r="A925" s="152">
        <v>6220000</v>
      </c>
      <c r="B925" s="73"/>
      <c r="C925" s="51" t="s">
        <v>1019</v>
      </c>
      <c r="D925" s="89"/>
      <c r="E925" s="89"/>
      <c r="F925" s="89"/>
      <c r="G925" s="89"/>
      <c r="H925" s="89"/>
      <c r="I925" s="89"/>
      <c r="J925" s="212">
        <f t="shared" si="96"/>
        <v>0</v>
      </c>
      <c r="K925" s="212">
        <f t="shared" si="96"/>
        <v>0</v>
      </c>
      <c r="L925" s="212">
        <f t="shared" si="96"/>
        <v>0</v>
      </c>
      <c r="M925" s="212">
        <f t="shared" si="96"/>
        <v>0</v>
      </c>
      <c r="N925" s="212">
        <f t="shared" si="96"/>
        <v>0</v>
      </c>
      <c r="O925" s="212">
        <f t="shared" si="96"/>
        <v>0</v>
      </c>
      <c r="P925" s="155">
        <f t="shared" si="96"/>
        <v>0</v>
      </c>
      <c r="Q925" s="407"/>
      <c r="R925" s="407"/>
    </row>
    <row r="926" spans="1:18" ht="12.75" x14ac:dyDescent="0.2">
      <c r="A926" s="152">
        <v>6220000</v>
      </c>
      <c r="B926" s="73"/>
      <c r="C926" s="51" t="s">
        <v>1050</v>
      </c>
      <c r="D926" s="89"/>
      <c r="E926" s="89"/>
      <c r="F926" s="89"/>
      <c r="G926" s="89"/>
      <c r="H926" s="89"/>
      <c r="I926" s="89"/>
      <c r="J926" s="212">
        <f t="shared" si="96"/>
        <v>0</v>
      </c>
      <c r="K926" s="212">
        <f t="shared" si="96"/>
        <v>0</v>
      </c>
      <c r="L926" s="212">
        <f t="shared" si="96"/>
        <v>0</v>
      </c>
      <c r="M926" s="212">
        <f t="shared" si="96"/>
        <v>0</v>
      </c>
      <c r="N926" s="212">
        <f t="shared" si="96"/>
        <v>0</v>
      </c>
      <c r="O926" s="212">
        <f t="shared" si="96"/>
        <v>0</v>
      </c>
      <c r="P926" s="155">
        <f t="shared" si="96"/>
        <v>0</v>
      </c>
      <c r="Q926" s="407"/>
      <c r="R926" s="407"/>
    </row>
    <row r="927" spans="1:18" ht="12.75" x14ac:dyDescent="0.2">
      <c r="A927" s="152">
        <v>6220000</v>
      </c>
      <c r="B927" s="73"/>
      <c r="C927" s="51" t="s">
        <v>100</v>
      </c>
      <c r="D927" s="89"/>
      <c r="E927" s="89"/>
      <c r="F927" s="89"/>
      <c r="G927" s="89"/>
      <c r="H927" s="89"/>
      <c r="I927" s="89"/>
      <c r="J927" s="212">
        <f t="shared" si="96"/>
        <v>0</v>
      </c>
      <c r="K927" s="212">
        <f t="shared" si="96"/>
        <v>0</v>
      </c>
      <c r="L927" s="212">
        <f t="shared" si="96"/>
        <v>0</v>
      </c>
      <c r="M927" s="212">
        <f t="shared" si="96"/>
        <v>0</v>
      </c>
      <c r="N927" s="212">
        <f t="shared" si="96"/>
        <v>0</v>
      </c>
      <c r="O927" s="212">
        <f t="shared" si="96"/>
        <v>0</v>
      </c>
      <c r="P927" s="155">
        <f t="shared" si="96"/>
        <v>0</v>
      </c>
      <c r="Q927" s="407"/>
      <c r="R927" s="407"/>
    </row>
    <row r="928" spans="1:18" ht="12.75" x14ac:dyDescent="0.2">
      <c r="A928" s="152">
        <v>6220000</v>
      </c>
      <c r="B928" s="73"/>
      <c r="C928" s="51" t="s">
        <v>101</v>
      </c>
      <c r="D928" s="89"/>
      <c r="E928" s="89"/>
      <c r="F928" s="89"/>
      <c r="G928" s="89"/>
      <c r="H928" s="89"/>
      <c r="I928" s="89"/>
      <c r="J928" s="212">
        <f t="shared" si="96"/>
        <v>0</v>
      </c>
      <c r="K928" s="212">
        <f t="shared" si="96"/>
        <v>0</v>
      </c>
      <c r="L928" s="212">
        <f t="shared" si="96"/>
        <v>0</v>
      </c>
      <c r="M928" s="212">
        <f t="shared" si="96"/>
        <v>0</v>
      </c>
      <c r="N928" s="212">
        <f t="shared" si="96"/>
        <v>0</v>
      </c>
      <c r="O928" s="212">
        <f t="shared" si="96"/>
        <v>0</v>
      </c>
      <c r="P928" s="155">
        <f t="shared" si="96"/>
        <v>0</v>
      </c>
      <c r="Q928" s="407"/>
      <c r="R928" s="407"/>
    </row>
    <row r="929" spans="1:18" ht="12.75" x14ac:dyDescent="0.2">
      <c r="A929" s="152">
        <v>6220000</v>
      </c>
      <c r="B929" s="73"/>
      <c r="C929" s="51" t="s">
        <v>1056</v>
      </c>
      <c r="D929" s="89"/>
      <c r="E929" s="89"/>
      <c r="F929" s="89"/>
      <c r="G929" s="89"/>
      <c r="H929" s="89"/>
      <c r="I929" s="89"/>
      <c r="J929" s="212">
        <f t="shared" si="96"/>
        <v>0</v>
      </c>
      <c r="K929" s="212">
        <f t="shared" si="96"/>
        <v>0</v>
      </c>
      <c r="L929" s="212">
        <f t="shared" si="96"/>
        <v>0</v>
      </c>
      <c r="M929" s="212">
        <f t="shared" si="96"/>
        <v>0</v>
      </c>
      <c r="N929" s="212">
        <f t="shared" si="96"/>
        <v>0</v>
      </c>
      <c r="O929" s="212">
        <f t="shared" si="96"/>
        <v>0</v>
      </c>
      <c r="P929" s="155">
        <f t="shared" si="96"/>
        <v>0</v>
      </c>
      <c r="Q929" s="407"/>
      <c r="R929" s="407"/>
    </row>
    <row r="930" spans="1:18" ht="12.75" x14ac:dyDescent="0.2">
      <c r="A930" s="152">
        <v>6220000</v>
      </c>
      <c r="B930" s="73"/>
      <c r="C930" s="51" t="s">
        <v>1057</v>
      </c>
      <c r="D930" s="89"/>
      <c r="E930" s="89"/>
      <c r="F930" s="89"/>
      <c r="G930" s="89"/>
      <c r="H930" s="89"/>
      <c r="I930" s="89"/>
      <c r="J930" s="212">
        <f t="shared" si="96"/>
        <v>0</v>
      </c>
      <c r="K930" s="212">
        <f t="shared" si="96"/>
        <v>0</v>
      </c>
      <c r="L930" s="212">
        <f t="shared" si="96"/>
        <v>0</v>
      </c>
      <c r="M930" s="212">
        <f t="shared" si="96"/>
        <v>0</v>
      </c>
      <c r="N930" s="212">
        <f t="shared" si="96"/>
        <v>0</v>
      </c>
      <c r="O930" s="212">
        <f t="shared" si="96"/>
        <v>0</v>
      </c>
      <c r="P930" s="155">
        <f t="shared" si="96"/>
        <v>0</v>
      </c>
      <c r="Q930" s="407"/>
      <c r="R930" s="407"/>
    </row>
    <row r="931" spans="1:18" ht="12.75" x14ac:dyDescent="0.2">
      <c r="A931" s="152">
        <v>6220000</v>
      </c>
      <c r="B931" s="73"/>
      <c r="C931" s="51" t="s">
        <v>944</v>
      </c>
      <c r="D931" s="89"/>
      <c r="E931" s="89"/>
      <c r="F931" s="89"/>
      <c r="G931" s="89"/>
      <c r="H931" s="89"/>
      <c r="I931" s="89"/>
      <c r="J931" s="212">
        <f t="shared" si="96"/>
        <v>0</v>
      </c>
      <c r="K931" s="212">
        <f t="shared" si="96"/>
        <v>0</v>
      </c>
      <c r="L931" s="212">
        <f t="shared" si="96"/>
        <v>0</v>
      </c>
      <c r="M931" s="212">
        <f t="shared" si="96"/>
        <v>0</v>
      </c>
      <c r="N931" s="212">
        <f t="shared" si="96"/>
        <v>0</v>
      </c>
      <c r="O931" s="212">
        <f t="shared" si="96"/>
        <v>0</v>
      </c>
      <c r="P931" s="155">
        <f t="shared" si="96"/>
        <v>0</v>
      </c>
      <c r="Q931" s="407"/>
      <c r="R931" s="407"/>
    </row>
    <row r="932" spans="1:18" ht="12.75" x14ac:dyDescent="0.2">
      <c r="A932" s="152">
        <v>6220000</v>
      </c>
      <c r="B932" s="73"/>
      <c r="C932" s="51" t="s">
        <v>945</v>
      </c>
      <c r="D932" s="89"/>
      <c r="E932" s="89"/>
      <c r="F932" s="89"/>
      <c r="G932" s="89"/>
      <c r="H932" s="89"/>
      <c r="I932" s="89"/>
      <c r="J932" s="212">
        <f t="shared" si="96"/>
        <v>0</v>
      </c>
      <c r="K932" s="212">
        <f t="shared" si="96"/>
        <v>0</v>
      </c>
      <c r="L932" s="212">
        <f t="shared" si="96"/>
        <v>0</v>
      </c>
      <c r="M932" s="212">
        <f t="shared" si="96"/>
        <v>0</v>
      </c>
      <c r="N932" s="212">
        <f t="shared" si="96"/>
        <v>0</v>
      </c>
      <c r="O932" s="212">
        <f t="shared" si="96"/>
        <v>0</v>
      </c>
      <c r="P932" s="155">
        <f t="shared" si="96"/>
        <v>0</v>
      </c>
      <c r="Q932" s="407"/>
      <c r="R932" s="407"/>
    </row>
    <row r="933" spans="1:18" ht="12.75" x14ac:dyDescent="0.2">
      <c r="A933" s="152">
        <v>6220000</v>
      </c>
      <c r="B933" s="73"/>
      <c r="C933" s="51" t="s">
        <v>965</v>
      </c>
      <c r="D933" s="89"/>
      <c r="E933" s="89"/>
      <c r="F933" s="89"/>
      <c r="G933" s="89"/>
      <c r="H933" s="89"/>
      <c r="I933" s="89"/>
      <c r="J933" s="212">
        <f t="shared" ref="J933:P942" si="97">SUMIFS(J$26:J$180,$A$26:$A$180,$A933,$C$26:$C$180,$C933)</f>
        <v>0</v>
      </c>
      <c r="K933" s="212">
        <f t="shared" si="97"/>
        <v>0</v>
      </c>
      <c r="L933" s="212">
        <f t="shared" si="97"/>
        <v>0</v>
      </c>
      <c r="M933" s="212">
        <f t="shared" si="97"/>
        <v>0</v>
      </c>
      <c r="N933" s="212">
        <f t="shared" si="97"/>
        <v>0</v>
      </c>
      <c r="O933" s="212">
        <f t="shared" si="97"/>
        <v>0</v>
      </c>
      <c r="P933" s="155">
        <f t="shared" si="97"/>
        <v>0</v>
      </c>
      <c r="Q933" s="407"/>
      <c r="R933" s="407"/>
    </row>
    <row r="934" spans="1:18" ht="12.75" x14ac:dyDescent="0.2">
      <c r="A934" s="152">
        <v>6220000</v>
      </c>
      <c r="B934" s="73"/>
      <c r="C934" s="51" t="s">
        <v>1011</v>
      </c>
      <c r="D934" s="89"/>
      <c r="E934" s="89"/>
      <c r="F934" s="89"/>
      <c r="G934" s="89"/>
      <c r="H934" s="89"/>
      <c r="I934" s="89"/>
      <c r="J934" s="212">
        <f t="shared" si="97"/>
        <v>0</v>
      </c>
      <c r="K934" s="212">
        <f t="shared" si="97"/>
        <v>0</v>
      </c>
      <c r="L934" s="212">
        <f t="shared" si="97"/>
        <v>0</v>
      </c>
      <c r="M934" s="212">
        <f t="shared" si="97"/>
        <v>0</v>
      </c>
      <c r="N934" s="212">
        <f t="shared" si="97"/>
        <v>0</v>
      </c>
      <c r="O934" s="212">
        <f t="shared" si="97"/>
        <v>0</v>
      </c>
      <c r="P934" s="155">
        <f t="shared" si="97"/>
        <v>0</v>
      </c>
      <c r="Q934" s="407"/>
      <c r="R934" s="407"/>
    </row>
    <row r="935" spans="1:18" ht="12.75" x14ac:dyDescent="0.2">
      <c r="A935" s="152">
        <v>6220000</v>
      </c>
      <c r="B935" s="73"/>
      <c r="C935" s="51" t="s">
        <v>1010</v>
      </c>
      <c r="D935" s="89"/>
      <c r="E935" s="89"/>
      <c r="F935" s="89"/>
      <c r="G935" s="89"/>
      <c r="H935" s="89"/>
      <c r="I935" s="89"/>
      <c r="J935" s="212">
        <f t="shared" si="97"/>
        <v>0</v>
      </c>
      <c r="K935" s="212">
        <f t="shared" si="97"/>
        <v>0</v>
      </c>
      <c r="L935" s="212">
        <f t="shared" si="97"/>
        <v>0</v>
      </c>
      <c r="M935" s="212">
        <f t="shared" si="97"/>
        <v>0</v>
      </c>
      <c r="N935" s="212">
        <f t="shared" si="97"/>
        <v>0</v>
      </c>
      <c r="O935" s="212">
        <f t="shared" si="97"/>
        <v>0</v>
      </c>
      <c r="P935" s="155">
        <f t="shared" si="97"/>
        <v>0</v>
      </c>
      <c r="Q935" s="407"/>
      <c r="R935" s="407"/>
    </row>
    <row r="936" spans="1:18" ht="12.75" x14ac:dyDescent="0.2">
      <c r="A936" s="152">
        <v>6220000</v>
      </c>
      <c r="B936" s="73"/>
      <c r="C936" s="51" t="s">
        <v>1013</v>
      </c>
      <c r="D936" s="89"/>
      <c r="E936" s="89"/>
      <c r="F936" s="89"/>
      <c r="G936" s="89"/>
      <c r="H936" s="89"/>
      <c r="I936" s="89"/>
      <c r="J936" s="212">
        <f t="shared" si="97"/>
        <v>0</v>
      </c>
      <c r="K936" s="212">
        <f t="shared" si="97"/>
        <v>0</v>
      </c>
      <c r="L936" s="212">
        <f t="shared" si="97"/>
        <v>0</v>
      </c>
      <c r="M936" s="212">
        <f t="shared" si="97"/>
        <v>0</v>
      </c>
      <c r="N936" s="212">
        <f t="shared" si="97"/>
        <v>0</v>
      </c>
      <c r="O936" s="212">
        <f t="shared" si="97"/>
        <v>0</v>
      </c>
      <c r="P936" s="155">
        <f t="shared" si="97"/>
        <v>0</v>
      </c>
      <c r="Q936" s="407"/>
      <c r="R936" s="407"/>
    </row>
    <row r="937" spans="1:18" ht="12.75" x14ac:dyDescent="0.2">
      <c r="A937" s="152">
        <v>6220000</v>
      </c>
      <c r="B937" s="73"/>
      <c r="C937" s="51" t="s">
        <v>1012</v>
      </c>
      <c r="D937" s="89"/>
      <c r="E937" s="89"/>
      <c r="F937" s="89"/>
      <c r="G937" s="89"/>
      <c r="H937" s="89"/>
      <c r="I937" s="89"/>
      <c r="J937" s="212">
        <f t="shared" si="97"/>
        <v>0</v>
      </c>
      <c r="K937" s="212">
        <f t="shared" si="97"/>
        <v>0</v>
      </c>
      <c r="L937" s="212">
        <f t="shared" si="97"/>
        <v>0</v>
      </c>
      <c r="M937" s="212">
        <f t="shared" si="97"/>
        <v>0</v>
      </c>
      <c r="N937" s="212">
        <f t="shared" si="97"/>
        <v>0</v>
      </c>
      <c r="O937" s="212">
        <f t="shared" si="97"/>
        <v>0</v>
      </c>
      <c r="P937" s="155">
        <f t="shared" si="97"/>
        <v>0</v>
      </c>
      <c r="Q937" s="407"/>
      <c r="R937" s="407"/>
    </row>
    <row r="938" spans="1:18" ht="12.75" x14ac:dyDescent="0.2">
      <c r="A938" s="152">
        <v>6220000</v>
      </c>
      <c r="B938" s="73"/>
      <c r="C938" s="51" t="s">
        <v>1052</v>
      </c>
      <c r="D938" s="89"/>
      <c r="E938" s="89"/>
      <c r="F938" s="89"/>
      <c r="G938" s="89"/>
      <c r="H938" s="89"/>
      <c r="I938" s="89"/>
      <c r="J938" s="212">
        <f t="shared" si="97"/>
        <v>0</v>
      </c>
      <c r="K938" s="212">
        <f t="shared" si="97"/>
        <v>0</v>
      </c>
      <c r="L938" s="212">
        <f t="shared" si="97"/>
        <v>0</v>
      </c>
      <c r="M938" s="212">
        <f t="shared" si="97"/>
        <v>0</v>
      </c>
      <c r="N938" s="212">
        <f t="shared" si="97"/>
        <v>0</v>
      </c>
      <c r="O938" s="212">
        <f t="shared" si="97"/>
        <v>0</v>
      </c>
      <c r="P938" s="155">
        <f t="shared" si="97"/>
        <v>0</v>
      </c>
      <c r="Q938" s="407"/>
      <c r="R938" s="407"/>
    </row>
    <row r="939" spans="1:18" ht="12.75" x14ac:dyDescent="0.2">
      <c r="A939" s="152">
        <v>6220000</v>
      </c>
      <c r="B939" s="73"/>
      <c r="C939" s="51" t="s">
        <v>1053</v>
      </c>
      <c r="D939" s="89"/>
      <c r="E939" s="89"/>
      <c r="F939" s="89"/>
      <c r="G939" s="89"/>
      <c r="H939" s="89"/>
      <c r="I939" s="89"/>
      <c r="J939" s="212">
        <f t="shared" si="97"/>
        <v>0</v>
      </c>
      <c r="K939" s="212">
        <f t="shared" si="97"/>
        <v>0</v>
      </c>
      <c r="L939" s="212">
        <f t="shared" si="97"/>
        <v>0</v>
      </c>
      <c r="M939" s="212">
        <f t="shared" si="97"/>
        <v>0</v>
      </c>
      <c r="N939" s="212">
        <f t="shared" si="97"/>
        <v>0</v>
      </c>
      <c r="O939" s="212">
        <f t="shared" si="97"/>
        <v>0</v>
      </c>
      <c r="P939" s="155">
        <f t="shared" si="97"/>
        <v>0</v>
      </c>
      <c r="Q939" s="407"/>
      <c r="R939" s="407"/>
    </row>
    <row r="940" spans="1:18" ht="12.75" x14ac:dyDescent="0.2">
      <c r="A940" s="152">
        <v>6220000</v>
      </c>
      <c r="B940" s="73"/>
      <c r="C940" s="51" t="s">
        <v>984</v>
      </c>
      <c r="D940" s="89"/>
      <c r="E940" s="89"/>
      <c r="F940" s="89"/>
      <c r="G940" s="89"/>
      <c r="H940" s="89"/>
      <c r="I940" s="89"/>
      <c r="J940" s="212">
        <f t="shared" si="97"/>
        <v>0</v>
      </c>
      <c r="K940" s="212">
        <f t="shared" si="97"/>
        <v>0</v>
      </c>
      <c r="L940" s="212">
        <f t="shared" si="97"/>
        <v>0</v>
      </c>
      <c r="M940" s="212">
        <f t="shared" si="97"/>
        <v>0</v>
      </c>
      <c r="N940" s="212">
        <f t="shared" si="97"/>
        <v>0</v>
      </c>
      <c r="O940" s="212">
        <f t="shared" si="97"/>
        <v>0</v>
      </c>
      <c r="P940" s="155">
        <f t="shared" si="97"/>
        <v>0</v>
      </c>
      <c r="Q940" s="407"/>
      <c r="R940" s="407"/>
    </row>
    <row r="941" spans="1:18" ht="12.75" x14ac:dyDescent="0.2">
      <c r="A941" s="152">
        <v>6220000</v>
      </c>
      <c r="B941" s="73"/>
      <c r="C941" s="51" t="s">
        <v>985</v>
      </c>
      <c r="D941" s="89"/>
      <c r="E941" s="89"/>
      <c r="F941" s="89"/>
      <c r="G941" s="89"/>
      <c r="H941" s="89"/>
      <c r="I941" s="89"/>
      <c r="J941" s="212">
        <f t="shared" si="97"/>
        <v>0</v>
      </c>
      <c r="K941" s="212">
        <f t="shared" si="97"/>
        <v>0</v>
      </c>
      <c r="L941" s="212">
        <f t="shared" si="97"/>
        <v>0</v>
      </c>
      <c r="M941" s="212">
        <f t="shared" si="97"/>
        <v>0</v>
      </c>
      <c r="N941" s="212">
        <f t="shared" si="97"/>
        <v>0</v>
      </c>
      <c r="O941" s="212">
        <f t="shared" si="97"/>
        <v>0</v>
      </c>
      <c r="P941" s="155">
        <f t="shared" si="97"/>
        <v>0</v>
      </c>
      <c r="Q941" s="407"/>
      <c r="R941" s="407"/>
    </row>
    <row r="942" spans="1:18" ht="12.75" x14ac:dyDescent="0.2">
      <c r="A942" s="152">
        <v>6220000</v>
      </c>
      <c r="B942" s="73"/>
      <c r="C942" s="51" t="s">
        <v>1005</v>
      </c>
      <c r="D942" s="89"/>
      <c r="E942" s="89"/>
      <c r="F942" s="89"/>
      <c r="G942" s="89"/>
      <c r="H942" s="89"/>
      <c r="I942" s="89"/>
      <c r="J942" s="212">
        <f t="shared" si="97"/>
        <v>0</v>
      </c>
      <c r="K942" s="212">
        <f t="shared" si="97"/>
        <v>0</v>
      </c>
      <c r="L942" s="212">
        <f t="shared" si="97"/>
        <v>0</v>
      </c>
      <c r="M942" s="212">
        <f t="shared" si="97"/>
        <v>0</v>
      </c>
      <c r="N942" s="212">
        <f t="shared" si="97"/>
        <v>0</v>
      </c>
      <c r="O942" s="212">
        <f t="shared" si="97"/>
        <v>0</v>
      </c>
      <c r="P942" s="155">
        <f t="shared" si="97"/>
        <v>0</v>
      </c>
      <c r="Q942" s="407"/>
      <c r="R942" s="407"/>
    </row>
    <row r="943" spans="1:18" ht="12.75" x14ac:dyDescent="0.2">
      <c r="A943" s="152">
        <v>6220000</v>
      </c>
      <c r="B943" s="73"/>
      <c r="C943" s="51" t="s">
        <v>1004</v>
      </c>
      <c r="D943" s="89"/>
      <c r="E943" s="89"/>
      <c r="F943" s="89"/>
      <c r="G943" s="89"/>
      <c r="H943" s="89"/>
      <c r="I943" s="89"/>
      <c r="J943" s="212">
        <f t="shared" ref="J943:P952" si="98">SUMIFS(J$26:J$180,$A$26:$A$180,$A943,$C$26:$C$180,$C943)</f>
        <v>0</v>
      </c>
      <c r="K943" s="212">
        <f t="shared" si="98"/>
        <v>0</v>
      </c>
      <c r="L943" s="212">
        <f t="shared" si="98"/>
        <v>0</v>
      </c>
      <c r="M943" s="212">
        <f t="shared" si="98"/>
        <v>0</v>
      </c>
      <c r="N943" s="212">
        <f t="shared" si="98"/>
        <v>0</v>
      </c>
      <c r="O943" s="212">
        <f t="shared" si="98"/>
        <v>0</v>
      </c>
      <c r="P943" s="155">
        <f t="shared" si="98"/>
        <v>0</v>
      </c>
      <c r="Q943" s="407"/>
      <c r="R943" s="407"/>
    </row>
    <row r="944" spans="1:18" ht="12.75" x14ac:dyDescent="0.2">
      <c r="A944" s="152">
        <v>6220000</v>
      </c>
      <c r="B944" s="73"/>
      <c r="C944" s="51" t="s">
        <v>1008</v>
      </c>
      <c r="D944" s="89"/>
      <c r="E944" s="89"/>
      <c r="F944" s="89"/>
      <c r="G944" s="89"/>
      <c r="H944" s="89"/>
      <c r="I944" s="89"/>
      <c r="J944" s="212">
        <f t="shared" si="98"/>
        <v>0</v>
      </c>
      <c r="K944" s="212">
        <f t="shared" si="98"/>
        <v>0</v>
      </c>
      <c r="L944" s="212">
        <f t="shared" si="98"/>
        <v>0</v>
      </c>
      <c r="M944" s="212">
        <f t="shared" si="98"/>
        <v>0</v>
      </c>
      <c r="N944" s="212">
        <f t="shared" si="98"/>
        <v>0</v>
      </c>
      <c r="O944" s="212">
        <f t="shared" si="98"/>
        <v>0</v>
      </c>
      <c r="P944" s="155">
        <f t="shared" si="98"/>
        <v>0</v>
      </c>
      <c r="Q944" s="407"/>
      <c r="R944" s="407"/>
    </row>
    <row r="945" spans="1:18" ht="12.75" x14ac:dyDescent="0.2">
      <c r="A945" s="152">
        <v>6220000</v>
      </c>
      <c r="B945" s="73"/>
      <c r="C945" s="51" t="s">
        <v>1006</v>
      </c>
      <c r="D945" s="89"/>
      <c r="E945" s="89"/>
      <c r="F945" s="89"/>
      <c r="G945" s="89"/>
      <c r="H945" s="89"/>
      <c r="I945" s="89"/>
      <c r="J945" s="212">
        <f t="shared" si="98"/>
        <v>0</v>
      </c>
      <c r="K945" s="212">
        <f t="shared" si="98"/>
        <v>0</v>
      </c>
      <c r="L945" s="212">
        <f t="shared" si="98"/>
        <v>0</v>
      </c>
      <c r="M945" s="212">
        <f t="shared" si="98"/>
        <v>0</v>
      </c>
      <c r="N945" s="212">
        <f t="shared" si="98"/>
        <v>0</v>
      </c>
      <c r="O945" s="212">
        <f t="shared" si="98"/>
        <v>0</v>
      </c>
      <c r="P945" s="155">
        <f t="shared" si="98"/>
        <v>0</v>
      </c>
      <c r="Q945" s="407"/>
      <c r="R945" s="407"/>
    </row>
    <row r="946" spans="1:18" ht="12.75" x14ac:dyDescent="0.2">
      <c r="A946" s="152">
        <v>6220000</v>
      </c>
      <c r="B946" s="73"/>
      <c r="C946" s="51" t="s">
        <v>1034</v>
      </c>
      <c r="D946" s="89"/>
      <c r="E946" s="89"/>
      <c r="F946" s="89"/>
      <c r="G946" s="89"/>
      <c r="H946" s="89"/>
      <c r="I946" s="89"/>
      <c r="J946" s="212">
        <f t="shared" si="98"/>
        <v>0</v>
      </c>
      <c r="K946" s="212">
        <f t="shared" si="98"/>
        <v>0</v>
      </c>
      <c r="L946" s="212">
        <f t="shared" si="98"/>
        <v>0</v>
      </c>
      <c r="M946" s="212">
        <f t="shared" si="98"/>
        <v>0</v>
      </c>
      <c r="N946" s="212">
        <f t="shared" si="98"/>
        <v>0</v>
      </c>
      <c r="O946" s="212">
        <f t="shared" si="98"/>
        <v>0</v>
      </c>
      <c r="P946" s="155">
        <f t="shared" si="98"/>
        <v>0</v>
      </c>
      <c r="Q946" s="407"/>
      <c r="R946" s="407"/>
    </row>
    <row r="947" spans="1:18" ht="12.75" x14ac:dyDescent="0.2">
      <c r="A947" s="152">
        <v>6220000</v>
      </c>
      <c r="B947" s="73"/>
      <c r="C947" s="51" t="s">
        <v>1035</v>
      </c>
      <c r="D947" s="89"/>
      <c r="E947" s="89"/>
      <c r="F947" s="89"/>
      <c r="G947" s="89"/>
      <c r="H947" s="89"/>
      <c r="I947" s="89"/>
      <c r="J947" s="212">
        <f t="shared" si="98"/>
        <v>0</v>
      </c>
      <c r="K947" s="212">
        <f t="shared" si="98"/>
        <v>0</v>
      </c>
      <c r="L947" s="212">
        <f t="shared" si="98"/>
        <v>0</v>
      </c>
      <c r="M947" s="212">
        <f t="shared" si="98"/>
        <v>0</v>
      </c>
      <c r="N947" s="212">
        <f t="shared" si="98"/>
        <v>0</v>
      </c>
      <c r="O947" s="212">
        <f t="shared" si="98"/>
        <v>0</v>
      </c>
      <c r="P947" s="155">
        <f t="shared" si="98"/>
        <v>0</v>
      </c>
      <c r="Q947" s="407"/>
      <c r="R947" s="407"/>
    </row>
    <row r="948" spans="1:18" ht="12.75" x14ac:dyDescent="0.2">
      <c r="A948" s="152">
        <v>6220000</v>
      </c>
      <c r="B948" s="73"/>
      <c r="C948" s="51" t="s">
        <v>922</v>
      </c>
      <c r="D948" s="89"/>
      <c r="E948" s="89"/>
      <c r="F948" s="89"/>
      <c r="G948" s="89"/>
      <c r="H948" s="89"/>
      <c r="I948" s="89"/>
      <c r="J948" s="212">
        <f t="shared" si="98"/>
        <v>0</v>
      </c>
      <c r="K948" s="212">
        <f t="shared" si="98"/>
        <v>0</v>
      </c>
      <c r="L948" s="212">
        <f t="shared" si="98"/>
        <v>0</v>
      </c>
      <c r="M948" s="212">
        <f t="shared" si="98"/>
        <v>0</v>
      </c>
      <c r="N948" s="212">
        <f t="shared" si="98"/>
        <v>0</v>
      </c>
      <c r="O948" s="212">
        <f t="shared" si="98"/>
        <v>0</v>
      </c>
      <c r="P948" s="155">
        <f t="shared" si="98"/>
        <v>0</v>
      </c>
      <c r="Q948" s="407"/>
      <c r="R948" s="407"/>
    </row>
    <row r="949" spans="1:18" ht="12.75" x14ac:dyDescent="0.2">
      <c r="A949" s="152">
        <v>6220000</v>
      </c>
      <c r="B949" s="73"/>
      <c r="C949" s="51" t="s">
        <v>942</v>
      </c>
      <c r="D949" s="89"/>
      <c r="E949" s="89"/>
      <c r="F949" s="89"/>
      <c r="G949" s="89"/>
      <c r="H949" s="89"/>
      <c r="I949" s="89"/>
      <c r="J949" s="212">
        <f t="shared" si="98"/>
        <v>0</v>
      </c>
      <c r="K949" s="212">
        <f t="shared" si="98"/>
        <v>0</v>
      </c>
      <c r="L949" s="212">
        <f t="shared" si="98"/>
        <v>0</v>
      </c>
      <c r="M949" s="212">
        <f t="shared" si="98"/>
        <v>0</v>
      </c>
      <c r="N949" s="212">
        <f t="shared" si="98"/>
        <v>0</v>
      </c>
      <c r="O949" s="212">
        <f t="shared" si="98"/>
        <v>0</v>
      </c>
      <c r="P949" s="155">
        <f t="shared" si="98"/>
        <v>0</v>
      </c>
      <c r="Q949" s="407"/>
      <c r="R949" s="407"/>
    </row>
    <row r="950" spans="1:18" ht="12.75" x14ac:dyDescent="0.2">
      <c r="A950" s="152">
        <v>6220000</v>
      </c>
      <c r="B950" s="73"/>
      <c r="C950" s="51" t="s">
        <v>943</v>
      </c>
      <c r="D950" s="89"/>
      <c r="E950" s="89"/>
      <c r="F950" s="89"/>
      <c r="G950" s="89"/>
      <c r="H950" s="89"/>
      <c r="I950" s="89"/>
      <c r="J950" s="212">
        <f t="shared" si="98"/>
        <v>0</v>
      </c>
      <c r="K950" s="212">
        <f t="shared" si="98"/>
        <v>0</v>
      </c>
      <c r="L950" s="212">
        <f t="shared" si="98"/>
        <v>0</v>
      </c>
      <c r="M950" s="212">
        <f t="shared" si="98"/>
        <v>0</v>
      </c>
      <c r="N950" s="212">
        <f t="shared" si="98"/>
        <v>0</v>
      </c>
      <c r="O950" s="212">
        <f t="shared" si="98"/>
        <v>0</v>
      </c>
      <c r="P950" s="155">
        <f t="shared" si="98"/>
        <v>0</v>
      </c>
      <c r="Q950" s="407"/>
      <c r="R950" s="407"/>
    </row>
    <row r="951" spans="1:18" ht="12.75" x14ac:dyDescent="0.2">
      <c r="A951" s="152">
        <v>6220000</v>
      </c>
      <c r="B951" s="73"/>
      <c r="C951" s="51" t="s">
        <v>938</v>
      </c>
      <c r="D951" s="89"/>
      <c r="E951" s="89"/>
      <c r="F951" s="89"/>
      <c r="G951" s="89"/>
      <c r="H951" s="89"/>
      <c r="I951" s="89"/>
      <c r="J951" s="212">
        <f t="shared" si="98"/>
        <v>0</v>
      </c>
      <c r="K951" s="212">
        <f t="shared" si="98"/>
        <v>0</v>
      </c>
      <c r="L951" s="212">
        <f t="shared" si="98"/>
        <v>0</v>
      </c>
      <c r="M951" s="212">
        <f t="shared" si="98"/>
        <v>0</v>
      </c>
      <c r="N951" s="212">
        <f t="shared" si="98"/>
        <v>0</v>
      </c>
      <c r="O951" s="212">
        <f t="shared" si="98"/>
        <v>0</v>
      </c>
      <c r="P951" s="155">
        <f t="shared" si="98"/>
        <v>0</v>
      </c>
      <c r="Q951" s="407"/>
      <c r="R951" s="407"/>
    </row>
    <row r="952" spans="1:18" ht="12.75" x14ac:dyDescent="0.2">
      <c r="A952" s="152">
        <v>6220000</v>
      </c>
      <c r="B952" s="73"/>
      <c r="C952" s="51" t="s">
        <v>939</v>
      </c>
      <c r="D952" s="89"/>
      <c r="E952" s="89"/>
      <c r="F952" s="89"/>
      <c r="G952" s="89"/>
      <c r="H952" s="89"/>
      <c r="I952" s="89"/>
      <c r="J952" s="212">
        <f t="shared" si="98"/>
        <v>0</v>
      </c>
      <c r="K952" s="212">
        <f t="shared" si="98"/>
        <v>0</v>
      </c>
      <c r="L952" s="212">
        <f t="shared" si="98"/>
        <v>0</v>
      </c>
      <c r="M952" s="212">
        <f t="shared" si="98"/>
        <v>0</v>
      </c>
      <c r="N952" s="212">
        <f t="shared" si="98"/>
        <v>0</v>
      </c>
      <c r="O952" s="212">
        <f t="shared" si="98"/>
        <v>0</v>
      </c>
      <c r="P952" s="155">
        <f t="shared" si="98"/>
        <v>0</v>
      </c>
      <c r="Q952" s="407"/>
      <c r="R952" s="407"/>
    </row>
    <row r="953" spans="1:18" ht="12.75" x14ac:dyDescent="0.2">
      <c r="A953" s="152">
        <v>6220000</v>
      </c>
      <c r="B953" s="73"/>
      <c r="C953" s="51" t="s">
        <v>934</v>
      </c>
      <c r="D953" s="89"/>
      <c r="E953" s="89"/>
      <c r="F953" s="89"/>
      <c r="G953" s="89"/>
      <c r="H953" s="89"/>
      <c r="I953" s="89"/>
      <c r="J953" s="212">
        <f t="shared" ref="J953:P962" si="99">SUMIFS(J$26:J$180,$A$26:$A$180,$A953,$C$26:$C$180,$C953)</f>
        <v>0</v>
      </c>
      <c r="K953" s="212">
        <f t="shared" si="99"/>
        <v>0</v>
      </c>
      <c r="L953" s="212">
        <f t="shared" si="99"/>
        <v>0</v>
      </c>
      <c r="M953" s="212">
        <f t="shared" si="99"/>
        <v>0</v>
      </c>
      <c r="N953" s="212">
        <f t="shared" si="99"/>
        <v>0</v>
      </c>
      <c r="O953" s="212">
        <f t="shared" si="99"/>
        <v>0</v>
      </c>
      <c r="P953" s="155">
        <f t="shared" si="99"/>
        <v>0</v>
      </c>
      <c r="Q953" s="407"/>
      <c r="R953" s="407"/>
    </row>
    <row r="954" spans="1:18" ht="12.75" x14ac:dyDescent="0.2">
      <c r="A954" s="152">
        <v>6220000</v>
      </c>
      <c r="B954" s="73"/>
      <c r="C954" s="51" t="s">
        <v>935</v>
      </c>
      <c r="D954" s="89"/>
      <c r="E954" s="89"/>
      <c r="F954" s="89"/>
      <c r="G954" s="89"/>
      <c r="H954" s="89"/>
      <c r="I954" s="89"/>
      <c r="J954" s="212">
        <f t="shared" si="99"/>
        <v>0</v>
      </c>
      <c r="K954" s="212">
        <f t="shared" si="99"/>
        <v>0</v>
      </c>
      <c r="L954" s="212">
        <f t="shared" si="99"/>
        <v>0</v>
      </c>
      <c r="M954" s="212">
        <f t="shared" si="99"/>
        <v>0</v>
      </c>
      <c r="N954" s="212">
        <f t="shared" si="99"/>
        <v>0</v>
      </c>
      <c r="O954" s="212">
        <f t="shared" si="99"/>
        <v>0</v>
      </c>
      <c r="P954" s="155">
        <f t="shared" si="99"/>
        <v>0</v>
      </c>
      <c r="Q954" s="407"/>
      <c r="R954" s="407"/>
    </row>
    <row r="955" spans="1:18" ht="12.75" x14ac:dyDescent="0.2">
      <c r="A955" s="152">
        <v>6220000</v>
      </c>
      <c r="B955" s="73"/>
      <c r="C955" s="51" t="s">
        <v>953</v>
      </c>
      <c r="D955" s="89"/>
      <c r="E955" s="89"/>
      <c r="F955" s="89"/>
      <c r="G955" s="89"/>
      <c r="H955" s="89"/>
      <c r="I955" s="89"/>
      <c r="J955" s="212">
        <f t="shared" si="99"/>
        <v>0</v>
      </c>
      <c r="K955" s="212">
        <f t="shared" si="99"/>
        <v>0</v>
      </c>
      <c r="L955" s="212">
        <f t="shared" si="99"/>
        <v>0</v>
      </c>
      <c r="M955" s="212">
        <f t="shared" si="99"/>
        <v>0</v>
      </c>
      <c r="N955" s="212">
        <f t="shared" si="99"/>
        <v>0</v>
      </c>
      <c r="O955" s="212">
        <f t="shared" si="99"/>
        <v>0</v>
      </c>
      <c r="P955" s="155">
        <f t="shared" si="99"/>
        <v>0</v>
      </c>
      <c r="Q955" s="407"/>
      <c r="R955" s="407"/>
    </row>
    <row r="956" spans="1:18" ht="12.75" x14ac:dyDescent="0.2">
      <c r="A956" s="152">
        <v>6220000</v>
      </c>
      <c r="B956" s="73"/>
      <c r="C956" s="51" t="s">
        <v>924</v>
      </c>
      <c r="D956" s="89"/>
      <c r="E956" s="89"/>
      <c r="F956" s="89"/>
      <c r="G956" s="89"/>
      <c r="H956" s="89"/>
      <c r="I956" s="89"/>
      <c r="J956" s="212">
        <f t="shared" si="99"/>
        <v>0</v>
      </c>
      <c r="K956" s="212">
        <f t="shared" si="99"/>
        <v>0</v>
      </c>
      <c r="L956" s="212">
        <f t="shared" si="99"/>
        <v>0</v>
      </c>
      <c r="M956" s="212">
        <f t="shared" si="99"/>
        <v>0</v>
      </c>
      <c r="N956" s="212">
        <f t="shared" si="99"/>
        <v>0</v>
      </c>
      <c r="O956" s="212">
        <f t="shared" si="99"/>
        <v>0</v>
      </c>
      <c r="P956" s="155">
        <f t="shared" si="99"/>
        <v>0</v>
      </c>
      <c r="Q956" s="407"/>
      <c r="R956" s="407"/>
    </row>
    <row r="957" spans="1:18" ht="12.75" x14ac:dyDescent="0.2">
      <c r="A957" s="152">
        <v>6220000</v>
      </c>
      <c r="B957" s="73"/>
      <c r="C957" s="51" t="s">
        <v>927</v>
      </c>
      <c r="D957" s="89"/>
      <c r="E957" s="89"/>
      <c r="F957" s="89"/>
      <c r="G957" s="89"/>
      <c r="H957" s="89"/>
      <c r="I957" s="89"/>
      <c r="J957" s="212">
        <f t="shared" si="99"/>
        <v>0</v>
      </c>
      <c r="K957" s="212">
        <f t="shared" si="99"/>
        <v>0</v>
      </c>
      <c r="L957" s="212">
        <f t="shared" si="99"/>
        <v>0</v>
      </c>
      <c r="M957" s="212">
        <f t="shared" si="99"/>
        <v>0</v>
      </c>
      <c r="N957" s="212">
        <f t="shared" si="99"/>
        <v>0</v>
      </c>
      <c r="O957" s="212">
        <f t="shared" si="99"/>
        <v>0</v>
      </c>
      <c r="P957" s="155">
        <f t="shared" si="99"/>
        <v>0</v>
      </c>
      <c r="Q957" s="407"/>
      <c r="R957" s="407"/>
    </row>
    <row r="958" spans="1:18" ht="12.75" x14ac:dyDescent="0.2">
      <c r="A958" s="152">
        <v>6220000</v>
      </c>
      <c r="B958" s="73"/>
      <c r="C958" s="51" t="s">
        <v>951</v>
      </c>
      <c r="D958" s="89"/>
      <c r="E958" s="89"/>
      <c r="F958" s="89"/>
      <c r="G958" s="89"/>
      <c r="H958" s="89"/>
      <c r="I958" s="89"/>
      <c r="J958" s="212">
        <f t="shared" si="99"/>
        <v>0</v>
      </c>
      <c r="K958" s="212">
        <f t="shared" si="99"/>
        <v>0</v>
      </c>
      <c r="L958" s="212">
        <f t="shared" si="99"/>
        <v>0</v>
      </c>
      <c r="M958" s="212">
        <f t="shared" si="99"/>
        <v>0</v>
      </c>
      <c r="N958" s="212">
        <f t="shared" si="99"/>
        <v>0</v>
      </c>
      <c r="O958" s="212">
        <f t="shared" si="99"/>
        <v>0</v>
      </c>
      <c r="P958" s="155">
        <f t="shared" si="99"/>
        <v>0</v>
      </c>
      <c r="Q958" s="407"/>
      <c r="R958" s="407"/>
    </row>
    <row r="959" spans="1:18" ht="12.75" x14ac:dyDescent="0.2">
      <c r="A959" s="152">
        <v>6220000</v>
      </c>
      <c r="B959" s="73"/>
      <c r="C959" s="51" t="s">
        <v>1055</v>
      </c>
      <c r="D959" s="89"/>
      <c r="E959" s="89"/>
      <c r="F959" s="89"/>
      <c r="G959" s="89"/>
      <c r="H959" s="89"/>
      <c r="I959" s="89"/>
      <c r="J959" s="212">
        <f t="shared" si="99"/>
        <v>0</v>
      </c>
      <c r="K959" s="212">
        <f t="shared" si="99"/>
        <v>0</v>
      </c>
      <c r="L959" s="212">
        <f t="shared" si="99"/>
        <v>0</v>
      </c>
      <c r="M959" s="212">
        <f t="shared" si="99"/>
        <v>0</v>
      </c>
      <c r="N959" s="212">
        <f t="shared" si="99"/>
        <v>0</v>
      </c>
      <c r="O959" s="212">
        <f t="shared" si="99"/>
        <v>0</v>
      </c>
      <c r="P959" s="155">
        <f t="shared" si="99"/>
        <v>0</v>
      </c>
      <c r="Q959" s="407"/>
      <c r="R959" s="407"/>
    </row>
    <row r="960" spans="1:18" ht="12.75" x14ac:dyDescent="0.2">
      <c r="A960" s="152">
        <v>6220000</v>
      </c>
      <c r="B960" s="73"/>
      <c r="C960" s="51" t="s">
        <v>940</v>
      </c>
      <c r="D960" s="89"/>
      <c r="E960" s="89"/>
      <c r="F960" s="89"/>
      <c r="G960" s="89"/>
      <c r="H960" s="89"/>
      <c r="I960" s="89"/>
      <c r="J960" s="212">
        <f t="shared" si="99"/>
        <v>0</v>
      </c>
      <c r="K960" s="212">
        <f t="shared" si="99"/>
        <v>0</v>
      </c>
      <c r="L960" s="212">
        <f t="shared" si="99"/>
        <v>0</v>
      </c>
      <c r="M960" s="212">
        <f t="shared" si="99"/>
        <v>0</v>
      </c>
      <c r="N960" s="212">
        <f t="shared" si="99"/>
        <v>0</v>
      </c>
      <c r="O960" s="212">
        <f t="shared" si="99"/>
        <v>0</v>
      </c>
      <c r="P960" s="155">
        <f t="shared" si="99"/>
        <v>0</v>
      </c>
      <c r="Q960" s="407"/>
      <c r="R960" s="407"/>
    </row>
    <row r="961" spans="1:18" ht="12.75" x14ac:dyDescent="0.2">
      <c r="A961" s="152">
        <v>6220000</v>
      </c>
      <c r="B961" s="73"/>
      <c r="C961" s="51" t="s">
        <v>941</v>
      </c>
      <c r="D961" s="89"/>
      <c r="E961" s="89"/>
      <c r="F961" s="89"/>
      <c r="G961" s="89"/>
      <c r="H961" s="89"/>
      <c r="I961" s="89"/>
      <c r="J961" s="212">
        <f t="shared" si="99"/>
        <v>0</v>
      </c>
      <c r="K961" s="212">
        <f t="shared" si="99"/>
        <v>0</v>
      </c>
      <c r="L961" s="212">
        <f t="shared" si="99"/>
        <v>0</v>
      </c>
      <c r="M961" s="212">
        <f t="shared" si="99"/>
        <v>0</v>
      </c>
      <c r="N961" s="212">
        <f t="shared" si="99"/>
        <v>0</v>
      </c>
      <c r="O961" s="212">
        <f t="shared" si="99"/>
        <v>0</v>
      </c>
      <c r="P961" s="155">
        <f t="shared" si="99"/>
        <v>0</v>
      </c>
      <c r="Q961" s="407"/>
      <c r="R961" s="407"/>
    </row>
    <row r="962" spans="1:18" ht="12.75" x14ac:dyDescent="0.2">
      <c r="A962" s="152">
        <v>6220000</v>
      </c>
      <c r="B962" s="73"/>
      <c r="C962" s="51" t="s">
        <v>936</v>
      </c>
      <c r="D962" s="89"/>
      <c r="E962" s="89"/>
      <c r="F962" s="89"/>
      <c r="G962" s="89"/>
      <c r="H962" s="89"/>
      <c r="I962" s="89"/>
      <c r="J962" s="212">
        <f t="shared" si="99"/>
        <v>0</v>
      </c>
      <c r="K962" s="212">
        <f t="shared" si="99"/>
        <v>0</v>
      </c>
      <c r="L962" s="212">
        <f t="shared" si="99"/>
        <v>0</v>
      </c>
      <c r="M962" s="212">
        <f t="shared" si="99"/>
        <v>0</v>
      </c>
      <c r="N962" s="212">
        <f t="shared" si="99"/>
        <v>0</v>
      </c>
      <c r="O962" s="212">
        <f t="shared" si="99"/>
        <v>0</v>
      </c>
      <c r="P962" s="155">
        <f t="shared" si="99"/>
        <v>0</v>
      </c>
      <c r="Q962" s="407"/>
      <c r="R962" s="407"/>
    </row>
    <row r="963" spans="1:18" ht="12.75" x14ac:dyDescent="0.2">
      <c r="A963" s="152">
        <v>6220000</v>
      </c>
      <c r="B963" s="73"/>
      <c r="C963" s="51" t="s">
        <v>937</v>
      </c>
      <c r="D963" s="89"/>
      <c r="E963" s="89"/>
      <c r="F963" s="89"/>
      <c r="G963" s="89"/>
      <c r="H963" s="89"/>
      <c r="I963" s="89"/>
      <c r="J963" s="212">
        <f t="shared" ref="J963:P972" si="100">SUMIFS(J$26:J$180,$A$26:$A$180,$A963,$C$26:$C$180,$C963)</f>
        <v>0</v>
      </c>
      <c r="K963" s="212">
        <f t="shared" si="100"/>
        <v>0</v>
      </c>
      <c r="L963" s="212">
        <f t="shared" si="100"/>
        <v>0</v>
      </c>
      <c r="M963" s="212">
        <f t="shared" si="100"/>
        <v>0</v>
      </c>
      <c r="N963" s="212">
        <f t="shared" si="100"/>
        <v>0</v>
      </c>
      <c r="O963" s="212">
        <f t="shared" si="100"/>
        <v>0</v>
      </c>
      <c r="P963" s="155">
        <f t="shared" si="100"/>
        <v>0</v>
      </c>
      <c r="Q963" s="407"/>
      <c r="R963" s="407"/>
    </row>
    <row r="964" spans="1:18" ht="12.75" x14ac:dyDescent="0.2">
      <c r="A964" s="152">
        <v>6220000</v>
      </c>
      <c r="B964" s="73"/>
      <c r="C964" s="51" t="s">
        <v>932</v>
      </c>
      <c r="D964" s="89"/>
      <c r="E964" s="89"/>
      <c r="F964" s="89"/>
      <c r="G964" s="89"/>
      <c r="H964" s="89"/>
      <c r="I964" s="89"/>
      <c r="J964" s="212">
        <f t="shared" si="100"/>
        <v>0</v>
      </c>
      <c r="K964" s="212">
        <f t="shared" si="100"/>
        <v>0</v>
      </c>
      <c r="L964" s="212">
        <f t="shared" si="100"/>
        <v>0</v>
      </c>
      <c r="M964" s="212">
        <f t="shared" si="100"/>
        <v>0</v>
      </c>
      <c r="N964" s="212">
        <f t="shared" si="100"/>
        <v>0</v>
      </c>
      <c r="O964" s="212">
        <f t="shared" si="100"/>
        <v>0</v>
      </c>
      <c r="P964" s="155">
        <f t="shared" si="100"/>
        <v>0</v>
      </c>
      <c r="Q964" s="407"/>
      <c r="R964" s="407"/>
    </row>
    <row r="965" spans="1:18" ht="12.75" x14ac:dyDescent="0.2">
      <c r="A965" s="152">
        <v>6220000</v>
      </c>
      <c r="B965" s="73"/>
      <c r="C965" s="51" t="s">
        <v>933</v>
      </c>
      <c r="D965" s="89"/>
      <c r="E965" s="89"/>
      <c r="F965" s="89"/>
      <c r="G965" s="89"/>
      <c r="H965" s="89"/>
      <c r="I965" s="89"/>
      <c r="J965" s="212">
        <f t="shared" si="100"/>
        <v>0</v>
      </c>
      <c r="K965" s="212">
        <f t="shared" si="100"/>
        <v>0</v>
      </c>
      <c r="L965" s="212">
        <f t="shared" si="100"/>
        <v>0</v>
      </c>
      <c r="M965" s="212">
        <f t="shared" si="100"/>
        <v>0</v>
      </c>
      <c r="N965" s="212">
        <f t="shared" si="100"/>
        <v>0</v>
      </c>
      <c r="O965" s="212">
        <f t="shared" si="100"/>
        <v>0</v>
      </c>
      <c r="P965" s="155">
        <f t="shared" si="100"/>
        <v>0</v>
      </c>
      <c r="Q965" s="407"/>
      <c r="R965" s="407"/>
    </row>
    <row r="966" spans="1:18" ht="12.75" x14ac:dyDescent="0.2">
      <c r="A966" s="152">
        <v>6220000</v>
      </c>
      <c r="B966" s="73"/>
      <c r="C966" s="51" t="s">
        <v>952</v>
      </c>
      <c r="D966" s="89"/>
      <c r="E966" s="89"/>
      <c r="F966" s="89"/>
      <c r="G966" s="89"/>
      <c r="H966" s="89"/>
      <c r="I966" s="89"/>
      <c r="J966" s="212">
        <f t="shared" si="100"/>
        <v>0</v>
      </c>
      <c r="K966" s="212">
        <f t="shared" si="100"/>
        <v>0</v>
      </c>
      <c r="L966" s="212">
        <f t="shared" si="100"/>
        <v>0</v>
      </c>
      <c r="M966" s="212">
        <f t="shared" si="100"/>
        <v>0</v>
      </c>
      <c r="N966" s="212">
        <f t="shared" si="100"/>
        <v>0</v>
      </c>
      <c r="O966" s="212">
        <f t="shared" si="100"/>
        <v>0</v>
      </c>
      <c r="P966" s="155">
        <f t="shared" si="100"/>
        <v>0</v>
      </c>
      <c r="Q966" s="407"/>
      <c r="R966" s="407"/>
    </row>
    <row r="967" spans="1:18" ht="12.75" x14ac:dyDescent="0.2">
      <c r="A967" s="152">
        <v>6220000</v>
      </c>
      <c r="B967" s="73"/>
      <c r="C967" s="51" t="s">
        <v>923</v>
      </c>
      <c r="D967" s="89"/>
      <c r="E967" s="89"/>
      <c r="F967" s="89"/>
      <c r="G967" s="89"/>
      <c r="H967" s="89"/>
      <c r="I967" s="89"/>
      <c r="J967" s="212">
        <f t="shared" si="100"/>
        <v>0</v>
      </c>
      <c r="K967" s="212">
        <f t="shared" si="100"/>
        <v>0</v>
      </c>
      <c r="L967" s="212">
        <f t="shared" si="100"/>
        <v>0</v>
      </c>
      <c r="M967" s="212">
        <f t="shared" si="100"/>
        <v>0</v>
      </c>
      <c r="N967" s="212">
        <f t="shared" si="100"/>
        <v>0</v>
      </c>
      <c r="O967" s="212">
        <f t="shared" si="100"/>
        <v>0</v>
      </c>
      <c r="P967" s="155">
        <f t="shared" si="100"/>
        <v>0</v>
      </c>
      <c r="Q967" s="407"/>
      <c r="R967" s="407"/>
    </row>
    <row r="968" spans="1:18" ht="12.75" x14ac:dyDescent="0.2">
      <c r="A968" s="152">
        <v>6220000</v>
      </c>
      <c r="B968" s="73"/>
      <c r="C968" s="51" t="s">
        <v>925</v>
      </c>
      <c r="D968" s="89"/>
      <c r="E968" s="89"/>
      <c r="F968" s="89"/>
      <c r="G968" s="89"/>
      <c r="H968" s="89"/>
      <c r="I968" s="89"/>
      <c r="J968" s="212">
        <f t="shared" si="100"/>
        <v>0</v>
      </c>
      <c r="K968" s="212">
        <f t="shared" si="100"/>
        <v>0</v>
      </c>
      <c r="L968" s="212">
        <f t="shared" si="100"/>
        <v>0</v>
      </c>
      <c r="M968" s="212">
        <f t="shared" si="100"/>
        <v>0</v>
      </c>
      <c r="N968" s="212">
        <f t="shared" si="100"/>
        <v>0</v>
      </c>
      <c r="O968" s="212">
        <f t="shared" si="100"/>
        <v>0</v>
      </c>
      <c r="P968" s="155">
        <f t="shared" si="100"/>
        <v>0</v>
      </c>
      <c r="Q968" s="407"/>
      <c r="R968" s="407"/>
    </row>
    <row r="969" spans="1:18" ht="12.75" x14ac:dyDescent="0.2">
      <c r="A969" s="152">
        <v>6220000</v>
      </c>
      <c r="B969" s="73"/>
      <c r="C969" s="51" t="s">
        <v>950</v>
      </c>
      <c r="D969" s="89"/>
      <c r="E969" s="89"/>
      <c r="F969" s="89"/>
      <c r="G969" s="89"/>
      <c r="H969" s="89"/>
      <c r="I969" s="89"/>
      <c r="J969" s="212">
        <f t="shared" si="100"/>
        <v>0</v>
      </c>
      <c r="K969" s="212">
        <f t="shared" si="100"/>
        <v>0</v>
      </c>
      <c r="L969" s="212">
        <f t="shared" si="100"/>
        <v>0</v>
      </c>
      <c r="M969" s="212">
        <f t="shared" si="100"/>
        <v>0</v>
      </c>
      <c r="N969" s="212">
        <f t="shared" si="100"/>
        <v>0</v>
      </c>
      <c r="O969" s="212">
        <f t="shared" si="100"/>
        <v>0</v>
      </c>
      <c r="P969" s="155">
        <f t="shared" si="100"/>
        <v>0</v>
      </c>
      <c r="Q969" s="407"/>
      <c r="R969" s="407"/>
    </row>
    <row r="970" spans="1:18" ht="12.75" x14ac:dyDescent="0.2">
      <c r="A970" s="152">
        <v>6220000</v>
      </c>
      <c r="B970" s="73"/>
      <c r="C970" s="51" t="s">
        <v>1054</v>
      </c>
      <c r="D970" s="89"/>
      <c r="E970" s="89"/>
      <c r="F970" s="89"/>
      <c r="G970" s="89"/>
      <c r="H970" s="89"/>
      <c r="I970" s="89"/>
      <c r="J970" s="212">
        <f t="shared" si="100"/>
        <v>0</v>
      </c>
      <c r="K970" s="212">
        <f t="shared" si="100"/>
        <v>0</v>
      </c>
      <c r="L970" s="212">
        <f t="shared" si="100"/>
        <v>0</v>
      </c>
      <c r="M970" s="212">
        <f t="shared" si="100"/>
        <v>0</v>
      </c>
      <c r="N970" s="212">
        <f t="shared" si="100"/>
        <v>0</v>
      </c>
      <c r="O970" s="212">
        <f t="shared" si="100"/>
        <v>0</v>
      </c>
      <c r="P970" s="155">
        <f t="shared" si="100"/>
        <v>0</v>
      </c>
      <c r="Q970" s="407"/>
      <c r="R970" s="407"/>
    </row>
    <row r="971" spans="1:18" ht="12.75" x14ac:dyDescent="0.2">
      <c r="A971" s="152">
        <v>6220000</v>
      </c>
      <c r="B971" s="73"/>
      <c r="C971" s="51" t="s">
        <v>921</v>
      </c>
      <c r="D971" s="89"/>
      <c r="E971" s="89"/>
      <c r="F971" s="89"/>
      <c r="G971" s="89"/>
      <c r="H971" s="89"/>
      <c r="I971" s="89"/>
      <c r="J971" s="212">
        <f t="shared" si="100"/>
        <v>0</v>
      </c>
      <c r="K971" s="212">
        <f t="shared" si="100"/>
        <v>0</v>
      </c>
      <c r="L971" s="212">
        <f t="shared" si="100"/>
        <v>0</v>
      </c>
      <c r="M971" s="212">
        <f t="shared" si="100"/>
        <v>0</v>
      </c>
      <c r="N971" s="212">
        <f t="shared" si="100"/>
        <v>0</v>
      </c>
      <c r="O971" s="212">
        <f t="shared" si="100"/>
        <v>0</v>
      </c>
      <c r="P971" s="155">
        <f t="shared" si="100"/>
        <v>0</v>
      </c>
      <c r="Q971" s="407"/>
      <c r="R971" s="407"/>
    </row>
    <row r="972" spans="1:18" ht="12.75" x14ac:dyDescent="0.2">
      <c r="A972" s="152">
        <v>6220000</v>
      </c>
      <c r="B972" s="73"/>
      <c r="C972" s="51" t="s">
        <v>1022</v>
      </c>
      <c r="D972" s="89"/>
      <c r="E972" s="89"/>
      <c r="F972" s="89"/>
      <c r="G972" s="89"/>
      <c r="H972" s="89"/>
      <c r="I972" s="89"/>
      <c r="J972" s="212">
        <f t="shared" si="100"/>
        <v>0</v>
      </c>
      <c r="K972" s="212">
        <f t="shared" si="100"/>
        <v>0</v>
      </c>
      <c r="L972" s="212">
        <f t="shared" si="100"/>
        <v>0</v>
      </c>
      <c r="M972" s="212">
        <f t="shared" si="100"/>
        <v>0</v>
      </c>
      <c r="N972" s="212">
        <f t="shared" si="100"/>
        <v>0</v>
      </c>
      <c r="O972" s="212">
        <f t="shared" si="100"/>
        <v>0</v>
      </c>
      <c r="P972" s="155">
        <f t="shared" si="100"/>
        <v>0</v>
      </c>
      <c r="Q972" s="407"/>
      <c r="R972" s="407"/>
    </row>
    <row r="973" spans="1:18" ht="12.75" x14ac:dyDescent="0.2">
      <c r="A973" s="152">
        <v>6220000</v>
      </c>
      <c r="B973" s="73"/>
      <c r="C973" s="51" t="s">
        <v>1023</v>
      </c>
      <c r="D973" s="89"/>
      <c r="E973" s="89"/>
      <c r="F973" s="89"/>
      <c r="G973" s="89"/>
      <c r="H973" s="89"/>
      <c r="I973" s="89"/>
      <c r="J973" s="212">
        <f t="shared" ref="J973:P982" si="101">SUMIFS(J$26:J$180,$A$26:$A$180,$A973,$C$26:$C$180,$C973)</f>
        <v>0</v>
      </c>
      <c r="K973" s="212">
        <f t="shared" si="101"/>
        <v>0</v>
      </c>
      <c r="L973" s="212">
        <f t="shared" si="101"/>
        <v>0</v>
      </c>
      <c r="M973" s="212">
        <f t="shared" si="101"/>
        <v>0</v>
      </c>
      <c r="N973" s="212">
        <f t="shared" si="101"/>
        <v>0</v>
      </c>
      <c r="O973" s="212">
        <f t="shared" si="101"/>
        <v>0</v>
      </c>
      <c r="P973" s="155">
        <f t="shared" si="101"/>
        <v>0</v>
      </c>
      <c r="Q973" s="407"/>
      <c r="R973" s="407"/>
    </row>
    <row r="974" spans="1:18" ht="12.75" x14ac:dyDescent="0.2">
      <c r="A974" s="152">
        <v>6220000</v>
      </c>
      <c r="B974" s="73"/>
      <c r="C974" s="51" t="s">
        <v>137</v>
      </c>
      <c r="D974" s="89"/>
      <c r="E974" s="89"/>
      <c r="F974" s="89"/>
      <c r="G974" s="89"/>
      <c r="H974" s="89"/>
      <c r="I974" s="89"/>
      <c r="J974" s="212">
        <f t="shared" si="101"/>
        <v>0</v>
      </c>
      <c r="K974" s="212">
        <f t="shared" si="101"/>
        <v>0</v>
      </c>
      <c r="L974" s="212">
        <f t="shared" si="101"/>
        <v>0</v>
      </c>
      <c r="M974" s="212">
        <f t="shared" si="101"/>
        <v>0</v>
      </c>
      <c r="N974" s="212">
        <f t="shared" si="101"/>
        <v>0</v>
      </c>
      <c r="O974" s="212">
        <f t="shared" si="101"/>
        <v>0</v>
      </c>
      <c r="P974" s="155">
        <f t="shared" si="101"/>
        <v>0</v>
      </c>
      <c r="Q974" s="407"/>
      <c r="R974" s="407"/>
    </row>
    <row r="975" spans="1:18" ht="12.75" x14ac:dyDescent="0.2">
      <c r="A975" s="152">
        <v>6220000</v>
      </c>
      <c r="B975" s="73"/>
      <c r="C975" s="51" t="s">
        <v>956</v>
      </c>
      <c r="D975" s="89"/>
      <c r="E975" s="89"/>
      <c r="F975" s="89"/>
      <c r="G975" s="89"/>
      <c r="H975" s="89"/>
      <c r="I975" s="89"/>
      <c r="J975" s="212">
        <f t="shared" si="101"/>
        <v>0</v>
      </c>
      <c r="K975" s="212">
        <f t="shared" si="101"/>
        <v>0</v>
      </c>
      <c r="L975" s="212">
        <f t="shared" si="101"/>
        <v>0</v>
      </c>
      <c r="M975" s="212">
        <f t="shared" si="101"/>
        <v>0</v>
      </c>
      <c r="N975" s="212">
        <f t="shared" si="101"/>
        <v>0</v>
      </c>
      <c r="O975" s="212">
        <f t="shared" si="101"/>
        <v>0</v>
      </c>
      <c r="P975" s="155">
        <f t="shared" si="101"/>
        <v>0</v>
      </c>
      <c r="Q975" s="407"/>
      <c r="R975" s="407"/>
    </row>
    <row r="976" spans="1:18" ht="12.75" x14ac:dyDescent="0.2">
      <c r="A976" s="152">
        <v>6220000</v>
      </c>
      <c r="B976" s="73"/>
      <c r="C976" s="51" t="s">
        <v>1045</v>
      </c>
      <c r="D976" s="89"/>
      <c r="E976" s="89"/>
      <c r="F976" s="89"/>
      <c r="G976" s="89"/>
      <c r="H976" s="89"/>
      <c r="I976" s="89"/>
      <c r="J976" s="212">
        <f t="shared" si="101"/>
        <v>0</v>
      </c>
      <c r="K976" s="212">
        <f t="shared" si="101"/>
        <v>0</v>
      </c>
      <c r="L976" s="212">
        <f t="shared" si="101"/>
        <v>0</v>
      </c>
      <c r="M976" s="212">
        <f t="shared" si="101"/>
        <v>0</v>
      </c>
      <c r="N976" s="212">
        <f t="shared" si="101"/>
        <v>0</v>
      </c>
      <c r="O976" s="212">
        <f t="shared" si="101"/>
        <v>0</v>
      </c>
      <c r="P976" s="155">
        <f t="shared" si="101"/>
        <v>0</v>
      </c>
      <c r="Q976" s="407"/>
      <c r="R976" s="407"/>
    </row>
    <row r="977" spans="1:18" ht="12.75" x14ac:dyDescent="0.2">
      <c r="A977" s="152">
        <v>6220000</v>
      </c>
      <c r="B977" s="73"/>
      <c r="C977" s="51" t="s">
        <v>1046</v>
      </c>
      <c r="D977" s="89"/>
      <c r="E977" s="89"/>
      <c r="F977" s="89"/>
      <c r="G977" s="89"/>
      <c r="H977" s="89"/>
      <c r="I977" s="89"/>
      <c r="J977" s="212">
        <f t="shared" si="101"/>
        <v>0</v>
      </c>
      <c r="K977" s="212">
        <f t="shared" si="101"/>
        <v>0</v>
      </c>
      <c r="L977" s="212">
        <f t="shared" si="101"/>
        <v>0</v>
      </c>
      <c r="M977" s="212">
        <f t="shared" si="101"/>
        <v>0</v>
      </c>
      <c r="N977" s="212">
        <f t="shared" si="101"/>
        <v>0</v>
      </c>
      <c r="O977" s="212">
        <f t="shared" si="101"/>
        <v>0</v>
      </c>
      <c r="P977" s="155">
        <f t="shared" si="101"/>
        <v>0</v>
      </c>
      <c r="Q977" s="407"/>
      <c r="R977" s="407"/>
    </row>
    <row r="978" spans="1:18" ht="12.75" x14ac:dyDescent="0.2">
      <c r="A978" s="152">
        <v>6220000</v>
      </c>
      <c r="B978" s="73"/>
      <c r="C978" s="51" t="s">
        <v>1036</v>
      </c>
      <c r="D978" s="89"/>
      <c r="E978" s="89"/>
      <c r="F978" s="89"/>
      <c r="G978" s="89"/>
      <c r="H978" s="89"/>
      <c r="I978" s="89"/>
      <c r="J978" s="212">
        <f t="shared" si="101"/>
        <v>0</v>
      </c>
      <c r="K978" s="212">
        <f t="shared" si="101"/>
        <v>0</v>
      </c>
      <c r="L978" s="212">
        <f t="shared" si="101"/>
        <v>0</v>
      </c>
      <c r="M978" s="212">
        <f t="shared" si="101"/>
        <v>0</v>
      </c>
      <c r="N978" s="212">
        <f t="shared" si="101"/>
        <v>0</v>
      </c>
      <c r="O978" s="212">
        <f t="shared" si="101"/>
        <v>0</v>
      </c>
      <c r="P978" s="155">
        <f t="shared" si="101"/>
        <v>0</v>
      </c>
      <c r="Q978" s="407"/>
      <c r="R978" s="407"/>
    </row>
    <row r="979" spans="1:18" ht="12.75" x14ac:dyDescent="0.2">
      <c r="A979" s="152">
        <v>6220000</v>
      </c>
      <c r="B979" s="73"/>
      <c r="C979" s="51" t="s">
        <v>1037</v>
      </c>
      <c r="D979" s="89"/>
      <c r="E979" s="89"/>
      <c r="F979" s="89"/>
      <c r="G979" s="89"/>
      <c r="H979" s="89"/>
      <c r="I979" s="89"/>
      <c r="J979" s="212">
        <f t="shared" si="101"/>
        <v>0</v>
      </c>
      <c r="K979" s="212">
        <f t="shared" si="101"/>
        <v>0</v>
      </c>
      <c r="L979" s="212">
        <f t="shared" si="101"/>
        <v>0</v>
      </c>
      <c r="M979" s="212">
        <f t="shared" si="101"/>
        <v>0</v>
      </c>
      <c r="N979" s="212">
        <f t="shared" si="101"/>
        <v>0</v>
      </c>
      <c r="O979" s="212">
        <f t="shared" si="101"/>
        <v>0</v>
      </c>
      <c r="P979" s="155">
        <f t="shared" si="101"/>
        <v>0</v>
      </c>
      <c r="Q979" s="407"/>
      <c r="R979" s="407"/>
    </row>
    <row r="980" spans="1:18" ht="12.75" x14ac:dyDescent="0.2">
      <c r="A980" s="152">
        <v>6220000</v>
      </c>
      <c r="B980" s="73"/>
      <c r="C980" s="51" t="s">
        <v>990</v>
      </c>
      <c r="D980" s="89"/>
      <c r="E980" s="89"/>
      <c r="F980" s="89"/>
      <c r="G980" s="89"/>
      <c r="H980" s="89"/>
      <c r="I980" s="89"/>
      <c r="J980" s="212">
        <f t="shared" si="101"/>
        <v>0</v>
      </c>
      <c r="K980" s="212">
        <f t="shared" si="101"/>
        <v>0</v>
      </c>
      <c r="L980" s="212">
        <f t="shared" si="101"/>
        <v>0</v>
      </c>
      <c r="M980" s="212">
        <f t="shared" si="101"/>
        <v>0</v>
      </c>
      <c r="N980" s="212">
        <f t="shared" si="101"/>
        <v>0</v>
      </c>
      <c r="O980" s="212">
        <f t="shared" si="101"/>
        <v>0</v>
      </c>
      <c r="P980" s="155">
        <f t="shared" si="101"/>
        <v>0</v>
      </c>
      <c r="Q980" s="407"/>
      <c r="R980" s="407"/>
    </row>
    <row r="981" spans="1:18" ht="12.75" x14ac:dyDescent="0.2">
      <c r="A981" s="152">
        <v>6220000</v>
      </c>
      <c r="B981" s="73"/>
      <c r="C981" s="51" t="s">
        <v>1040</v>
      </c>
      <c r="D981" s="89"/>
      <c r="E981" s="89"/>
      <c r="F981" s="89"/>
      <c r="G981" s="89"/>
      <c r="H981" s="89"/>
      <c r="I981" s="89"/>
      <c r="J981" s="212">
        <f t="shared" si="101"/>
        <v>0</v>
      </c>
      <c r="K981" s="212">
        <f t="shared" si="101"/>
        <v>0</v>
      </c>
      <c r="L981" s="212">
        <f t="shared" si="101"/>
        <v>0</v>
      </c>
      <c r="M981" s="212">
        <f t="shared" si="101"/>
        <v>0</v>
      </c>
      <c r="N981" s="212">
        <f t="shared" si="101"/>
        <v>0</v>
      </c>
      <c r="O981" s="212">
        <f t="shared" si="101"/>
        <v>0</v>
      </c>
      <c r="P981" s="155">
        <f t="shared" si="101"/>
        <v>0</v>
      </c>
      <c r="Q981" s="407"/>
      <c r="R981" s="407"/>
    </row>
    <row r="982" spans="1:18" ht="12.75" x14ac:dyDescent="0.2">
      <c r="A982" s="152">
        <v>6220000</v>
      </c>
      <c r="B982" s="73"/>
      <c r="C982" s="51" t="s">
        <v>991</v>
      </c>
      <c r="D982" s="89"/>
      <c r="E982" s="89"/>
      <c r="F982" s="89"/>
      <c r="G982" s="89"/>
      <c r="H982" s="89"/>
      <c r="I982" s="89"/>
      <c r="J982" s="212">
        <f t="shared" si="101"/>
        <v>0</v>
      </c>
      <c r="K982" s="212">
        <f t="shared" si="101"/>
        <v>0</v>
      </c>
      <c r="L982" s="212">
        <f t="shared" si="101"/>
        <v>0</v>
      </c>
      <c r="M982" s="212">
        <f t="shared" si="101"/>
        <v>0</v>
      </c>
      <c r="N982" s="212">
        <f t="shared" si="101"/>
        <v>0</v>
      </c>
      <c r="O982" s="212">
        <f t="shared" si="101"/>
        <v>0</v>
      </c>
      <c r="P982" s="155">
        <f t="shared" si="101"/>
        <v>0</v>
      </c>
      <c r="Q982" s="407"/>
      <c r="R982" s="407"/>
    </row>
    <row r="983" spans="1:18" ht="12.75" x14ac:dyDescent="0.2">
      <c r="A983" s="152">
        <v>6220000</v>
      </c>
      <c r="B983" s="73"/>
      <c r="C983" s="51" t="s">
        <v>959</v>
      </c>
      <c r="D983" s="89"/>
      <c r="E983" s="89"/>
      <c r="F983" s="89"/>
      <c r="G983" s="89"/>
      <c r="H983" s="89"/>
      <c r="I983" s="89"/>
      <c r="J983" s="212">
        <f t="shared" ref="J983:P992" si="102">SUMIFS(J$26:J$180,$A$26:$A$180,$A983,$C$26:$C$180,$C983)</f>
        <v>0</v>
      </c>
      <c r="K983" s="212">
        <f t="shared" si="102"/>
        <v>0</v>
      </c>
      <c r="L983" s="212">
        <f t="shared" si="102"/>
        <v>0</v>
      </c>
      <c r="M983" s="212">
        <f t="shared" si="102"/>
        <v>0</v>
      </c>
      <c r="N983" s="212">
        <f t="shared" si="102"/>
        <v>0</v>
      </c>
      <c r="O983" s="212">
        <f t="shared" si="102"/>
        <v>0</v>
      </c>
      <c r="P983" s="155">
        <f t="shared" si="102"/>
        <v>0</v>
      </c>
      <c r="Q983" s="407"/>
      <c r="R983" s="407"/>
    </row>
    <row r="984" spans="1:18" ht="12.75" x14ac:dyDescent="0.2">
      <c r="A984" s="152">
        <v>6220000</v>
      </c>
      <c r="B984" s="73"/>
      <c r="C984" s="51" t="s">
        <v>964</v>
      </c>
      <c r="D984" s="89"/>
      <c r="E984" s="89"/>
      <c r="F984" s="89"/>
      <c r="G984" s="89"/>
      <c r="H984" s="89"/>
      <c r="I984" s="89"/>
      <c r="J984" s="212">
        <f t="shared" si="102"/>
        <v>0</v>
      </c>
      <c r="K984" s="212">
        <f t="shared" si="102"/>
        <v>0</v>
      </c>
      <c r="L984" s="212">
        <f t="shared" si="102"/>
        <v>0</v>
      </c>
      <c r="M984" s="212">
        <f t="shared" si="102"/>
        <v>0</v>
      </c>
      <c r="N984" s="212">
        <f t="shared" si="102"/>
        <v>0</v>
      </c>
      <c r="O984" s="212">
        <f t="shared" si="102"/>
        <v>0</v>
      </c>
      <c r="P984" s="155">
        <f t="shared" si="102"/>
        <v>0</v>
      </c>
      <c r="Q984" s="407"/>
      <c r="R984" s="407"/>
    </row>
    <row r="985" spans="1:18" ht="12.75" x14ac:dyDescent="0.2">
      <c r="A985" s="152">
        <v>6220000</v>
      </c>
      <c r="B985" s="73"/>
      <c r="C985" s="51" t="s">
        <v>1003</v>
      </c>
      <c r="D985" s="89"/>
      <c r="E985" s="89"/>
      <c r="F985" s="89"/>
      <c r="G985" s="89"/>
      <c r="H985" s="89"/>
      <c r="I985" s="89"/>
      <c r="J985" s="212">
        <f t="shared" si="102"/>
        <v>0</v>
      </c>
      <c r="K985" s="212">
        <f t="shared" si="102"/>
        <v>0</v>
      </c>
      <c r="L985" s="212">
        <f t="shared" si="102"/>
        <v>0</v>
      </c>
      <c r="M985" s="212">
        <f t="shared" si="102"/>
        <v>0</v>
      </c>
      <c r="N985" s="212">
        <f t="shared" si="102"/>
        <v>0</v>
      </c>
      <c r="O985" s="212">
        <f t="shared" si="102"/>
        <v>0</v>
      </c>
      <c r="P985" s="155">
        <f t="shared" si="102"/>
        <v>0</v>
      </c>
      <c r="Q985" s="407"/>
      <c r="R985" s="407"/>
    </row>
    <row r="986" spans="1:18" ht="12.75" x14ac:dyDescent="0.2">
      <c r="A986" s="152">
        <v>6220000</v>
      </c>
      <c r="B986" s="73"/>
      <c r="C986" s="51" t="s">
        <v>992</v>
      </c>
      <c r="D986" s="89"/>
      <c r="E986" s="89"/>
      <c r="F986" s="89"/>
      <c r="G986" s="89"/>
      <c r="H986" s="89"/>
      <c r="I986" s="89"/>
      <c r="J986" s="212">
        <f t="shared" si="102"/>
        <v>0</v>
      </c>
      <c r="K986" s="212">
        <f t="shared" si="102"/>
        <v>0</v>
      </c>
      <c r="L986" s="212">
        <f t="shared" si="102"/>
        <v>0</v>
      </c>
      <c r="M986" s="212">
        <f t="shared" si="102"/>
        <v>0</v>
      </c>
      <c r="N986" s="212">
        <f t="shared" si="102"/>
        <v>0</v>
      </c>
      <c r="O986" s="212">
        <f t="shared" si="102"/>
        <v>0</v>
      </c>
      <c r="P986" s="155">
        <f t="shared" si="102"/>
        <v>0</v>
      </c>
      <c r="Q986" s="407"/>
      <c r="R986" s="407"/>
    </row>
    <row r="987" spans="1:18" ht="12.75" x14ac:dyDescent="0.2">
      <c r="A987" s="152">
        <v>6220000</v>
      </c>
      <c r="B987" s="73"/>
      <c r="C987" s="51" t="s">
        <v>994</v>
      </c>
      <c r="D987" s="89"/>
      <c r="E987" s="89"/>
      <c r="F987" s="89"/>
      <c r="G987" s="89"/>
      <c r="H987" s="89"/>
      <c r="I987" s="89"/>
      <c r="J987" s="212">
        <f t="shared" si="102"/>
        <v>0</v>
      </c>
      <c r="K987" s="212">
        <f t="shared" si="102"/>
        <v>0</v>
      </c>
      <c r="L987" s="212">
        <f t="shared" si="102"/>
        <v>0</v>
      </c>
      <c r="M987" s="212">
        <f t="shared" si="102"/>
        <v>0</v>
      </c>
      <c r="N987" s="212">
        <f t="shared" si="102"/>
        <v>0</v>
      </c>
      <c r="O987" s="212">
        <f t="shared" si="102"/>
        <v>0</v>
      </c>
      <c r="P987" s="155">
        <f t="shared" si="102"/>
        <v>0</v>
      </c>
      <c r="Q987" s="407"/>
      <c r="R987" s="407"/>
    </row>
    <row r="988" spans="1:18" ht="12.75" x14ac:dyDescent="0.2">
      <c r="A988" s="152">
        <v>6220000</v>
      </c>
      <c r="B988" s="73"/>
      <c r="C988" s="51" t="s">
        <v>993</v>
      </c>
      <c r="D988" s="89"/>
      <c r="E988" s="89"/>
      <c r="F988" s="89"/>
      <c r="G988" s="89"/>
      <c r="H988" s="89"/>
      <c r="I988" s="89"/>
      <c r="J988" s="212">
        <f t="shared" si="102"/>
        <v>0</v>
      </c>
      <c r="K988" s="212">
        <f t="shared" si="102"/>
        <v>0</v>
      </c>
      <c r="L988" s="212">
        <f t="shared" si="102"/>
        <v>14500</v>
      </c>
      <c r="M988" s="212">
        <f t="shared" si="102"/>
        <v>0</v>
      </c>
      <c r="N988" s="212">
        <f t="shared" si="102"/>
        <v>0</v>
      </c>
      <c r="O988" s="212">
        <f t="shared" si="102"/>
        <v>0</v>
      </c>
      <c r="P988" s="155">
        <f t="shared" si="102"/>
        <v>14500</v>
      </c>
      <c r="Q988" s="407"/>
      <c r="R988" s="407"/>
    </row>
    <row r="989" spans="1:18" ht="12.75" x14ac:dyDescent="0.2">
      <c r="A989" s="152">
        <v>6220000</v>
      </c>
      <c r="B989" s="73"/>
      <c r="C989" s="51" t="s">
        <v>995</v>
      </c>
      <c r="D989" s="89"/>
      <c r="E989" s="89"/>
      <c r="F989" s="89"/>
      <c r="G989" s="89"/>
      <c r="H989" s="89"/>
      <c r="I989" s="89"/>
      <c r="J989" s="212">
        <f t="shared" si="102"/>
        <v>0</v>
      </c>
      <c r="K989" s="212">
        <f t="shared" si="102"/>
        <v>0</v>
      </c>
      <c r="L989" s="212">
        <f t="shared" si="102"/>
        <v>0</v>
      </c>
      <c r="M989" s="212">
        <f t="shared" si="102"/>
        <v>0</v>
      </c>
      <c r="N989" s="212">
        <f t="shared" si="102"/>
        <v>0</v>
      </c>
      <c r="O989" s="212">
        <f t="shared" si="102"/>
        <v>0</v>
      </c>
      <c r="P989" s="155">
        <f t="shared" si="102"/>
        <v>0</v>
      </c>
      <c r="Q989" s="407"/>
      <c r="R989" s="407"/>
    </row>
    <row r="990" spans="1:18" ht="12.75" x14ac:dyDescent="0.2">
      <c r="A990" s="152">
        <v>6220000</v>
      </c>
      <c r="B990" s="73"/>
      <c r="C990" s="51" t="s">
        <v>1001</v>
      </c>
      <c r="D990" s="89"/>
      <c r="E990" s="89"/>
      <c r="F990" s="89"/>
      <c r="G990" s="89"/>
      <c r="H990" s="89"/>
      <c r="I990" s="89"/>
      <c r="J990" s="212">
        <f t="shared" si="102"/>
        <v>0</v>
      </c>
      <c r="K990" s="212">
        <f t="shared" si="102"/>
        <v>0</v>
      </c>
      <c r="L990" s="212">
        <f t="shared" si="102"/>
        <v>0</v>
      </c>
      <c r="M990" s="212">
        <f t="shared" si="102"/>
        <v>0</v>
      </c>
      <c r="N990" s="212">
        <f t="shared" si="102"/>
        <v>0</v>
      </c>
      <c r="O990" s="212">
        <f t="shared" si="102"/>
        <v>0</v>
      </c>
      <c r="P990" s="155">
        <f t="shared" si="102"/>
        <v>0</v>
      </c>
      <c r="Q990" s="407"/>
      <c r="R990" s="407"/>
    </row>
    <row r="991" spans="1:18" ht="12.75" x14ac:dyDescent="0.2">
      <c r="A991" s="152">
        <v>6220000</v>
      </c>
      <c r="B991" s="73"/>
      <c r="C991" s="51" t="s">
        <v>978</v>
      </c>
      <c r="D991" s="89"/>
      <c r="E991" s="89"/>
      <c r="F991" s="89"/>
      <c r="G991" s="89"/>
      <c r="H991" s="89"/>
      <c r="I991" s="89"/>
      <c r="J991" s="212">
        <f t="shared" si="102"/>
        <v>0</v>
      </c>
      <c r="K991" s="212">
        <f t="shared" si="102"/>
        <v>0</v>
      </c>
      <c r="L991" s="212">
        <f t="shared" si="102"/>
        <v>0</v>
      </c>
      <c r="M991" s="212">
        <f t="shared" si="102"/>
        <v>0</v>
      </c>
      <c r="N991" s="212">
        <f t="shared" si="102"/>
        <v>0</v>
      </c>
      <c r="O991" s="212">
        <f t="shared" si="102"/>
        <v>0</v>
      </c>
      <c r="P991" s="155">
        <f t="shared" si="102"/>
        <v>0</v>
      </c>
      <c r="Q991" s="407"/>
      <c r="R991" s="407"/>
    </row>
    <row r="992" spans="1:18" ht="12.75" x14ac:dyDescent="0.2">
      <c r="A992" s="152">
        <v>6220000</v>
      </c>
      <c r="B992" s="73"/>
      <c r="C992" s="51" t="s">
        <v>494</v>
      </c>
      <c r="D992" s="89"/>
      <c r="E992" s="89"/>
      <c r="F992" s="89"/>
      <c r="G992" s="89"/>
      <c r="H992" s="89"/>
      <c r="I992" s="89"/>
      <c r="J992" s="212">
        <f t="shared" si="102"/>
        <v>0</v>
      </c>
      <c r="K992" s="212">
        <f t="shared" si="102"/>
        <v>0</v>
      </c>
      <c r="L992" s="212">
        <f t="shared" si="102"/>
        <v>0</v>
      </c>
      <c r="M992" s="212">
        <f t="shared" si="102"/>
        <v>0</v>
      </c>
      <c r="N992" s="212">
        <f t="shared" si="102"/>
        <v>0</v>
      </c>
      <c r="O992" s="212">
        <f t="shared" si="102"/>
        <v>0</v>
      </c>
      <c r="P992" s="155">
        <f t="shared" si="102"/>
        <v>0</v>
      </c>
      <c r="Q992" s="407"/>
      <c r="R992" s="407"/>
    </row>
    <row r="993" spans="1:18" ht="12.75" x14ac:dyDescent="0.2">
      <c r="A993" s="152">
        <v>6220000</v>
      </c>
      <c r="B993" s="73"/>
      <c r="C993" s="51" t="s">
        <v>976</v>
      </c>
      <c r="D993" s="89"/>
      <c r="E993" s="89"/>
      <c r="F993" s="89"/>
      <c r="G993" s="89"/>
      <c r="H993" s="89"/>
      <c r="I993" s="89"/>
      <c r="J993" s="212">
        <f t="shared" ref="J993:P1002" si="103">SUMIFS(J$26:J$180,$A$26:$A$180,$A993,$C$26:$C$180,$C993)</f>
        <v>0</v>
      </c>
      <c r="K993" s="212">
        <f t="shared" si="103"/>
        <v>0</v>
      </c>
      <c r="L993" s="212">
        <f t="shared" si="103"/>
        <v>0</v>
      </c>
      <c r="M993" s="212">
        <f t="shared" si="103"/>
        <v>0</v>
      </c>
      <c r="N993" s="212">
        <f t="shared" si="103"/>
        <v>0</v>
      </c>
      <c r="O993" s="212">
        <f t="shared" si="103"/>
        <v>0</v>
      </c>
      <c r="P993" s="155">
        <f t="shared" si="103"/>
        <v>0</v>
      </c>
      <c r="Q993" s="407"/>
      <c r="R993" s="407"/>
    </row>
    <row r="994" spans="1:18" ht="12.75" x14ac:dyDescent="0.2">
      <c r="A994" s="152">
        <v>6220000</v>
      </c>
      <c r="B994" s="73"/>
      <c r="C994" s="51" t="s">
        <v>1002</v>
      </c>
      <c r="D994" s="89"/>
      <c r="E994" s="89"/>
      <c r="F994" s="89"/>
      <c r="G994" s="89"/>
      <c r="H994" s="89"/>
      <c r="I994" s="89"/>
      <c r="J994" s="212">
        <f t="shared" si="103"/>
        <v>0</v>
      </c>
      <c r="K994" s="212">
        <f t="shared" si="103"/>
        <v>0</v>
      </c>
      <c r="L994" s="212">
        <f t="shared" si="103"/>
        <v>0</v>
      </c>
      <c r="M994" s="212">
        <f t="shared" si="103"/>
        <v>0</v>
      </c>
      <c r="N994" s="212">
        <f t="shared" si="103"/>
        <v>0</v>
      </c>
      <c r="O994" s="212">
        <f t="shared" si="103"/>
        <v>0</v>
      </c>
      <c r="P994" s="155">
        <f t="shared" si="103"/>
        <v>0</v>
      </c>
      <c r="Q994" s="407"/>
      <c r="R994" s="407"/>
    </row>
    <row r="995" spans="1:18" ht="12.75" x14ac:dyDescent="0.2">
      <c r="A995" s="152">
        <v>6220000</v>
      </c>
      <c r="B995" s="73"/>
      <c r="C995" s="51" t="s">
        <v>1014</v>
      </c>
      <c r="D995" s="89"/>
      <c r="E995" s="89"/>
      <c r="F995" s="89"/>
      <c r="G995" s="89"/>
      <c r="H995" s="89"/>
      <c r="I995" s="89"/>
      <c r="J995" s="212">
        <f t="shared" si="103"/>
        <v>0</v>
      </c>
      <c r="K995" s="212">
        <f t="shared" si="103"/>
        <v>0</v>
      </c>
      <c r="L995" s="212">
        <f t="shared" si="103"/>
        <v>0</v>
      </c>
      <c r="M995" s="212">
        <f t="shared" si="103"/>
        <v>0</v>
      </c>
      <c r="N995" s="212">
        <f t="shared" si="103"/>
        <v>0</v>
      </c>
      <c r="O995" s="212">
        <f t="shared" si="103"/>
        <v>0</v>
      </c>
      <c r="P995" s="155">
        <f t="shared" si="103"/>
        <v>0</v>
      </c>
      <c r="Q995" s="407"/>
      <c r="R995" s="407"/>
    </row>
    <row r="996" spans="1:18" ht="12.75" x14ac:dyDescent="0.2">
      <c r="A996" s="152">
        <v>6220000</v>
      </c>
      <c r="B996" s="73"/>
      <c r="C996" s="51" t="s">
        <v>998</v>
      </c>
      <c r="D996" s="89"/>
      <c r="E996" s="89"/>
      <c r="F996" s="89"/>
      <c r="G996" s="89"/>
      <c r="H996" s="89"/>
      <c r="I996" s="89"/>
      <c r="J996" s="212">
        <f t="shared" si="103"/>
        <v>0</v>
      </c>
      <c r="K996" s="212">
        <f t="shared" si="103"/>
        <v>0</v>
      </c>
      <c r="L996" s="212">
        <f t="shared" si="103"/>
        <v>0</v>
      </c>
      <c r="M996" s="212">
        <f t="shared" si="103"/>
        <v>0</v>
      </c>
      <c r="N996" s="212">
        <f t="shared" si="103"/>
        <v>0</v>
      </c>
      <c r="O996" s="212">
        <f t="shared" si="103"/>
        <v>0</v>
      </c>
      <c r="P996" s="155">
        <f t="shared" si="103"/>
        <v>0</v>
      </c>
      <c r="Q996" s="407"/>
      <c r="R996" s="407"/>
    </row>
    <row r="997" spans="1:18" ht="12.75" x14ac:dyDescent="0.2">
      <c r="A997" s="152">
        <v>6220000</v>
      </c>
      <c r="B997" s="73"/>
      <c r="C997" s="51" t="s">
        <v>996</v>
      </c>
      <c r="D997" s="89"/>
      <c r="E997" s="89"/>
      <c r="F997" s="89"/>
      <c r="G997" s="89"/>
      <c r="H997" s="89"/>
      <c r="I997" s="89"/>
      <c r="J997" s="212">
        <f t="shared" si="103"/>
        <v>0</v>
      </c>
      <c r="K997" s="212">
        <f t="shared" si="103"/>
        <v>0</v>
      </c>
      <c r="L997" s="212">
        <f t="shared" si="103"/>
        <v>0</v>
      </c>
      <c r="M997" s="212">
        <f t="shared" si="103"/>
        <v>0</v>
      </c>
      <c r="N997" s="212">
        <f t="shared" si="103"/>
        <v>0</v>
      </c>
      <c r="O997" s="212">
        <f t="shared" si="103"/>
        <v>0</v>
      </c>
      <c r="P997" s="155">
        <f t="shared" si="103"/>
        <v>0</v>
      </c>
      <c r="Q997" s="407"/>
      <c r="R997" s="407"/>
    </row>
    <row r="998" spans="1:18" ht="12.75" x14ac:dyDescent="0.2">
      <c r="A998" s="152">
        <v>6220000</v>
      </c>
      <c r="B998" s="73"/>
      <c r="C998" s="51" t="s">
        <v>1043</v>
      </c>
      <c r="D998" s="89"/>
      <c r="E998" s="89"/>
      <c r="F998" s="89"/>
      <c r="G998" s="89"/>
      <c r="H998" s="89"/>
      <c r="I998" s="89"/>
      <c r="J998" s="212">
        <f t="shared" si="103"/>
        <v>0</v>
      </c>
      <c r="K998" s="212">
        <f t="shared" si="103"/>
        <v>0</v>
      </c>
      <c r="L998" s="212">
        <f t="shared" si="103"/>
        <v>0</v>
      </c>
      <c r="M998" s="212">
        <f t="shared" si="103"/>
        <v>0</v>
      </c>
      <c r="N998" s="212">
        <f t="shared" si="103"/>
        <v>0</v>
      </c>
      <c r="O998" s="212">
        <f t="shared" si="103"/>
        <v>0</v>
      </c>
      <c r="P998" s="155">
        <f t="shared" si="103"/>
        <v>0</v>
      </c>
      <c r="Q998" s="407"/>
      <c r="R998" s="407"/>
    </row>
    <row r="999" spans="1:18" ht="12.75" x14ac:dyDescent="0.2">
      <c r="A999" s="152">
        <v>6220000</v>
      </c>
      <c r="B999" s="73"/>
      <c r="C999" s="51" t="s">
        <v>1044</v>
      </c>
      <c r="D999" s="89"/>
      <c r="E999" s="89"/>
      <c r="F999" s="89"/>
      <c r="G999" s="89"/>
      <c r="H999" s="89"/>
      <c r="I999" s="89"/>
      <c r="J999" s="212">
        <f t="shared" si="103"/>
        <v>0</v>
      </c>
      <c r="K999" s="212">
        <f t="shared" si="103"/>
        <v>0</v>
      </c>
      <c r="L999" s="212">
        <f t="shared" si="103"/>
        <v>0</v>
      </c>
      <c r="M999" s="212">
        <f t="shared" si="103"/>
        <v>0</v>
      </c>
      <c r="N999" s="212">
        <f t="shared" si="103"/>
        <v>0</v>
      </c>
      <c r="O999" s="212">
        <f t="shared" si="103"/>
        <v>0</v>
      </c>
      <c r="P999" s="155">
        <f t="shared" si="103"/>
        <v>0</v>
      </c>
      <c r="Q999" s="407"/>
      <c r="R999" s="407"/>
    </row>
    <row r="1000" spans="1:18" ht="12.75" x14ac:dyDescent="0.2">
      <c r="A1000" s="152">
        <v>6220000</v>
      </c>
      <c r="B1000" s="73"/>
      <c r="C1000" s="51" t="s">
        <v>1039</v>
      </c>
      <c r="D1000" s="89"/>
      <c r="E1000" s="89"/>
      <c r="F1000" s="89"/>
      <c r="G1000" s="89"/>
      <c r="H1000" s="89"/>
      <c r="I1000" s="89"/>
      <c r="J1000" s="212">
        <f t="shared" si="103"/>
        <v>0</v>
      </c>
      <c r="K1000" s="212">
        <f t="shared" si="103"/>
        <v>0</v>
      </c>
      <c r="L1000" s="212">
        <f t="shared" si="103"/>
        <v>0</v>
      </c>
      <c r="M1000" s="212">
        <f t="shared" si="103"/>
        <v>0</v>
      </c>
      <c r="N1000" s="212">
        <f t="shared" si="103"/>
        <v>0</v>
      </c>
      <c r="O1000" s="212">
        <f t="shared" si="103"/>
        <v>0</v>
      </c>
      <c r="P1000" s="155">
        <f t="shared" si="103"/>
        <v>0</v>
      </c>
      <c r="Q1000" s="407"/>
      <c r="R1000" s="407"/>
    </row>
    <row r="1001" spans="1:18" ht="12.75" x14ac:dyDescent="0.2">
      <c r="A1001" s="152">
        <v>6220000</v>
      </c>
      <c r="B1001" s="73"/>
      <c r="C1001" s="51" t="s">
        <v>1028</v>
      </c>
      <c r="D1001" s="89"/>
      <c r="E1001" s="89"/>
      <c r="F1001" s="89"/>
      <c r="G1001" s="89"/>
      <c r="H1001" s="89"/>
      <c r="I1001" s="89"/>
      <c r="J1001" s="212">
        <f t="shared" si="103"/>
        <v>0</v>
      </c>
      <c r="K1001" s="212">
        <f t="shared" si="103"/>
        <v>0</v>
      </c>
      <c r="L1001" s="212">
        <f t="shared" si="103"/>
        <v>0</v>
      </c>
      <c r="M1001" s="212">
        <f t="shared" si="103"/>
        <v>0</v>
      </c>
      <c r="N1001" s="212">
        <f t="shared" si="103"/>
        <v>0</v>
      </c>
      <c r="O1001" s="212">
        <f t="shared" si="103"/>
        <v>0</v>
      </c>
      <c r="P1001" s="155">
        <f t="shared" si="103"/>
        <v>0</v>
      </c>
      <c r="Q1001" s="407"/>
      <c r="R1001" s="407"/>
    </row>
    <row r="1002" spans="1:18" ht="12.75" x14ac:dyDescent="0.2">
      <c r="A1002" s="152">
        <v>6220000</v>
      </c>
      <c r="B1002" s="73"/>
      <c r="C1002" s="51" t="s">
        <v>1029</v>
      </c>
      <c r="D1002" s="89"/>
      <c r="E1002" s="89"/>
      <c r="F1002" s="89"/>
      <c r="G1002" s="89"/>
      <c r="H1002" s="89"/>
      <c r="I1002" s="89"/>
      <c r="J1002" s="212">
        <f t="shared" si="103"/>
        <v>0</v>
      </c>
      <c r="K1002" s="212">
        <f t="shared" si="103"/>
        <v>0</v>
      </c>
      <c r="L1002" s="212">
        <f t="shared" si="103"/>
        <v>0</v>
      </c>
      <c r="M1002" s="212">
        <f t="shared" si="103"/>
        <v>0</v>
      </c>
      <c r="N1002" s="212">
        <f t="shared" si="103"/>
        <v>0</v>
      </c>
      <c r="O1002" s="212">
        <f t="shared" si="103"/>
        <v>0</v>
      </c>
      <c r="P1002" s="155">
        <f t="shared" si="103"/>
        <v>0</v>
      </c>
      <c r="Q1002" s="407"/>
      <c r="R1002" s="407"/>
    </row>
    <row r="1003" spans="1:18" ht="12.75" x14ac:dyDescent="0.2">
      <c r="A1003" s="152">
        <v>6220000</v>
      </c>
      <c r="B1003" s="73"/>
      <c r="C1003" s="51" t="s">
        <v>113</v>
      </c>
      <c r="D1003" s="89"/>
      <c r="E1003" s="89"/>
      <c r="F1003" s="89"/>
      <c r="G1003" s="89"/>
      <c r="H1003" s="89"/>
      <c r="I1003" s="89"/>
      <c r="J1003" s="212">
        <f t="shared" ref="J1003:P1012" si="104">SUMIFS(J$26:J$180,$A$26:$A$180,$A1003,$C$26:$C$180,$C1003)</f>
        <v>0</v>
      </c>
      <c r="K1003" s="212">
        <f t="shared" si="104"/>
        <v>0</v>
      </c>
      <c r="L1003" s="212">
        <f t="shared" si="104"/>
        <v>6000</v>
      </c>
      <c r="M1003" s="212">
        <f t="shared" si="104"/>
        <v>0</v>
      </c>
      <c r="N1003" s="212">
        <f t="shared" si="104"/>
        <v>0</v>
      </c>
      <c r="O1003" s="212">
        <f t="shared" si="104"/>
        <v>0</v>
      </c>
      <c r="P1003" s="155">
        <f t="shared" si="104"/>
        <v>6000</v>
      </c>
      <c r="Q1003" s="407"/>
      <c r="R1003" s="407"/>
    </row>
    <row r="1004" spans="1:18" ht="12.75" x14ac:dyDescent="0.2">
      <c r="A1004" s="152">
        <v>6220000</v>
      </c>
      <c r="B1004" s="73"/>
      <c r="C1004" s="51" t="s">
        <v>1038</v>
      </c>
      <c r="D1004" s="89"/>
      <c r="E1004" s="89"/>
      <c r="F1004" s="89"/>
      <c r="G1004" s="89"/>
      <c r="H1004" s="89"/>
      <c r="I1004" s="89"/>
      <c r="J1004" s="212">
        <f t="shared" si="104"/>
        <v>0</v>
      </c>
      <c r="K1004" s="212">
        <f t="shared" si="104"/>
        <v>0</v>
      </c>
      <c r="L1004" s="212">
        <f t="shared" si="104"/>
        <v>0</v>
      </c>
      <c r="M1004" s="212">
        <f t="shared" si="104"/>
        <v>0</v>
      </c>
      <c r="N1004" s="212">
        <f t="shared" si="104"/>
        <v>0</v>
      </c>
      <c r="O1004" s="212">
        <f t="shared" si="104"/>
        <v>0</v>
      </c>
      <c r="P1004" s="155">
        <f t="shared" si="104"/>
        <v>0</v>
      </c>
      <c r="Q1004" s="407"/>
      <c r="R1004" s="407"/>
    </row>
    <row r="1005" spans="1:18" ht="12.75" x14ac:dyDescent="0.2">
      <c r="A1005" s="152">
        <v>6220000</v>
      </c>
      <c r="B1005" s="73"/>
      <c r="C1005" s="51" t="s">
        <v>1033</v>
      </c>
      <c r="D1005" s="89"/>
      <c r="E1005" s="89"/>
      <c r="F1005" s="89"/>
      <c r="G1005" s="89"/>
      <c r="H1005" s="89"/>
      <c r="I1005" s="89"/>
      <c r="J1005" s="212">
        <f t="shared" si="104"/>
        <v>0</v>
      </c>
      <c r="K1005" s="212">
        <f t="shared" si="104"/>
        <v>0</v>
      </c>
      <c r="L1005" s="212">
        <f t="shared" si="104"/>
        <v>0</v>
      </c>
      <c r="M1005" s="212">
        <f t="shared" si="104"/>
        <v>0</v>
      </c>
      <c r="N1005" s="212">
        <f t="shared" si="104"/>
        <v>0</v>
      </c>
      <c r="O1005" s="212">
        <f t="shared" si="104"/>
        <v>0</v>
      </c>
      <c r="P1005" s="155">
        <f t="shared" si="104"/>
        <v>0</v>
      </c>
      <c r="Q1005" s="407"/>
      <c r="R1005" s="407"/>
    </row>
    <row r="1006" spans="1:18" ht="12.75" x14ac:dyDescent="0.2">
      <c r="A1006" s="152">
        <v>6220000</v>
      </c>
      <c r="B1006" s="73"/>
      <c r="C1006" s="51" t="s">
        <v>1007</v>
      </c>
      <c r="D1006" s="89"/>
      <c r="E1006" s="89"/>
      <c r="F1006" s="89"/>
      <c r="G1006" s="89"/>
      <c r="H1006" s="89"/>
      <c r="I1006" s="89"/>
      <c r="J1006" s="212">
        <f t="shared" si="104"/>
        <v>0</v>
      </c>
      <c r="K1006" s="212">
        <f t="shared" si="104"/>
        <v>0</v>
      </c>
      <c r="L1006" s="212">
        <f t="shared" si="104"/>
        <v>0</v>
      </c>
      <c r="M1006" s="212">
        <f t="shared" si="104"/>
        <v>0</v>
      </c>
      <c r="N1006" s="212">
        <f t="shared" si="104"/>
        <v>0</v>
      </c>
      <c r="O1006" s="212">
        <f t="shared" si="104"/>
        <v>0</v>
      </c>
      <c r="P1006" s="155">
        <f t="shared" si="104"/>
        <v>0</v>
      </c>
      <c r="Q1006" s="407"/>
      <c r="R1006" s="407"/>
    </row>
    <row r="1007" spans="1:18" ht="12.75" x14ac:dyDescent="0.2">
      <c r="A1007" s="152">
        <v>6220000</v>
      </c>
      <c r="B1007" s="73"/>
      <c r="C1007" s="51" t="s">
        <v>969</v>
      </c>
      <c r="D1007" s="89"/>
      <c r="E1007" s="89"/>
      <c r="F1007" s="89"/>
      <c r="G1007" s="89"/>
      <c r="H1007" s="89"/>
      <c r="I1007" s="89"/>
      <c r="J1007" s="212">
        <f t="shared" si="104"/>
        <v>0</v>
      </c>
      <c r="K1007" s="212">
        <f t="shared" si="104"/>
        <v>0</v>
      </c>
      <c r="L1007" s="212">
        <f t="shared" si="104"/>
        <v>0</v>
      </c>
      <c r="M1007" s="212">
        <f t="shared" si="104"/>
        <v>0</v>
      </c>
      <c r="N1007" s="212">
        <f t="shared" si="104"/>
        <v>0</v>
      </c>
      <c r="O1007" s="212">
        <f t="shared" si="104"/>
        <v>0</v>
      </c>
      <c r="P1007" s="155">
        <f t="shared" si="104"/>
        <v>0</v>
      </c>
      <c r="Q1007" s="407"/>
      <c r="R1007" s="407"/>
    </row>
    <row r="1008" spans="1:18" ht="12.75" x14ac:dyDescent="0.2">
      <c r="A1008" s="152">
        <v>6220000</v>
      </c>
      <c r="B1008" s="73"/>
      <c r="C1008" s="51" t="s">
        <v>987</v>
      </c>
      <c r="D1008" s="89"/>
      <c r="E1008" s="89"/>
      <c r="F1008" s="89"/>
      <c r="G1008" s="89"/>
      <c r="H1008" s="89"/>
      <c r="I1008" s="89"/>
      <c r="J1008" s="212">
        <f t="shared" si="104"/>
        <v>0</v>
      </c>
      <c r="K1008" s="212">
        <f t="shared" si="104"/>
        <v>0</v>
      </c>
      <c r="L1008" s="212">
        <f t="shared" si="104"/>
        <v>0</v>
      </c>
      <c r="M1008" s="212">
        <f t="shared" si="104"/>
        <v>0</v>
      </c>
      <c r="N1008" s="212">
        <f t="shared" si="104"/>
        <v>0</v>
      </c>
      <c r="O1008" s="212">
        <f t="shared" si="104"/>
        <v>0</v>
      </c>
      <c r="P1008" s="155">
        <f t="shared" si="104"/>
        <v>0</v>
      </c>
      <c r="Q1008" s="407"/>
      <c r="R1008" s="407"/>
    </row>
    <row r="1009" spans="1:18" ht="12.75" x14ac:dyDescent="0.2">
      <c r="A1009" s="152">
        <v>6220000</v>
      </c>
      <c r="B1009" s="73"/>
      <c r="C1009" s="51" t="s">
        <v>1000</v>
      </c>
      <c r="D1009" s="89"/>
      <c r="E1009" s="89"/>
      <c r="F1009" s="89"/>
      <c r="G1009" s="89"/>
      <c r="H1009" s="89"/>
      <c r="I1009" s="89"/>
      <c r="J1009" s="212">
        <f t="shared" si="104"/>
        <v>0</v>
      </c>
      <c r="K1009" s="212">
        <f t="shared" si="104"/>
        <v>0</v>
      </c>
      <c r="L1009" s="212">
        <f t="shared" si="104"/>
        <v>0</v>
      </c>
      <c r="M1009" s="212">
        <f t="shared" si="104"/>
        <v>0</v>
      </c>
      <c r="N1009" s="212">
        <f t="shared" si="104"/>
        <v>0</v>
      </c>
      <c r="O1009" s="212">
        <f t="shared" si="104"/>
        <v>0</v>
      </c>
      <c r="P1009" s="155">
        <f t="shared" si="104"/>
        <v>0</v>
      </c>
      <c r="Q1009" s="407"/>
      <c r="R1009" s="407"/>
    </row>
    <row r="1010" spans="1:18" ht="12.75" x14ac:dyDescent="0.2">
      <c r="A1010" s="152">
        <v>6220000</v>
      </c>
      <c r="B1010" s="73"/>
      <c r="C1010" s="51" t="s">
        <v>116</v>
      </c>
      <c r="D1010" s="89"/>
      <c r="E1010" s="89"/>
      <c r="F1010" s="89"/>
      <c r="G1010" s="89"/>
      <c r="H1010" s="89"/>
      <c r="I1010" s="89"/>
      <c r="J1010" s="212">
        <f t="shared" si="104"/>
        <v>0</v>
      </c>
      <c r="K1010" s="212">
        <f t="shared" si="104"/>
        <v>0</v>
      </c>
      <c r="L1010" s="212">
        <f t="shared" si="104"/>
        <v>0</v>
      </c>
      <c r="M1010" s="212">
        <f t="shared" si="104"/>
        <v>0</v>
      </c>
      <c r="N1010" s="212">
        <f t="shared" si="104"/>
        <v>0</v>
      </c>
      <c r="O1010" s="212">
        <f t="shared" si="104"/>
        <v>0</v>
      </c>
      <c r="P1010" s="155">
        <f t="shared" si="104"/>
        <v>0</v>
      </c>
      <c r="Q1010" s="407"/>
      <c r="R1010" s="407"/>
    </row>
    <row r="1011" spans="1:18" ht="12.75" x14ac:dyDescent="0.2">
      <c r="A1011" s="152">
        <v>6220000</v>
      </c>
      <c r="B1011" s="73"/>
      <c r="C1011" s="51" t="s">
        <v>114</v>
      </c>
      <c r="D1011" s="89"/>
      <c r="E1011" s="89"/>
      <c r="F1011" s="89"/>
      <c r="G1011" s="89"/>
      <c r="H1011" s="89"/>
      <c r="I1011" s="89"/>
      <c r="J1011" s="212">
        <f t="shared" si="104"/>
        <v>0</v>
      </c>
      <c r="K1011" s="212">
        <f t="shared" si="104"/>
        <v>0</v>
      </c>
      <c r="L1011" s="212">
        <f t="shared" si="104"/>
        <v>0</v>
      </c>
      <c r="M1011" s="212">
        <f t="shared" si="104"/>
        <v>0</v>
      </c>
      <c r="N1011" s="212">
        <f t="shared" si="104"/>
        <v>0</v>
      </c>
      <c r="O1011" s="212">
        <f t="shared" si="104"/>
        <v>0</v>
      </c>
      <c r="P1011" s="155">
        <f t="shared" si="104"/>
        <v>0</v>
      </c>
      <c r="Q1011" s="407"/>
      <c r="R1011" s="407"/>
    </row>
    <row r="1012" spans="1:18" ht="12.75" x14ac:dyDescent="0.2">
      <c r="A1012" s="152">
        <v>6220000</v>
      </c>
      <c r="B1012" s="73"/>
      <c r="C1012" s="51" t="s">
        <v>111</v>
      </c>
      <c r="D1012" s="89"/>
      <c r="E1012" s="89"/>
      <c r="F1012" s="89"/>
      <c r="G1012" s="89"/>
      <c r="H1012" s="89"/>
      <c r="I1012" s="89"/>
      <c r="J1012" s="212">
        <f t="shared" si="104"/>
        <v>0</v>
      </c>
      <c r="K1012" s="212">
        <f t="shared" si="104"/>
        <v>0</v>
      </c>
      <c r="L1012" s="212">
        <f t="shared" si="104"/>
        <v>0</v>
      </c>
      <c r="M1012" s="212">
        <f t="shared" si="104"/>
        <v>0</v>
      </c>
      <c r="N1012" s="212">
        <f t="shared" si="104"/>
        <v>0</v>
      </c>
      <c r="O1012" s="212">
        <f t="shared" si="104"/>
        <v>0</v>
      </c>
      <c r="P1012" s="155">
        <f t="shared" si="104"/>
        <v>0</v>
      </c>
      <c r="Q1012" s="407"/>
      <c r="R1012" s="407"/>
    </row>
    <row r="1013" spans="1:18" ht="12.75" x14ac:dyDescent="0.2">
      <c r="A1013" s="152">
        <v>6220000</v>
      </c>
      <c r="B1013" s="73"/>
      <c r="C1013" s="51" t="s">
        <v>117</v>
      </c>
      <c r="D1013" s="89"/>
      <c r="E1013" s="89"/>
      <c r="F1013" s="89"/>
      <c r="G1013" s="89"/>
      <c r="H1013" s="89"/>
      <c r="I1013" s="89"/>
      <c r="J1013" s="212">
        <f t="shared" ref="J1013:P1022" si="105">SUMIFS(J$26:J$180,$A$26:$A$180,$A1013,$C$26:$C$180,$C1013)</f>
        <v>0</v>
      </c>
      <c r="K1013" s="212">
        <f t="shared" si="105"/>
        <v>0</v>
      </c>
      <c r="L1013" s="212">
        <f t="shared" si="105"/>
        <v>0</v>
      </c>
      <c r="M1013" s="212">
        <f t="shared" si="105"/>
        <v>0</v>
      </c>
      <c r="N1013" s="212">
        <f t="shared" si="105"/>
        <v>0</v>
      </c>
      <c r="O1013" s="212">
        <f t="shared" si="105"/>
        <v>0</v>
      </c>
      <c r="P1013" s="155">
        <f t="shared" si="105"/>
        <v>0</v>
      </c>
      <c r="Q1013" s="407"/>
      <c r="R1013" s="407"/>
    </row>
    <row r="1014" spans="1:18" ht="12.75" x14ac:dyDescent="0.2">
      <c r="A1014" s="152">
        <v>6220000</v>
      </c>
      <c r="B1014" s="73"/>
      <c r="C1014" s="51" t="s">
        <v>112</v>
      </c>
      <c r="D1014" s="89"/>
      <c r="E1014" s="89"/>
      <c r="F1014" s="89"/>
      <c r="G1014" s="89"/>
      <c r="H1014" s="89"/>
      <c r="I1014" s="89"/>
      <c r="J1014" s="212">
        <f t="shared" si="105"/>
        <v>0</v>
      </c>
      <c r="K1014" s="212">
        <f t="shared" si="105"/>
        <v>0</v>
      </c>
      <c r="L1014" s="212">
        <f t="shared" si="105"/>
        <v>0</v>
      </c>
      <c r="M1014" s="212">
        <f t="shared" si="105"/>
        <v>0</v>
      </c>
      <c r="N1014" s="212">
        <f t="shared" si="105"/>
        <v>0</v>
      </c>
      <c r="O1014" s="212">
        <f t="shared" si="105"/>
        <v>0</v>
      </c>
      <c r="P1014" s="155">
        <f t="shared" si="105"/>
        <v>0</v>
      </c>
      <c r="Q1014" s="407"/>
      <c r="R1014" s="407"/>
    </row>
    <row r="1015" spans="1:18" ht="12.75" x14ac:dyDescent="0.2">
      <c r="A1015" s="152">
        <v>6220000</v>
      </c>
      <c r="B1015" s="73"/>
      <c r="C1015" s="51" t="s">
        <v>136</v>
      </c>
      <c r="D1015" s="89"/>
      <c r="E1015" s="89"/>
      <c r="F1015" s="89"/>
      <c r="G1015" s="89"/>
      <c r="H1015" s="89"/>
      <c r="I1015" s="89"/>
      <c r="J1015" s="212">
        <f t="shared" si="105"/>
        <v>0</v>
      </c>
      <c r="K1015" s="212">
        <f t="shared" si="105"/>
        <v>0</v>
      </c>
      <c r="L1015" s="212">
        <f t="shared" si="105"/>
        <v>0</v>
      </c>
      <c r="M1015" s="212">
        <f t="shared" si="105"/>
        <v>0</v>
      </c>
      <c r="N1015" s="212">
        <f t="shared" si="105"/>
        <v>0</v>
      </c>
      <c r="O1015" s="212">
        <f t="shared" si="105"/>
        <v>0</v>
      </c>
      <c r="P1015" s="155">
        <f t="shared" si="105"/>
        <v>0</v>
      </c>
      <c r="Q1015" s="407"/>
      <c r="R1015" s="407"/>
    </row>
    <row r="1016" spans="1:18" ht="12.75" x14ac:dyDescent="0.2">
      <c r="A1016" s="152">
        <v>6220000</v>
      </c>
      <c r="B1016" s="73"/>
      <c r="C1016" s="51" t="s">
        <v>962</v>
      </c>
      <c r="D1016" s="89"/>
      <c r="E1016" s="89"/>
      <c r="F1016" s="89"/>
      <c r="G1016" s="89"/>
      <c r="H1016" s="89"/>
      <c r="I1016" s="89"/>
      <c r="J1016" s="212">
        <f t="shared" si="105"/>
        <v>0</v>
      </c>
      <c r="K1016" s="212">
        <f t="shared" si="105"/>
        <v>0</v>
      </c>
      <c r="L1016" s="212">
        <f t="shared" si="105"/>
        <v>0</v>
      </c>
      <c r="M1016" s="212">
        <f t="shared" si="105"/>
        <v>0</v>
      </c>
      <c r="N1016" s="212">
        <f t="shared" si="105"/>
        <v>0</v>
      </c>
      <c r="O1016" s="212">
        <f t="shared" si="105"/>
        <v>0</v>
      </c>
      <c r="P1016" s="155">
        <f t="shared" si="105"/>
        <v>0</v>
      </c>
      <c r="Q1016" s="407"/>
      <c r="R1016" s="407"/>
    </row>
    <row r="1017" spans="1:18" ht="12.75" x14ac:dyDescent="0.2">
      <c r="A1017" s="152">
        <v>6220000</v>
      </c>
      <c r="B1017" s="73"/>
      <c r="C1017" s="51" t="s">
        <v>115</v>
      </c>
      <c r="D1017" s="89"/>
      <c r="E1017" s="89"/>
      <c r="F1017" s="89"/>
      <c r="G1017" s="89"/>
      <c r="H1017" s="89"/>
      <c r="I1017" s="89"/>
      <c r="J1017" s="212">
        <f t="shared" si="105"/>
        <v>0</v>
      </c>
      <c r="K1017" s="212">
        <f t="shared" si="105"/>
        <v>0</v>
      </c>
      <c r="L1017" s="212">
        <f t="shared" si="105"/>
        <v>0</v>
      </c>
      <c r="M1017" s="212">
        <f t="shared" si="105"/>
        <v>0</v>
      </c>
      <c r="N1017" s="212">
        <f t="shared" si="105"/>
        <v>0</v>
      </c>
      <c r="O1017" s="212">
        <f t="shared" si="105"/>
        <v>0</v>
      </c>
      <c r="P1017" s="155">
        <f t="shared" si="105"/>
        <v>0</v>
      </c>
      <c r="Q1017" s="407"/>
      <c r="R1017" s="407"/>
    </row>
    <row r="1018" spans="1:18" ht="12.75" x14ac:dyDescent="0.2">
      <c r="A1018" s="152">
        <v>6220000</v>
      </c>
      <c r="B1018" s="73"/>
      <c r="C1018" s="51" t="s">
        <v>997</v>
      </c>
      <c r="D1018" s="89"/>
      <c r="E1018" s="89"/>
      <c r="F1018" s="89"/>
      <c r="G1018" s="89"/>
      <c r="H1018" s="89"/>
      <c r="I1018" s="89"/>
      <c r="J1018" s="212">
        <f t="shared" si="105"/>
        <v>0</v>
      </c>
      <c r="K1018" s="212">
        <f t="shared" si="105"/>
        <v>0</v>
      </c>
      <c r="L1018" s="212">
        <f t="shared" si="105"/>
        <v>0</v>
      </c>
      <c r="M1018" s="212">
        <f t="shared" si="105"/>
        <v>0</v>
      </c>
      <c r="N1018" s="212">
        <f t="shared" si="105"/>
        <v>0</v>
      </c>
      <c r="O1018" s="212">
        <f t="shared" si="105"/>
        <v>0</v>
      </c>
      <c r="P1018" s="155">
        <f t="shared" si="105"/>
        <v>0</v>
      </c>
      <c r="Q1018" s="407"/>
      <c r="R1018" s="407"/>
    </row>
    <row r="1019" spans="1:18" ht="12.75" x14ac:dyDescent="0.2">
      <c r="A1019" s="152">
        <v>6220000</v>
      </c>
      <c r="B1019" s="73"/>
      <c r="C1019" s="51" t="s">
        <v>999</v>
      </c>
      <c r="D1019" s="89"/>
      <c r="E1019" s="89"/>
      <c r="F1019" s="89"/>
      <c r="G1019" s="89"/>
      <c r="H1019" s="89"/>
      <c r="I1019" s="89"/>
      <c r="J1019" s="212">
        <f t="shared" si="105"/>
        <v>0</v>
      </c>
      <c r="K1019" s="212">
        <f t="shared" si="105"/>
        <v>0</v>
      </c>
      <c r="L1019" s="212">
        <f t="shared" si="105"/>
        <v>0</v>
      </c>
      <c r="M1019" s="212">
        <f t="shared" si="105"/>
        <v>0</v>
      </c>
      <c r="N1019" s="212">
        <f t="shared" si="105"/>
        <v>0</v>
      </c>
      <c r="O1019" s="212">
        <f t="shared" si="105"/>
        <v>0</v>
      </c>
      <c r="P1019" s="155">
        <f t="shared" si="105"/>
        <v>0</v>
      </c>
      <c r="Q1019" s="407"/>
      <c r="R1019" s="407"/>
    </row>
    <row r="1020" spans="1:18" ht="12.75" x14ac:dyDescent="0.2">
      <c r="A1020" s="152">
        <v>6220000</v>
      </c>
      <c r="B1020" s="73"/>
      <c r="C1020" s="51" t="s">
        <v>1049</v>
      </c>
      <c r="D1020" s="89"/>
      <c r="E1020" s="89"/>
      <c r="F1020" s="89"/>
      <c r="G1020" s="89"/>
      <c r="H1020" s="89"/>
      <c r="I1020" s="89"/>
      <c r="J1020" s="212">
        <f t="shared" si="105"/>
        <v>0</v>
      </c>
      <c r="K1020" s="212">
        <f t="shared" si="105"/>
        <v>0</v>
      </c>
      <c r="L1020" s="212">
        <f t="shared" si="105"/>
        <v>0</v>
      </c>
      <c r="M1020" s="212">
        <f t="shared" si="105"/>
        <v>0</v>
      </c>
      <c r="N1020" s="212">
        <f t="shared" si="105"/>
        <v>0</v>
      </c>
      <c r="O1020" s="212">
        <f t="shared" si="105"/>
        <v>0</v>
      </c>
      <c r="P1020" s="155">
        <f t="shared" si="105"/>
        <v>0</v>
      </c>
      <c r="Q1020" s="407"/>
      <c r="R1020" s="407"/>
    </row>
    <row r="1021" spans="1:18" ht="12.75" x14ac:dyDescent="0.2">
      <c r="A1021" s="152">
        <v>6220000</v>
      </c>
      <c r="B1021" s="73"/>
      <c r="C1021" s="51" t="s">
        <v>96</v>
      </c>
      <c r="D1021" s="89"/>
      <c r="E1021" s="89"/>
      <c r="F1021" s="89"/>
      <c r="G1021" s="89"/>
      <c r="H1021" s="89"/>
      <c r="I1021" s="89"/>
      <c r="J1021" s="212">
        <f t="shared" si="105"/>
        <v>0</v>
      </c>
      <c r="K1021" s="212">
        <f t="shared" si="105"/>
        <v>0</v>
      </c>
      <c r="L1021" s="212">
        <f t="shared" si="105"/>
        <v>0</v>
      </c>
      <c r="M1021" s="212">
        <f t="shared" si="105"/>
        <v>0</v>
      </c>
      <c r="N1021" s="212">
        <f t="shared" si="105"/>
        <v>0</v>
      </c>
      <c r="O1021" s="212">
        <f t="shared" si="105"/>
        <v>0</v>
      </c>
      <c r="P1021" s="155">
        <f t="shared" si="105"/>
        <v>0</v>
      </c>
      <c r="Q1021" s="407"/>
      <c r="R1021" s="407"/>
    </row>
    <row r="1022" spans="1:18" ht="12.75" x14ac:dyDescent="0.2">
      <c r="A1022" s="152">
        <v>6220000</v>
      </c>
      <c r="B1022" s="73"/>
      <c r="C1022" s="51" t="s">
        <v>983</v>
      </c>
      <c r="D1022" s="89"/>
      <c r="E1022" s="89"/>
      <c r="F1022" s="89"/>
      <c r="G1022" s="89"/>
      <c r="H1022" s="89"/>
      <c r="I1022" s="89"/>
      <c r="J1022" s="212">
        <f t="shared" si="105"/>
        <v>0</v>
      </c>
      <c r="K1022" s="212">
        <f t="shared" si="105"/>
        <v>0</v>
      </c>
      <c r="L1022" s="212">
        <f t="shared" si="105"/>
        <v>0</v>
      </c>
      <c r="M1022" s="212">
        <f t="shared" si="105"/>
        <v>0</v>
      </c>
      <c r="N1022" s="212">
        <f t="shared" si="105"/>
        <v>0</v>
      </c>
      <c r="O1022" s="212">
        <f t="shared" si="105"/>
        <v>0</v>
      </c>
      <c r="P1022" s="155">
        <f t="shared" si="105"/>
        <v>0</v>
      </c>
      <c r="Q1022" s="407"/>
      <c r="R1022" s="407"/>
    </row>
    <row r="1023" spans="1:18" ht="12.75" x14ac:dyDescent="0.2">
      <c r="A1023" s="152">
        <v>6220000</v>
      </c>
      <c r="B1023" s="73"/>
      <c r="C1023" s="51" t="s">
        <v>1042</v>
      </c>
      <c r="D1023" s="89"/>
      <c r="E1023" s="89"/>
      <c r="F1023" s="89"/>
      <c r="G1023" s="89"/>
      <c r="H1023" s="89"/>
      <c r="I1023" s="89"/>
      <c r="J1023" s="212">
        <f t="shared" ref="J1023:P1032" si="106">SUMIFS(J$26:J$180,$A$26:$A$180,$A1023,$C$26:$C$180,$C1023)</f>
        <v>0</v>
      </c>
      <c r="K1023" s="212">
        <f t="shared" si="106"/>
        <v>0</v>
      </c>
      <c r="L1023" s="212">
        <f t="shared" si="106"/>
        <v>0</v>
      </c>
      <c r="M1023" s="212">
        <f t="shared" si="106"/>
        <v>0</v>
      </c>
      <c r="N1023" s="212">
        <f t="shared" si="106"/>
        <v>0</v>
      </c>
      <c r="O1023" s="212">
        <f t="shared" si="106"/>
        <v>0</v>
      </c>
      <c r="P1023" s="155">
        <f t="shared" si="106"/>
        <v>0</v>
      </c>
      <c r="Q1023" s="407"/>
      <c r="R1023" s="407"/>
    </row>
    <row r="1024" spans="1:18" ht="12.75" x14ac:dyDescent="0.2">
      <c r="A1024" s="152">
        <v>6220000</v>
      </c>
      <c r="B1024" s="73"/>
      <c r="C1024" s="51" t="s">
        <v>979</v>
      </c>
      <c r="D1024" s="89"/>
      <c r="E1024" s="89"/>
      <c r="F1024" s="89"/>
      <c r="G1024" s="89"/>
      <c r="H1024" s="89"/>
      <c r="I1024" s="89"/>
      <c r="J1024" s="212">
        <f t="shared" si="106"/>
        <v>0</v>
      </c>
      <c r="K1024" s="212">
        <f t="shared" si="106"/>
        <v>0</v>
      </c>
      <c r="L1024" s="212">
        <f t="shared" si="106"/>
        <v>0</v>
      </c>
      <c r="M1024" s="212">
        <f t="shared" si="106"/>
        <v>0</v>
      </c>
      <c r="N1024" s="212">
        <f t="shared" si="106"/>
        <v>0</v>
      </c>
      <c r="O1024" s="212">
        <f t="shared" si="106"/>
        <v>0</v>
      </c>
      <c r="P1024" s="155">
        <f t="shared" si="106"/>
        <v>0</v>
      </c>
      <c r="Q1024" s="407"/>
      <c r="R1024" s="407"/>
    </row>
    <row r="1025" spans="1:18" ht="12.75" x14ac:dyDescent="0.2">
      <c r="A1025" s="152">
        <v>6220000</v>
      </c>
      <c r="B1025" s="73"/>
      <c r="C1025" s="51" t="s">
        <v>47</v>
      </c>
      <c r="D1025" s="89"/>
      <c r="E1025" s="89"/>
      <c r="F1025" s="89"/>
      <c r="G1025" s="89"/>
      <c r="H1025" s="89"/>
      <c r="I1025" s="89"/>
      <c r="J1025" s="212">
        <f t="shared" si="106"/>
        <v>0</v>
      </c>
      <c r="K1025" s="212">
        <f t="shared" si="106"/>
        <v>0</v>
      </c>
      <c r="L1025" s="212">
        <f t="shared" si="106"/>
        <v>0</v>
      </c>
      <c r="M1025" s="212">
        <f t="shared" si="106"/>
        <v>0</v>
      </c>
      <c r="N1025" s="212">
        <f t="shared" si="106"/>
        <v>0</v>
      </c>
      <c r="O1025" s="212">
        <f t="shared" si="106"/>
        <v>0</v>
      </c>
      <c r="P1025" s="155">
        <f t="shared" si="106"/>
        <v>0</v>
      </c>
      <c r="Q1025" s="407"/>
      <c r="R1025" s="407"/>
    </row>
    <row r="1026" spans="1:18" ht="12.75" x14ac:dyDescent="0.2">
      <c r="A1026" s="152">
        <v>6220000</v>
      </c>
      <c r="B1026" s="73"/>
      <c r="C1026" s="51" t="s">
        <v>48</v>
      </c>
      <c r="D1026" s="89"/>
      <c r="E1026" s="89"/>
      <c r="F1026" s="89"/>
      <c r="G1026" s="89"/>
      <c r="H1026" s="89"/>
      <c r="I1026" s="89"/>
      <c r="J1026" s="212">
        <f t="shared" si="106"/>
        <v>0</v>
      </c>
      <c r="K1026" s="212">
        <f t="shared" si="106"/>
        <v>0</v>
      </c>
      <c r="L1026" s="212">
        <f t="shared" si="106"/>
        <v>0</v>
      </c>
      <c r="M1026" s="212">
        <f t="shared" si="106"/>
        <v>0</v>
      </c>
      <c r="N1026" s="212">
        <f t="shared" si="106"/>
        <v>0</v>
      </c>
      <c r="O1026" s="212">
        <f t="shared" si="106"/>
        <v>0</v>
      </c>
      <c r="P1026" s="155">
        <f t="shared" si="106"/>
        <v>0</v>
      </c>
      <c r="Q1026" s="407"/>
      <c r="R1026" s="407"/>
    </row>
    <row r="1027" spans="1:18" ht="12.75" x14ac:dyDescent="0.2">
      <c r="A1027" s="152">
        <v>6220000</v>
      </c>
      <c r="B1027" s="73"/>
      <c r="C1027" s="51" t="s">
        <v>1051</v>
      </c>
      <c r="D1027" s="89"/>
      <c r="E1027" s="89"/>
      <c r="F1027" s="89"/>
      <c r="G1027" s="89"/>
      <c r="H1027" s="89"/>
      <c r="I1027" s="89"/>
      <c r="J1027" s="212">
        <f t="shared" si="106"/>
        <v>0</v>
      </c>
      <c r="K1027" s="212">
        <f t="shared" si="106"/>
        <v>0</v>
      </c>
      <c r="L1027" s="212">
        <f t="shared" si="106"/>
        <v>0</v>
      </c>
      <c r="M1027" s="212">
        <f t="shared" si="106"/>
        <v>0</v>
      </c>
      <c r="N1027" s="212">
        <f t="shared" si="106"/>
        <v>0</v>
      </c>
      <c r="O1027" s="212">
        <f t="shared" si="106"/>
        <v>0</v>
      </c>
      <c r="P1027" s="155">
        <f t="shared" si="106"/>
        <v>0</v>
      </c>
      <c r="Q1027" s="407"/>
      <c r="R1027" s="407"/>
    </row>
    <row r="1028" spans="1:18" ht="12.75" x14ac:dyDescent="0.2">
      <c r="A1028" s="152">
        <v>6220000</v>
      </c>
      <c r="B1028" s="73"/>
      <c r="C1028" s="51" t="s">
        <v>929</v>
      </c>
      <c r="D1028" s="89"/>
      <c r="E1028" s="89"/>
      <c r="F1028" s="89"/>
      <c r="G1028" s="89"/>
      <c r="H1028" s="89"/>
      <c r="I1028" s="89"/>
      <c r="J1028" s="212">
        <f t="shared" si="106"/>
        <v>0</v>
      </c>
      <c r="K1028" s="212">
        <f t="shared" si="106"/>
        <v>0</v>
      </c>
      <c r="L1028" s="212">
        <f t="shared" si="106"/>
        <v>0</v>
      </c>
      <c r="M1028" s="212">
        <f t="shared" si="106"/>
        <v>0</v>
      </c>
      <c r="N1028" s="212">
        <f t="shared" si="106"/>
        <v>0</v>
      </c>
      <c r="O1028" s="212">
        <f t="shared" si="106"/>
        <v>0</v>
      </c>
      <c r="P1028" s="155">
        <f t="shared" si="106"/>
        <v>0</v>
      </c>
      <c r="Q1028" s="407"/>
      <c r="R1028" s="407"/>
    </row>
    <row r="1029" spans="1:18" ht="12.75" x14ac:dyDescent="0.2">
      <c r="A1029" s="152">
        <v>6220000</v>
      </c>
      <c r="B1029" s="73"/>
      <c r="C1029" s="51" t="s">
        <v>970</v>
      </c>
      <c r="D1029" s="89"/>
      <c r="E1029" s="89"/>
      <c r="F1029" s="89"/>
      <c r="G1029" s="89"/>
      <c r="H1029" s="89"/>
      <c r="I1029" s="89"/>
      <c r="J1029" s="212">
        <f t="shared" si="106"/>
        <v>0</v>
      </c>
      <c r="K1029" s="212">
        <f t="shared" si="106"/>
        <v>0</v>
      </c>
      <c r="L1029" s="212">
        <f t="shared" si="106"/>
        <v>0</v>
      </c>
      <c r="M1029" s="212">
        <f t="shared" si="106"/>
        <v>0</v>
      </c>
      <c r="N1029" s="212">
        <f t="shared" si="106"/>
        <v>0</v>
      </c>
      <c r="O1029" s="212">
        <f t="shared" si="106"/>
        <v>0</v>
      </c>
      <c r="P1029" s="155">
        <f t="shared" si="106"/>
        <v>0</v>
      </c>
      <c r="Q1029" s="407"/>
      <c r="R1029" s="407"/>
    </row>
    <row r="1030" spans="1:18" ht="12.75" x14ac:dyDescent="0.2">
      <c r="A1030" s="152">
        <v>6220000</v>
      </c>
      <c r="B1030" s="73"/>
      <c r="C1030" s="51" t="s">
        <v>122</v>
      </c>
      <c r="D1030" s="89"/>
      <c r="E1030" s="89"/>
      <c r="F1030" s="89"/>
      <c r="G1030" s="89"/>
      <c r="H1030" s="89"/>
      <c r="I1030" s="89"/>
      <c r="J1030" s="212">
        <f t="shared" si="106"/>
        <v>0</v>
      </c>
      <c r="K1030" s="212">
        <f t="shared" si="106"/>
        <v>0</v>
      </c>
      <c r="L1030" s="212">
        <f t="shared" si="106"/>
        <v>0</v>
      </c>
      <c r="M1030" s="212">
        <f t="shared" si="106"/>
        <v>0</v>
      </c>
      <c r="N1030" s="212">
        <f t="shared" si="106"/>
        <v>0</v>
      </c>
      <c r="O1030" s="212">
        <f t="shared" si="106"/>
        <v>0</v>
      </c>
      <c r="P1030" s="155">
        <f t="shared" si="106"/>
        <v>0</v>
      </c>
      <c r="Q1030" s="407"/>
      <c r="R1030" s="407"/>
    </row>
    <row r="1031" spans="1:18" ht="12.75" x14ac:dyDescent="0.2">
      <c r="A1031" s="152">
        <v>6220000</v>
      </c>
      <c r="B1031" s="73"/>
      <c r="C1031" s="51" t="s">
        <v>135</v>
      </c>
      <c r="D1031" s="89"/>
      <c r="E1031" s="89"/>
      <c r="F1031" s="89"/>
      <c r="G1031" s="89"/>
      <c r="H1031" s="89"/>
      <c r="I1031" s="89"/>
      <c r="J1031" s="212">
        <f t="shared" si="106"/>
        <v>0</v>
      </c>
      <c r="K1031" s="212">
        <f t="shared" si="106"/>
        <v>0</v>
      </c>
      <c r="L1031" s="212">
        <f t="shared" si="106"/>
        <v>0</v>
      </c>
      <c r="M1031" s="212">
        <f t="shared" si="106"/>
        <v>0</v>
      </c>
      <c r="N1031" s="212">
        <f t="shared" si="106"/>
        <v>0</v>
      </c>
      <c r="O1031" s="212">
        <f t="shared" si="106"/>
        <v>0</v>
      </c>
      <c r="P1031" s="155">
        <f t="shared" si="106"/>
        <v>0</v>
      </c>
      <c r="Q1031" s="407"/>
      <c r="R1031" s="407"/>
    </row>
    <row r="1032" spans="1:18" ht="12.75" x14ac:dyDescent="0.2">
      <c r="A1032" s="152">
        <v>6220000</v>
      </c>
      <c r="B1032" s="73"/>
      <c r="C1032" s="51" t="s">
        <v>123</v>
      </c>
      <c r="D1032" s="89"/>
      <c r="E1032" s="89"/>
      <c r="F1032" s="89"/>
      <c r="G1032" s="89"/>
      <c r="H1032" s="89"/>
      <c r="I1032" s="89"/>
      <c r="J1032" s="212">
        <f t="shared" si="106"/>
        <v>0</v>
      </c>
      <c r="K1032" s="212">
        <f t="shared" si="106"/>
        <v>0</v>
      </c>
      <c r="L1032" s="212">
        <f t="shared" si="106"/>
        <v>0</v>
      </c>
      <c r="M1032" s="212">
        <f t="shared" si="106"/>
        <v>0</v>
      </c>
      <c r="N1032" s="212">
        <f t="shared" si="106"/>
        <v>0</v>
      </c>
      <c r="O1032" s="212">
        <f t="shared" si="106"/>
        <v>0</v>
      </c>
      <c r="P1032" s="155">
        <f t="shared" si="106"/>
        <v>0</v>
      </c>
      <c r="Q1032" s="407"/>
      <c r="R1032" s="407"/>
    </row>
    <row r="1033" spans="1:18" ht="12.75" x14ac:dyDescent="0.2">
      <c r="A1033" s="152">
        <v>6220000</v>
      </c>
      <c r="B1033" s="73"/>
      <c r="C1033" s="51" t="s">
        <v>974</v>
      </c>
      <c r="D1033" s="89"/>
      <c r="E1033" s="89"/>
      <c r="F1033" s="89"/>
      <c r="G1033" s="89"/>
      <c r="H1033" s="89"/>
      <c r="I1033" s="89"/>
      <c r="J1033" s="212">
        <f t="shared" ref="J1033:P1042" si="107">SUMIFS(J$26:J$180,$A$26:$A$180,$A1033,$C$26:$C$180,$C1033)</f>
        <v>0</v>
      </c>
      <c r="K1033" s="212">
        <f t="shared" si="107"/>
        <v>0</v>
      </c>
      <c r="L1033" s="212">
        <f t="shared" si="107"/>
        <v>0</v>
      </c>
      <c r="M1033" s="212">
        <f t="shared" si="107"/>
        <v>0</v>
      </c>
      <c r="N1033" s="212">
        <f t="shared" si="107"/>
        <v>0</v>
      </c>
      <c r="O1033" s="212">
        <f t="shared" si="107"/>
        <v>0</v>
      </c>
      <c r="P1033" s="155">
        <f t="shared" si="107"/>
        <v>0</v>
      </c>
      <c r="Q1033" s="407"/>
      <c r="R1033" s="407"/>
    </row>
    <row r="1034" spans="1:18" ht="12.75" x14ac:dyDescent="0.2">
      <c r="A1034" s="152">
        <v>6220000</v>
      </c>
      <c r="B1034" s="73"/>
      <c r="C1034" s="51" t="s">
        <v>975</v>
      </c>
      <c r="D1034" s="89"/>
      <c r="E1034" s="89"/>
      <c r="F1034" s="89"/>
      <c r="G1034" s="89"/>
      <c r="H1034" s="89"/>
      <c r="I1034" s="89"/>
      <c r="J1034" s="212">
        <f t="shared" si="107"/>
        <v>0</v>
      </c>
      <c r="K1034" s="212">
        <f t="shared" si="107"/>
        <v>0</v>
      </c>
      <c r="L1034" s="212">
        <f t="shared" si="107"/>
        <v>0</v>
      </c>
      <c r="M1034" s="212">
        <f t="shared" si="107"/>
        <v>0</v>
      </c>
      <c r="N1034" s="212">
        <f t="shared" si="107"/>
        <v>0</v>
      </c>
      <c r="O1034" s="212">
        <f t="shared" si="107"/>
        <v>0</v>
      </c>
      <c r="P1034" s="155">
        <f t="shared" si="107"/>
        <v>0</v>
      </c>
      <c r="Q1034" s="407"/>
      <c r="R1034" s="407"/>
    </row>
    <row r="1035" spans="1:18" ht="12.75" x14ac:dyDescent="0.2">
      <c r="A1035" s="152">
        <v>6220000</v>
      </c>
      <c r="B1035" s="73"/>
      <c r="C1035" s="51" t="s">
        <v>126</v>
      </c>
      <c r="D1035" s="89"/>
      <c r="E1035" s="89"/>
      <c r="F1035" s="89"/>
      <c r="G1035" s="89"/>
      <c r="H1035" s="89"/>
      <c r="I1035" s="89"/>
      <c r="J1035" s="212">
        <f t="shared" si="107"/>
        <v>0</v>
      </c>
      <c r="K1035" s="212">
        <f t="shared" si="107"/>
        <v>0</v>
      </c>
      <c r="L1035" s="212">
        <f t="shared" si="107"/>
        <v>0</v>
      </c>
      <c r="M1035" s="212">
        <f t="shared" si="107"/>
        <v>0</v>
      </c>
      <c r="N1035" s="212">
        <f t="shared" si="107"/>
        <v>0</v>
      </c>
      <c r="O1035" s="212">
        <f t="shared" si="107"/>
        <v>0</v>
      </c>
      <c r="P1035" s="155">
        <f t="shared" si="107"/>
        <v>0</v>
      </c>
      <c r="Q1035" s="407"/>
      <c r="R1035" s="407"/>
    </row>
    <row r="1036" spans="1:18" ht="12.75" x14ac:dyDescent="0.2">
      <c r="A1036" s="152">
        <v>6220000</v>
      </c>
      <c r="B1036" s="73"/>
      <c r="C1036" s="51" t="s">
        <v>127</v>
      </c>
      <c r="D1036" s="89"/>
      <c r="E1036" s="89"/>
      <c r="F1036" s="89"/>
      <c r="G1036" s="89"/>
      <c r="H1036" s="89"/>
      <c r="I1036" s="89"/>
      <c r="J1036" s="212">
        <f t="shared" si="107"/>
        <v>0</v>
      </c>
      <c r="K1036" s="212">
        <f t="shared" si="107"/>
        <v>0</v>
      </c>
      <c r="L1036" s="212">
        <f t="shared" si="107"/>
        <v>0</v>
      </c>
      <c r="M1036" s="212">
        <f t="shared" si="107"/>
        <v>0</v>
      </c>
      <c r="N1036" s="212">
        <f t="shared" si="107"/>
        <v>0</v>
      </c>
      <c r="O1036" s="212">
        <f t="shared" si="107"/>
        <v>0</v>
      </c>
      <c r="P1036" s="155">
        <f t="shared" si="107"/>
        <v>0</v>
      </c>
      <c r="Q1036" s="407"/>
      <c r="R1036" s="407"/>
    </row>
    <row r="1037" spans="1:18" ht="12.75" x14ac:dyDescent="0.2">
      <c r="A1037" s="152">
        <v>6220000</v>
      </c>
      <c r="B1037" s="73"/>
      <c r="C1037" s="51" t="s">
        <v>130</v>
      </c>
      <c r="D1037" s="89"/>
      <c r="E1037" s="89"/>
      <c r="F1037" s="89"/>
      <c r="G1037" s="89"/>
      <c r="H1037" s="89"/>
      <c r="I1037" s="89"/>
      <c r="J1037" s="212">
        <f t="shared" si="107"/>
        <v>0</v>
      </c>
      <c r="K1037" s="212">
        <f t="shared" si="107"/>
        <v>0</v>
      </c>
      <c r="L1037" s="212">
        <f t="shared" si="107"/>
        <v>0</v>
      </c>
      <c r="M1037" s="212">
        <f t="shared" si="107"/>
        <v>0</v>
      </c>
      <c r="N1037" s="212">
        <f t="shared" si="107"/>
        <v>0</v>
      </c>
      <c r="O1037" s="212">
        <f t="shared" si="107"/>
        <v>0</v>
      </c>
      <c r="P1037" s="155">
        <f t="shared" si="107"/>
        <v>0</v>
      </c>
      <c r="Q1037" s="407"/>
      <c r="R1037" s="407"/>
    </row>
    <row r="1038" spans="1:18" ht="12.75" x14ac:dyDescent="0.2">
      <c r="A1038" s="152">
        <v>6220000</v>
      </c>
      <c r="B1038" s="73"/>
      <c r="C1038" s="51" t="s">
        <v>125</v>
      </c>
      <c r="D1038" s="89"/>
      <c r="E1038" s="89"/>
      <c r="F1038" s="89"/>
      <c r="G1038" s="89"/>
      <c r="H1038" s="89"/>
      <c r="I1038" s="89"/>
      <c r="J1038" s="212">
        <f t="shared" si="107"/>
        <v>0</v>
      </c>
      <c r="K1038" s="212">
        <f t="shared" si="107"/>
        <v>0</v>
      </c>
      <c r="L1038" s="212">
        <f t="shared" si="107"/>
        <v>0</v>
      </c>
      <c r="M1038" s="212">
        <f t="shared" si="107"/>
        <v>0</v>
      </c>
      <c r="N1038" s="212">
        <f t="shared" si="107"/>
        <v>0</v>
      </c>
      <c r="O1038" s="212">
        <f t="shared" si="107"/>
        <v>0</v>
      </c>
      <c r="P1038" s="155">
        <f t="shared" si="107"/>
        <v>0</v>
      </c>
      <c r="Q1038" s="407"/>
      <c r="R1038" s="407"/>
    </row>
    <row r="1039" spans="1:18" ht="12.75" x14ac:dyDescent="0.2">
      <c r="A1039" s="152">
        <v>6220000</v>
      </c>
      <c r="B1039" s="73"/>
      <c r="C1039" s="51" t="s">
        <v>128</v>
      </c>
      <c r="D1039" s="89"/>
      <c r="E1039" s="89"/>
      <c r="F1039" s="89"/>
      <c r="G1039" s="89"/>
      <c r="H1039" s="89"/>
      <c r="I1039" s="89"/>
      <c r="J1039" s="212">
        <f t="shared" si="107"/>
        <v>0</v>
      </c>
      <c r="K1039" s="212">
        <f t="shared" si="107"/>
        <v>0</v>
      </c>
      <c r="L1039" s="212">
        <f t="shared" si="107"/>
        <v>0</v>
      </c>
      <c r="M1039" s="212">
        <f t="shared" si="107"/>
        <v>0</v>
      </c>
      <c r="N1039" s="212">
        <f t="shared" si="107"/>
        <v>0</v>
      </c>
      <c r="O1039" s="212">
        <f t="shared" si="107"/>
        <v>0</v>
      </c>
      <c r="P1039" s="155">
        <f t="shared" si="107"/>
        <v>0</v>
      </c>
      <c r="Q1039" s="407"/>
      <c r="R1039" s="407"/>
    </row>
    <row r="1040" spans="1:18" ht="12.75" x14ac:dyDescent="0.2">
      <c r="A1040" s="152">
        <v>6220000</v>
      </c>
      <c r="B1040" s="73"/>
      <c r="C1040" s="51" t="s">
        <v>1016</v>
      </c>
      <c r="D1040" s="89"/>
      <c r="E1040" s="89"/>
      <c r="F1040" s="89"/>
      <c r="G1040" s="89"/>
      <c r="H1040" s="89"/>
      <c r="I1040" s="89"/>
      <c r="J1040" s="212">
        <f t="shared" si="107"/>
        <v>0</v>
      </c>
      <c r="K1040" s="212">
        <f t="shared" si="107"/>
        <v>0</v>
      </c>
      <c r="L1040" s="212">
        <f t="shared" si="107"/>
        <v>0</v>
      </c>
      <c r="M1040" s="212">
        <f t="shared" si="107"/>
        <v>0</v>
      </c>
      <c r="N1040" s="212">
        <f t="shared" si="107"/>
        <v>0</v>
      </c>
      <c r="O1040" s="212">
        <f t="shared" si="107"/>
        <v>0</v>
      </c>
      <c r="P1040" s="155">
        <f t="shared" si="107"/>
        <v>0</v>
      </c>
      <c r="Q1040" s="407"/>
      <c r="R1040" s="407"/>
    </row>
    <row r="1041" spans="1:18" ht="12.75" x14ac:dyDescent="0.2">
      <c r="A1041" s="152">
        <v>6220000</v>
      </c>
      <c r="B1041" s="73"/>
      <c r="C1041" s="51" t="s">
        <v>1015</v>
      </c>
      <c r="D1041" s="89"/>
      <c r="E1041" s="89"/>
      <c r="F1041" s="89"/>
      <c r="G1041" s="89"/>
      <c r="H1041" s="89"/>
      <c r="I1041" s="89"/>
      <c r="J1041" s="212">
        <f t="shared" si="107"/>
        <v>0</v>
      </c>
      <c r="K1041" s="212">
        <f t="shared" si="107"/>
        <v>0</v>
      </c>
      <c r="L1041" s="212">
        <f t="shared" si="107"/>
        <v>0</v>
      </c>
      <c r="M1041" s="212">
        <f t="shared" si="107"/>
        <v>0</v>
      </c>
      <c r="N1041" s="212">
        <f t="shared" si="107"/>
        <v>0</v>
      </c>
      <c r="O1041" s="212">
        <f t="shared" si="107"/>
        <v>0</v>
      </c>
      <c r="P1041" s="155">
        <f t="shared" si="107"/>
        <v>0</v>
      </c>
      <c r="Q1041" s="407"/>
      <c r="R1041" s="407"/>
    </row>
    <row r="1042" spans="1:18" ht="12.75" x14ac:dyDescent="0.2">
      <c r="A1042" s="152">
        <v>6220000</v>
      </c>
      <c r="B1042" s="73"/>
      <c r="C1042" s="51" t="s">
        <v>930</v>
      </c>
      <c r="D1042" s="89"/>
      <c r="E1042" s="89"/>
      <c r="F1042" s="89"/>
      <c r="G1042" s="89"/>
      <c r="H1042" s="89"/>
      <c r="I1042" s="89"/>
      <c r="J1042" s="212">
        <f t="shared" si="107"/>
        <v>0</v>
      </c>
      <c r="K1042" s="212">
        <f t="shared" si="107"/>
        <v>0</v>
      </c>
      <c r="L1042" s="212">
        <f t="shared" si="107"/>
        <v>0</v>
      </c>
      <c r="M1042" s="212">
        <f t="shared" si="107"/>
        <v>0</v>
      </c>
      <c r="N1042" s="212">
        <f t="shared" si="107"/>
        <v>0</v>
      </c>
      <c r="O1042" s="212">
        <f t="shared" si="107"/>
        <v>0</v>
      </c>
      <c r="P1042" s="155">
        <f t="shared" si="107"/>
        <v>0</v>
      </c>
      <c r="Q1042" s="407"/>
      <c r="R1042" s="407"/>
    </row>
    <row r="1043" spans="1:18" ht="12.75" x14ac:dyDescent="0.2">
      <c r="A1043" s="152">
        <v>6220000</v>
      </c>
      <c r="B1043" s="73"/>
      <c r="C1043" s="51" t="s">
        <v>931</v>
      </c>
      <c r="D1043" s="89"/>
      <c r="E1043" s="89"/>
      <c r="F1043" s="89"/>
      <c r="G1043" s="89"/>
      <c r="H1043" s="89"/>
      <c r="I1043" s="89"/>
      <c r="J1043" s="212">
        <f t="shared" ref="J1043:P1052" si="108">SUMIFS(J$26:J$180,$A$26:$A$180,$A1043,$C$26:$C$180,$C1043)</f>
        <v>0</v>
      </c>
      <c r="K1043" s="212">
        <f t="shared" si="108"/>
        <v>0</v>
      </c>
      <c r="L1043" s="212">
        <f t="shared" si="108"/>
        <v>0</v>
      </c>
      <c r="M1043" s="212">
        <f t="shared" si="108"/>
        <v>0</v>
      </c>
      <c r="N1043" s="212">
        <f t="shared" si="108"/>
        <v>0</v>
      </c>
      <c r="O1043" s="212">
        <f t="shared" si="108"/>
        <v>0</v>
      </c>
      <c r="P1043" s="155">
        <f t="shared" si="108"/>
        <v>0</v>
      </c>
      <c r="Q1043" s="407"/>
      <c r="R1043" s="407"/>
    </row>
    <row r="1044" spans="1:18" ht="12.75" x14ac:dyDescent="0.2">
      <c r="A1044" s="152">
        <v>6220000</v>
      </c>
      <c r="B1044" s="73"/>
      <c r="C1044" s="51" t="s">
        <v>926</v>
      </c>
      <c r="D1044" s="89"/>
      <c r="E1044" s="89"/>
      <c r="F1044" s="89"/>
      <c r="G1044" s="89"/>
      <c r="H1044" s="89"/>
      <c r="I1044" s="89"/>
      <c r="J1044" s="212">
        <f t="shared" si="108"/>
        <v>0</v>
      </c>
      <c r="K1044" s="212">
        <f t="shared" si="108"/>
        <v>0</v>
      </c>
      <c r="L1044" s="212">
        <f t="shared" si="108"/>
        <v>0</v>
      </c>
      <c r="M1044" s="212">
        <f t="shared" si="108"/>
        <v>0</v>
      </c>
      <c r="N1044" s="212">
        <f t="shared" si="108"/>
        <v>0</v>
      </c>
      <c r="O1044" s="212">
        <f t="shared" si="108"/>
        <v>0</v>
      </c>
      <c r="P1044" s="155">
        <f t="shared" si="108"/>
        <v>0</v>
      </c>
      <c r="Q1044" s="407"/>
      <c r="R1044" s="407"/>
    </row>
    <row r="1045" spans="1:18" ht="12.75" x14ac:dyDescent="0.2">
      <c r="A1045" s="152">
        <v>6220000</v>
      </c>
      <c r="B1045" s="73"/>
      <c r="C1045" s="51" t="s">
        <v>110</v>
      </c>
      <c r="D1045" s="89"/>
      <c r="E1045" s="89"/>
      <c r="F1045" s="89"/>
      <c r="G1045" s="89"/>
      <c r="H1045" s="89"/>
      <c r="I1045" s="89"/>
      <c r="J1045" s="212">
        <f t="shared" si="108"/>
        <v>0</v>
      </c>
      <c r="K1045" s="212">
        <f t="shared" si="108"/>
        <v>0</v>
      </c>
      <c r="L1045" s="212">
        <f t="shared" si="108"/>
        <v>0</v>
      </c>
      <c r="M1045" s="212">
        <f t="shared" si="108"/>
        <v>0</v>
      </c>
      <c r="N1045" s="212">
        <f t="shared" si="108"/>
        <v>0</v>
      </c>
      <c r="O1045" s="212">
        <f t="shared" si="108"/>
        <v>0</v>
      </c>
      <c r="P1045" s="155">
        <f t="shared" si="108"/>
        <v>0</v>
      </c>
      <c r="Q1045" s="407"/>
      <c r="R1045" s="407"/>
    </row>
    <row r="1046" spans="1:18" ht="12.75" x14ac:dyDescent="0.2">
      <c r="A1046" s="152">
        <v>6220000</v>
      </c>
      <c r="B1046" s="73"/>
      <c r="C1046" s="51" t="s">
        <v>133</v>
      </c>
      <c r="D1046" s="89"/>
      <c r="E1046" s="89"/>
      <c r="F1046" s="89"/>
      <c r="G1046" s="89"/>
      <c r="H1046" s="89"/>
      <c r="I1046" s="89"/>
      <c r="J1046" s="212">
        <f t="shared" si="108"/>
        <v>0</v>
      </c>
      <c r="K1046" s="212">
        <f t="shared" si="108"/>
        <v>0</v>
      </c>
      <c r="L1046" s="212">
        <f t="shared" si="108"/>
        <v>0</v>
      </c>
      <c r="M1046" s="212">
        <f t="shared" si="108"/>
        <v>0</v>
      </c>
      <c r="N1046" s="212">
        <f t="shared" si="108"/>
        <v>0</v>
      </c>
      <c r="O1046" s="212">
        <f t="shared" si="108"/>
        <v>0</v>
      </c>
      <c r="P1046" s="155">
        <f t="shared" si="108"/>
        <v>0</v>
      </c>
      <c r="Q1046" s="407"/>
      <c r="R1046" s="407"/>
    </row>
    <row r="1047" spans="1:18" ht="12.75" x14ac:dyDescent="0.2">
      <c r="A1047" s="152">
        <v>6220000</v>
      </c>
      <c r="B1047" s="73"/>
      <c r="C1047" s="51" t="s">
        <v>134</v>
      </c>
      <c r="D1047" s="89"/>
      <c r="E1047" s="89"/>
      <c r="F1047" s="89"/>
      <c r="G1047" s="89"/>
      <c r="H1047" s="89"/>
      <c r="I1047" s="89"/>
      <c r="J1047" s="212">
        <f t="shared" si="108"/>
        <v>0</v>
      </c>
      <c r="K1047" s="212">
        <f t="shared" si="108"/>
        <v>0</v>
      </c>
      <c r="L1047" s="212">
        <f t="shared" si="108"/>
        <v>0</v>
      </c>
      <c r="M1047" s="212">
        <f t="shared" si="108"/>
        <v>0</v>
      </c>
      <c r="N1047" s="212">
        <f t="shared" si="108"/>
        <v>0</v>
      </c>
      <c r="O1047" s="212">
        <f t="shared" si="108"/>
        <v>0</v>
      </c>
      <c r="P1047" s="155">
        <f t="shared" si="108"/>
        <v>0</v>
      </c>
      <c r="Q1047" s="407"/>
      <c r="R1047" s="407"/>
    </row>
    <row r="1048" spans="1:18" ht="12.75" x14ac:dyDescent="0.2">
      <c r="A1048" s="152">
        <v>6220000</v>
      </c>
      <c r="B1048" s="73"/>
      <c r="C1048" s="51" t="s">
        <v>138</v>
      </c>
      <c r="D1048" s="89"/>
      <c r="E1048" s="89"/>
      <c r="F1048" s="89"/>
      <c r="G1048" s="89"/>
      <c r="H1048" s="89"/>
      <c r="I1048" s="89"/>
      <c r="J1048" s="212">
        <f t="shared" si="108"/>
        <v>0</v>
      </c>
      <c r="K1048" s="212">
        <f t="shared" si="108"/>
        <v>0</v>
      </c>
      <c r="L1048" s="212">
        <f t="shared" si="108"/>
        <v>0</v>
      </c>
      <c r="M1048" s="212">
        <f t="shared" si="108"/>
        <v>0</v>
      </c>
      <c r="N1048" s="212">
        <f t="shared" si="108"/>
        <v>0</v>
      </c>
      <c r="O1048" s="212">
        <f t="shared" si="108"/>
        <v>0</v>
      </c>
      <c r="P1048" s="155">
        <f t="shared" si="108"/>
        <v>0</v>
      </c>
      <c r="Q1048" s="407"/>
      <c r="R1048" s="407"/>
    </row>
    <row r="1049" spans="1:18" ht="12.75" x14ac:dyDescent="0.2">
      <c r="A1049" s="152">
        <v>6220000</v>
      </c>
      <c r="B1049" s="73"/>
      <c r="C1049" s="51" t="s">
        <v>106</v>
      </c>
      <c r="D1049" s="89"/>
      <c r="E1049" s="89"/>
      <c r="F1049" s="89"/>
      <c r="G1049" s="89"/>
      <c r="H1049" s="89"/>
      <c r="I1049" s="89"/>
      <c r="J1049" s="212">
        <f t="shared" si="108"/>
        <v>0</v>
      </c>
      <c r="K1049" s="212">
        <f t="shared" si="108"/>
        <v>0</v>
      </c>
      <c r="L1049" s="212">
        <f t="shared" si="108"/>
        <v>0</v>
      </c>
      <c r="M1049" s="212">
        <f t="shared" si="108"/>
        <v>0</v>
      </c>
      <c r="N1049" s="212">
        <f t="shared" si="108"/>
        <v>0</v>
      </c>
      <c r="O1049" s="212">
        <f t="shared" si="108"/>
        <v>0</v>
      </c>
      <c r="P1049" s="155">
        <f t="shared" si="108"/>
        <v>0</v>
      </c>
      <c r="Q1049" s="407"/>
      <c r="R1049" s="407"/>
    </row>
    <row r="1050" spans="1:18" ht="12.75" x14ac:dyDescent="0.2">
      <c r="A1050" s="152">
        <v>6220000</v>
      </c>
      <c r="B1050" s="73"/>
      <c r="C1050" s="51" t="s">
        <v>1024</v>
      </c>
      <c r="D1050" s="89"/>
      <c r="E1050" s="89"/>
      <c r="F1050" s="89"/>
      <c r="G1050" s="89"/>
      <c r="H1050" s="89"/>
      <c r="I1050" s="89"/>
      <c r="J1050" s="212">
        <f t="shared" si="108"/>
        <v>0</v>
      </c>
      <c r="K1050" s="212">
        <f t="shared" si="108"/>
        <v>0</v>
      </c>
      <c r="L1050" s="212">
        <f t="shared" si="108"/>
        <v>0</v>
      </c>
      <c r="M1050" s="212">
        <f t="shared" si="108"/>
        <v>0</v>
      </c>
      <c r="N1050" s="212">
        <f t="shared" si="108"/>
        <v>0</v>
      </c>
      <c r="O1050" s="212">
        <f t="shared" si="108"/>
        <v>0</v>
      </c>
      <c r="P1050" s="155">
        <f t="shared" si="108"/>
        <v>0</v>
      </c>
      <c r="Q1050" s="407"/>
      <c r="R1050" s="407"/>
    </row>
    <row r="1051" spans="1:18" ht="12.75" x14ac:dyDescent="0.2">
      <c r="A1051" s="152">
        <v>6220000</v>
      </c>
      <c r="B1051" s="73"/>
      <c r="C1051" s="51" t="s">
        <v>1025</v>
      </c>
      <c r="D1051" s="89"/>
      <c r="E1051" s="89"/>
      <c r="F1051" s="89"/>
      <c r="G1051" s="89"/>
      <c r="H1051" s="89"/>
      <c r="I1051" s="89"/>
      <c r="J1051" s="212">
        <f t="shared" si="108"/>
        <v>0</v>
      </c>
      <c r="K1051" s="212">
        <f t="shared" si="108"/>
        <v>0</v>
      </c>
      <c r="L1051" s="212">
        <f t="shared" si="108"/>
        <v>0</v>
      </c>
      <c r="M1051" s="212">
        <f t="shared" si="108"/>
        <v>0</v>
      </c>
      <c r="N1051" s="212">
        <f t="shared" si="108"/>
        <v>0</v>
      </c>
      <c r="O1051" s="212">
        <f t="shared" si="108"/>
        <v>0</v>
      </c>
      <c r="P1051" s="155">
        <f t="shared" si="108"/>
        <v>0</v>
      </c>
      <c r="Q1051" s="407"/>
      <c r="R1051" s="407"/>
    </row>
    <row r="1052" spans="1:18" ht="12.75" x14ac:dyDescent="0.2">
      <c r="A1052" s="152">
        <v>6220000</v>
      </c>
      <c r="B1052" s="73"/>
      <c r="C1052" s="51" t="s">
        <v>960</v>
      </c>
      <c r="D1052" s="89"/>
      <c r="E1052" s="89"/>
      <c r="F1052" s="89"/>
      <c r="G1052" s="89"/>
      <c r="H1052" s="89"/>
      <c r="I1052" s="89"/>
      <c r="J1052" s="212">
        <f t="shared" si="108"/>
        <v>0</v>
      </c>
      <c r="K1052" s="212">
        <f t="shared" si="108"/>
        <v>0</v>
      </c>
      <c r="L1052" s="212">
        <f t="shared" si="108"/>
        <v>0</v>
      </c>
      <c r="M1052" s="212">
        <f t="shared" si="108"/>
        <v>0</v>
      </c>
      <c r="N1052" s="212">
        <f t="shared" si="108"/>
        <v>0</v>
      </c>
      <c r="O1052" s="212">
        <f t="shared" si="108"/>
        <v>0</v>
      </c>
      <c r="P1052" s="155">
        <f t="shared" si="108"/>
        <v>0</v>
      </c>
      <c r="Q1052" s="407"/>
      <c r="R1052" s="407"/>
    </row>
    <row r="1053" spans="1:18" ht="12.75" x14ac:dyDescent="0.2">
      <c r="A1053" s="152">
        <v>6220000</v>
      </c>
      <c r="B1053" s="73"/>
      <c r="C1053" s="51" t="s">
        <v>961</v>
      </c>
      <c r="D1053" s="89"/>
      <c r="E1053" s="89"/>
      <c r="F1053" s="89"/>
      <c r="G1053" s="89"/>
      <c r="H1053" s="89"/>
      <c r="I1053" s="89"/>
      <c r="J1053" s="212">
        <f t="shared" ref="J1053:P1062" si="109">SUMIFS(J$26:J$180,$A$26:$A$180,$A1053,$C$26:$C$180,$C1053)</f>
        <v>0</v>
      </c>
      <c r="K1053" s="212">
        <f t="shared" si="109"/>
        <v>0</v>
      </c>
      <c r="L1053" s="212">
        <f t="shared" si="109"/>
        <v>0</v>
      </c>
      <c r="M1053" s="212">
        <f t="shared" si="109"/>
        <v>0</v>
      </c>
      <c r="N1053" s="212">
        <f t="shared" si="109"/>
        <v>0</v>
      </c>
      <c r="O1053" s="212">
        <f t="shared" si="109"/>
        <v>0</v>
      </c>
      <c r="P1053" s="155">
        <f t="shared" si="109"/>
        <v>0</v>
      </c>
      <c r="Q1053" s="407"/>
      <c r="R1053" s="407"/>
    </row>
    <row r="1054" spans="1:18" ht="12.75" x14ac:dyDescent="0.2">
      <c r="A1054" s="152">
        <v>6220000</v>
      </c>
      <c r="B1054" s="73"/>
      <c r="C1054" s="51" t="s">
        <v>948</v>
      </c>
      <c r="D1054" s="89"/>
      <c r="E1054" s="89"/>
      <c r="F1054" s="89"/>
      <c r="G1054" s="89"/>
      <c r="H1054" s="89"/>
      <c r="I1054" s="89"/>
      <c r="J1054" s="212">
        <f t="shared" si="109"/>
        <v>0</v>
      </c>
      <c r="K1054" s="212">
        <f t="shared" si="109"/>
        <v>0</v>
      </c>
      <c r="L1054" s="212">
        <f t="shared" si="109"/>
        <v>0</v>
      </c>
      <c r="M1054" s="212">
        <f t="shared" si="109"/>
        <v>0</v>
      </c>
      <c r="N1054" s="212">
        <f t="shared" si="109"/>
        <v>0</v>
      </c>
      <c r="O1054" s="212">
        <f t="shared" si="109"/>
        <v>0</v>
      </c>
      <c r="P1054" s="155">
        <f t="shared" si="109"/>
        <v>0</v>
      </c>
      <c r="Q1054" s="407"/>
      <c r="R1054" s="407"/>
    </row>
    <row r="1055" spans="1:18" ht="12.75" x14ac:dyDescent="0.2">
      <c r="A1055" s="152">
        <v>6220000</v>
      </c>
      <c r="B1055" s="73"/>
      <c r="C1055" s="51" t="s">
        <v>949</v>
      </c>
      <c r="D1055" s="89"/>
      <c r="E1055" s="89"/>
      <c r="F1055" s="89"/>
      <c r="G1055" s="89"/>
      <c r="H1055" s="89"/>
      <c r="I1055" s="89"/>
      <c r="J1055" s="212">
        <f t="shared" si="109"/>
        <v>0</v>
      </c>
      <c r="K1055" s="212">
        <f t="shared" si="109"/>
        <v>0</v>
      </c>
      <c r="L1055" s="212">
        <f t="shared" si="109"/>
        <v>0</v>
      </c>
      <c r="M1055" s="212">
        <f t="shared" si="109"/>
        <v>0</v>
      </c>
      <c r="N1055" s="212">
        <f t="shared" si="109"/>
        <v>0</v>
      </c>
      <c r="O1055" s="212">
        <f t="shared" si="109"/>
        <v>0</v>
      </c>
      <c r="P1055" s="155">
        <f t="shared" si="109"/>
        <v>0</v>
      </c>
      <c r="Q1055" s="407"/>
      <c r="R1055" s="407"/>
    </row>
    <row r="1056" spans="1:18" ht="12.75" x14ac:dyDescent="0.2">
      <c r="A1056" s="152">
        <v>6220000</v>
      </c>
      <c r="B1056" s="73"/>
      <c r="C1056" s="51" t="s">
        <v>132</v>
      </c>
      <c r="D1056" s="89"/>
      <c r="E1056" s="89"/>
      <c r="F1056" s="89"/>
      <c r="G1056" s="89"/>
      <c r="H1056" s="89"/>
      <c r="I1056" s="89"/>
      <c r="J1056" s="212">
        <f t="shared" si="109"/>
        <v>0</v>
      </c>
      <c r="K1056" s="212">
        <f t="shared" si="109"/>
        <v>0</v>
      </c>
      <c r="L1056" s="212">
        <f t="shared" si="109"/>
        <v>0</v>
      </c>
      <c r="M1056" s="212">
        <f t="shared" si="109"/>
        <v>0</v>
      </c>
      <c r="N1056" s="212">
        <f t="shared" si="109"/>
        <v>0</v>
      </c>
      <c r="O1056" s="212">
        <f t="shared" si="109"/>
        <v>0</v>
      </c>
      <c r="P1056" s="155">
        <f t="shared" si="109"/>
        <v>0</v>
      </c>
      <c r="Q1056" s="407"/>
      <c r="R1056" s="407"/>
    </row>
    <row r="1057" spans="1:18" ht="12.75" x14ac:dyDescent="0.2">
      <c r="A1057" s="152">
        <v>6220000</v>
      </c>
      <c r="B1057" s="73"/>
      <c r="C1057" s="51" t="s">
        <v>121</v>
      </c>
      <c r="D1057" s="89"/>
      <c r="E1057" s="89"/>
      <c r="F1057" s="89"/>
      <c r="G1057" s="89"/>
      <c r="H1057" s="89"/>
      <c r="I1057" s="89"/>
      <c r="J1057" s="212">
        <f t="shared" si="109"/>
        <v>0</v>
      </c>
      <c r="K1057" s="212">
        <f t="shared" si="109"/>
        <v>0</v>
      </c>
      <c r="L1057" s="212">
        <f t="shared" si="109"/>
        <v>0</v>
      </c>
      <c r="M1057" s="212">
        <f t="shared" si="109"/>
        <v>0</v>
      </c>
      <c r="N1057" s="212">
        <f t="shared" si="109"/>
        <v>0</v>
      </c>
      <c r="O1057" s="212">
        <f t="shared" si="109"/>
        <v>0</v>
      </c>
      <c r="P1057" s="155">
        <f t="shared" si="109"/>
        <v>0</v>
      </c>
      <c r="Q1057" s="407"/>
      <c r="R1057" s="407"/>
    </row>
    <row r="1058" spans="1:18" ht="12.75" x14ac:dyDescent="0.2">
      <c r="A1058" s="152">
        <v>6220000</v>
      </c>
      <c r="B1058" s="73"/>
      <c r="C1058" s="51" t="s">
        <v>131</v>
      </c>
      <c r="D1058" s="89"/>
      <c r="E1058" s="89"/>
      <c r="F1058" s="89"/>
      <c r="G1058" s="89"/>
      <c r="H1058" s="89"/>
      <c r="I1058" s="89"/>
      <c r="J1058" s="212">
        <f t="shared" si="109"/>
        <v>0</v>
      </c>
      <c r="K1058" s="212">
        <f t="shared" si="109"/>
        <v>0</v>
      </c>
      <c r="L1058" s="212">
        <f t="shared" si="109"/>
        <v>0</v>
      </c>
      <c r="M1058" s="212">
        <f t="shared" si="109"/>
        <v>0</v>
      </c>
      <c r="N1058" s="212">
        <f t="shared" si="109"/>
        <v>0</v>
      </c>
      <c r="O1058" s="212">
        <f t="shared" si="109"/>
        <v>0</v>
      </c>
      <c r="P1058" s="155">
        <f t="shared" si="109"/>
        <v>0</v>
      </c>
      <c r="Q1058" s="407"/>
      <c r="R1058" s="407"/>
    </row>
    <row r="1059" spans="1:18" ht="12.75" x14ac:dyDescent="0.2">
      <c r="A1059" s="152">
        <v>6220000</v>
      </c>
      <c r="B1059" s="73"/>
      <c r="C1059" s="51" t="s">
        <v>967</v>
      </c>
      <c r="D1059" s="89"/>
      <c r="E1059" s="89"/>
      <c r="F1059" s="89"/>
      <c r="G1059" s="89"/>
      <c r="H1059" s="89"/>
      <c r="I1059" s="89"/>
      <c r="J1059" s="212">
        <f t="shared" si="109"/>
        <v>0</v>
      </c>
      <c r="K1059" s="212">
        <f t="shared" si="109"/>
        <v>0</v>
      </c>
      <c r="L1059" s="212">
        <f t="shared" si="109"/>
        <v>0</v>
      </c>
      <c r="M1059" s="212">
        <f t="shared" si="109"/>
        <v>0</v>
      </c>
      <c r="N1059" s="212">
        <f t="shared" si="109"/>
        <v>0</v>
      </c>
      <c r="O1059" s="212">
        <f t="shared" si="109"/>
        <v>0</v>
      </c>
      <c r="P1059" s="155">
        <f t="shared" si="109"/>
        <v>0</v>
      </c>
      <c r="Q1059" s="407"/>
      <c r="R1059" s="407"/>
    </row>
    <row r="1060" spans="1:18" ht="12.75" x14ac:dyDescent="0.2">
      <c r="A1060" s="152">
        <v>6220000</v>
      </c>
      <c r="B1060" s="73"/>
      <c r="C1060" s="51" t="s">
        <v>118</v>
      </c>
      <c r="D1060" s="89"/>
      <c r="E1060" s="89"/>
      <c r="F1060" s="89"/>
      <c r="G1060" s="89"/>
      <c r="H1060" s="89"/>
      <c r="I1060" s="89"/>
      <c r="J1060" s="212">
        <f t="shared" si="109"/>
        <v>0</v>
      </c>
      <c r="K1060" s="212">
        <f t="shared" si="109"/>
        <v>0</v>
      </c>
      <c r="L1060" s="212">
        <f t="shared" si="109"/>
        <v>0</v>
      </c>
      <c r="M1060" s="212">
        <f t="shared" si="109"/>
        <v>0</v>
      </c>
      <c r="N1060" s="212">
        <f t="shared" si="109"/>
        <v>0</v>
      </c>
      <c r="O1060" s="212">
        <f t="shared" si="109"/>
        <v>0</v>
      </c>
      <c r="P1060" s="155">
        <f t="shared" si="109"/>
        <v>0</v>
      </c>
      <c r="Q1060" s="407"/>
      <c r="R1060" s="407"/>
    </row>
    <row r="1061" spans="1:18" ht="12.75" x14ac:dyDescent="0.2">
      <c r="A1061" s="152">
        <v>6220000</v>
      </c>
      <c r="B1061" s="73"/>
      <c r="C1061" s="51" t="s">
        <v>971</v>
      </c>
      <c r="D1061" s="89"/>
      <c r="E1061" s="89"/>
      <c r="F1061" s="89"/>
      <c r="G1061" s="89"/>
      <c r="H1061" s="89"/>
      <c r="I1061" s="89"/>
      <c r="J1061" s="212">
        <f t="shared" si="109"/>
        <v>0</v>
      </c>
      <c r="K1061" s="212">
        <f t="shared" si="109"/>
        <v>0</v>
      </c>
      <c r="L1061" s="212">
        <f t="shared" si="109"/>
        <v>0</v>
      </c>
      <c r="M1061" s="212">
        <f t="shared" si="109"/>
        <v>0</v>
      </c>
      <c r="N1061" s="212">
        <f t="shared" si="109"/>
        <v>0</v>
      </c>
      <c r="O1061" s="212">
        <f t="shared" si="109"/>
        <v>0</v>
      </c>
      <c r="P1061" s="155">
        <f t="shared" si="109"/>
        <v>0</v>
      </c>
      <c r="Q1061" s="407"/>
      <c r="R1061" s="407"/>
    </row>
    <row r="1062" spans="1:18" ht="12.75" x14ac:dyDescent="0.2">
      <c r="A1062" s="152">
        <v>6220000</v>
      </c>
      <c r="B1062" s="73"/>
      <c r="C1062" s="51" t="s">
        <v>957</v>
      </c>
      <c r="D1062" s="89"/>
      <c r="E1062" s="89"/>
      <c r="F1062" s="89"/>
      <c r="G1062" s="89"/>
      <c r="H1062" s="89"/>
      <c r="I1062" s="89"/>
      <c r="J1062" s="212">
        <f t="shared" si="109"/>
        <v>0</v>
      </c>
      <c r="K1062" s="212">
        <f t="shared" si="109"/>
        <v>0</v>
      </c>
      <c r="L1062" s="212">
        <f t="shared" si="109"/>
        <v>0</v>
      </c>
      <c r="M1062" s="212">
        <f t="shared" si="109"/>
        <v>0</v>
      </c>
      <c r="N1062" s="212">
        <f t="shared" si="109"/>
        <v>0</v>
      </c>
      <c r="O1062" s="212">
        <f t="shared" si="109"/>
        <v>0</v>
      </c>
      <c r="P1062" s="155">
        <f t="shared" si="109"/>
        <v>0</v>
      </c>
      <c r="Q1062" s="407"/>
      <c r="R1062" s="407"/>
    </row>
    <row r="1063" spans="1:18" ht="12.75" x14ac:dyDescent="0.2">
      <c r="A1063" s="152">
        <v>6220000</v>
      </c>
      <c r="B1063" s="73"/>
      <c r="C1063" s="51" t="s">
        <v>97</v>
      </c>
      <c r="D1063" s="89"/>
      <c r="E1063" s="89"/>
      <c r="F1063" s="89"/>
      <c r="G1063" s="89"/>
      <c r="H1063" s="89"/>
      <c r="I1063" s="89"/>
      <c r="J1063" s="212">
        <f t="shared" ref="J1063:P1072" si="110">SUMIFS(J$26:J$180,$A$26:$A$180,$A1063,$C$26:$C$180,$C1063)</f>
        <v>0</v>
      </c>
      <c r="K1063" s="212">
        <f t="shared" si="110"/>
        <v>0</v>
      </c>
      <c r="L1063" s="212">
        <f t="shared" si="110"/>
        <v>0</v>
      </c>
      <c r="M1063" s="212">
        <f t="shared" si="110"/>
        <v>0</v>
      </c>
      <c r="N1063" s="212">
        <f t="shared" si="110"/>
        <v>0</v>
      </c>
      <c r="O1063" s="212">
        <f t="shared" si="110"/>
        <v>0</v>
      </c>
      <c r="P1063" s="155">
        <f t="shared" si="110"/>
        <v>0</v>
      </c>
      <c r="Q1063" s="407"/>
      <c r="R1063" s="407"/>
    </row>
    <row r="1064" spans="1:18" ht="12.75" x14ac:dyDescent="0.2">
      <c r="A1064" s="152">
        <v>6220000</v>
      </c>
      <c r="B1064" s="73"/>
      <c r="C1064" s="51" t="s">
        <v>49</v>
      </c>
      <c r="D1064" s="89"/>
      <c r="E1064" s="89"/>
      <c r="F1064" s="89"/>
      <c r="G1064" s="89"/>
      <c r="H1064" s="89"/>
      <c r="I1064" s="89"/>
      <c r="J1064" s="212">
        <f t="shared" si="110"/>
        <v>0</v>
      </c>
      <c r="K1064" s="212">
        <f t="shared" si="110"/>
        <v>0</v>
      </c>
      <c r="L1064" s="212">
        <f t="shared" si="110"/>
        <v>0</v>
      </c>
      <c r="M1064" s="212">
        <f t="shared" si="110"/>
        <v>0</v>
      </c>
      <c r="N1064" s="212">
        <f t="shared" si="110"/>
        <v>0</v>
      </c>
      <c r="O1064" s="212">
        <f t="shared" si="110"/>
        <v>0</v>
      </c>
      <c r="P1064" s="155">
        <f t="shared" si="110"/>
        <v>0</v>
      </c>
      <c r="Q1064" s="407"/>
      <c r="R1064" s="407"/>
    </row>
    <row r="1065" spans="1:18" ht="12.75" x14ac:dyDescent="0.2">
      <c r="A1065" s="152">
        <v>6220000</v>
      </c>
      <c r="B1065" s="73"/>
      <c r="C1065" s="51" t="s">
        <v>1017</v>
      </c>
      <c r="D1065" s="89"/>
      <c r="E1065" s="89"/>
      <c r="F1065" s="89"/>
      <c r="G1065" s="89"/>
      <c r="H1065" s="89"/>
      <c r="I1065" s="89"/>
      <c r="J1065" s="212">
        <f t="shared" si="110"/>
        <v>0</v>
      </c>
      <c r="K1065" s="212">
        <f t="shared" si="110"/>
        <v>0</v>
      </c>
      <c r="L1065" s="212">
        <f t="shared" si="110"/>
        <v>0</v>
      </c>
      <c r="M1065" s="212">
        <f t="shared" si="110"/>
        <v>0</v>
      </c>
      <c r="N1065" s="212">
        <f t="shared" si="110"/>
        <v>0</v>
      </c>
      <c r="O1065" s="212">
        <f t="shared" si="110"/>
        <v>0</v>
      </c>
      <c r="P1065" s="155">
        <f t="shared" si="110"/>
        <v>0</v>
      </c>
      <c r="Q1065" s="407"/>
      <c r="R1065" s="407"/>
    </row>
    <row r="1066" spans="1:18" ht="12.75" x14ac:dyDescent="0.2">
      <c r="A1066" s="152">
        <v>6220000</v>
      </c>
      <c r="B1066" s="73"/>
      <c r="C1066" s="51" t="s">
        <v>1018</v>
      </c>
      <c r="D1066" s="89"/>
      <c r="E1066" s="89"/>
      <c r="F1066" s="89"/>
      <c r="G1066" s="89"/>
      <c r="H1066" s="89"/>
      <c r="I1066" s="89"/>
      <c r="J1066" s="212">
        <f t="shared" si="110"/>
        <v>0</v>
      </c>
      <c r="K1066" s="212">
        <f t="shared" si="110"/>
        <v>0</v>
      </c>
      <c r="L1066" s="212">
        <f t="shared" si="110"/>
        <v>0</v>
      </c>
      <c r="M1066" s="212">
        <f t="shared" si="110"/>
        <v>0</v>
      </c>
      <c r="N1066" s="212">
        <f t="shared" si="110"/>
        <v>0</v>
      </c>
      <c r="O1066" s="212">
        <f t="shared" si="110"/>
        <v>0</v>
      </c>
      <c r="P1066" s="155">
        <f t="shared" si="110"/>
        <v>0</v>
      </c>
      <c r="Q1066" s="407"/>
      <c r="R1066" s="407"/>
    </row>
    <row r="1067" spans="1:18" ht="12.75" x14ac:dyDescent="0.2">
      <c r="A1067" s="152">
        <v>6220000</v>
      </c>
      <c r="B1067" s="73"/>
      <c r="C1067" s="51" t="s">
        <v>928</v>
      </c>
      <c r="D1067" s="89"/>
      <c r="E1067" s="89"/>
      <c r="F1067" s="89"/>
      <c r="G1067" s="89"/>
      <c r="H1067" s="89"/>
      <c r="I1067" s="89"/>
      <c r="J1067" s="212">
        <f t="shared" si="110"/>
        <v>0</v>
      </c>
      <c r="K1067" s="212">
        <f t="shared" si="110"/>
        <v>0</v>
      </c>
      <c r="L1067" s="212">
        <f t="shared" si="110"/>
        <v>0</v>
      </c>
      <c r="M1067" s="212">
        <f t="shared" si="110"/>
        <v>0</v>
      </c>
      <c r="N1067" s="212">
        <f t="shared" si="110"/>
        <v>0</v>
      </c>
      <c r="O1067" s="212">
        <f t="shared" si="110"/>
        <v>0</v>
      </c>
      <c r="P1067" s="155">
        <f t="shared" si="110"/>
        <v>0</v>
      </c>
      <c r="Q1067" s="407"/>
      <c r="R1067" s="407"/>
    </row>
    <row r="1068" spans="1:18" ht="12.75" x14ac:dyDescent="0.2">
      <c r="A1068" s="152">
        <v>6220000</v>
      </c>
      <c r="B1068" s="73"/>
      <c r="C1068" s="51" t="s">
        <v>946</v>
      </c>
      <c r="D1068" s="89"/>
      <c r="E1068" s="89"/>
      <c r="F1068" s="89"/>
      <c r="G1068" s="89"/>
      <c r="H1068" s="89"/>
      <c r="I1068" s="89"/>
      <c r="J1068" s="212">
        <f t="shared" si="110"/>
        <v>0</v>
      </c>
      <c r="K1068" s="212">
        <f t="shared" si="110"/>
        <v>0</v>
      </c>
      <c r="L1068" s="212">
        <f t="shared" si="110"/>
        <v>0</v>
      </c>
      <c r="M1068" s="212">
        <f t="shared" si="110"/>
        <v>0</v>
      </c>
      <c r="N1068" s="212">
        <f t="shared" si="110"/>
        <v>0</v>
      </c>
      <c r="O1068" s="212">
        <f t="shared" si="110"/>
        <v>0</v>
      </c>
      <c r="P1068" s="155">
        <f t="shared" si="110"/>
        <v>0</v>
      </c>
      <c r="Q1068" s="407"/>
      <c r="R1068" s="407"/>
    </row>
    <row r="1069" spans="1:18" ht="12.75" x14ac:dyDescent="0.2">
      <c r="A1069" s="152">
        <v>6220000</v>
      </c>
      <c r="B1069" s="73"/>
      <c r="C1069" s="51" t="s">
        <v>947</v>
      </c>
      <c r="D1069" s="89"/>
      <c r="E1069" s="89"/>
      <c r="F1069" s="89"/>
      <c r="G1069" s="89"/>
      <c r="H1069" s="89"/>
      <c r="I1069" s="89"/>
      <c r="J1069" s="212">
        <f t="shared" si="110"/>
        <v>0</v>
      </c>
      <c r="K1069" s="212">
        <f t="shared" si="110"/>
        <v>0</v>
      </c>
      <c r="L1069" s="212">
        <f t="shared" si="110"/>
        <v>0</v>
      </c>
      <c r="M1069" s="212">
        <f t="shared" si="110"/>
        <v>0</v>
      </c>
      <c r="N1069" s="212">
        <f t="shared" si="110"/>
        <v>0</v>
      </c>
      <c r="O1069" s="212">
        <f t="shared" si="110"/>
        <v>0</v>
      </c>
      <c r="P1069" s="155">
        <f t="shared" si="110"/>
        <v>0</v>
      </c>
      <c r="Q1069" s="407"/>
      <c r="R1069" s="407"/>
    </row>
    <row r="1070" spans="1:18" ht="12.75" x14ac:dyDescent="0.2">
      <c r="A1070" s="152">
        <v>6220000</v>
      </c>
      <c r="B1070" s="73"/>
      <c r="C1070" s="51" t="s">
        <v>1020</v>
      </c>
      <c r="D1070" s="89"/>
      <c r="E1070" s="89"/>
      <c r="F1070" s="89"/>
      <c r="G1070" s="89"/>
      <c r="H1070" s="89"/>
      <c r="I1070" s="89"/>
      <c r="J1070" s="212">
        <f t="shared" si="110"/>
        <v>0</v>
      </c>
      <c r="K1070" s="212">
        <f t="shared" si="110"/>
        <v>0</v>
      </c>
      <c r="L1070" s="212">
        <f t="shared" si="110"/>
        <v>0</v>
      </c>
      <c r="M1070" s="212">
        <f t="shared" si="110"/>
        <v>0</v>
      </c>
      <c r="N1070" s="212">
        <f t="shared" si="110"/>
        <v>0</v>
      </c>
      <c r="O1070" s="212">
        <f t="shared" si="110"/>
        <v>0</v>
      </c>
      <c r="P1070" s="155">
        <f t="shared" si="110"/>
        <v>0</v>
      </c>
      <c r="Q1070" s="407"/>
      <c r="R1070" s="407"/>
    </row>
    <row r="1071" spans="1:18" ht="12.75" x14ac:dyDescent="0.2">
      <c r="A1071" s="152">
        <v>6220000</v>
      </c>
      <c r="B1071" s="73"/>
      <c r="C1071" s="51" t="s">
        <v>1021</v>
      </c>
      <c r="D1071" s="89"/>
      <c r="E1071" s="89"/>
      <c r="F1071" s="89"/>
      <c r="G1071" s="89"/>
      <c r="H1071" s="89"/>
      <c r="I1071" s="89"/>
      <c r="J1071" s="212">
        <f t="shared" si="110"/>
        <v>0</v>
      </c>
      <c r="K1071" s="212">
        <f t="shared" si="110"/>
        <v>0</v>
      </c>
      <c r="L1071" s="212">
        <f t="shared" si="110"/>
        <v>0</v>
      </c>
      <c r="M1071" s="212">
        <f t="shared" si="110"/>
        <v>0</v>
      </c>
      <c r="N1071" s="212">
        <f t="shared" si="110"/>
        <v>0</v>
      </c>
      <c r="O1071" s="212">
        <f t="shared" si="110"/>
        <v>0</v>
      </c>
      <c r="P1071" s="155">
        <f t="shared" si="110"/>
        <v>0</v>
      </c>
      <c r="Q1071" s="407"/>
      <c r="R1071" s="407"/>
    </row>
    <row r="1072" spans="1:18" ht="12.75" x14ac:dyDescent="0.2">
      <c r="A1072" s="152">
        <v>6220000</v>
      </c>
      <c r="B1072" s="73"/>
      <c r="C1072" s="51" t="s">
        <v>489</v>
      </c>
      <c r="D1072" s="89"/>
      <c r="E1072" s="89"/>
      <c r="F1072" s="89"/>
      <c r="G1072" s="89"/>
      <c r="H1072" s="89"/>
      <c r="I1072" s="89"/>
      <c r="J1072" s="212">
        <f t="shared" si="110"/>
        <v>0</v>
      </c>
      <c r="K1072" s="212">
        <f t="shared" si="110"/>
        <v>0</v>
      </c>
      <c r="L1072" s="212">
        <f t="shared" si="110"/>
        <v>0</v>
      </c>
      <c r="M1072" s="212">
        <f t="shared" si="110"/>
        <v>0</v>
      </c>
      <c r="N1072" s="212">
        <f t="shared" si="110"/>
        <v>0</v>
      </c>
      <c r="O1072" s="212">
        <f t="shared" si="110"/>
        <v>0</v>
      </c>
      <c r="P1072" s="155">
        <f t="shared" si="110"/>
        <v>0</v>
      </c>
      <c r="Q1072" s="407"/>
      <c r="R1072" s="407"/>
    </row>
    <row r="1073" spans="1:18" ht="12.75" x14ac:dyDescent="0.2">
      <c r="A1073" s="152">
        <v>6220000</v>
      </c>
      <c r="B1073" s="73"/>
      <c r="C1073" s="51" t="s">
        <v>968</v>
      </c>
      <c r="D1073" s="89"/>
      <c r="E1073" s="89"/>
      <c r="F1073" s="89"/>
      <c r="G1073" s="89"/>
      <c r="H1073" s="89"/>
      <c r="I1073" s="89"/>
      <c r="J1073" s="212">
        <f t="shared" ref="J1073:P1082" si="111">SUMIFS(J$26:J$180,$A$26:$A$180,$A1073,$C$26:$C$180,$C1073)</f>
        <v>0</v>
      </c>
      <c r="K1073" s="212">
        <f t="shared" si="111"/>
        <v>0</v>
      </c>
      <c r="L1073" s="212">
        <f t="shared" si="111"/>
        <v>0</v>
      </c>
      <c r="M1073" s="212">
        <f t="shared" si="111"/>
        <v>0</v>
      </c>
      <c r="N1073" s="212">
        <f t="shared" si="111"/>
        <v>0</v>
      </c>
      <c r="O1073" s="212">
        <f t="shared" si="111"/>
        <v>0</v>
      </c>
      <c r="P1073" s="155">
        <f t="shared" si="111"/>
        <v>0</v>
      </c>
      <c r="Q1073" s="407"/>
      <c r="R1073" s="407"/>
    </row>
    <row r="1074" spans="1:18" ht="12.75" x14ac:dyDescent="0.2">
      <c r="A1074" s="152">
        <v>6220000</v>
      </c>
      <c r="B1074" s="73"/>
      <c r="C1074" s="51" t="s">
        <v>98</v>
      </c>
      <c r="D1074" s="89"/>
      <c r="E1074" s="89"/>
      <c r="F1074" s="89"/>
      <c r="G1074" s="89"/>
      <c r="H1074" s="89"/>
      <c r="I1074" s="89"/>
      <c r="J1074" s="212">
        <f t="shared" si="111"/>
        <v>0</v>
      </c>
      <c r="K1074" s="212">
        <f t="shared" si="111"/>
        <v>0</v>
      </c>
      <c r="L1074" s="212">
        <f t="shared" si="111"/>
        <v>0</v>
      </c>
      <c r="M1074" s="212">
        <f t="shared" si="111"/>
        <v>0</v>
      </c>
      <c r="N1074" s="212">
        <f t="shared" si="111"/>
        <v>0</v>
      </c>
      <c r="O1074" s="212">
        <f t="shared" si="111"/>
        <v>0</v>
      </c>
      <c r="P1074" s="155">
        <f t="shared" si="111"/>
        <v>0</v>
      </c>
      <c r="Q1074" s="407"/>
      <c r="R1074" s="407"/>
    </row>
    <row r="1075" spans="1:18" ht="12.75" x14ac:dyDescent="0.2">
      <c r="A1075" s="152">
        <v>6220000</v>
      </c>
      <c r="B1075" s="73"/>
      <c r="C1075" s="51" t="s">
        <v>1048</v>
      </c>
      <c r="D1075" s="89"/>
      <c r="E1075" s="89"/>
      <c r="F1075" s="89"/>
      <c r="G1075" s="89"/>
      <c r="H1075" s="89"/>
      <c r="I1075" s="89"/>
      <c r="J1075" s="212">
        <f t="shared" si="111"/>
        <v>0</v>
      </c>
      <c r="K1075" s="212">
        <f t="shared" si="111"/>
        <v>0</v>
      </c>
      <c r="L1075" s="212">
        <f t="shared" si="111"/>
        <v>0</v>
      </c>
      <c r="M1075" s="212">
        <f t="shared" si="111"/>
        <v>0</v>
      </c>
      <c r="N1075" s="212">
        <f t="shared" si="111"/>
        <v>0</v>
      </c>
      <c r="O1075" s="212">
        <f t="shared" si="111"/>
        <v>0</v>
      </c>
      <c r="P1075" s="155">
        <f t="shared" si="111"/>
        <v>0</v>
      </c>
      <c r="Q1075" s="407"/>
      <c r="R1075" s="407"/>
    </row>
    <row r="1076" spans="1:18" ht="12.75" x14ac:dyDescent="0.2">
      <c r="A1076" s="152">
        <v>6220000</v>
      </c>
      <c r="B1076" s="73"/>
      <c r="C1076" s="51" t="s">
        <v>1030</v>
      </c>
      <c r="D1076" s="89"/>
      <c r="E1076" s="89"/>
      <c r="F1076" s="89"/>
      <c r="G1076" s="89"/>
      <c r="H1076" s="89"/>
      <c r="I1076" s="89"/>
      <c r="J1076" s="212">
        <f t="shared" si="111"/>
        <v>0</v>
      </c>
      <c r="K1076" s="212">
        <f t="shared" si="111"/>
        <v>0</v>
      </c>
      <c r="L1076" s="212">
        <f t="shared" si="111"/>
        <v>0</v>
      </c>
      <c r="M1076" s="212">
        <f t="shared" si="111"/>
        <v>0</v>
      </c>
      <c r="N1076" s="212">
        <f t="shared" si="111"/>
        <v>0</v>
      </c>
      <c r="O1076" s="212">
        <f t="shared" si="111"/>
        <v>0</v>
      </c>
      <c r="P1076" s="155">
        <f t="shared" si="111"/>
        <v>0</v>
      </c>
      <c r="Q1076" s="407"/>
      <c r="R1076" s="407"/>
    </row>
    <row r="1077" spans="1:18" ht="12.75" x14ac:dyDescent="0.2">
      <c r="A1077" s="152">
        <v>6220000</v>
      </c>
      <c r="B1077" s="73"/>
      <c r="C1077" s="51" t="s">
        <v>977</v>
      </c>
      <c r="D1077" s="89"/>
      <c r="E1077" s="89"/>
      <c r="F1077" s="89"/>
      <c r="G1077" s="89"/>
      <c r="H1077" s="89"/>
      <c r="I1077" s="89"/>
      <c r="J1077" s="212">
        <f t="shared" si="111"/>
        <v>0</v>
      </c>
      <c r="K1077" s="212">
        <f t="shared" si="111"/>
        <v>0</v>
      </c>
      <c r="L1077" s="212">
        <f t="shared" si="111"/>
        <v>0</v>
      </c>
      <c r="M1077" s="212">
        <f t="shared" si="111"/>
        <v>0</v>
      </c>
      <c r="N1077" s="212">
        <f t="shared" si="111"/>
        <v>0</v>
      </c>
      <c r="O1077" s="212">
        <f t="shared" si="111"/>
        <v>0</v>
      </c>
      <c r="P1077" s="155">
        <f t="shared" si="111"/>
        <v>0</v>
      </c>
      <c r="Q1077" s="407"/>
      <c r="R1077" s="407"/>
    </row>
    <row r="1078" spans="1:18" ht="12.75" x14ac:dyDescent="0.2">
      <c r="A1078" s="152">
        <v>6220000</v>
      </c>
      <c r="B1078" s="73"/>
      <c r="C1078" s="51" t="s">
        <v>99</v>
      </c>
      <c r="D1078" s="89"/>
      <c r="E1078" s="89"/>
      <c r="F1078" s="89"/>
      <c r="G1078" s="89"/>
      <c r="H1078" s="89"/>
      <c r="I1078" s="89"/>
      <c r="J1078" s="212">
        <f t="shared" si="111"/>
        <v>0</v>
      </c>
      <c r="K1078" s="212">
        <f t="shared" si="111"/>
        <v>0</v>
      </c>
      <c r="L1078" s="212">
        <f t="shared" si="111"/>
        <v>0</v>
      </c>
      <c r="M1078" s="212">
        <f t="shared" si="111"/>
        <v>0</v>
      </c>
      <c r="N1078" s="212">
        <f t="shared" si="111"/>
        <v>0</v>
      </c>
      <c r="O1078" s="212">
        <f t="shared" si="111"/>
        <v>0</v>
      </c>
      <c r="P1078" s="155">
        <f t="shared" si="111"/>
        <v>0</v>
      </c>
      <c r="Q1078" s="407"/>
      <c r="R1078" s="407"/>
    </row>
    <row r="1079" spans="1:18" ht="12.75" x14ac:dyDescent="0.2">
      <c r="A1079" s="152">
        <v>6220000</v>
      </c>
      <c r="B1079" s="73"/>
      <c r="C1079" s="51" t="s">
        <v>1047</v>
      </c>
      <c r="D1079" s="89"/>
      <c r="E1079" s="89"/>
      <c r="F1079" s="89"/>
      <c r="G1079" s="89"/>
      <c r="H1079" s="89"/>
      <c r="I1079" s="89"/>
      <c r="J1079" s="212">
        <f t="shared" si="111"/>
        <v>0</v>
      </c>
      <c r="K1079" s="212">
        <f t="shared" si="111"/>
        <v>0</v>
      </c>
      <c r="L1079" s="212">
        <f t="shared" si="111"/>
        <v>0</v>
      </c>
      <c r="M1079" s="212">
        <f t="shared" si="111"/>
        <v>0</v>
      </c>
      <c r="N1079" s="212">
        <f t="shared" si="111"/>
        <v>0</v>
      </c>
      <c r="O1079" s="212">
        <f t="shared" si="111"/>
        <v>0</v>
      </c>
      <c r="P1079" s="155">
        <f t="shared" si="111"/>
        <v>0</v>
      </c>
      <c r="Q1079" s="407"/>
      <c r="R1079" s="407"/>
    </row>
    <row r="1080" spans="1:18" ht="12.75" x14ac:dyDescent="0.2">
      <c r="A1080" s="152">
        <v>6220000</v>
      </c>
      <c r="B1080" s="73"/>
      <c r="C1080" s="51" t="s">
        <v>1041</v>
      </c>
      <c r="D1080" s="89"/>
      <c r="E1080" s="89"/>
      <c r="F1080" s="89"/>
      <c r="G1080" s="89"/>
      <c r="H1080" s="89"/>
      <c r="I1080" s="89"/>
      <c r="J1080" s="212">
        <f t="shared" si="111"/>
        <v>0</v>
      </c>
      <c r="K1080" s="212">
        <f t="shared" si="111"/>
        <v>0</v>
      </c>
      <c r="L1080" s="212">
        <f t="shared" si="111"/>
        <v>0</v>
      </c>
      <c r="M1080" s="212">
        <f t="shared" si="111"/>
        <v>0</v>
      </c>
      <c r="N1080" s="212">
        <f t="shared" si="111"/>
        <v>0</v>
      </c>
      <c r="O1080" s="212">
        <f t="shared" si="111"/>
        <v>0</v>
      </c>
      <c r="P1080" s="155">
        <f t="shared" si="111"/>
        <v>0</v>
      </c>
      <c r="Q1080" s="407"/>
      <c r="R1080" s="407"/>
    </row>
    <row r="1081" spans="1:18" ht="12.75" x14ac:dyDescent="0.2">
      <c r="A1081" s="152">
        <v>6220000</v>
      </c>
      <c r="B1081" s="73"/>
      <c r="C1081" s="51" t="s">
        <v>102</v>
      </c>
      <c r="D1081" s="89"/>
      <c r="E1081" s="89"/>
      <c r="F1081" s="89"/>
      <c r="G1081" s="89"/>
      <c r="H1081" s="89"/>
      <c r="I1081" s="89"/>
      <c r="J1081" s="212">
        <f t="shared" si="111"/>
        <v>0</v>
      </c>
      <c r="K1081" s="212">
        <f t="shared" si="111"/>
        <v>0</v>
      </c>
      <c r="L1081" s="212">
        <f t="shared" si="111"/>
        <v>0</v>
      </c>
      <c r="M1081" s="212">
        <f t="shared" si="111"/>
        <v>0</v>
      </c>
      <c r="N1081" s="212">
        <f t="shared" si="111"/>
        <v>0</v>
      </c>
      <c r="O1081" s="212">
        <f t="shared" si="111"/>
        <v>0</v>
      </c>
      <c r="P1081" s="155">
        <f t="shared" si="111"/>
        <v>0</v>
      </c>
      <c r="Q1081" s="407"/>
      <c r="R1081" s="407"/>
    </row>
    <row r="1082" spans="1:18" ht="12.75" x14ac:dyDescent="0.2">
      <c r="A1082" s="152">
        <v>6220000</v>
      </c>
      <c r="B1082" s="73"/>
      <c r="C1082" s="51" t="s">
        <v>124</v>
      </c>
      <c r="D1082" s="89"/>
      <c r="E1082" s="89"/>
      <c r="F1082" s="89"/>
      <c r="G1082" s="89"/>
      <c r="H1082" s="89"/>
      <c r="I1082" s="89"/>
      <c r="J1082" s="212">
        <f t="shared" si="111"/>
        <v>0</v>
      </c>
      <c r="K1082" s="212">
        <f t="shared" si="111"/>
        <v>0</v>
      </c>
      <c r="L1082" s="212">
        <f t="shared" si="111"/>
        <v>0</v>
      </c>
      <c r="M1082" s="212">
        <f t="shared" si="111"/>
        <v>0</v>
      </c>
      <c r="N1082" s="212">
        <f t="shared" si="111"/>
        <v>0</v>
      </c>
      <c r="O1082" s="212">
        <f t="shared" si="111"/>
        <v>0</v>
      </c>
      <c r="P1082" s="155">
        <f t="shared" si="111"/>
        <v>0</v>
      </c>
      <c r="Q1082" s="407"/>
      <c r="R1082" s="407"/>
    </row>
    <row r="1083" spans="1:18" ht="12.75" x14ac:dyDescent="0.2">
      <c r="A1083" s="152">
        <v>6220000</v>
      </c>
      <c r="B1083" s="73"/>
      <c r="C1083" s="51" t="s">
        <v>103</v>
      </c>
      <c r="D1083" s="89"/>
      <c r="E1083" s="89"/>
      <c r="F1083" s="89"/>
      <c r="G1083" s="89"/>
      <c r="H1083" s="89"/>
      <c r="I1083" s="89"/>
      <c r="J1083" s="212">
        <f t="shared" ref="J1083:P1092" si="112">SUMIFS(J$26:J$180,$A$26:$A$180,$A1083,$C$26:$C$180,$C1083)</f>
        <v>0</v>
      </c>
      <c r="K1083" s="212">
        <f t="shared" si="112"/>
        <v>0</v>
      </c>
      <c r="L1083" s="212">
        <f t="shared" si="112"/>
        <v>0</v>
      </c>
      <c r="M1083" s="212">
        <f t="shared" si="112"/>
        <v>0</v>
      </c>
      <c r="N1083" s="212">
        <f t="shared" si="112"/>
        <v>0</v>
      </c>
      <c r="O1083" s="212">
        <f t="shared" si="112"/>
        <v>0</v>
      </c>
      <c r="P1083" s="155">
        <f t="shared" si="112"/>
        <v>0</v>
      </c>
      <c r="Q1083" s="407"/>
      <c r="R1083" s="407"/>
    </row>
    <row r="1084" spans="1:18" ht="12.75" x14ac:dyDescent="0.2">
      <c r="A1084" s="152">
        <v>6220000</v>
      </c>
      <c r="B1084" s="73"/>
      <c r="C1084" s="51" t="s">
        <v>104</v>
      </c>
      <c r="D1084" s="89"/>
      <c r="E1084" s="89"/>
      <c r="F1084" s="89"/>
      <c r="G1084" s="89"/>
      <c r="H1084" s="89"/>
      <c r="I1084" s="89"/>
      <c r="J1084" s="212">
        <f t="shared" si="112"/>
        <v>0</v>
      </c>
      <c r="K1084" s="212">
        <f t="shared" si="112"/>
        <v>0</v>
      </c>
      <c r="L1084" s="212">
        <f t="shared" si="112"/>
        <v>0</v>
      </c>
      <c r="M1084" s="212">
        <f t="shared" si="112"/>
        <v>0</v>
      </c>
      <c r="N1084" s="212">
        <f t="shared" si="112"/>
        <v>0</v>
      </c>
      <c r="O1084" s="212">
        <f t="shared" si="112"/>
        <v>0</v>
      </c>
      <c r="P1084" s="155">
        <f t="shared" si="112"/>
        <v>0</v>
      </c>
      <c r="Q1084" s="407"/>
      <c r="R1084" s="407"/>
    </row>
    <row r="1085" spans="1:18" ht="12.75" x14ac:dyDescent="0.2">
      <c r="A1085" s="152">
        <v>6220000</v>
      </c>
      <c r="B1085" s="73"/>
      <c r="C1085" s="51" t="s">
        <v>491</v>
      </c>
      <c r="D1085" s="89"/>
      <c r="E1085" s="89"/>
      <c r="F1085" s="89"/>
      <c r="G1085" s="89"/>
      <c r="H1085" s="89"/>
      <c r="I1085" s="89"/>
      <c r="J1085" s="212">
        <f t="shared" si="112"/>
        <v>0</v>
      </c>
      <c r="K1085" s="212">
        <f t="shared" si="112"/>
        <v>0</v>
      </c>
      <c r="L1085" s="212">
        <f t="shared" si="112"/>
        <v>0</v>
      </c>
      <c r="M1085" s="212">
        <f t="shared" si="112"/>
        <v>0</v>
      </c>
      <c r="N1085" s="212">
        <f t="shared" si="112"/>
        <v>0</v>
      </c>
      <c r="O1085" s="212">
        <f t="shared" si="112"/>
        <v>0</v>
      </c>
      <c r="P1085" s="155">
        <f t="shared" si="112"/>
        <v>0</v>
      </c>
      <c r="Q1085" s="407"/>
      <c r="R1085" s="407"/>
    </row>
    <row r="1086" spans="1:18" ht="12.75" x14ac:dyDescent="0.2">
      <c r="A1086" s="152">
        <v>6220000</v>
      </c>
      <c r="B1086" s="73"/>
      <c r="C1086" s="51" t="s">
        <v>105</v>
      </c>
      <c r="D1086" s="89"/>
      <c r="E1086" s="89"/>
      <c r="F1086" s="89"/>
      <c r="G1086" s="89"/>
      <c r="H1086" s="89"/>
      <c r="I1086" s="89"/>
      <c r="J1086" s="212">
        <f t="shared" si="112"/>
        <v>0</v>
      </c>
      <c r="K1086" s="212">
        <f t="shared" si="112"/>
        <v>0</v>
      </c>
      <c r="L1086" s="212">
        <f t="shared" si="112"/>
        <v>0</v>
      </c>
      <c r="M1086" s="212">
        <f t="shared" si="112"/>
        <v>0</v>
      </c>
      <c r="N1086" s="212">
        <f t="shared" si="112"/>
        <v>0</v>
      </c>
      <c r="O1086" s="212">
        <f t="shared" si="112"/>
        <v>0</v>
      </c>
      <c r="P1086" s="155">
        <f t="shared" si="112"/>
        <v>0</v>
      </c>
      <c r="Q1086" s="407"/>
      <c r="R1086" s="407"/>
    </row>
    <row r="1087" spans="1:18" ht="12.75" x14ac:dyDescent="0.2">
      <c r="A1087" s="152">
        <v>6220000</v>
      </c>
      <c r="B1087" s="73"/>
      <c r="C1087" s="51" t="s">
        <v>129</v>
      </c>
      <c r="D1087" s="89"/>
      <c r="E1087" s="89"/>
      <c r="F1087" s="89"/>
      <c r="G1087" s="89"/>
      <c r="H1087" s="89"/>
      <c r="I1087" s="89"/>
      <c r="J1087" s="212">
        <f t="shared" si="112"/>
        <v>0</v>
      </c>
      <c r="K1087" s="212">
        <f t="shared" si="112"/>
        <v>0</v>
      </c>
      <c r="L1087" s="212">
        <f t="shared" si="112"/>
        <v>0</v>
      </c>
      <c r="M1087" s="212">
        <f t="shared" si="112"/>
        <v>0</v>
      </c>
      <c r="N1087" s="212">
        <f t="shared" si="112"/>
        <v>0</v>
      </c>
      <c r="O1087" s="212">
        <f t="shared" si="112"/>
        <v>0</v>
      </c>
      <c r="P1087" s="155">
        <f t="shared" si="112"/>
        <v>0</v>
      </c>
      <c r="Q1087" s="407"/>
      <c r="R1087" s="407"/>
    </row>
    <row r="1088" spans="1:18" ht="12.75" x14ac:dyDescent="0.2">
      <c r="A1088" s="152">
        <v>6220000</v>
      </c>
      <c r="B1088" s="73"/>
      <c r="C1088" s="51" t="s">
        <v>108</v>
      </c>
      <c r="D1088" s="89"/>
      <c r="E1088" s="89"/>
      <c r="F1088" s="89"/>
      <c r="G1088" s="89"/>
      <c r="H1088" s="89"/>
      <c r="I1088" s="89"/>
      <c r="J1088" s="212">
        <f t="shared" si="112"/>
        <v>0</v>
      </c>
      <c r="K1088" s="212">
        <f t="shared" si="112"/>
        <v>0</v>
      </c>
      <c r="L1088" s="212">
        <f t="shared" si="112"/>
        <v>0</v>
      </c>
      <c r="M1088" s="212">
        <f t="shared" si="112"/>
        <v>0</v>
      </c>
      <c r="N1088" s="212">
        <f t="shared" si="112"/>
        <v>0</v>
      </c>
      <c r="O1088" s="212">
        <f t="shared" si="112"/>
        <v>0</v>
      </c>
      <c r="P1088" s="155">
        <f t="shared" si="112"/>
        <v>0</v>
      </c>
      <c r="Q1088" s="407"/>
      <c r="R1088" s="407"/>
    </row>
    <row r="1089" spans="1:18" ht="12.75" x14ac:dyDescent="0.2">
      <c r="A1089" s="152">
        <v>6220000</v>
      </c>
      <c r="B1089" s="73"/>
      <c r="C1089" s="51" t="s">
        <v>119</v>
      </c>
      <c r="D1089" s="89"/>
      <c r="E1089" s="89"/>
      <c r="F1089" s="89"/>
      <c r="G1089" s="89"/>
      <c r="H1089" s="89"/>
      <c r="I1089" s="89"/>
      <c r="J1089" s="212">
        <f t="shared" si="112"/>
        <v>0</v>
      </c>
      <c r="K1089" s="212">
        <f t="shared" si="112"/>
        <v>0</v>
      </c>
      <c r="L1089" s="212">
        <f t="shared" si="112"/>
        <v>0</v>
      </c>
      <c r="M1089" s="212">
        <f t="shared" si="112"/>
        <v>0</v>
      </c>
      <c r="N1089" s="212">
        <f t="shared" si="112"/>
        <v>0</v>
      </c>
      <c r="O1089" s="212">
        <f t="shared" si="112"/>
        <v>0</v>
      </c>
      <c r="P1089" s="155">
        <f t="shared" si="112"/>
        <v>0</v>
      </c>
      <c r="Q1089" s="407"/>
      <c r="R1089" s="407"/>
    </row>
    <row r="1090" spans="1:18" ht="12.75" x14ac:dyDescent="0.2">
      <c r="A1090" s="152">
        <v>6220000</v>
      </c>
      <c r="B1090" s="73"/>
      <c r="C1090" s="51" t="s">
        <v>954</v>
      </c>
      <c r="D1090" s="89"/>
      <c r="E1090" s="89"/>
      <c r="F1090" s="89"/>
      <c r="G1090" s="89"/>
      <c r="H1090" s="89"/>
      <c r="I1090" s="89"/>
      <c r="J1090" s="212">
        <f t="shared" si="112"/>
        <v>0</v>
      </c>
      <c r="K1090" s="212">
        <f t="shared" si="112"/>
        <v>0</v>
      </c>
      <c r="L1090" s="212">
        <f t="shared" si="112"/>
        <v>0</v>
      </c>
      <c r="M1090" s="212">
        <f t="shared" si="112"/>
        <v>0</v>
      </c>
      <c r="N1090" s="212">
        <f t="shared" si="112"/>
        <v>0</v>
      </c>
      <c r="O1090" s="212">
        <f t="shared" si="112"/>
        <v>0</v>
      </c>
      <c r="P1090" s="155">
        <f t="shared" si="112"/>
        <v>0</v>
      </c>
      <c r="Q1090" s="407"/>
      <c r="R1090" s="407"/>
    </row>
    <row r="1091" spans="1:18" ht="12.75" x14ac:dyDescent="0.2">
      <c r="A1091" s="152">
        <v>6220000</v>
      </c>
      <c r="B1091" s="73"/>
      <c r="C1091" s="51" t="s">
        <v>1031</v>
      </c>
      <c r="D1091" s="89"/>
      <c r="E1091" s="89"/>
      <c r="F1091" s="89"/>
      <c r="G1091" s="89"/>
      <c r="H1091" s="89"/>
      <c r="I1091" s="89"/>
      <c r="J1091" s="212">
        <f t="shared" si="112"/>
        <v>0</v>
      </c>
      <c r="K1091" s="212">
        <f t="shared" si="112"/>
        <v>0</v>
      </c>
      <c r="L1091" s="212">
        <f t="shared" si="112"/>
        <v>0</v>
      </c>
      <c r="M1091" s="212">
        <f t="shared" si="112"/>
        <v>0</v>
      </c>
      <c r="N1091" s="212">
        <f t="shared" si="112"/>
        <v>0</v>
      </c>
      <c r="O1091" s="212">
        <f t="shared" si="112"/>
        <v>0</v>
      </c>
      <c r="P1091" s="155">
        <f t="shared" si="112"/>
        <v>0</v>
      </c>
      <c r="Q1091" s="407"/>
      <c r="R1091" s="407"/>
    </row>
    <row r="1092" spans="1:18" ht="12.75" x14ac:dyDescent="0.2">
      <c r="A1092" s="152">
        <v>6220000</v>
      </c>
      <c r="B1092" s="73"/>
      <c r="C1092" s="51" t="s">
        <v>1009</v>
      </c>
      <c r="D1092" s="89"/>
      <c r="E1092" s="89"/>
      <c r="F1092" s="89"/>
      <c r="G1092" s="89"/>
      <c r="H1092" s="89"/>
      <c r="I1092" s="89"/>
      <c r="J1092" s="212">
        <f t="shared" si="112"/>
        <v>0</v>
      </c>
      <c r="K1092" s="212">
        <f t="shared" si="112"/>
        <v>0</v>
      </c>
      <c r="L1092" s="212">
        <f t="shared" si="112"/>
        <v>0</v>
      </c>
      <c r="M1092" s="212">
        <f t="shared" si="112"/>
        <v>0</v>
      </c>
      <c r="N1092" s="212">
        <f t="shared" si="112"/>
        <v>0</v>
      </c>
      <c r="O1092" s="212">
        <f t="shared" si="112"/>
        <v>0</v>
      </c>
      <c r="P1092" s="155">
        <f t="shared" si="112"/>
        <v>0</v>
      </c>
      <c r="Q1092" s="407"/>
      <c r="R1092" s="407"/>
    </row>
    <row r="1093" spans="1:18" ht="12.75" x14ac:dyDescent="0.2">
      <c r="A1093" s="152">
        <v>6220000</v>
      </c>
      <c r="B1093" s="73"/>
      <c r="C1093" s="51" t="s">
        <v>107</v>
      </c>
      <c r="D1093" s="89"/>
      <c r="E1093" s="89"/>
      <c r="F1093" s="89"/>
      <c r="G1093" s="89"/>
      <c r="H1093" s="89"/>
      <c r="I1093" s="89"/>
      <c r="J1093" s="212">
        <f t="shared" ref="J1093:P1102" si="113">SUMIFS(J$26:J$180,$A$26:$A$180,$A1093,$C$26:$C$180,$C1093)</f>
        <v>0</v>
      </c>
      <c r="K1093" s="212">
        <f t="shared" si="113"/>
        <v>0</v>
      </c>
      <c r="L1093" s="212">
        <f t="shared" si="113"/>
        <v>0</v>
      </c>
      <c r="M1093" s="212">
        <f t="shared" si="113"/>
        <v>0</v>
      </c>
      <c r="N1093" s="212">
        <f t="shared" si="113"/>
        <v>0</v>
      </c>
      <c r="O1093" s="212">
        <f t="shared" si="113"/>
        <v>0</v>
      </c>
      <c r="P1093" s="155">
        <f t="shared" si="113"/>
        <v>0</v>
      </c>
      <c r="Q1093" s="407"/>
      <c r="R1093" s="407"/>
    </row>
    <row r="1094" spans="1:18" ht="12.75" x14ac:dyDescent="0.2">
      <c r="A1094" s="152">
        <v>6220000</v>
      </c>
      <c r="B1094" s="73"/>
      <c r="C1094" s="51" t="s">
        <v>1026</v>
      </c>
      <c r="D1094" s="89"/>
      <c r="E1094" s="89"/>
      <c r="F1094" s="89"/>
      <c r="G1094" s="89"/>
      <c r="H1094" s="89"/>
      <c r="I1094" s="89"/>
      <c r="J1094" s="212">
        <f t="shared" si="113"/>
        <v>0</v>
      </c>
      <c r="K1094" s="212">
        <f t="shared" si="113"/>
        <v>0</v>
      </c>
      <c r="L1094" s="212">
        <f t="shared" si="113"/>
        <v>0</v>
      </c>
      <c r="M1094" s="212">
        <f t="shared" si="113"/>
        <v>0</v>
      </c>
      <c r="N1094" s="212">
        <f t="shared" si="113"/>
        <v>0</v>
      </c>
      <c r="O1094" s="212">
        <f t="shared" si="113"/>
        <v>0</v>
      </c>
      <c r="P1094" s="155">
        <f t="shared" si="113"/>
        <v>0</v>
      </c>
      <c r="Q1094" s="407"/>
      <c r="R1094" s="407"/>
    </row>
    <row r="1095" spans="1:18" ht="12.75" x14ac:dyDescent="0.2">
      <c r="A1095" s="152">
        <v>6220000</v>
      </c>
      <c r="B1095" s="73"/>
      <c r="C1095" s="51" t="s">
        <v>1027</v>
      </c>
      <c r="D1095" s="89"/>
      <c r="E1095" s="89"/>
      <c r="F1095" s="89"/>
      <c r="G1095" s="89"/>
      <c r="H1095" s="89"/>
      <c r="I1095" s="89"/>
      <c r="J1095" s="212">
        <f t="shared" si="113"/>
        <v>0</v>
      </c>
      <c r="K1095" s="212">
        <f t="shared" si="113"/>
        <v>0</v>
      </c>
      <c r="L1095" s="212">
        <f t="shared" si="113"/>
        <v>0</v>
      </c>
      <c r="M1095" s="212">
        <f t="shared" si="113"/>
        <v>0</v>
      </c>
      <c r="N1095" s="212">
        <f t="shared" si="113"/>
        <v>0</v>
      </c>
      <c r="O1095" s="212">
        <f t="shared" si="113"/>
        <v>0</v>
      </c>
      <c r="P1095" s="155">
        <f t="shared" si="113"/>
        <v>0</v>
      </c>
      <c r="Q1095" s="407"/>
      <c r="R1095" s="407"/>
    </row>
    <row r="1096" spans="1:18" ht="12.75" x14ac:dyDescent="0.2">
      <c r="A1096" s="152">
        <v>6220000</v>
      </c>
      <c r="B1096" s="73"/>
      <c r="C1096" s="51" t="s">
        <v>955</v>
      </c>
      <c r="D1096" s="89"/>
      <c r="E1096" s="89"/>
      <c r="F1096" s="89"/>
      <c r="G1096" s="89"/>
      <c r="H1096" s="89"/>
      <c r="I1096" s="89"/>
      <c r="J1096" s="212">
        <f t="shared" si="113"/>
        <v>0</v>
      </c>
      <c r="K1096" s="212">
        <f t="shared" si="113"/>
        <v>0</v>
      </c>
      <c r="L1096" s="212">
        <f t="shared" si="113"/>
        <v>0</v>
      </c>
      <c r="M1096" s="212">
        <f t="shared" si="113"/>
        <v>0</v>
      </c>
      <c r="N1096" s="212">
        <f t="shared" si="113"/>
        <v>0</v>
      </c>
      <c r="O1096" s="212">
        <f t="shared" si="113"/>
        <v>0</v>
      </c>
      <c r="P1096" s="155">
        <f t="shared" si="113"/>
        <v>0</v>
      </c>
      <c r="Q1096" s="407"/>
      <c r="R1096" s="407"/>
    </row>
    <row r="1097" spans="1:18" ht="12.75" x14ac:dyDescent="0.2">
      <c r="A1097" s="152">
        <v>6220000</v>
      </c>
      <c r="B1097" s="73"/>
      <c r="C1097" s="51" t="s">
        <v>958</v>
      </c>
      <c r="D1097" s="89"/>
      <c r="E1097" s="89"/>
      <c r="F1097" s="89"/>
      <c r="G1097" s="89"/>
      <c r="H1097" s="89"/>
      <c r="I1097" s="89"/>
      <c r="J1097" s="212">
        <f t="shared" si="113"/>
        <v>0</v>
      </c>
      <c r="K1097" s="212">
        <f t="shared" si="113"/>
        <v>0</v>
      </c>
      <c r="L1097" s="212">
        <f t="shared" si="113"/>
        <v>0</v>
      </c>
      <c r="M1097" s="212">
        <f t="shared" si="113"/>
        <v>0</v>
      </c>
      <c r="N1097" s="212">
        <f t="shared" si="113"/>
        <v>0</v>
      </c>
      <c r="O1097" s="212">
        <f t="shared" si="113"/>
        <v>0</v>
      </c>
      <c r="P1097" s="155">
        <f t="shared" si="113"/>
        <v>0</v>
      </c>
      <c r="Q1097" s="407"/>
      <c r="R1097" s="407"/>
    </row>
    <row r="1098" spans="1:18" ht="12.75" x14ac:dyDescent="0.2">
      <c r="A1098" s="152">
        <v>6220000</v>
      </c>
      <c r="B1098" s="73"/>
      <c r="C1098" s="51" t="s">
        <v>1032</v>
      </c>
      <c r="D1098" s="89"/>
      <c r="E1098" s="89"/>
      <c r="F1098" s="89"/>
      <c r="G1098" s="89"/>
      <c r="H1098" s="89"/>
      <c r="I1098" s="89"/>
      <c r="J1098" s="212">
        <f t="shared" si="113"/>
        <v>0</v>
      </c>
      <c r="K1098" s="212">
        <f t="shared" si="113"/>
        <v>0</v>
      </c>
      <c r="L1098" s="212">
        <f t="shared" si="113"/>
        <v>0</v>
      </c>
      <c r="M1098" s="212">
        <f t="shared" si="113"/>
        <v>0</v>
      </c>
      <c r="N1098" s="212">
        <f t="shared" si="113"/>
        <v>0</v>
      </c>
      <c r="O1098" s="212">
        <f t="shared" si="113"/>
        <v>0</v>
      </c>
      <c r="P1098" s="155">
        <f t="shared" si="113"/>
        <v>0</v>
      </c>
      <c r="Q1098" s="407"/>
      <c r="R1098" s="407"/>
    </row>
    <row r="1099" spans="1:18" ht="12.75" x14ac:dyDescent="0.2">
      <c r="A1099" s="152">
        <v>6220000</v>
      </c>
      <c r="B1099" s="73"/>
      <c r="C1099" s="51" t="s">
        <v>109</v>
      </c>
      <c r="D1099" s="89"/>
      <c r="E1099" s="89"/>
      <c r="F1099" s="89"/>
      <c r="G1099" s="89"/>
      <c r="H1099" s="89"/>
      <c r="I1099" s="89"/>
      <c r="J1099" s="212">
        <f t="shared" si="113"/>
        <v>0</v>
      </c>
      <c r="K1099" s="212">
        <f t="shared" si="113"/>
        <v>0</v>
      </c>
      <c r="L1099" s="212">
        <f t="shared" si="113"/>
        <v>0</v>
      </c>
      <c r="M1099" s="212">
        <f t="shared" si="113"/>
        <v>0</v>
      </c>
      <c r="N1099" s="212">
        <f t="shared" si="113"/>
        <v>0</v>
      </c>
      <c r="O1099" s="212">
        <f t="shared" si="113"/>
        <v>0</v>
      </c>
      <c r="P1099" s="155">
        <f t="shared" si="113"/>
        <v>0</v>
      </c>
      <c r="Q1099" s="407"/>
      <c r="R1099" s="407"/>
    </row>
    <row r="1100" spans="1:18" ht="12.75" x14ac:dyDescent="0.2">
      <c r="A1100" s="152">
        <v>6220000</v>
      </c>
      <c r="B1100" s="73"/>
      <c r="C1100" s="51" t="s">
        <v>966</v>
      </c>
      <c r="D1100" s="89"/>
      <c r="E1100" s="89"/>
      <c r="F1100" s="89"/>
      <c r="G1100" s="89"/>
      <c r="H1100" s="89"/>
      <c r="I1100" s="89"/>
      <c r="J1100" s="212">
        <f t="shared" si="113"/>
        <v>0</v>
      </c>
      <c r="K1100" s="212">
        <f t="shared" si="113"/>
        <v>0</v>
      </c>
      <c r="L1100" s="212">
        <f t="shared" si="113"/>
        <v>0</v>
      </c>
      <c r="M1100" s="212">
        <f t="shared" si="113"/>
        <v>0</v>
      </c>
      <c r="N1100" s="212">
        <f t="shared" si="113"/>
        <v>0</v>
      </c>
      <c r="O1100" s="212">
        <f t="shared" si="113"/>
        <v>0</v>
      </c>
      <c r="P1100" s="155">
        <f t="shared" si="113"/>
        <v>0</v>
      </c>
      <c r="Q1100" s="407"/>
      <c r="R1100" s="407"/>
    </row>
    <row r="1101" spans="1:18" ht="12.75" x14ac:dyDescent="0.2">
      <c r="A1101" s="152">
        <v>6220000</v>
      </c>
      <c r="B1101" s="73"/>
      <c r="C1101" s="51" t="s">
        <v>981</v>
      </c>
      <c r="D1101" s="89"/>
      <c r="E1101" s="89"/>
      <c r="F1101" s="89"/>
      <c r="G1101" s="89"/>
      <c r="H1101" s="89"/>
      <c r="I1101" s="89"/>
      <c r="J1101" s="212">
        <f t="shared" si="113"/>
        <v>0</v>
      </c>
      <c r="K1101" s="212">
        <f t="shared" si="113"/>
        <v>0</v>
      </c>
      <c r="L1101" s="212">
        <f t="shared" si="113"/>
        <v>0</v>
      </c>
      <c r="M1101" s="212">
        <f t="shared" si="113"/>
        <v>0</v>
      </c>
      <c r="N1101" s="212">
        <f t="shared" si="113"/>
        <v>0</v>
      </c>
      <c r="O1101" s="212">
        <f t="shared" si="113"/>
        <v>0</v>
      </c>
      <c r="P1101" s="155">
        <f t="shared" si="113"/>
        <v>0</v>
      </c>
      <c r="Q1101" s="407"/>
      <c r="R1101" s="407"/>
    </row>
    <row r="1102" spans="1:18" ht="12.75" x14ac:dyDescent="0.2">
      <c r="A1102" s="152">
        <v>6220000</v>
      </c>
      <c r="B1102" s="73"/>
      <c r="C1102" s="51" t="s">
        <v>963</v>
      </c>
      <c r="D1102" s="89"/>
      <c r="E1102" s="89"/>
      <c r="F1102" s="89"/>
      <c r="G1102" s="89"/>
      <c r="H1102" s="89"/>
      <c r="I1102" s="89"/>
      <c r="J1102" s="212">
        <f t="shared" si="113"/>
        <v>0</v>
      </c>
      <c r="K1102" s="212">
        <f t="shared" si="113"/>
        <v>0</v>
      </c>
      <c r="L1102" s="212">
        <f t="shared" si="113"/>
        <v>0</v>
      </c>
      <c r="M1102" s="212">
        <f t="shared" si="113"/>
        <v>0</v>
      </c>
      <c r="N1102" s="212">
        <f t="shared" si="113"/>
        <v>0</v>
      </c>
      <c r="O1102" s="212">
        <f t="shared" si="113"/>
        <v>0</v>
      </c>
      <c r="P1102" s="155">
        <f t="shared" si="113"/>
        <v>0</v>
      </c>
      <c r="Q1102" s="407"/>
      <c r="R1102" s="407"/>
    </row>
    <row r="1103" spans="1:18" ht="12.75" x14ac:dyDescent="0.2">
      <c r="A1103" s="152">
        <v>6220000</v>
      </c>
      <c r="B1103" s="73"/>
      <c r="C1103" s="51" t="s">
        <v>120</v>
      </c>
      <c r="D1103" s="89"/>
      <c r="E1103" s="89"/>
      <c r="F1103" s="89"/>
      <c r="G1103" s="89"/>
      <c r="H1103" s="89"/>
      <c r="I1103" s="89"/>
      <c r="J1103" s="212">
        <f t="shared" ref="J1103:P1112" si="114">SUMIFS(J$26:J$180,$A$26:$A$180,$A1103,$C$26:$C$180,$C1103)</f>
        <v>0</v>
      </c>
      <c r="K1103" s="212">
        <f t="shared" si="114"/>
        <v>0</v>
      </c>
      <c r="L1103" s="212">
        <f t="shared" si="114"/>
        <v>0</v>
      </c>
      <c r="M1103" s="212">
        <f t="shared" si="114"/>
        <v>0</v>
      </c>
      <c r="N1103" s="212">
        <f t="shared" si="114"/>
        <v>0</v>
      </c>
      <c r="O1103" s="212">
        <f t="shared" si="114"/>
        <v>0</v>
      </c>
      <c r="P1103" s="155">
        <f t="shared" si="114"/>
        <v>0</v>
      </c>
      <c r="Q1103" s="407"/>
      <c r="R1103" s="407"/>
    </row>
    <row r="1104" spans="1:18" ht="12.75" x14ac:dyDescent="0.2">
      <c r="A1104" s="152">
        <v>6220000</v>
      </c>
      <c r="B1104" s="73"/>
      <c r="C1104" s="51" t="s">
        <v>989</v>
      </c>
      <c r="D1104" s="89"/>
      <c r="E1104" s="89"/>
      <c r="F1104" s="89"/>
      <c r="G1104" s="89"/>
      <c r="H1104" s="89"/>
      <c r="I1104" s="89"/>
      <c r="J1104" s="212">
        <f t="shared" si="114"/>
        <v>0</v>
      </c>
      <c r="K1104" s="212">
        <f t="shared" si="114"/>
        <v>0</v>
      </c>
      <c r="L1104" s="212">
        <f t="shared" si="114"/>
        <v>0</v>
      </c>
      <c r="M1104" s="212">
        <f t="shared" si="114"/>
        <v>0</v>
      </c>
      <c r="N1104" s="212">
        <f t="shared" si="114"/>
        <v>0</v>
      </c>
      <c r="O1104" s="212">
        <f t="shared" si="114"/>
        <v>0</v>
      </c>
      <c r="P1104" s="155">
        <f t="shared" si="114"/>
        <v>0</v>
      </c>
      <c r="Q1104" s="407"/>
      <c r="R1104" s="407"/>
    </row>
    <row r="1105" spans="1:18" ht="12.75" x14ac:dyDescent="0.2">
      <c r="A1105" s="152">
        <v>6222000</v>
      </c>
      <c r="B1105" s="73"/>
      <c r="C1105" s="51" t="s">
        <v>986</v>
      </c>
      <c r="D1105" s="89"/>
      <c r="E1105" s="89"/>
      <c r="F1105" s="89"/>
      <c r="G1105" s="89"/>
      <c r="H1105" s="89"/>
      <c r="I1105" s="89"/>
      <c r="J1105" s="212">
        <f t="shared" si="114"/>
        <v>0</v>
      </c>
      <c r="K1105" s="212">
        <f t="shared" si="114"/>
        <v>0</v>
      </c>
      <c r="L1105" s="212">
        <f t="shared" si="114"/>
        <v>0</v>
      </c>
      <c r="M1105" s="212">
        <f t="shared" si="114"/>
        <v>0</v>
      </c>
      <c r="N1105" s="212">
        <f t="shared" si="114"/>
        <v>0</v>
      </c>
      <c r="O1105" s="212">
        <f t="shared" si="114"/>
        <v>0</v>
      </c>
      <c r="P1105" s="155">
        <f t="shared" si="114"/>
        <v>0</v>
      </c>
      <c r="Q1105" s="407"/>
      <c r="R1105" s="407"/>
    </row>
    <row r="1106" spans="1:18" ht="12.75" x14ac:dyDescent="0.2">
      <c r="A1106" s="152">
        <v>6222000</v>
      </c>
      <c r="B1106" s="73"/>
      <c r="C1106" s="51" t="s">
        <v>988</v>
      </c>
      <c r="D1106" s="89"/>
      <c r="E1106" s="89"/>
      <c r="F1106" s="89"/>
      <c r="G1106" s="89"/>
      <c r="H1106" s="89"/>
      <c r="I1106" s="89"/>
      <c r="J1106" s="212">
        <f t="shared" si="114"/>
        <v>0</v>
      </c>
      <c r="K1106" s="212">
        <f t="shared" si="114"/>
        <v>0</v>
      </c>
      <c r="L1106" s="212">
        <f t="shared" si="114"/>
        <v>0</v>
      </c>
      <c r="M1106" s="212">
        <f t="shared" si="114"/>
        <v>0</v>
      </c>
      <c r="N1106" s="212">
        <f t="shared" si="114"/>
        <v>0</v>
      </c>
      <c r="O1106" s="212">
        <f t="shared" si="114"/>
        <v>0</v>
      </c>
      <c r="P1106" s="155">
        <f t="shared" si="114"/>
        <v>0</v>
      </c>
      <c r="Q1106" s="407"/>
      <c r="R1106" s="407"/>
    </row>
    <row r="1107" spans="1:18" ht="12.75" x14ac:dyDescent="0.2">
      <c r="A1107" s="152">
        <v>6222000</v>
      </c>
      <c r="B1107" s="73"/>
      <c r="C1107" s="51" t="s">
        <v>1058</v>
      </c>
      <c r="D1107" s="89"/>
      <c r="E1107" s="89"/>
      <c r="F1107" s="89"/>
      <c r="G1107" s="89"/>
      <c r="H1107" s="89"/>
      <c r="I1107" s="89"/>
      <c r="J1107" s="212">
        <f t="shared" si="114"/>
        <v>0</v>
      </c>
      <c r="K1107" s="212">
        <f t="shared" si="114"/>
        <v>0</v>
      </c>
      <c r="L1107" s="212">
        <f t="shared" si="114"/>
        <v>0</v>
      </c>
      <c r="M1107" s="212">
        <f t="shared" si="114"/>
        <v>0</v>
      </c>
      <c r="N1107" s="212">
        <f t="shared" si="114"/>
        <v>0</v>
      </c>
      <c r="O1107" s="212">
        <f t="shared" si="114"/>
        <v>0</v>
      </c>
      <c r="P1107" s="155">
        <f t="shared" si="114"/>
        <v>0</v>
      </c>
      <c r="Q1107" s="407"/>
      <c r="R1107" s="407"/>
    </row>
    <row r="1108" spans="1:18" ht="12.75" x14ac:dyDescent="0.2">
      <c r="A1108" s="152">
        <v>6222000</v>
      </c>
      <c r="B1108" s="73"/>
      <c r="C1108" s="51" t="s">
        <v>972</v>
      </c>
      <c r="D1108" s="89"/>
      <c r="E1108" s="89"/>
      <c r="F1108" s="89"/>
      <c r="G1108" s="89"/>
      <c r="H1108" s="89"/>
      <c r="I1108" s="89"/>
      <c r="J1108" s="212">
        <f t="shared" si="114"/>
        <v>0</v>
      </c>
      <c r="K1108" s="212">
        <f t="shared" si="114"/>
        <v>0</v>
      </c>
      <c r="L1108" s="212">
        <f t="shared" si="114"/>
        <v>0</v>
      </c>
      <c r="M1108" s="212">
        <f t="shared" si="114"/>
        <v>0</v>
      </c>
      <c r="N1108" s="212">
        <f t="shared" si="114"/>
        <v>0</v>
      </c>
      <c r="O1108" s="212">
        <f t="shared" si="114"/>
        <v>0</v>
      </c>
      <c r="P1108" s="155">
        <f t="shared" si="114"/>
        <v>0</v>
      </c>
      <c r="Q1108" s="407"/>
      <c r="R1108" s="407"/>
    </row>
    <row r="1109" spans="1:18" ht="12.75" x14ac:dyDescent="0.2">
      <c r="A1109" s="152">
        <v>6222000</v>
      </c>
      <c r="B1109" s="73"/>
      <c r="C1109" s="51" t="s">
        <v>973</v>
      </c>
      <c r="D1109" s="89"/>
      <c r="E1109" s="89"/>
      <c r="F1109" s="89"/>
      <c r="G1109" s="89"/>
      <c r="H1109" s="89"/>
      <c r="I1109" s="89"/>
      <c r="J1109" s="212">
        <f t="shared" si="114"/>
        <v>0</v>
      </c>
      <c r="K1109" s="212">
        <f t="shared" si="114"/>
        <v>0</v>
      </c>
      <c r="L1109" s="212">
        <f t="shared" si="114"/>
        <v>0</v>
      </c>
      <c r="M1109" s="212">
        <f t="shared" si="114"/>
        <v>0</v>
      </c>
      <c r="N1109" s="212">
        <f t="shared" si="114"/>
        <v>0</v>
      </c>
      <c r="O1109" s="212">
        <f t="shared" si="114"/>
        <v>0</v>
      </c>
      <c r="P1109" s="155">
        <f t="shared" si="114"/>
        <v>0</v>
      </c>
      <c r="Q1109" s="407"/>
      <c r="R1109" s="407"/>
    </row>
    <row r="1110" spans="1:18" ht="12.75" x14ac:dyDescent="0.2">
      <c r="A1110" s="152">
        <v>6222000</v>
      </c>
      <c r="B1110" s="73"/>
      <c r="C1110" s="51" t="s">
        <v>980</v>
      </c>
      <c r="D1110" s="89"/>
      <c r="E1110" s="89"/>
      <c r="F1110" s="89"/>
      <c r="G1110" s="89"/>
      <c r="H1110" s="89"/>
      <c r="I1110" s="89"/>
      <c r="J1110" s="212">
        <f t="shared" si="114"/>
        <v>0</v>
      </c>
      <c r="K1110" s="212">
        <f t="shared" si="114"/>
        <v>0</v>
      </c>
      <c r="L1110" s="212">
        <f t="shared" si="114"/>
        <v>0</v>
      </c>
      <c r="M1110" s="212">
        <f t="shared" si="114"/>
        <v>0</v>
      </c>
      <c r="N1110" s="212">
        <f t="shared" si="114"/>
        <v>0</v>
      </c>
      <c r="O1110" s="212">
        <f t="shared" si="114"/>
        <v>0</v>
      </c>
      <c r="P1110" s="155">
        <f t="shared" si="114"/>
        <v>0</v>
      </c>
      <c r="Q1110" s="407"/>
      <c r="R1110" s="407"/>
    </row>
    <row r="1111" spans="1:18" ht="12.75" x14ac:dyDescent="0.2">
      <c r="A1111" s="152">
        <v>6222000</v>
      </c>
      <c r="B1111" s="73"/>
      <c r="C1111" s="51" t="s">
        <v>982</v>
      </c>
      <c r="D1111" s="89"/>
      <c r="E1111" s="89"/>
      <c r="F1111" s="89"/>
      <c r="G1111" s="89"/>
      <c r="H1111" s="89"/>
      <c r="I1111" s="89"/>
      <c r="J1111" s="212">
        <f t="shared" si="114"/>
        <v>0</v>
      </c>
      <c r="K1111" s="212">
        <f t="shared" si="114"/>
        <v>0</v>
      </c>
      <c r="L1111" s="212">
        <f t="shared" si="114"/>
        <v>0</v>
      </c>
      <c r="M1111" s="212">
        <f t="shared" si="114"/>
        <v>0</v>
      </c>
      <c r="N1111" s="212">
        <f t="shared" si="114"/>
        <v>0</v>
      </c>
      <c r="O1111" s="212">
        <f t="shared" si="114"/>
        <v>0</v>
      </c>
      <c r="P1111" s="155">
        <f t="shared" si="114"/>
        <v>0</v>
      </c>
      <c r="Q1111" s="407"/>
      <c r="R1111" s="407"/>
    </row>
    <row r="1112" spans="1:18" ht="12.75" x14ac:dyDescent="0.2">
      <c r="A1112" s="152">
        <v>6222000</v>
      </c>
      <c r="B1112" s="73"/>
      <c r="C1112" s="51" t="s">
        <v>46</v>
      </c>
      <c r="D1112" s="89"/>
      <c r="E1112" s="89"/>
      <c r="F1112" s="89"/>
      <c r="G1112" s="89"/>
      <c r="H1112" s="89"/>
      <c r="I1112" s="89"/>
      <c r="J1112" s="212">
        <f t="shared" si="114"/>
        <v>0</v>
      </c>
      <c r="K1112" s="212">
        <f t="shared" si="114"/>
        <v>0</v>
      </c>
      <c r="L1112" s="212">
        <f t="shared" si="114"/>
        <v>0</v>
      </c>
      <c r="M1112" s="212">
        <f t="shared" si="114"/>
        <v>0</v>
      </c>
      <c r="N1112" s="212">
        <f t="shared" si="114"/>
        <v>0</v>
      </c>
      <c r="O1112" s="212">
        <f t="shared" si="114"/>
        <v>0</v>
      </c>
      <c r="P1112" s="155">
        <f t="shared" si="114"/>
        <v>0</v>
      </c>
      <c r="Q1112" s="407"/>
      <c r="R1112" s="407"/>
    </row>
    <row r="1113" spans="1:18" ht="12.75" x14ac:dyDescent="0.2">
      <c r="A1113" s="152">
        <v>6222000</v>
      </c>
      <c r="B1113" s="73"/>
      <c r="C1113" s="51" t="s">
        <v>1019</v>
      </c>
      <c r="D1113" s="89"/>
      <c r="E1113" s="89"/>
      <c r="F1113" s="89"/>
      <c r="G1113" s="89"/>
      <c r="H1113" s="89"/>
      <c r="I1113" s="89"/>
      <c r="J1113" s="212">
        <f t="shared" ref="J1113:P1122" si="115">SUMIFS(J$26:J$180,$A$26:$A$180,$A1113,$C$26:$C$180,$C1113)</f>
        <v>4190</v>
      </c>
      <c r="K1113" s="212">
        <f t="shared" si="115"/>
        <v>800</v>
      </c>
      <c r="L1113" s="212">
        <f t="shared" si="115"/>
        <v>2241</v>
      </c>
      <c r="M1113" s="212">
        <f t="shared" si="115"/>
        <v>0</v>
      </c>
      <c r="N1113" s="212">
        <f t="shared" si="115"/>
        <v>144</v>
      </c>
      <c r="O1113" s="212">
        <f t="shared" si="115"/>
        <v>10622</v>
      </c>
      <c r="P1113" s="155">
        <f t="shared" si="115"/>
        <v>17997</v>
      </c>
      <c r="Q1113" s="407"/>
      <c r="R1113" s="407"/>
    </row>
    <row r="1114" spans="1:18" ht="12.75" x14ac:dyDescent="0.2">
      <c r="A1114" s="152">
        <v>6222000</v>
      </c>
      <c r="B1114" s="73"/>
      <c r="C1114" s="51" t="s">
        <v>1050</v>
      </c>
      <c r="D1114" s="89"/>
      <c r="E1114" s="89"/>
      <c r="F1114" s="89"/>
      <c r="G1114" s="89"/>
      <c r="H1114" s="89"/>
      <c r="I1114" s="89"/>
      <c r="J1114" s="212">
        <f t="shared" si="115"/>
        <v>0</v>
      </c>
      <c r="K1114" s="212">
        <f t="shared" si="115"/>
        <v>0</v>
      </c>
      <c r="L1114" s="212">
        <f t="shared" si="115"/>
        <v>0</v>
      </c>
      <c r="M1114" s="212">
        <f t="shared" si="115"/>
        <v>0</v>
      </c>
      <c r="N1114" s="212">
        <f t="shared" si="115"/>
        <v>0</v>
      </c>
      <c r="O1114" s="212">
        <f t="shared" si="115"/>
        <v>0</v>
      </c>
      <c r="P1114" s="155">
        <f t="shared" si="115"/>
        <v>0</v>
      </c>
      <c r="Q1114" s="407"/>
      <c r="R1114" s="407"/>
    </row>
    <row r="1115" spans="1:18" ht="12.75" x14ac:dyDescent="0.2">
      <c r="A1115" s="152">
        <v>6222000</v>
      </c>
      <c r="B1115" s="73"/>
      <c r="C1115" s="51" t="s">
        <v>100</v>
      </c>
      <c r="D1115" s="89"/>
      <c r="E1115" s="89"/>
      <c r="F1115" s="89"/>
      <c r="G1115" s="89"/>
      <c r="H1115" s="89"/>
      <c r="I1115" s="89"/>
      <c r="J1115" s="212">
        <f t="shared" si="115"/>
        <v>0</v>
      </c>
      <c r="K1115" s="212">
        <f t="shared" si="115"/>
        <v>0</v>
      </c>
      <c r="L1115" s="212">
        <f t="shared" si="115"/>
        <v>0</v>
      </c>
      <c r="M1115" s="212">
        <f t="shared" si="115"/>
        <v>0</v>
      </c>
      <c r="N1115" s="212">
        <f t="shared" si="115"/>
        <v>0</v>
      </c>
      <c r="O1115" s="212">
        <f t="shared" si="115"/>
        <v>0</v>
      </c>
      <c r="P1115" s="155">
        <f t="shared" si="115"/>
        <v>0</v>
      </c>
      <c r="Q1115" s="407"/>
      <c r="R1115" s="407"/>
    </row>
    <row r="1116" spans="1:18" ht="12.75" x14ac:dyDescent="0.2">
      <c r="A1116" s="152">
        <v>6222000</v>
      </c>
      <c r="B1116" s="73"/>
      <c r="C1116" s="51" t="s">
        <v>101</v>
      </c>
      <c r="D1116" s="89"/>
      <c r="E1116" s="89"/>
      <c r="F1116" s="89"/>
      <c r="G1116" s="89"/>
      <c r="H1116" s="89"/>
      <c r="I1116" s="89"/>
      <c r="J1116" s="212">
        <f t="shared" si="115"/>
        <v>0</v>
      </c>
      <c r="K1116" s="212">
        <f t="shared" si="115"/>
        <v>0</v>
      </c>
      <c r="L1116" s="212">
        <f t="shared" si="115"/>
        <v>0</v>
      </c>
      <c r="M1116" s="212">
        <f t="shared" si="115"/>
        <v>0</v>
      </c>
      <c r="N1116" s="212">
        <f t="shared" si="115"/>
        <v>0</v>
      </c>
      <c r="O1116" s="212">
        <f t="shared" si="115"/>
        <v>0</v>
      </c>
      <c r="P1116" s="155">
        <f t="shared" si="115"/>
        <v>0</v>
      </c>
      <c r="Q1116" s="407"/>
      <c r="R1116" s="407"/>
    </row>
    <row r="1117" spans="1:18" ht="12.75" x14ac:dyDescent="0.2">
      <c r="A1117" s="152">
        <v>6222000</v>
      </c>
      <c r="B1117" s="73"/>
      <c r="C1117" s="51" t="s">
        <v>1056</v>
      </c>
      <c r="D1117" s="89"/>
      <c r="E1117" s="89"/>
      <c r="F1117" s="89"/>
      <c r="G1117" s="89"/>
      <c r="H1117" s="89"/>
      <c r="I1117" s="89"/>
      <c r="J1117" s="212">
        <f t="shared" si="115"/>
        <v>0</v>
      </c>
      <c r="K1117" s="212">
        <f t="shared" si="115"/>
        <v>0</v>
      </c>
      <c r="L1117" s="212">
        <f t="shared" si="115"/>
        <v>0</v>
      </c>
      <c r="M1117" s="212">
        <f t="shared" si="115"/>
        <v>0</v>
      </c>
      <c r="N1117" s="212">
        <f t="shared" si="115"/>
        <v>0</v>
      </c>
      <c r="O1117" s="212">
        <f t="shared" si="115"/>
        <v>0</v>
      </c>
      <c r="P1117" s="155">
        <f t="shared" si="115"/>
        <v>0</v>
      </c>
      <c r="Q1117" s="407"/>
      <c r="R1117" s="407"/>
    </row>
    <row r="1118" spans="1:18" ht="12.75" x14ac:dyDescent="0.2">
      <c r="A1118" s="152">
        <v>6222000</v>
      </c>
      <c r="B1118" s="73"/>
      <c r="C1118" s="51" t="s">
        <v>1057</v>
      </c>
      <c r="D1118" s="89"/>
      <c r="E1118" s="89"/>
      <c r="F1118" s="89"/>
      <c r="G1118" s="89"/>
      <c r="H1118" s="89"/>
      <c r="I1118" s="89"/>
      <c r="J1118" s="212">
        <f t="shared" si="115"/>
        <v>600</v>
      </c>
      <c r="K1118" s="212">
        <f t="shared" si="115"/>
        <v>550</v>
      </c>
      <c r="L1118" s="212">
        <f t="shared" si="115"/>
        <v>750</v>
      </c>
      <c r="M1118" s="212">
        <f t="shared" si="115"/>
        <v>38</v>
      </c>
      <c r="N1118" s="212">
        <f t="shared" si="115"/>
        <v>60</v>
      </c>
      <c r="O1118" s="212">
        <f t="shared" si="115"/>
        <v>150</v>
      </c>
      <c r="P1118" s="155">
        <f t="shared" si="115"/>
        <v>2148</v>
      </c>
      <c r="Q1118" s="407"/>
      <c r="R1118" s="407"/>
    </row>
    <row r="1119" spans="1:18" ht="12.75" x14ac:dyDescent="0.2">
      <c r="A1119" s="152">
        <v>6222000</v>
      </c>
      <c r="B1119" s="73"/>
      <c r="C1119" s="51" t="s">
        <v>944</v>
      </c>
      <c r="D1119" s="89"/>
      <c r="E1119" s="89"/>
      <c r="F1119" s="89"/>
      <c r="G1119" s="89"/>
      <c r="H1119" s="89"/>
      <c r="I1119" s="89"/>
      <c r="J1119" s="212">
        <f t="shared" si="115"/>
        <v>0</v>
      </c>
      <c r="K1119" s="212">
        <f t="shared" si="115"/>
        <v>0</v>
      </c>
      <c r="L1119" s="212">
        <f t="shared" si="115"/>
        <v>0</v>
      </c>
      <c r="M1119" s="212">
        <f t="shared" si="115"/>
        <v>0</v>
      </c>
      <c r="N1119" s="212">
        <f t="shared" si="115"/>
        <v>0</v>
      </c>
      <c r="O1119" s="212">
        <f t="shared" si="115"/>
        <v>0</v>
      </c>
      <c r="P1119" s="155">
        <f t="shared" si="115"/>
        <v>0</v>
      </c>
      <c r="Q1119" s="407"/>
      <c r="R1119" s="407"/>
    </row>
    <row r="1120" spans="1:18" ht="12.75" x14ac:dyDescent="0.2">
      <c r="A1120" s="152">
        <v>6222000</v>
      </c>
      <c r="B1120" s="73"/>
      <c r="C1120" s="51" t="s">
        <v>945</v>
      </c>
      <c r="D1120" s="89"/>
      <c r="E1120" s="89"/>
      <c r="F1120" s="89"/>
      <c r="G1120" s="89"/>
      <c r="H1120" s="89"/>
      <c r="I1120" s="89"/>
      <c r="J1120" s="212">
        <f t="shared" si="115"/>
        <v>0</v>
      </c>
      <c r="K1120" s="212">
        <f t="shared" si="115"/>
        <v>0</v>
      </c>
      <c r="L1120" s="212">
        <f t="shared" si="115"/>
        <v>0</v>
      </c>
      <c r="M1120" s="212">
        <f t="shared" si="115"/>
        <v>0</v>
      </c>
      <c r="N1120" s="212">
        <f t="shared" si="115"/>
        <v>0</v>
      </c>
      <c r="O1120" s="212">
        <f t="shared" si="115"/>
        <v>0</v>
      </c>
      <c r="P1120" s="155">
        <f t="shared" si="115"/>
        <v>0</v>
      </c>
      <c r="Q1120" s="407"/>
      <c r="R1120" s="407"/>
    </row>
    <row r="1121" spans="1:18" ht="12.75" x14ac:dyDescent="0.2">
      <c r="A1121" s="152">
        <v>6222000</v>
      </c>
      <c r="B1121" s="73"/>
      <c r="C1121" s="51" t="s">
        <v>965</v>
      </c>
      <c r="D1121" s="89"/>
      <c r="E1121" s="89"/>
      <c r="F1121" s="89"/>
      <c r="G1121" s="89"/>
      <c r="H1121" s="89"/>
      <c r="I1121" s="89"/>
      <c r="J1121" s="212">
        <f t="shared" si="115"/>
        <v>0</v>
      </c>
      <c r="K1121" s="212">
        <f t="shared" si="115"/>
        <v>0</v>
      </c>
      <c r="L1121" s="212">
        <f t="shared" si="115"/>
        <v>0</v>
      </c>
      <c r="M1121" s="212">
        <f t="shared" si="115"/>
        <v>0</v>
      </c>
      <c r="N1121" s="212">
        <f t="shared" si="115"/>
        <v>0</v>
      </c>
      <c r="O1121" s="212">
        <f t="shared" si="115"/>
        <v>0</v>
      </c>
      <c r="P1121" s="155">
        <f t="shared" si="115"/>
        <v>0</v>
      </c>
      <c r="Q1121" s="407"/>
      <c r="R1121" s="407"/>
    </row>
    <row r="1122" spans="1:18" ht="12.75" x14ac:dyDescent="0.2">
      <c r="A1122" s="152">
        <v>6222000</v>
      </c>
      <c r="B1122" s="73"/>
      <c r="C1122" s="51" t="s">
        <v>1011</v>
      </c>
      <c r="D1122" s="89"/>
      <c r="E1122" s="89"/>
      <c r="F1122" s="89"/>
      <c r="G1122" s="89"/>
      <c r="H1122" s="89"/>
      <c r="I1122" s="89"/>
      <c r="J1122" s="212">
        <f t="shared" si="115"/>
        <v>0</v>
      </c>
      <c r="K1122" s="212">
        <f t="shared" si="115"/>
        <v>0</v>
      </c>
      <c r="L1122" s="212">
        <f t="shared" si="115"/>
        <v>0</v>
      </c>
      <c r="M1122" s="212">
        <f t="shared" si="115"/>
        <v>0</v>
      </c>
      <c r="N1122" s="212">
        <f t="shared" si="115"/>
        <v>0</v>
      </c>
      <c r="O1122" s="212">
        <f t="shared" si="115"/>
        <v>0</v>
      </c>
      <c r="P1122" s="155">
        <f t="shared" si="115"/>
        <v>0</v>
      </c>
      <c r="Q1122" s="407"/>
      <c r="R1122" s="407"/>
    </row>
    <row r="1123" spans="1:18" ht="12.75" x14ac:dyDescent="0.2">
      <c r="A1123" s="152">
        <v>6222000</v>
      </c>
      <c r="B1123" s="73"/>
      <c r="C1123" s="51" t="s">
        <v>1010</v>
      </c>
      <c r="D1123" s="89"/>
      <c r="E1123" s="89"/>
      <c r="F1123" s="89"/>
      <c r="G1123" s="89"/>
      <c r="H1123" s="89"/>
      <c r="I1123" s="89"/>
      <c r="J1123" s="212">
        <f t="shared" ref="J1123:P1132" si="116">SUMIFS(J$26:J$180,$A$26:$A$180,$A1123,$C$26:$C$180,$C1123)</f>
        <v>0</v>
      </c>
      <c r="K1123" s="212">
        <f t="shared" si="116"/>
        <v>0</v>
      </c>
      <c r="L1123" s="212">
        <f t="shared" si="116"/>
        <v>0</v>
      </c>
      <c r="M1123" s="212">
        <f t="shared" si="116"/>
        <v>0</v>
      </c>
      <c r="N1123" s="212">
        <f t="shared" si="116"/>
        <v>0</v>
      </c>
      <c r="O1123" s="212">
        <f t="shared" si="116"/>
        <v>0</v>
      </c>
      <c r="P1123" s="155">
        <f t="shared" si="116"/>
        <v>0</v>
      </c>
      <c r="Q1123" s="407"/>
      <c r="R1123" s="407"/>
    </row>
    <row r="1124" spans="1:18" ht="12.75" x14ac:dyDescent="0.2">
      <c r="A1124" s="152">
        <v>6222000</v>
      </c>
      <c r="B1124" s="73"/>
      <c r="C1124" s="51" t="s">
        <v>1013</v>
      </c>
      <c r="D1124" s="89"/>
      <c r="E1124" s="89"/>
      <c r="F1124" s="89"/>
      <c r="G1124" s="89"/>
      <c r="H1124" s="89"/>
      <c r="I1124" s="89"/>
      <c r="J1124" s="212">
        <f t="shared" si="116"/>
        <v>0</v>
      </c>
      <c r="K1124" s="212">
        <f t="shared" si="116"/>
        <v>0</v>
      </c>
      <c r="L1124" s="212">
        <f t="shared" si="116"/>
        <v>0</v>
      </c>
      <c r="M1124" s="212">
        <f t="shared" si="116"/>
        <v>0</v>
      </c>
      <c r="N1124" s="212">
        <f t="shared" si="116"/>
        <v>0</v>
      </c>
      <c r="O1124" s="212">
        <f t="shared" si="116"/>
        <v>0</v>
      </c>
      <c r="P1124" s="155">
        <f t="shared" si="116"/>
        <v>0</v>
      </c>
      <c r="Q1124" s="407"/>
      <c r="R1124" s="407"/>
    </row>
    <row r="1125" spans="1:18" ht="12.75" x14ac:dyDescent="0.2">
      <c r="A1125" s="152">
        <v>6222000</v>
      </c>
      <c r="B1125" s="73"/>
      <c r="C1125" s="51" t="s">
        <v>1012</v>
      </c>
      <c r="D1125" s="89"/>
      <c r="E1125" s="89"/>
      <c r="F1125" s="89"/>
      <c r="G1125" s="89"/>
      <c r="H1125" s="89"/>
      <c r="I1125" s="89"/>
      <c r="J1125" s="212">
        <f t="shared" si="116"/>
        <v>0</v>
      </c>
      <c r="K1125" s="212">
        <f t="shared" si="116"/>
        <v>0</v>
      </c>
      <c r="L1125" s="212">
        <f t="shared" si="116"/>
        <v>0</v>
      </c>
      <c r="M1125" s="212">
        <f t="shared" si="116"/>
        <v>0</v>
      </c>
      <c r="N1125" s="212">
        <f t="shared" si="116"/>
        <v>0</v>
      </c>
      <c r="O1125" s="212">
        <f t="shared" si="116"/>
        <v>0</v>
      </c>
      <c r="P1125" s="155">
        <f t="shared" si="116"/>
        <v>0</v>
      </c>
      <c r="Q1125" s="407"/>
      <c r="R1125" s="407"/>
    </row>
    <row r="1126" spans="1:18" ht="12.75" x14ac:dyDescent="0.2">
      <c r="A1126" s="152">
        <v>6222000</v>
      </c>
      <c r="B1126" s="73"/>
      <c r="C1126" s="51" t="s">
        <v>1052</v>
      </c>
      <c r="D1126" s="89"/>
      <c r="E1126" s="89"/>
      <c r="F1126" s="89"/>
      <c r="G1126" s="89"/>
      <c r="H1126" s="89"/>
      <c r="I1126" s="89"/>
      <c r="J1126" s="212">
        <f t="shared" si="116"/>
        <v>0</v>
      </c>
      <c r="K1126" s="212">
        <f t="shared" si="116"/>
        <v>0</v>
      </c>
      <c r="L1126" s="212">
        <f t="shared" si="116"/>
        <v>0</v>
      </c>
      <c r="M1126" s="212">
        <f t="shared" si="116"/>
        <v>0</v>
      </c>
      <c r="N1126" s="212">
        <f t="shared" si="116"/>
        <v>0</v>
      </c>
      <c r="O1126" s="212">
        <f t="shared" si="116"/>
        <v>0</v>
      </c>
      <c r="P1126" s="155">
        <f t="shared" si="116"/>
        <v>0</v>
      </c>
      <c r="Q1126" s="407"/>
      <c r="R1126" s="407"/>
    </row>
    <row r="1127" spans="1:18" ht="12.75" x14ac:dyDescent="0.2">
      <c r="A1127" s="152">
        <v>6222000</v>
      </c>
      <c r="B1127" s="73"/>
      <c r="C1127" s="51" t="s">
        <v>1053</v>
      </c>
      <c r="D1127" s="89"/>
      <c r="E1127" s="89"/>
      <c r="F1127" s="89"/>
      <c r="G1127" s="89"/>
      <c r="H1127" s="89"/>
      <c r="I1127" s="89"/>
      <c r="J1127" s="212">
        <f t="shared" si="116"/>
        <v>0</v>
      </c>
      <c r="K1127" s="212">
        <f t="shared" si="116"/>
        <v>0</v>
      </c>
      <c r="L1127" s="212">
        <f t="shared" si="116"/>
        <v>0</v>
      </c>
      <c r="M1127" s="212">
        <f t="shared" si="116"/>
        <v>0</v>
      </c>
      <c r="N1127" s="212">
        <f t="shared" si="116"/>
        <v>0</v>
      </c>
      <c r="O1127" s="212">
        <f t="shared" si="116"/>
        <v>0</v>
      </c>
      <c r="P1127" s="155">
        <f t="shared" si="116"/>
        <v>0</v>
      </c>
      <c r="Q1127" s="407"/>
      <c r="R1127" s="407"/>
    </row>
    <row r="1128" spans="1:18" ht="12.75" x14ac:dyDescent="0.2">
      <c r="A1128" s="152">
        <v>6222000</v>
      </c>
      <c r="B1128" s="73"/>
      <c r="C1128" s="51" t="s">
        <v>984</v>
      </c>
      <c r="D1128" s="89"/>
      <c r="E1128" s="89"/>
      <c r="F1128" s="89"/>
      <c r="G1128" s="89"/>
      <c r="H1128" s="89"/>
      <c r="I1128" s="89"/>
      <c r="J1128" s="212">
        <f t="shared" si="116"/>
        <v>0</v>
      </c>
      <c r="K1128" s="212">
        <f t="shared" si="116"/>
        <v>0</v>
      </c>
      <c r="L1128" s="212">
        <f t="shared" si="116"/>
        <v>0</v>
      </c>
      <c r="M1128" s="212">
        <f t="shared" si="116"/>
        <v>0</v>
      </c>
      <c r="N1128" s="212">
        <f t="shared" si="116"/>
        <v>0</v>
      </c>
      <c r="O1128" s="212">
        <f t="shared" si="116"/>
        <v>0</v>
      </c>
      <c r="P1128" s="155">
        <f t="shared" si="116"/>
        <v>0</v>
      </c>
      <c r="Q1128" s="407"/>
      <c r="R1128" s="407"/>
    </row>
    <row r="1129" spans="1:18" ht="12.75" x14ac:dyDescent="0.2">
      <c r="A1129" s="152">
        <v>6222000</v>
      </c>
      <c r="B1129" s="73"/>
      <c r="C1129" s="51" t="s">
        <v>985</v>
      </c>
      <c r="D1129" s="89"/>
      <c r="E1129" s="89"/>
      <c r="F1129" s="89"/>
      <c r="G1129" s="89"/>
      <c r="H1129" s="89"/>
      <c r="I1129" s="89"/>
      <c r="J1129" s="212">
        <f t="shared" si="116"/>
        <v>0</v>
      </c>
      <c r="K1129" s="212">
        <f t="shared" si="116"/>
        <v>0</v>
      </c>
      <c r="L1129" s="212">
        <f t="shared" si="116"/>
        <v>0</v>
      </c>
      <c r="M1129" s="212">
        <f t="shared" si="116"/>
        <v>0</v>
      </c>
      <c r="N1129" s="212">
        <f t="shared" si="116"/>
        <v>0</v>
      </c>
      <c r="O1129" s="212">
        <f t="shared" si="116"/>
        <v>0</v>
      </c>
      <c r="P1129" s="155">
        <f t="shared" si="116"/>
        <v>0</v>
      </c>
      <c r="Q1129" s="407"/>
      <c r="R1129" s="407"/>
    </row>
    <row r="1130" spans="1:18" ht="12.75" x14ac:dyDescent="0.2">
      <c r="A1130" s="152">
        <v>6222000</v>
      </c>
      <c r="B1130" s="73"/>
      <c r="C1130" s="51" t="s">
        <v>1005</v>
      </c>
      <c r="D1130" s="89"/>
      <c r="E1130" s="89"/>
      <c r="F1130" s="89"/>
      <c r="G1130" s="89"/>
      <c r="H1130" s="89"/>
      <c r="I1130" s="89"/>
      <c r="J1130" s="212">
        <f t="shared" si="116"/>
        <v>0</v>
      </c>
      <c r="K1130" s="212">
        <f t="shared" si="116"/>
        <v>0</v>
      </c>
      <c r="L1130" s="212">
        <f t="shared" si="116"/>
        <v>0</v>
      </c>
      <c r="M1130" s="212">
        <f t="shared" si="116"/>
        <v>0</v>
      </c>
      <c r="N1130" s="212">
        <f t="shared" si="116"/>
        <v>0</v>
      </c>
      <c r="O1130" s="212">
        <f t="shared" si="116"/>
        <v>0</v>
      </c>
      <c r="P1130" s="155">
        <f t="shared" si="116"/>
        <v>0</v>
      </c>
      <c r="Q1130" s="407"/>
      <c r="R1130" s="407"/>
    </row>
    <row r="1131" spans="1:18" ht="12.75" x14ac:dyDescent="0.2">
      <c r="A1131" s="152">
        <v>6222000</v>
      </c>
      <c r="B1131" s="73"/>
      <c r="C1131" s="51" t="s">
        <v>1004</v>
      </c>
      <c r="D1131" s="89"/>
      <c r="E1131" s="89"/>
      <c r="F1131" s="89"/>
      <c r="G1131" s="89"/>
      <c r="H1131" s="89"/>
      <c r="I1131" s="89"/>
      <c r="J1131" s="212">
        <f t="shared" si="116"/>
        <v>0</v>
      </c>
      <c r="K1131" s="212">
        <f t="shared" si="116"/>
        <v>0</v>
      </c>
      <c r="L1131" s="212">
        <f t="shared" si="116"/>
        <v>0</v>
      </c>
      <c r="M1131" s="212">
        <f t="shared" si="116"/>
        <v>0</v>
      </c>
      <c r="N1131" s="212">
        <f t="shared" si="116"/>
        <v>0</v>
      </c>
      <c r="O1131" s="212">
        <f t="shared" si="116"/>
        <v>0</v>
      </c>
      <c r="P1131" s="155">
        <f t="shared" si="116"/>
        <v>0</v>
      </c>
      <c r="Q1131" s="407"/>
      <c r="R1131" s="407"/>
    </row>
    <row r="1132" spans="1:18" ht="12.75" x14ac:dyDescent="0.2">
      <c r="A1132" s="152">
        <v>6222000</v>
      </c>
      <c r="B1132" s="73"/>
      <c r="C1132" s="51" t="s">
        <v>1008</v>
      </c>
      <c r="D1132" s="89"/>
      <c r="E1132" s="89"/>
      <c r="F1132" s="89"/>
      <c r="G1132" s="89"/>
      <c r="H1132" s="89"/>
      <c r="I1132" s="89"/>
      <c r="J1132" s="212">
        <f t="shared" si="116"/>
        <v>0</v>
      </c>
      <c r="K1132" s="212">
        <f t="shared" si="116"/>
        <v>0</v>
      </c>
      <c r="L1132" s="212">
        <f t="shared" si="116"/>
        <v>0</v>
      </c>
      <c r="M1132" s="212">
        <f t="shared" si="116"/>
        <v>0</v>
      </c>
      <c r="N1132" s="212">
        <f t="shared" si="116"/>
        <v>0</v>
      </c>
      <c r="O1132" s="212">
        <f t="shared" si="116"/>
        <v>0</v>
      </c>
      <c r="P1132" s="155">
        <f t="shared" si="116"/>
        <v>0</v>
      </c>
      <c r="Q1132" s="407"/>
      <c r="R1132" s="407"/>
    </row>
    <row r="1133" spans="1:18" ht="12.75" x14ac:dyDescent="0.2">
      <c r="A1133" s="152">
        <v>6222000</v>
      </c>
      <c r="B1133" s="73"/>
      <c r="C1133" s="51" t="s">
        <v>1006</v>
      </c>
      <c r="D1133" s="89"/>
      <c r="E1133" s="89"/>
      <c r="F1133" s="89"/>
      <c r="G1133" s="89"/>
      <c r="H1133" s="89"/>
      <c r="I1133" s="89"/>
      <c r="J1133" s="212">
        <f t="shared" ref="J1133:P1142" si="117">SUMIFS(J$26:J$180,$A$26:$A$180,$A1133,$C$26:$C$180,$C1133)</f>
        <v>0</v>
      </c>
      <c r="K1133" s="212">
        <f t="shared" si="117"/>
        <v>0</v>
      </c>
      <c r="L1133" s="212">
        <f t="shared" si="117"/>
        <v>0</v>
      </c>
      <c r="M1133" s="212">
        <f t="shared" si="117"/>
        <v>0</v>
      </c>
      <c r="N1133" s="212">
        <f t="shared" si="117"/>
        <v>0</v>
      </c>
      <c r="O1133" s="212">
        <f t="shared" si="117"/>
        <v>0</v>
      </c>
      <c r="P1133" s="155">
        <f t="shared" si="117"/>
        <v>0</v>
      </c>
      <c r="Q1133" s="407"/>
      <c r="R1133" s="407"/>
    </row>
    <row r="1134" spans="1:18" ht="12.75" x14ac:dyDescent="0.2">
      <c r="A1134" s="152">
        <v>6222000</v>
      </c>
      <c r="B1134" s="73"/>
      <c r="C1134" s="51" t="s">
        <v>1034</v>
      </c>
      <c r="D1134" s="89"/>
      <c r="E1134" s="89"/>
      <c r="F1134" s="89"/>
      <c r="G1134" s="89"/>
      <c r="H1134" s="89"/>
      <c r="I1134" s="89"/>
      <c r="J1134" s="212">
        <f t="shared" si="117"/>
        <v>0</v>
      </c>
      <c r="K1134" s="212">
        <f t="shared" si="117"/>
        <v>0</v>
      </c>
      <c r="L1134" s="212">
        <f t="shared" si="117"/>
        <v>0</v>
      </c>
      <c r="M1134" s="212">
        <f t="shared" si="117"/>
        <v>0</v>
      </c>
      <c r="N1134" s="212">
        <f t="shared" si="117"/>
        <v>0</v>
      </c>
      <c r="O1134" s="212">
        <f t="shared" si="117"/>
        <v>0</v>
      </c>
      <c r="P1134" s="155">
        <f t="shared" si="117"/>
        <v>0</v>
      </c>
      <c r="Q1134" s="407"/>
      <c r="R1134" s="407"/>
    </row>
    <row r="1135" spans="1:18" ht="12.75" x14ac:dyDescent="0.2">
      <c r="A1135" s="152">
        <v>6222000</v>
      </c>
      <c r="B1135" s="73"/>
      <c r="C1135" s="51" t="s">
        <v>1035</v>
      </c>
      <c r="D1135" s="89"/>
      <c r="E1135" s="89"/>
      <c r="F1135" s="89"/>
      <c r="G1135" s="89"/>
      <c r="H1135" s="89"/>
      <c r="I1135" s="89"/>
      <c r="J1135" s="212">
        <f t="shared" si="117"/>
        <v>0</v>
      </c>
      <c r="K1135" s="212">
        <f t="shared" si="117"/>
        <v>0</v>
      </c>
      <c r="L1135" s="212">
        <f t="shared" si="117"/>
        <v>0</v>
      </c>
      <c r="M1135" s="212">
        <f t="shared" si="117"/>
        <v>0</v>
      </c>
      <c r="N1135" s="212">
        <f t="shared" si="117"/>
        <v>0</v>
      </c>
      <c r="O1135" s="212">
        <f t="shared" si="117"/>
        <v>0</v>
      </c>
      <c r="P1135" s="155">
        <f t="shared" si="117"/>
        <v>0</v>
      </c>
      <c r="Q1135" s="407"/>
      <c r="R1135" s="407"/>
    </row>
    <row r="1136" spans="1:18" ht="12.75" x14ac:dyDescent="0.2">
      <c r="A1136" s="152">
        <v>6222000</v>
      </c>
      <c r="B1136" s="73"/>
      <c r="C1136" s="51" t="s">
        <v>922</v>
      </c>
      <c r="D1136" s="89"/>
      <c r="E1136" s="89"/>
      <c r="F1136" s="89"/>
      <c r="G1136" s="89"/>
      <c r="H1136" s="89"/>
      <c r="I1136" s="89"/>
      <c r="J1136" s="212">
        <f t="shared" si="117"/>
        <v>0</v>
      </c>
      <c r="K1136" s="212">
        <f t="shared" si="117"/>
        <v>0</v>
      </c>
      <c r="L1136" s="212">
        <f t="shared" si="117"/>
        <v>0</v>
      </c>
      <c r="M1136" s="212">
        <f t="shared" si="117"/>
        <v>0</v>
      </c>
      <c r="N1136" s="212">
        <f t="shared" si="117"/>
        <v>0</v>
      </c>
      <c r="O1136" s="212">
        <f t="shared" si="117"/>
        <v>0</v>
      </c>
      <c r="P1136" s="155">
        <f t="shared" si="117"/>
        <v>0</v>
      </c>
      <c r="Q1136" s="407"/>
      <c r="R1136" s="407"/>
    </row>
    <row r="1137" spans="1:18" ht="12.75" x14ac:dyDescent="0.2">
      <c r="A1137" s="152">
        <v>6222000</v>
      </c>
      <c r="B1137" s="73"/>
      <c r="C1137" s="51" t="s">
        <v>942</v>
      </c>
      <c r="D1137" s="89"/>
      <c r="E1137" s="89"/>
      <c r="F1137" s="89"/>
      <c r="G1137" s="89"/>
      <c r="H1137" s="89"/>
      <c r="I1137" s="89"/>
      <c r="J1137" s="212">
        <f t="shared" si="117"/>
        <v>0</v>
      </c>
      <c r="K1137" s="212">
        <f t="shared" si="117"/>
        <v>0</v>
      </c>
      <c r="L1137" s="212">
        <f t="shared" si="117"/>
        <v>0</v>
      </c>
      <c r="M1137" s="212">
        <f t="shared" si="117"/>
        <v>0</v>
      </c>
      <c r="N1137" s="212">
        <f t="shared" si="117"/>
        <v>0</v>
      </c>
      <c r="O1137" s="212">
        <f t="shared" si="117"/>
        <v>0</v>
      </c>
      <c r="P1137" s="155">
        <f t="shared" si="117"/>
        <v>0</v>
      </c>
      <c r="Q1137" s="407"/>
      <c r="R1137" s="407"/>
    </row>
    <row r="1138" spans="1:18" ht="12.75" x14ac:dyDescent="0.2">
      <c r="A1138" s="152">
        <v>6222000</v>
      </c>
      <c r="B1138" s="73"/>
      <c r="C1138" s="51" t="s">
        <v>943</v>
      </c>
      <c r="D1138" s="89"/>
      <c r="E1138" s="89"/>
      <c r="F1138" s="89"/>
      <c r="G1138" s="89"/>
      <c r="H1138" s="89"/>
      <c r="I1138" s="89"/>
      <c r="J1138" s="212">
        <f t="shared" si="117"/>
        <v>0</v>
      </c>
      <c r="K1138" s="212">
        <f t="shared" si="117"/>
        <v>0</v>
      </c>
      <c r="L1138" s="212">
        <f t="shared" si="117"/>
        <v>0</v>
      </c>
      <c r="M1138" s="212">
        <f t="shared" si="117"/>
        <v>0</v>
      </c>
      <c r="N1138" s="212">
        <f t="shared" si="117"/>
        <v>0</v>
      </c>
      <c r="O1138" s="212">
        <f t="shared" si="117"/>
        <v>0</v>
      </c>
      <c r="P1138" s="155">
        <f t="shared" si="117"/>
        <v>0</v>
      </c>
      <c r="Q1138" s="407"/>
      <c r="R1138" s="407"/>
    </row>
    <row r="1139" spans="1:18" ht="12.75" x14ac:dyDescent="0.2">
      <c r="A1139" s="152">
        <v>6222000</v>
      </c>
      <c r="B1139" s="73"/>
      <c r="C1139" s="51" t="s">
        <v>938</v>
      </c>
      <c r="D1139" s="89"/>
      <c r="E1139" s="89"/>
      <c r="F1139" s="89"/>
      <c r="G1139" s="89"/>
      <c r="H1139" s="89"/>
      <c r="I1139" s="89"/>
      <c r="J1139" s="212">
        <f t="shared" si="117"/>
        <v>0</v>
      </c>
      <c r="K1139" s="212">
        <f t="shared" si="117"/>
        <v>0</v>
      </c>
      <c r="L1139" s="212">
        <f t="shared" si="117"/>
        <v>0</v>
      </c>
      <c r="M1139" s="212">
        <f t="shared" si="117"/>
        <v>0</v>
      </c>
      <c r="N1139" s="212">
        <f t="shared" si="117"/>
        <v>0</v>
      </c>
      <c r="O1139" s="212">
        <f t="shared" si="117"/>
        <v>0</v>
      </c>
      <c r="P1139" s="155">
        <f t="shared" si="117"/>
        <v>0</v>
      </c>
      <c r="Q1139" s="407"/>
      <c r="R1139" s="407"/>
    </row>
    <row r="1140" spans="1:18" ht="12.75" x14ac:dyDescent="0.2">
      <c r="A1140" s="152">
        <v>6222000</v>
      </c>
      <c r="B1140" s="73"/>
      <c r="C1140" s="51" t="s">
        <v>939</v>
      </c>
      <c r="D1140" s="89"/>
      <c r="E1140" s="89"/>
      <c r="F1140" s="89"/>
      <c r="G1140" s="89"/>
      <c r="H1140" s="89"/>
      <c r="I1140" s="89"/>
      <c r="J1140" s="212">
        <f t="shared" si="117"/>
        <v>0</v>
      </c>
      <c r="K1140" s="212">
        <f t="shared" si="117"/>
        <v>0</v>
      </c>
      <c r="L1140" s="212">
        <f t="shared" si="117"/>
        <v>0</v>
      </c>
      <c r="M1140" s="212">
        <f t="shared" si="117"/>
        <v>0</v>
      </c>
      <c r="N1140" s="212">
        <f t="shared" si="117"/>
        <v>0</v>
      </c>
      <c r="O1140" s="212">
        <f t="shared" si="117"/>
        <v>0</v>
      </c>
      <c r="P1140" s="155">
        <f t="shared" si="117"/>
        <v>0</v>
      </c>
      <c r="Q1140" s="407"/>
      <c r="R1140" s="407"/>
    </row>
    <row r="1141" spans="1:18" ht="12.75" x14ac:dyDescent="0.2">
      <c r="A1141" s="152">
        <v>6222000</v>
      </c>
      <c r="B1141" s="73"/>
      <c r="C1141" s="51" t="s">
        <v>934</v>
      </c>
      <c r="D1141" s="89"/>
      <c r="E1141" s="89"/>
      <c r="F1141" s="89"/>
      <c r="G1141" s="89"/>
      <c r="H1141" s="89"/>
      <c r="I1141" s="89"/>
      <c r="J1141" s="212">
        <f t="shared" si="117"/>
        <v>0</v>
      </c>
      <c r="K1141" s="212">
        <f t="shared" si="117"/>
        <v>0</v>
      </c>
      <c r="L1141" s="212">
        <f t="shared" si="117"/>
        <v>0</v>
      </c>
      <c r="M1141" s="212">
        <f t="shared" si="117"/>
        <v>0</v>
      </c>
      <c r="N1141" s="212">
        <f t="shared" si="117"/>
        <v>0</v>
      </c>
      <c r="O1141" s="212">
        <f t="shared" si="117"/>
        <v>1000</v>
      </c>
      <c r="P1141" s="155">
        <f t="shared" si="117"/>
        <v>1000</v>
      </c>
      <c r="Q1141" s="407"/>
      <c r="R1141" s="407"/>
    </row>
    <row r="1142" spans="1:18" ht="12.75" x14ac:dyDescent="0.2">
      <c r="A1142" s="152">
        <v>6222000</v>
      </c>
      <c r="B1142" s="73"/>
      <c r="C1142" s="51" t="s">
        <v>935</v>
      </c>
      <c r="D1142" s="89"/>
      <c r="E1142" s="89"/>
      <c r="F1142" s="89"/>
      <c r="G1142" s="89"/>
      <c r="H1142" s="89"/>
      <c r="I1142" s="89"/>
      <c r="J1142" s="212">
        <f t="shared" si="117"/>
        <v>0</v>
      </c>
      <c r="K1142" s="212">
        <f t="shared" si="117"/>
        <v>0</v>
      </c>
      <c r="L1142" s="212">
        <f t="shared" si="117"/>
        <v>0</v>
      </c>
      <c r="M1142" s="212">
        <f t="shared" si="117"/>
        <v>0</v>
      </c>
      <c r="N1142" s="212">
        <f t="shared" si="117"/>
        <v>0</v>
      </c>
      <c r="O1142" s="212">
        <f t="shared" si="117"/>
        <v>0</v>
      </c>
      <c r="P1142" s="155">
        <f t="shared" si="117"/>
        <v>0</v>
      </c>
      <c r="Q1142" s="407"/>
      <c r="R1142" s="407"/>
    </row>
    <row r="1143" spans="1:18" ht="12.75" x14ac:dyDescent="0.2">
      <c r="A1143" s="152">
        <v>6222000</v>
      </c>
      <c r="B1143" s="73"/>
      <c r="C1143" s="51" t="s">
        <v>953</v>
      </c>
      <c r="D1143" s="89"/>
      <c r="E1143" s="89"/>
      <c r="F1143" s="89"/>
      <c r="G1143" s="89"/>
      <c r="H1143" s="89"/>
      <c r="I1143" s="89"/>
      <c r="J1143" s="212">
        <f t="shared" ref="J1143:P1152" si="118">SUMIFS(J$26:J$180,$A$26:$A$180,$A1143,$C$26:$C$180,$C1143)</f>
        <v>0</v>
      </c>
      <c r="K1143" s="212">
        <f t="shared" si="118"/>
        <v>0</v>
      </c>
      <c r="L1143" s="212">
        <f t="shared" si="118"/>
        <v>0</v>
      </c>
      <c r="M1143" s="212">
        <f t="shared" si="118"/>
        <v>0</v>
      </c>
      <c r="N1143" s="212">
        <f t="shared" si="118"/>
        <v>0</v>
      </c>
      <c r="O1143" s="212">
        <f t="shared" si="118"/>
        <v>0</v>
      </c>
      <c r="P1143" s="155">
        <f t="shared" si="118"/>
        <v>0</v>
      </c>
      <c r="Q1143" s="407"/>
      <c r="R1143" s="407"/>
    </row>
    <row r="1144" spans="1:18" ht="12.75" x14ac:dyDescent="0.2">
      <c r="A1144" s="152">
        <v>6222000</v>
      </c>
      <c r="B1144" s="73"/>
      <c r="C1144" s="51" t="s">
        <v>924</v>
      </c>
      <c r="D1144" s="89"/>
      <c r="E1144" s="89"/>
      <c r="F1144" s="89"/>
      <c r="G1144" s="89"/>
      <c r="H1144" s="89"/>
      <c r="I1144" s="89"/>
      <c r="J1144" s="212">
        <f t="shared" si="118"/>
        <v>0</v>
      </c>
      <c r="K1144" s="212">
        <f t="shared" si="118"/>
        <v>0</v>
      </c>
      <c r="L1144" s="212">
        <f t="shared" si="118"/>
        <v>0</v>
      </c>
      <c r="M1144" s="212">
        <f t="shared" si="118"/>
        <v>0</v>
      </c>
      <c r="N1144" s="212">
        <f t="shared" si="118"/>
        <v>0</v>
      </c>
      <c r="O1144" s="212">
        <f t="shared" si="118"/>
        <v>0</v>
      </c>
      <c r="P1144" s="155">
        <f t="shared" si="118"/>
        <v>0</v>
      </c>
      <c r="Q1144" s="407"/>
      <c r="R1144" s="407"/>
    </row>
    <row r="1145" spans="1:18" ht="12.75" x14ac:dyDescent="0.2">
      <c r="A1145" s="152">
        <v>6222000</v>
      </c>
      <c r="B1145" s="73"/>
      <c r="C1145" s="51" t="s">
        <v>927</v>
      </c>
      <c r="D1145" s="89"/>
      <c r="E1145" s="89"/>
      <c r="F1145" s="89"/>
      <c r="G1145" s="89"/>
      <c r="H1145" s="89"/>
      <c r="I1145" s="89"/>
      <c r="J1145" s="212">
        <f t="shared" si="118"/>
        <v>0</v>
      </c>
      <c r="K1145" s="212">
        <f t="shared" si="118"/>
        <v>0</v>
      </c>
      <c r="L1145" s="212">
        <f t="shared" si="118"/>
        <v>0</v>
      </c>
      <c r="M1145" s="212">
        <f t="shared" si="118"/>
        <v>0</v>
      </c>
      <c r="N1145" s="212">
        <f t="shared" si="118"/>
        <v>0</v>
      </c>
      <c r="O1145" s="212">
        <f t="shared" si="118"/>
        <v>0</v>
      </c>
      <c r="P1145" s="155">
        <f t="shared" si="118"/>
        <v>0</v>
      </c>
      <c r="Q1145" s="407"/>
      <c r="R1145" s="407"/>
    </row>
    <row r="1146" spans="1:18" ht="12.75" x14ac:dyDescent="0.2">
      <c r="A1146" s="152">
        <v>6222000</v>
      </c>
      <c r="B1146" s="73"/>
      <c r="C1146" s="51" t="s">
        <v>951</v>
      </c>
      <c r="D1146" s="89"/>
      <c r="E1146" s="89"/>
      <c r="F1146" s="89"/>
      <c r="G1146" s="89"/>
      <c r="H1146" s="89"/>
      <c r="I1146" s="89"/>
      <c r="J1146" s="212">
        <f t="shared" si="118"/>
        <v>0</v>
      </c>
      <c r="K1146" s="212">
        <f t="shared" si="118"/>
        <v>0</v>
      </c>
      <c r="L1146" s="212">
        <f t="shared" si="118"/>
        <v>0</v>
      </c>
      <c r="M1146" s="212">
        <f t="shared" si="118"/>
        <v>0</v>
      </c>
      <c r="N1146" s="212">
        <f t="shared" si="118"/>
        <v>0</v>
      </c>
      <c r="O1146" s="212">
        <f t="shared" si="118"/>
        <v>0</v>
      </c>
      <c r="P1146" s="155">
        <f t="shared" si="118"/>
        <v>0</v>
      </c>
      <c r="Q1146" s="407"/>
      <c r="R1146" s="407"/>
    </row>
    <row r="1147" spans="1:18" ht="12.75" x14ac:dyDescent="0.2">
      <c r="A1147" s="152">
        <v>6222000</v>
      </c>
      <c r="B1147" s="73"/>
      <c r="C1147" s="51" t="s">
        <v>1055</v>
      </c>
      <c r="D1147" s="89"/>
      <c r="E1147" s="89"/>
      <c r="F1147" s="89"/>
      <c r="G1147" s="89"/>
      <c r="H1147" s="89"/>
      <c r="I1147" s="89"/>
      <c r="J1147" s="212">
        <f t="shared" si="118"/>
        <v>0</v>
      </c>
      <c r="K1147" s="212">
        <f t="shared" si="118"/>
        <v>0</v>
      </c>
      <c r="L1147" s="212">
        <f t="shared" si="118"/>
        <v>0</v>
      </c>
      <c r="M1147" s="212">
        <f t="shared" si="118"/>
        <v>0</v>
      </c>
      <c r="N1147" s="212">
        <f t="shared" si="118"/>
        <v>0</v>
      </c>
      <c r="O1147" s="212">
        <f t="shared" si="118"/>
        <v>0</v>
      </c>
      <c r="P1147" s="155">
        <f t="shared" si="118"/>
        <v>0</v>
      </c>
      <c r="Q1147" s="407"/>
      <c r="R1147" s="407"/>
    </row>
    <row r="1148" spans="1:18" ht="12.75" x14ac:dyDescent="0.2">
      <c r="A1148" s="152">
        <v>6222000</v>
      </c>
      <c r="B1148" s="73"/>
      <c r="C1148" s="51" t="s">
        <v>940</v>
      </c>
      <c r="D1148" s="89"/>
      <c r="E1148" s="89"/>
      <c r="F1148" s="89"/>
      <c r="G1148" s="89"/>
      <c r="H1148" s="89"/>
      <c r="I1148" s="89"/>
      <c r="J1148" s="212">
        <f t="shared" si="118"/>
        <v>0</v>
      </c>
      <c r="K1148" s="212">
        <f t="shared" si="118"/>
        <v>0</v>
      </c>
      <c r="L1148" s="212">
        <f t="shared" si="118"/>
        <v>0</v>
      </c>
      <c r="M1148" s="212">
        <f t="shared" si="118"/>
        <v>0</v>
      </c>
      <c r="N1148" s="212">
        <f t="shared" si="118"/>
        <v>0</v>
      </c>
      <c r="O1148" s="212">
        <f t="shared" si="118"/>
        <v>0</v>
      </c>
      <c r="P1148" s="155">
        <f t="shared" si="118"/>
        <v>0</v>
      </c>
      <c r="Q1148" s="407"/>
      <c r="R1148" s="407"/>
    </row>
    <row r="1149" spans="1:18" ht="12.75" x14ac:dyDescent="0.2">
      <c r="A1149" s="152">
        <v>6222000</v>
      </c>
      <c r="B1149" s="73"/>
      <c r="C1149" s="51" t="s">
        <v>941</v>
      </c>
      <c r="D1149" s="89"/>
      <c r="E1149" s="89"/>
      <c r="F1149" s="89"/>
      <c r="G1149" s="89"/>
      <c r="H1149" s="89"/>
      <c r="I1149" s="89"/>
      <c r="J1149" s="212">
        <f t="shared" si="118"/>
        <v>0</v>
      </c>
      <c r="K1149" s="212">
        <f t="shared" si="118"/>
        <v>0</v>
      </c>
      <c r="L1149" s="212">
        <f t="shared" si="118"/>
        <v>0</v>
      </c>
      <c r="M1149" s="212">
        <f t="shared" si="118"/>
        <v>0</v>
      </c>
      <c r="N1149" s="212">
        <f t="shared" si="118"/>
        <v>0</v>
      </c>
      <c r="O1149" s="212">
        <f t="shared" si="118"/>
        <v>0</v>
      </c>
      <c r="P1149" s="155">
        <f t="shared" si="118"/>
        <v>0</v>
      </c>
      <c r="Q1149" s="407"/>
      <c r="R1149" s="407"/>
    </row>
    <row r="1150" spans="1:18" ht="12.75" x14ac:dyDescent="0.2">
      <c r="A1150" s="152">
        <v>6222000</v>
      </c>
      <c r="B1150" s="73"/>
      <c r="C1150" s="51" t="s">
        <v>936</v>
      </c>
      <c r="D1150" s="89"/>
      <c r="E1150" s="89"/>
      <c r="F1150" s="89"/>
      <c r="G1150" s="89"/>
      <c r="H1150" s="89"/>
      <c r="I1150" s="89"/>
      <c r="J1150" s="212">
        <f t="shared" si="118"/>
        <v>0</v>
      </c>
      <c r="K1150" s="212">
        <f t="shared" si="118"/>
        <v>0</v>
      </c>
      <c r="L1150" s="212">
        <f t="shared" si="118"/>
        <v>0</v>
      </c>
      <c r="M1150" s="212">
        <f t="shared" si="118"/>
        <v>0</v>
      </c>
      <c r="N1150" s="212">
        <f t="shared" si="118"/>
        <v>0</v>
      </c>
      <c r="O1150" s="212">
        <f t="shared" si="118"/>
        <v>0</v>
      </c>
      <c r="P1150" s="155">
        <f t="shared" si="118"/>
        <v>0</v>
      </c>
      <c r="Q1150" s="407"/>
      <c r="R1150" s="407"/>
    </row>
    <row r="1151" spans="1:18" ht="12.75" x14ac:dyDescent="0.2">
      <c r="A1151" s="152">
        <v>6222000</v>
      </c>
      <c r="B1151" s="73"/>
      <c r="C1151" s="51" t="s">
        <v>937</v>
      </c>
      <c r="D1151" s="89"/>
      <c r="E1151" s="89"/>
      <c r="F1151" s="89"/>
      <c r="G1151" s="89"/>
      <c r="H1151" s="89"/>
      <c r="I1151" s="89"/>
      <c r="J1151" s="212">
        <f t="shared" si="118"/>
        <v>0</v>
      </c>
      <c r="K1151" s="212">
        <f t="shared" si="118"/>
        <v>0</v>
      </c>
      <c r="L1151" s="212">
        <f t="shared" si="118"/>
        <v>0</v>
      </c>
      <c r="M1151" s="212">
        <f t="shared" si="118"/>
        <v>0</v>
      </c>
      <c r="N1151" s="212">
        <f t="shared" si="118"/>
        <v>0</v>
      </c>
      <c r="O1151" s="212">
        <f t="shared" si="118"/>
        <v>0</v>
      </c>
      <c r="P1151" s="155">
        <f t="shared" si="118"/>
        <v>0</v>
      </c>
      <c r="Q1151" s="407"/>
      <c r="R1151" s="407"/>
    </row>
    <row r="1152" spans="1:18" ht="12.75" x14ac:dyDescent="0.2">
      <c r="A1152" s="152">
        <v>6222000</v>
      </c>
      <c r="B1152" s="73"/>
      <c r="C1152" s="51" t="s">
        <v>932</v>
      </c>
      <c r="D1152" s="89"/>
      <c r="E1152" s="89"/>
      <c r="F1152" s="89"/>
      <c r="G1152" s="89"/>
      <c r="H1152" s="89"/>
      <c r="I1152" s="89"/>
      <c r="J1152" s="212">
        <f t="shared" si="118"/>
        <v>0</v>
      </c>
      <c r="K1152" s="212">
        <f t="shared" si="118"/>
        <v>0</v>
      </c>
      <c r="L1152" s="212">
        <f t="shared" si="118"/>
        <v>0</v>
      </c>
      <c r="M1152" s="212">
        <f t="shared" si="118"/>
        <v>0</v>
      </c>
      <c r="N1152" s="212">
        <f t="shared" si="118"/>
        <v>0</v>
      </c>
      <c r="O1152" s="212">
        <f t="shared" si="118"/>
        <v>1000</v>
      </c>
      <c r="P1152" s="155">
        <f t="shared" si="118"/>
        <v>1000</v>
      </c>
      <c r="Q1152" s="407"/>
      <c r="R1152" s="407"/>
    </row>
    <row r="1153" spans="1:18" ht="12.75" x14ac:dyDescent="0.2">
      <c r="A1153" s="152">
        <v>6222000</v>
      </c>
      <c r="B1153" s="73"/>
      <c r="C1153" s="51" t="s">
        <v>933</v>
      </c>
      <c r="D1153" s="89"/>
      <c r="E1153" s="89"/>
      <c r="F1153" s="89"/>
      <c r="G1153" s="89"/>
      <c r="H1153" s="89"/>
      <c r="I1153" s="89"/>
      <c r="J1153" s="212">
        <f t="shared" ref="J1153:P1162" si="119">SUMIFS(J$26:J$180,$A$26:$A$180,$A1153,$C$26:$C$180,$C1153)</f>
        <v>550</v>
      </c>
      <c r="K1153" s="212">
        <f t="shared" si="119"/>
        <v>550</v>
      </c>
      <c r="L1153" s="212">
        <f t="shared" si="119"/>
        <v>625</v>
      </c>
      <c r="M1153" s="212">
        <f t="shared" si="119"/>
        <v>54</v>
      </c>
      <c r="N1153" s="212">
        <f t="shared" si="119"/>
        <v>0</v>
      </c>
      <c r="O1153" s="212">
        <f t="shared" si="119"/>
        <v>150</v>
      </c>
      <c r="P1153" s="155">
        <f t="shared" si="119"/>
        <v>1929</v>
      </c>
      <c r="Q1153" s="407"/>
      <c r="R1153" s="407"/>
    </row>
    <row r="1154" spans="1:18" ht="12.75" x14ac:dyDescent="0.2">
      <c r="A1154" s="152">
        <v>6222000</v>
      </c>
      <c r="B1154" s="73"/>
      <c r="C1154" s="51" t="s">
        <v>952</v>
      </c>
      <c r="D1154" s="89"/>
      <c r="E1154" s="89"/>
      <c r="F1154" s="89"/>
      <c r="G1154" s="89"/>
      <c r="H1154" s="89"/>
      <c r="I1154" s="89"/>
      <c r="J1154" s="212">
        <f t="shared" si="119"/>
        <v>0</v>
      </c>
      <c r="K1154" s="212">
        <f t="shared" si="119"/>
        <v>0</v>
      </c>
      <c r="L1154" s="212">
        <f t="shared" si="119"/>
        <v>0</v>
      </c>
      <c r="M1154" s="212">
        <f t="shared" si="119"/>
        <v>0</v>
      </c>
      <c r="N1154" s="212">
        <f t="shared" si="119"/>
        <v>0</v>
      </c>
      <c r="O1154" s="212">
        <f t="shared" si="119"/>
        <v>0</v>
      </c>
      <c r="P1154" s="155">
        <f t="shared" si="119"/>
        <v>0</v>
      </c>
      <c r="Q1154" s="407"/>
      <c r="R1154" s="407"/>
    </row>
    <row r="1155" spans="1:18" ht="12.75" x14ac:dyDescent="0.2">
      <c r="A1155" s="152">
        <v>6222000</v>
      </c>
      <c r="B1155" s="73"/>
      <c r="C1155" s="51" t="s">
        <v>923</v>
      </c>
      <c r="D1155" s="89"/>
      <c r="E1155" s="89"/>
      <c r="F1155" s="89"/>
      <c r="G1155" s="89"/>
      <c r="H1155" s="89"/>
      <c r="I1155" s="89"/>
      <c r="J1155" s="212">
        <f t="shared" si="119"/>
        <v>0</v>
      </c>
      <c r="K1155" s="212">
        <f t="shared" si="119"/>
        <v>0</v>
      </c>
      <c r="L1155" s="212">
        <f t="shared" si="119"/>
        <v>0</v>
      </c>
      <c r="M1155" s="212">
        <f t="shared" si="119"/>
        <v>0</v>
      </c>
      <c r="N1155" s="212">
        <f t="shared" si="119"/>
        <v>0</v>
      </c>
      <c r="O1155" s="212">
        <f t="shared" si="119"/>
        <v>0</v>
      </c>
      <c r="P1155" s="155">
        <f t="shared" si="119"/>
        <v>0</v>
      </c>
      <c r="Q1155" s="407"/>
      <c r="R1155" s="407"/>
    </row>
    <row r="1156" spans="1:18" ht="12.75" x14ac:dyDescent="0.2">
      <c r="A1156" s="152">
        <v>6222000</v>
      </c>
      <c r="B1156" s="73"/>
      <c r="C1156" s="51" t="s">
        <v>925</v>
      </c>
      <c r="D1156" s="89"/>
      <c r="E1156" s="89"/>
      <c r="F1156" s="89"/>
      <c r="G1156" s="89"/>
      <c r="H1156" s="89"/>
      <c r="I1156" s="89"/>
      <c r="J1156" s="212">
        <f t="shared" si="119"/>
        <v>0</v>
      </c>
      <c r="K1156" s="212">
        <f t="shared" si="119"/>
        <v>0</v>
      </c>
      <c r="L1156" s="212">
        <f t="shared" si="119"/>
        <v>0</v>
      </c>
      <c r="M1156" s="212">
        <f t="shared" si="119"/>
        <v>0</v>
      </c>
      <c r="N1156" s="212">
        <f t="shared" si="119"/>
        <v>0</v>
      </c>
      <c r="O1156" s="212">
        <f t="shared" si="119"/>
        <v>0</v>
      </c>
      <c r="P1156" s="155">
        <f t="shared" si="119"/>
        <v>0</v>
      </c>
      <c r="Q1156" s="407"/>
      <c r="R1156" s="407"/>
    </row>
    <row r="1157" spans="1:18" ht="12.75" x14ac:dyDescent="0.2">
      <c r="A1157" s="152">
        <v>6222000</v>
      </c>
      <c r="B1157" s="73"/>
      <c r="C1157" s="51" t="s">
        <v>950</v>
      </c>
      <c r="D1157" s="89"/>
      <c r="E1157" s="89"/>
      <c r="F1157" s="89"/>
      <c r="G1157" s="89"/>
      <c r="H1157" s="89"/>
      <c r="I1157" s="89"/>
      <c r="J1157" s="212">
        <f t="shared" si="119"/>
        <v>0</v>
      </c>
      <c r="K1157" s="212">
        <f t="shared" si="119"/>
        <v>0</v>
      </c>
      <c r="L1157" s="212">
        <f t="shared" si="119"/>
        <v>0</v>
      </c>
      <c r="M1157" s="212">
        <f t="shared" si="119"/>
        <v>0</v>
      </c>
      <c r="N1157" s="212">
        <f t="shared" si="119"/>
        <v>0</v>
      </c>
      <c r="O1157" s="212">
        <f t="shared" si="119"/>
        <v>0</v>
      </c>
      <c r="P1157" s="155">
        <f t="shared" si="119"/>
        <v>0</v>
      </c>
      <c r="Q1157" s="407"/>
      <c r="R1157" s="407"/>
    </row>
    <row r="1158" spans="1:18" ht="12.75" x14ac:dyDescent="0.2">
      <c r="A1158" s="152">
        <v>6222000</v>
      </c>
      <c r="B1158" s="73"/>
      <c r="C1158" s="51" t="s">
        <v>1054</v>
      </c>
      <c r="D1158" s="89"/>
      <c r="E1158" s="89"/>
      <c r="F1158" s="89"/>
      <c r="G1158" s="89"/>
      <c r="H1158" s="89"/>
      <c r="I1158" s="89"/>
      <c r="J1158" s="212">
        <f t="shared" si="119"/>
        <v>0</v>
      </c>
      <c r="K1158" s="212">
        <f t="shared" si="119"/>
        <v>0</v>
      </c>
      <c r="L1158" s="212">
        <f t="shared" si="119"/>
        <v>0</v>
      </c>
      <c r="M1158" s="212">
        <f t="shared" si="119"/>
        <v>0</v>
      </c>
      <c r="N1158" s="212">
        <f t="shared" si="119"/>
        <v>0</v>
      </c>
      <c r="O1158" s="212">
        <f t="shared" si="119"/>
        <v>0</v>
      </c>
      <c r="P1158" s="155">
        <f t="shared" si="119"/>
        <v>0</v>
      </c>
      <c r="Q1158" s="407"/>
      <c r="R1158" s="407"/>
    </row>
    <row r="1159" spans="1:18" ht="12.75" x14ac:dyDescent="0.2">
      <c r="A1159" s="152">
        <v>6222000</v>
      </c>
      <c r="B1159" s="73"/>
      <c r="C1159" s="51" t="s">
        <v>921</v>
      </c>
      <c r="D1159" s="89"/>
      <c r="E1159" s="89"/>
      <c r="F1159" s="89"/>
      <c r="G1159" s="89"/>
      <c r="H1159" s="89"/>
      <c r="I1159" s="89"/>
      <c r="J1159" s="212">
        <f t="shared" si="119"/>
        <v>0</v>
      </c>
      <c r="K1159" s="212">
        <f t="shared" si="119"/>
        <v>0</v>
      </c>
      <c r="L1159" s="212">
        <f t="shared" si="119"/>
        <v>0</v>
      </c>
      <c r="M1159" s="212">
        <f t="shared" si="119"/>
        <v>0</v>
      </c>
      <c r="N1159" s="212">
        <f t="shared" si="119"/>
        <v>0</v>
      </c>
      <c r="O1159" s="212">
        <f t="shared" si="119"/>
        <v>0</v>
      </c>
      <c r="P1159" s="155">
        <f t="shared" si="119"/>
        <v>0</v>
      </c>
      <c r="Q1159" s="407"/>
      <c r="R1159" s="407"/>
    </row>
    <row r="1160" spans="1:18" ht="12.75" x14ac:dyDescent="0.2">
      <c r="A1160" s="152">
        <v>6222000</v>
      </c>
      <c r="B1160" s="73"/>
      <c r="C1160" s="51" t="s">
        <v>1022</v>
      </c>
      <c r="D1160" s="89"/>
      <c r="E1160" s="89"/>
      <c r="F1160" s="89"/>
      <c r="G1160" s="89"/>
      <c r="H1160" s="89"/>
      <c r="I1160" s="89"/>
      <c r="J1160" s="212">
        <f t="shared" si="119"/>
        <v>0</v>
      </c>
      <c r="K1160" s="212">
        <f t="shared" si="119"/>
        <v>0</v>
      </c>
      <c r="L1160" s="212">
        <f t="shared" si="119"/>
        <v>0</v>
      </c>
      <c r="M1160" s="212">
        <f t="shared" si="119"/>
        <v>0</v>
      </c>
      <c r="N1160" s="212">
        <f t="shared" si="119"/>
        <v>0</v>
      </c>
      <c r="O1160" s="212">
        <f t="shared" si="119"/>
        <v>0</v>
      </c>
      <c r="P1160" s="155">
        <f t="shared" si="119"/>
        <v>0</v>
      </c>
      <c r="Q1160" s="407"/>
      <c r="R1160" s="407"/>
    </row>
    <row r="1161" spans="1:18" ht="12.75" x14ac:dyDescent="0.2">
      <c r="A1161" s="152">
        <v>6222000</v>
      </c>
      <c r="B1161" s="73"/>
      <c r="C1161" s="51" t="s">
        <v>1023</v>
      </c>
      <c r="D1161" s="89"/>
      <c r="E1161" s="89"/>
      <c r="F1161" s="89"/>
      <c r="G1161" s="89"/>
      <c r="H1161" s="89"/>
      <c r="I1161" s="89"/>
      <c r="J1161" s="212">
        <f t="shared" si="119"/>
        <v>0</v>
      </c>
      <c r="K1161" s="212">
        <f t="shared" si="119"/>
        <v>0</v>
      </c>
      <c r="L1161" s="212">
        <f t="shared" si="119"/>
        <v>0</v>
      </c>
      <c r="M1161" s="212">
        <f t="shared" si="119"/>
        <v>0</v>
      </c>
      <c r="N1161" s="212">
        <f t="shared" si="119"/>
        <v>0</v>
      </c>
      <c r="O1161" s="212">
        <f t="shared" si="119"/>
        <v>0</v>
      </c>
      <c r="P1161" s="155">
        <f t="shared" si="119"/>
        <v>0</v>
      </c>
      <c r="Q1161" s="407"/>
      <c r="R1161" s="407"/>
    </row>
    <row r="1162" spans="1:18" ht="12.75" x14ac:dyDescent="0.2">
      <c r="A1162" s="152">
        <v>6222000</v>
      </c>
      <c r="B1162" s="73"/>
      <c r="C1162" s="51" t="s">
        <v>137</v>
      </c>
      <c r="D1162" s="89"/>
      <c r="E1162" s="89"/>
      <c r="F1162" s="89"/>
      <c r="G1162" s="89"/>
      <c r="H1162" s="89"/>
      <c r="I1162" s="89"/>
      <c r="J1162" s="212">
        <f t="shared" si="119"/>
        <v>0</v>
      </c>
      <c r="K1162" s="212">
        <f t="shared" si="119"/>
        <v>0</v>
      </c>
      <c r="L1162" s="212">
        <f t="shared" si="119"/>
        <v>0</v>
      </c>
      <c r="M1162" s="212">
        <f t="shared" si="119"/>
        <v>0</v>
      </c>
      <c r="N1162" s="212">
        <f t="shared" si="119"/>
        <v>0</v>
      </c>
      <c r="O1162" s="212">
        <f t="shared" si="119"/>
        <v>0</v>
      </c>
      <c r="P1162" s="155">
        <f t="shared" si="119"/>
        <v>0</v>
      </c>
      <c r="Q1162" s="407"/>
      <c r="R1162" s="407"/>
    </row>
    <row r="1163" spans="1:18" ht="12.75" x14ac:dyDescent="0.2">
      <c r="A1163" s="152">
        <v>6222000</v>
      </c>
      <c r="B1163" s="73"/>
      <c r="C1163" s="51" t="s">
        <v>956</v>
      </c>
      <c r="D1163" s="89"/>
      <c r="E1163" s="89"/>
      <c r="F1163" s="89"/>
      <c r="G1163" s="89"/>
      <c r="H1163" s="89"/>
      <c r="I1163" s="89"/>
      <c r="J1163" s="212">
        <f t="shared" ref="J1163:P1172" si="120">SUMIFS(J$26:J$180,$A$26:$A$180,$A1163,$C$26:$C$180,$C1163)</f>
        <v>0</v>
      </c>
      <c r="K1163" s="212">
        <f t="shared" si="120"/>
        <v>0</v>
      </c>
      <c r="L1163" s="212">
        <f t="shared" si="120"/>
        <v>0</v>
      </c>
      <c r="M1163" s="212">
        <f t="shared" si="120"/>
        <v>0</v>
      </c>
      <c r="N1163" s="212">
        <f t="shared" si="120"/>
        <v>0</v>
      </c>
      <c r="O1163" s="212">
        <f t="shared" si="120"/>
        <v>0</v>
      </c>
      <c r="P1163" s="155">
        <f t="shared" si="120"/>
        <v>0</v>
      </c>
      <c r="Q1163" s="407"/>
      <c r="R1163" s="407"/>
    </row>
    <row r="1164" spans="1:18" ht="12.75" x14ac:dyDescent="0.2">
      <c r="A1164" s="152">
        <v>6222000</v>
      </c>
      <c r="B1164" s="73"/>
      <c r="C1164" s="51" t="s">
        <v>1045</v>
      </c>
      <c r="D1164" s="89"/>
      <c r="E1164" s="89"/>
      <c r="F1164" s="89"/>
      <c r="G1164" s="89"/>
      <c r="H1164" s="89"/>
      <c r="I1164" s="89"/>
      <c r="J1164" s="212">
        <f t="shared" si="120"/>
        <v>0</v>
      </c>
      <c r="K1164" s="212">
        <f t="shared" si="120"/>
        <v>0</v>
      </c>
      <c r="L1164" s="212">
        <f t="shared" si="120"/>
        <v>0</v>
      </c>
      <c r="M1164" s="212">
        <f t="shared" si="120"/>
        <v>0</v>
      </c>
      <c r="N1164" s="212">
        <f t="shared" si="120"/>
        <v>0</v>
      </c>
      <c r="O1164" s="212">
        <f t="shared" si="120"/>
        <v>0</v>
      </c>
      <c r="P1164" s="155">
        <f t="shared" si="120"/>
        <v>0</v>
      </c>
      <c r="Q1164" s="407"/>
      <c r="R1164" s="407"/>
    </row>
    <row r="1165" spans="1:18" ht="12.75" x14ac:dyDescent="0.2">
      <c r="A1165" s="152">
        <v>6222000</v>
      </c>
      <c r="B1165" s="73"/>
      <c r="C1165" s="51" t="s">
        <v>1046</v>
      </c>
      <c r="D1165" s="89"/>
      <c r="E1165" s="89"/>
      <c r="F1165" s="89"/>
      <c r="G1165" s="89"/>
      <c r="H1165" s="89"/>
      <c r="I1165" s="89"/>
      <c r="J1165" s="212">
        <f t="shared" si="120"/>
        <v>0</v>
      </c>
      <c r="K1165" s="212">
        <f t="shared" si="120"/>
        <v>0</v>
      </c>
      <c r="L1165" s="212">
        <f t="shared" si="120"/>
        <v>0</v>
      </c>
      <c r="M1165" s="212">
        <f t="shared" si="120"/>
        <v>0</v>
      </c>
      <c r="N1165" s="212">
        <f t="shared" si="120"/>
        <v>0</v>
      </c>
      <c r="O1165" s="212">
        <f t="shared" si="120"/>
        <v>0</v>
      </c>
      <c r="P1165" s="155">
        <f t="shared" si="120"/>
        <v>0</v>
      </c>
      <c r="Q1165" s="407"/>
      <c r="R1165" s="407"/>
    </row>
    <row r="1166" spans="1:18" ht="12.75" x14ac:dyDescent="0.2">
      <c r="A1166" s="152">
        <v>6222000</v>
      </c>
      <c r="B1166" s="73"/>
      <c r="C1166" s="51" t="s">
        <v>1036</v>
      </c>
      <c r="D1166" s="89"/>
      <c r="E1166" s="89"/>
      <c r="F1166" s="89"/>
      <c r="G1166" s="89"/>
      <c r="H1166" s="89"/>
      <c r="I1166" s="89"/>
      <c r="J1166" s="212">
        <f t="shared" si="120"/>
        <v>0</v>
      </c>
      <c r="K1166" s="212">
        <f t="shared" si="120"/>
        <v>0</v>
      </c>
      <c r="L1166" s="212">
        <f t="shared" si="120"/>
        <v>0</v>
      </c>
      <c r="M1166" s="212">
        <f t="shared" si="120"/>
        <v>0</v>
      </c>
      <c r="N1166" s="212">
        <f t="shared" si="120"/>
        <v>0</v>
      </c>
      <c r="O1166" s="212">
        <f t="shared" si="120"/>
        <v>0</v>
      </c>
      <c r="P1166" s="155">
        <f t="shared" si="120"/>
        <v>0</v>
      </c>
      <c r="Q1166" s="407"/>
      <c r="R1166" s="407"/>
    </row>
    <row r="1167" spans="1:18" ht="12.75" x14ac:dyDescent="0.2">
      <c r="A1167" s="152">
        <v>6222000</v>
      </c>
      <c r="B1167" s="73"/>
      <c r="C1167" s="51" t="s">
        <v>1037</v>
      </c>
      <c r="D1167" s="89"/>
      <c r="E1167" s="89"/>
      <c r="F1167" s="89"/>
      <c r="G1167" s="89"/>
      <c r="H1167" s="89"/>
      <c r="I1167" s="89"/>
      <c r="J1167" s="212">
        <f t="shared" si="120"/>
        <v>0</v>
      </c>
      <c r="K1167" s="212">
        <f t="shared" si="120"/>
        <v>0</v>
      </c>
      <c r="L1167" s="212">
        <f t="shared" si="120"/>
        <v>0</v>
      </c>
      <c r="M1167" s="212">
        <f t="shared" si="120"/>
        <v>0</v>
      </c>
      <c r="N1167" s="212">
        <f t="shared" si="120"/>
        <v>0</v>
      </c>
      <c r="O1167" s="212">
        <f t="shared" si="120"/>
        <v>0</v>
      </c>
      <c r="P1167" s="155">
        <f t="shared" si="120"/>
        <v>0</v>
      </c>
      <c r="Q1167" s="407"/>
      <c r="R1167" s="407"/>
    </row>
    <row r="1168" spans="1:18" ht="12.75" x14ac:dyDescent="0.2">
      <c r="A1168" s="152">
        <v>6222000</v>
      </c>
      <c r="B1168" s="73"/>
      <c r="C1168" s="51" t="s">
        <v>990</v>
      </c>
      <c r="D1168" s="89"/>
      <c r="E1168" s="89"/>
      <c r="F1168" s="89"/>
      <c r="G1168" s="89"/>
      <c r="H1168" s="89"/>
      <c r="I1168" s="89"/>
      <c r="J1168" s="212">
        <f t="shared" si="120"/>
        <v>0</v>
      </c>
      <c r="K1168" s="212">
        <f t="shared" si="120"/>
        <v>0</v>
      </c>
      <c r="L1168" s="212">
        <f t="shared" si="120"/>
        <v>0</v>
      </c>
      <c r="M1168" s="212">
        <f t="shared" si="120"/>
        <v>0</v>
      </c>
      <c r="N1168" s="212">
        <f t="shared" si="120"/>
        <v>0</v>
      </c>
      <c r="O1168" s="212">
        <f t="shared" si="120"/>
        <v>0</v>
      </c>
      <c r="P1168" s="155">
        <f t="shared" si="120"/>
        <v>0</v>
      </c>
      <c r="Q1168" s="407"/>
      <c r="R1168" s="407"/>
    </row>
    <row r="1169" spans="1:18" ht="12.75" x14ac:dyDescent="0.2">
      <c r="A1169" s="152">
        <v>6222000</v>
      </c>
      <c r="B1169" s="73"/>
      <c r="C1169" s="51" t="s">
        <v>1040</v>
      </c>
      <c r="D1169" s="89"/>
      <c r="E1169" s="89"/>
      <c r="F1169" s="89"/>
      <c r="G1169" s="89"/>
      <c r="H1169" s="89"/>
      <c r="I1169" s="89"/>
      <c r="J1169" s="212">
        <f t="shared" si="120"/>
        <v>0</v>
      </c>
      <c r="K1169" s="212">
        <f t="shared" si="120"/>
        <v>0</v>
      </c>
      <c r="L1169" s="212">
        <f t="shared" si="120"/>
        <v>0</v>
      </c>
      <c r="M1169" s="212">
        <f t="shared" si="120"/>
        <v>0</v>
      </c>
      <c r="N1169" s="212">
        <f t="shared" si="120"/>
        <v>0</v>
      </c>
      <c r="O1169" s="212">
        <f t="shared" si="120"/>
        <v>0</v>
      </c>
      <c r="P1169" s="155">
        <f t="shared" si="120"/>
        <v>0</v>
      </c>
      <c r="Q1169" s="407"/>
      <c r="R1169" s="407"/>
    </row>
    <row r="1170" spans="1:18" ht="12.75" x14ac:dyDescent="0.2">
      <c r="A1170" s="152">
        <v>6222000</v>
      </c>
      <c r="B1170" s="73"/>
      <c r="C1170" s="51" t="s">
        <v>991</v>
      </c>
      <c r="D1170" s="89"/>
      <c r="E1170" s="89"/>
      <c r="F1170" s="89"/>
      <c r="G1170" s="89"/>
      <c r="H1170" s="89"/>
      <c r="I1170" s="89"/>
      <c r="J1170" s="212">
        <f t="shared" si="120"/>
        <v>0</v>
      </c>
      <c r="K1170" s="212">
        <f t="shared" si="120"/>
        <v>0</v>
      </c>
      <c r="L1170" s="212">
        <f t="shared" si="120"/>
        <v>0</v>
      </c>
      <c r="M1170" s="212">
        <f t="shared" si="120"/>
        <v>0</v>
      </c>
      <c r="N1170" s="212">
        <f t="shared" si="120"/>
        <v>0</v>
      </c>
      <c r="O1170" s="212">
        <f t="shared" si="120"/>
        <v>0</v>
      </c>
      <c r="P1170" s="155">
        <f t="shared" si="120"/>
        <v>0</v>
      </c>
      <c r="Q1170" s="407"/>
      <c r="R1170" s="407"/>
    </row>
    <row r="1171" spans="1:18" ht="12.75" x14ac:dyDescent="0.2">
      <c r="A1171" s="152">
        <v>6222000</v>
      </c>
      <c r="B1171" s="73"/>
      <c r="C1171" s="51" t="s">
        <v>959</v>
      </c>
      <c r="D1171" s="89"/>
      <c r="E1171" s="89"/>
      <c r="F1171" s="89"/>
      <c r="G1171" s="89"/>
      <c r="H1171" s="89"/>
      <c r="I1171" s="89"/>
      <c r="J1171" s="212">
        <f t="shared" si="120"/>
        <v>0</v>
      </c>
      <c r="K1171" s="212">
        <f t="shared" si="120"/>
        <v>0</v>
      </c>
      <c r="L1171" s="212">
        <f t="shared" si="120"/>
        <v>0</v>
      </c>
      <c r="M1171" s="212">
        <f t="shared" si="120"/>
        <v>0</v>
      </c>
      <c r="N1171" s="212">
        <f t="shared" si="120"/>
        <v>0</v>
      </c>
      <c r="O1171" s="212">
        <f t="shared" si="120"/>
        <v>0</v>
      </c>
      <c r="P1171" s="155">
        <f t="shared" si="120"/>
        <v>0</v>
      </c>
      <c r="Q1171" s="407"/>
      <c r="R1171" s="407"/>
    </row>
    <row r="1172" spans="1:18" ht="12.75" x14ac:dyDescent="0.2">
      <c r="A1172" s="152">
        <v>6222000</v>
      </c>
      <c r="B1172" s="73"/>
      <c r="C1172" s="51" t="s">
        <v>964</v>
      </c>
      <c r="D1172" s="89"/>
      <c r="E1172" s="89"/>
      <c r="F1172" s="89"/>
      <c r="G1172" s="89"/>
      <c r="H1172" s="89"/>
      <c r="I1172" s="89"/>
      <c r="J1172" s="212">
        <f t="shared" si="120"/>
        <v>0</v>
      </c>
      <c r="K1172" s="212">
        <f t="shared" si="120"/>
        <v>0</v>
      </c>
      <c r="L1172" s="212">
        <f t="shared" si="120"/>
        <v>0</v>
      </c>
      <c r="M1172" s="212">
        <f t="shared" si="120"/>
        <v>0</v>
      </c>
      <c r="N1172" s="212">
        <f t="shared" si="120"/>
        <v>0</v>
      </c>
      <c r="O1172" s="212">
        <f t="shared" si="120"/>
        <v>0</v>
      </c>
      <c r="P1172" s="155">
        <f t="shared" si="120"/>
        <v>0</v>
      </c>
      <c r="Q1172" s="407"/>
      <c r="R1172" s="407"/>
    </row>
    <row r="1173" spans="1:18" ht="12.75" x14ac:dyDescent="0.2">
      <c r="A1173" s="152">
        <v>6222000</v>
      </c>
      <c r="B1173" s="73"/>
      <c r="C1173" s="51" t="s">
        <v>1003</v>
      </c>
      <c r="D1173" s="89"/>
      <c r="E1173" s="89"/>
      <c r="F1173" s="89"/>
      <c r="G1173" s="89"/>
      <c r="H1173" s="89"/>
      <c r="I1173" s="89"/>
      <c r="J1173" s="212">
        <f t="shared" ref="J1173:P1182" si="121">SUMIFS(J$26:J$180,$A$26:$A$180,$A1173,$C$26:$C$180,$C1173)</f>
        <v>0</v>
      </c>
      <c r="K1173" s="212">
        <f t="shared" si="121"/>
        <v>0</v>
      </c>
      <c r="L1173" s="212">
        <f t="shared" si="121"/>
        <v>0</v>
      </c>
      <c r="M1173" s="212">
        <f t="shared" si="121"/>
        <v>0</v>
      </c>
      <c r="N1173" s="212">
        <f t="shared" si="121"/>
        <v>0</v>
      </c>
      <c r="O1173" s="212">
        <f t="shared" si="121"/>
        <v>0</v>
      </c>
      <c r="P1173" s="155">
        <f t="shared" si="121"/>
        <v>0</v>
      </c>
      <c r="Q1173" s="407"/>
      <c r="R1173" s="407"/>
    </row>
    <row r="1174" spans="1:18" ht="12.75" x14ac:dyDescent="0.2">
      <c r="A1174" s="152">
        <v>6222000</v>
      </c>
      <c r="B1174" s="73"/>
      <c r="C1174" s="51" t="s">
        <v>992</v>
      </c>
      <c r="D1174" s="89"/>
      <c r="E1174" s="89"/>
      <c r="F1174" s="89"/>
      <c r="G1174" s="89"/>
      <c r="H1174" s="89"/>
      <c r="I1174" s="89"/>
      <c r="J1174" s="212">
        <f t="shared" si="121"/>
        <v>0</v>
      </c>
      <c r="K1174" s="212">
        <f t="shared" si="121"/>
        <v>0</v>
      </c>
      <c r="L1174" s="212">
        <f t="shared" si="121"/>
        <v>0</v>
      </c>
      <c r="M1174" s="212">
        <f t="shared" si="121"/>
        <v>0</v>
      </c>
      <c r="N1174" s="212">
        <f t="shared" si="121"/>
        <v>0</v>
      </c>
      <c r="O1174" s="212">
        <f t="shared" si="121"/>
        <v>0</v>
      </c>
      <c r="P1174" s="155">
        <f t="shared" si="121"/>
        <v>0</v>
      </c>
      <c r="Q1174" s="407"/>
      <c r="R1174" s="407"/>
    </row>
    <row r="1175" spans="1:18" ht="12.75" x14ac:dyDescent="0.2">
      <c r="A1175" s="152">
        <v>6222000</v>
      </c>
      <c r="B1175" s="73"/>
      <c r="C1175" s="51" t="s">
        <v>994</v>
      </c>
      <c r="D1175" s="89"/>
      <c r="E1175" s="89"/>
      <c r="F1175" s="89"/>
      <c r="G1175" s="89"/>
      <c r="H1175" s="89"/>
      <c r="I1175" s="89"/>
      <c r="J1175" s="212">
        <f t="shared" si="121"/>
        <v>0</v>
      </c>
      <c r="K1175" s="212">
        <f t="shared" si="121"/>
        <v>0</v>
      </c>
      <c r="L1175" s="212">
        <f t="shared" si="121"/>
        <v>0</v>
      </c>
      <c r="M1175" s="212">
        <f t="shared" si="121"/>
        <v>0</v>
      </c>
      <c r="N1175" s="212">
        <f t="shared" si="121"/>
        <v>0</v>
      </c>
      <c r="O1175" s="212">
        <f t="shared" si="121"/>
        <v>0</v>
      </c>
      <c r="P1175" s="155">
        <f t="shared" si="121"/>
        <v>0</v>
      </c>
      <c r="Q1175" s="407"/>
      <c r="R1175" s="407"/>
    </row>
    <row r="1176" spans="1:18" ht="12.75" x14ac:dyDescent="0.2">
      <c r="A1176" s="152">
        <v>6222000</v>
      </c>
      <c r="B1176" s="73"/>
      <c r="C1176" s="51" t="s">
        <v>993</v>
      </c>
      <c r="D1176" s="89"/>
      <c r="E1176" s="89"/>
      <c r="F1176" s="89"/>
      <c r="G1176" s="89"/>
      <c r="H1176" s="89"/>
      <c r="I1176" s="89"/>
      <c r="J1176" s="212">
        <f t="shared" si="121"/>
        <v>0</v>
      </c>
      <c r="K1176" s="212">
        <f t="shared" si="121"/>
        <v>0</v>
      </c>
      <c r="L1176" s="212">
        <f t="shared" si="121"/>
        <v>18000</v>
      </c>
      <c r="M1176" s="212">
        <f t="shared" si="121"/>
        <v>0</v>
      </c>
      <c r="N1176" s="212">
        <f t="shared" si="121"/>
        <v>0</v>
      </c>
      <c r="O1176" s="212">
        <f t="shared" si="121"/>
        <v>0</v>
      </c>
      <c r="P1176" s="155">
        <f t="shared" si="121"/>
        <v>18000</v>
      </c>
      <c r="Q1176" s="407"/>
      <c r="R1176" s="407"/>
    </row>
    <row r="1177" spans="1:18" ht="12.75" x14ac:dyDescent="0.2">
      <c r="A1177" s="152">
        <v>6222000</v>
      </c>
      <c r="B1177" s="73"/>
      <c r="C1177" s="51" t="s">
        <v>995</v>
      </c>
      <c r="D1177" s="89"/>
      <c r="E1177" s="89"/>
      <c r="F1177" s="89"/>
      <c r="G1177" s="89"/>
      <c r="H1177" s="89"/>
      <c r="I1177" s="89"/>
      <c r="J1177" s="212">
        <f t="shared" si="121"/>
        <v>0</v>
      </c>
      <c r="K1177" s="212">
        <f t="shared" si="121"/>
        <v>0</v>
      </c>
      <c r="L1177" s="212">
        <f t="shared" si="121"/>
        <v>12000</v>
      </c>
      <c r="M1177" s="212">
        <f t="shared" si="121"/>
        <v>0</v>
      </c>
      <c r="N1177" s="212">
        <f t="shared" si="121"/>
        <v>0</v>
      </c>
      <c r="O1177" s="212">
        <f t="shared" si="121"/>
        <v>0</v>
      </c>
      <c r="P1177" s="155">
        <f t="shared" si="121"/>
        <v>12000</v>
      </c>
      <c r="Q1177" s="407"/>
      <c r="R1177" s="407"/>
    </row>
    <row r="1178" spans="1:18" ht="12.75" x14ac:dyDescent="0.2">
      <c r="A1178" s="152">
        <v>6222000</v>
      </c>
      <c r="B1178" s="73"/>
      <c r="C1178" s="51" t="s">
        <v>1001</v>
      </c>
      <c r="D1178" s="89"/>
      <c r="E1178" s="89"/>
      <c r="F1178" s="89"/>
      <c r="G1178" s="89"/>
      <c r="H1178" s="89"/>
      <c r="I1178" s="89"/>
      <c r="J1178" s="212">
        <f t="shared" si="121"/>
        <v>0</v>
      </c>
      <c r="K1178" s="212">
        <f t="shared" si="121"/>
        <v>0</v>
      </c>
      <c r="L1178" s="212">
        <f t="shared" si="121"/>
        <v>0</v>
      </c>
      <c r="M1178" s="212">
        <f t="shared" si="121"/>
        <v>0</v>
      </c>
      <c r="N1178" s="212">
        <f t="shared" si="121"/>
        <v>0</v>
      </c>
      <c r="O1178" s="212">
        <f t="shared" si="121"/>
        <v>0</v>
      </c>
      <c r="P1178" s="155">
        <f t="shared" si="121"/>
        <v>0</v>
      </c>
      <c r="Q1178" s="407"/>
      <c r="R1178" s="407"/>
    </row>
    <row r="1179" spans="1:18" ht="12.75" x14ac:dyDescent="0.2">
      <c r="A1179" s="152">
        <v>6222000</v>
      </c>
      <c r="B1179" s="73"/>
      <c r="C1179" s="51" t="s">
        <v>978</v>
      </c>
      <c r="D1179" s="89"/>
      <c r="E1179" s="89"/>
      <c r="F1179" s="89"/>
      <c r="G1179" s="89"/>
      <c r="H1179" s="89"/>
      <c r="I1179" s="89"/>
      <c r="J1179" s="212">
        <f t="shared" si="121"/>
        <v>0</v>
      </c>
      <c r="K1179" s="212">
        <f t="shared" si="121"/>
        <v>0</v>
      </c>
      <c r="L1179" s="212">
        <f t="shared" si="121"/>
        <v>0</v>
      </c>
      <c r="M1179" s="212">
        <f t="shared" si="121"/>
        <v>0</v>
      </c>
      <c r="N1179" s="212">
        <f t="shared" si="121"/>
        <v>0</v>
      </c>
      <c r="O1179" s="212">
        <f t="shared" si="121"/>
        <v>0</v>
      </c>
      <c r="P1179" s="155">
        <f t="shared" si="121"/>
        <v>0</v>
      </c>
      <c r="Q1179" s="407"/>
      <c r="R1179" s="407"/>
    </row>
    <row r="1180" spans="1:18" ht="12.75" x14ac:dyDescent="0.2">
      <c r="A1180" s="152">
        <v>6222000</v>
      </c>
      <c r="B1180" s="73"/>
      <c r="C1180" s="51" t="s">
        <v>494</v>
      </c>
      <c r="D1180" s="89"/>
      <c r="E1180" s="89"/>
      <c r="F1180" s="89"/>
      <c r="G1180" s="89"/>
      <c r="H1180" s="89"/>
      <c r="I1180" s="89"/>
      <c r="J1180" s="212">
        <f t="shared" si="121"/>
        <v>0</v>
      </c>
      <c r="K1180" s="212">
        <f t="shared" si="121"/>
        <v>0</v>
      </c>
      <c r="L1180" s="212">
        <f t="shared" si="121"/>
        <v>0</v>
      </c>
      <c r="M1180" s="212">
        <f t="shared" si="121"/>
        <v>0</v>
      </c>
      <c r="N1180" s="212">
        <f t="shared" si="121"/>
        <v>0</v>
      </c>
      <c r="O1180" s="212">
        <f t="shared" si="121"/>
        <v>0</v>
      </c>
      <c r="P1180" s="155">
        <f t="shared" si="121"/>
        <v>0</v>
      </c>
      <c r="Q1180" s="407"/>
      <c r="R1180" s="407"/>
    </row>
    <row r="1181" spans="1:18" ht="12.75" x14ac:dyDescent="0.2">
      <c r="A1181" s="152">
        <v>6222000</v>
      </c>
      <c r="B1181" s="73"/>
      <c r="C1181" s="51" t="s">
        <v>976</v>
      </c>
      <c r="D1181" s="89"/>
      <c r="E1181" s="89"/>
      <c r="F1181" s="89"/>
      <c r="G1181" s="89"/>
      <c r="H1181" s="89"/>
      <c r="I1181" s="89"/>
      <c r="J1181" s="212">
        <f t="shared" si="121"/>
        <v>2100</v>
      </c>
      <c r="K1181" s="212">
        <f t="shared" si="121"/>
        <v>550</v>
      </c>
      <c r="L1181" s="212">
        <f t="shared" si="121"/>
        <v>750</v>
      </c>
      <c r="M1181" s="212">
        <f t="shared" si="121"/>
        <v>37</v>
      </c>
      <c r="N1181" s="212">
        <f t="shared" si="121"/>
        <v>60</v>
      </c>
      <c r="O1181" s="212">
        <f t="shared" si="121"/>
        <v>150</v>
      </c>
      <c r="P1181" s="155">
        <f t="shared" si="121"/>
        <v>3647</v>
      </c>
      <c r="Q1181" s="407"/>
      <c r="R1181" s="407"/>
    </row>
    <row r="1182" spans="1:18" ht="12.75" x14ac:dyDescent="0.2">
      <c r="A1182" s="152">
        <v>6222000</v>
      </c>
      <c r="B1182" s="73"/>
      <c r="C1182" s="51" t="s">
        <v>1002</v>
      </c>
      <c r="D1182" s="89"/>
      <c r="E1182" s="89"/>
      <c r="F1182" s="89"/>
      <c r="G1182" s="89"/>
      <c r="H1182" s="89"/>
      <c r="I1182" s="89"/>
      <c r="J1182" s="212">
        <f t="shared" si="121"/>
        <v>0</v>
      </c>
      <c r="K1182" s="212">
        <f t="shared" si="121"/>
        <v>0</v>
      </c>
      <c r="L1182" s="212">
        <f t="shared" si="121"/>
        <v>0</v>
      </c>
      <c r="M1182" s="212">
        <f t="shared" si="121"/>
        <v>0</v>
      </c>
      <c r="N1182" s="212">
        <f t="shared" si="121"/>
        <v>0</v>
      </c>
      <c r="O1182" s="212">
        <f t="shared" si="121"/>
        <v>0</v>
      </c>
      <c r="P1182" s="155">
        <f t="shared" si="121"/>
        <v>0</v>
      </c>
      <c r="Q1182" s="407"/>
      <c r="R1182" s="407"/>
    </row>
    <row r="1183" spans="1:18" ht="12.75" x14ac:dyDescent="0.2">
      <c r="A1183" s="152">
        <v>6222000</v>
      </c>
      <c r="B1183" s="73"/>
      <c r="C1183" s="51" t="s">
        <v>1014</v>
      </c>
      <c r="D1183" s="89"/>
      <c r="E1183" s="89"/>
      <c r="F1183" s="89"/>
      <c r="G1183" s="89"/>
      <c r="H1183" s="89"/>
      <c r="I1183" s="89"/>
      <c r="J1183" s="212">
        <f t="shared" ref="J1183:P1192" si="122">SUMIFS(J$26:J$180,$A$26:$A$180,$A1183,$C$26:$C$180,$C1183)</f>
        <v>0</v>
      </c>
      <c r="K1183" s="212">
        <f t="shared" si="122"/>
        <v>0</v>
      </c>
      <c r="L1183" s="212">
        <f t="shared" si="122"/>
        <v>0</v>
      </c>
      <c r="M1183" s="212">
        <f t="shared" si="122"/>
        <v>0</v>
      </c>
      <c r="N1183" s="212">
        <f t="shared" si="122"/>
        <v>0</v>
      </c>
      <c r="O1183" s="212">
        <f t="shared" si="122"/>
        <v>0</v>
      </c>
      <c r="P1183" s="155">
        <f t="shared" si="122"/>
        <v>0</v>
      </c>
      <c r="Q1183" s="407"/>
      <c r="R1183" s="407"/>
    </row>
    <row r="1184" spans="1:18" ht="12.75" x14ac:dyDescent="0.2">
      <c r="A1184" s="152">
        <v>6222000</v>
      </c>
      <c r="B1184" s="73"/>
      <c r="C1184" s="51" t="s">
        <v>998</v>
      </c>
      <c r="D1184" s="89"/>
      <c r="E1184" s="89"/>
      <c r="F1184" s="89"/>
      <c r="G1184" s="89"/>
      <c r="H1184" s="89"/>
      <c r="I1184" s="89"/>
      <c r="J1184" s="212">
        <f t="shared" si="122"/>
        <v>0</v>
      </c>
      <c r="K1184" s="212">
        <f t="shared" si="122"/>
        <v>0</v>
      </c>
      <c r="L1184" s="212">
        <f t="shared" si="122"/>
        <v>0</v>
      </c>
      <c r="M1184" s="212">
        <f t="shared" si="122"/>
        <v>0</v>
      </c>
      <c r="N1184" s="212">
        <f t="shared" si="122"/>
        <v>0</v>
      </c>
      <c r="O1184" s="212">
        <f t="shared" si="122"/>
        <v>0</v>
      </c>
      <c r="P1184" s="155">
        <f t="shared" si="122"/>
        <v>0</v>
      </c>
      <c r="Q1184" s="407"/>
      <c r="R1184" s="407"/>
    </row>
    <row r="1185" spans="1:18" ht="12.75" x14ac:dyDescent="0.2">
      <c r="A1185" s="152">
        <v>6222000</v>
      </c>
      <c r="B1185" s="73"/>
      <c r="C1185" s="51" t="s">
        <v>996</v>
      </c>
      <c r="D1185" s="89"/>
      <c r="E1185" s="89"/>
      <c r="F1185" s="89"/>
      <c r="G1185" s="89"/>
      <c r="H1185" s="89"/>
      <c r="I1185" s="89"/>
      <c r="J1185" s="212">
        <f t="shared" si="122"/>
        <v>0</v>
      </c>
      <c r="K1185" s="212">
        <f t="shared" si="122"/>
        <v>0</v>
      </c>
      <c r="L1185" s="212">
        <f t="shared" si="122"/>
        <v>0</v>
      </c>
      <c r="M1185" s="212">
        <f t="shared" si="122"/>
        <v>0</v>
      </c>
      <c r="N1185" s="212">
        <f t="shared" si="122"/>
        <v>0</v>
      </c>
      <c r="O1185" s="212">
        <f t="shared" si="122"/>
        <v>0</v>
      </c>
      <c r="P1185" s="155">
        <f t="shared" si="122"/>
        <v>0</v>
      </c>
      <c r="Q1185" s="407"/>
      <c r="R1185" s="407"/>
    </row>
    <row r="1186" spans="1:18" ht="12.75" x14ac:dyDescent="0.2">
      <c r="A1186" s="152">
        <v>6222000</v>
      </c>
      <c r="B1186" s="73"/>
      <c r="C1186" s="51" t="s">
        <v>1043</v>
      </c>
      <c r="D1186" s="89"/>
      <c r="E1186" s="89"/>
      <c r="F1186" s="89"/>
      <c r="G1186" s="89"/>
      <c r="H1186" s="89"/>
      <c r="I1186" s="89"/>
      <c r="J1186" s="212">
        <f t="shared" si="122"/>
        <v>0</v>
      </c>
      <c r="K1186" s="212">
        <f t="shared" si="122"/>
        <v>0</v>
      </c>
      <c r="L1186" s="212">
        <f t="shared" si="122"/>
        <v>0</v>
      </c>
      <c r="M1186" s="212">
        <f t="shared" si="122"/>
        <v>0</v>
      </c>
      <c r="N1186" s="212">
        <f t="shared" si="122"/>
        <v>0</v>
      </c>
      <c r="O1186" s="212">
        <f t="shared" si="122"/>
        <v>0</v>
      </c>
      <c r="P1186" s="155">
        <f t="shared" si="122"/>
        <v>0</v>
      </c>
      <c r="Q1186" s="407"/>
      <c r="R1186" s="407"/>
    </row>
    <row r="1187" spans="1:18" ht="12.75" x14ac:dyDescent="0.2">
      <c r="A1187" s="152">
        <v>6222000</v>
      </c>
      <c r="B1187" s="73"/>
      <c r="C1187" s="51" t="s">
        <v>1044</v>
      </c>
      <c r="D1187" s="89"/>
      <c r="E1187" s="89"/>
      <c r="F1187" s="89"/>
      <c r="G1187" s="89"/>
      <c r="H1187" s="89"/>
      <c r="I1187" s="89"/>
      <c r="J1187" s="212">
        <f t="shared" si="122"/>
        <v>0</v>
      </c>
      <c r="K1187" s="212">
        <f t="shared" si="122"/>
        <v>0</v>
      </c>
      <c r="L1187" s="212">
        <f t="shared" si="122"/>
        <v>0</v>
      </c>
      <c r="M1187" s="212">
        <f t="shared" si="122"/>
        <v>0</v>
      </c>
      <c r="N1187" s="212">
        <f t="shared" si="122"/>
        <v>0</v>
      </c>
      <c r="O1187" s="212">
        <f t="shared" si="122"/>
        <v>0</v>
      </c>
      <c r="P1187" s="155">
        <f t="shared" si="122"/>
        <v>0</v>
      </c>
      <c r="Q1187" s="407"/>
      <c r="R1187" s="407"/>
    </row>
    <row r="1188" spans="1:18" ht="12.75" x14ac:dyDescent="0.2">
      <c r="A1188" s="152">
        <v>6222000</v>
      </c>
      <c r="B1188" s="73"/>
      <c r="C1188" s="51" t="s">
        <v>1039</v>
      </c>
      <c r="D1188" s="89"/>
      <c r="E1188" s="89"/>
      <c r="F1188" s="89"/>
      <c r="G1188" s="89"/>
      <c r="H1188" s="89"/>
      <c r="I1188" s="89"/>
      <c r="J1188" s="212">
        <f t="shared" si="122"/>
        <v>0</v>
      </c>
      <c r="K1188" s="212">
        <f t="shared" si="122"/>
        <v>0</v>
      </c>
      <c r="L1188" s="212">
        <f t="shared" si="122"/>
        <v>0</v>
      </c>
      <c r="M1188" s="212">
        <f t="shared" si="122"/>
        <v>0</v>
      </c>
      <c r="N1188" s="212">
        <f t="shared" si="122"/>
        <v>0</v>
      </c>
      <c r="O1188" s="212">
        <f t="shared" si="122"/>
        <v>0</v>
      </c>
      <c r="P1188" s="155">
        <f t="shared" si="122"/>
        <v>0</v>
      </c>
      <c r="Q1188" s="407"/>
      <c r="R1188" s="407"/>
    </row>
    <row r="1189" spans="1:18" ht="12.75" x14ac:dyDescent="0.2">
      <c r="A1189" s="152">
        <v>6222000</v>
      </c>
      <c r="B1189" s="73"/>
      <c r="C1189" s="51" t="s">
        <v>1028</v>
      </c>
      <c r="D1189" s="89"/>
      <c r="E1189" s="89"/>
      <c r="F1189" s="89"/>
      <c r="G1189" s="89"/>
      <c r="H1189" s="89"/>
      <c r="I1189" s="89"/>
      <c r="J1189" s="212">
        <f t="shared" si="122"/>
        <v>0</v>
      </c>
      <c r="K1189" s="212">
        <f t="shared" si="122"/>
        <v>0</v>
      </c>
      <c r="L1189" s="212">
        <f t="shared" si="122"/>
        <v>0</v>
      </c>
      <c r="M1189" s="212">
        <f t="shared" si="122"/>
        <v>0</v>
      </c>
      <c r="N1189" s="212">
        <f t="shared" si="122"/>
        <v>0</v>
      </c>
      <c r="O1189" s="212">
        <f t="shared" si="122"/>
        <v>0</v>
      </c>
      <c r="P1189" s="155">
        <f t="shared" si="122"/>
        <v>0</v>
      </c>
      <c r="Q1189" s="407"/>
      <c r="R1189" s="407"/>
    </row>
    <row r="1190" spans="1:18" ht="12.75" x14ac:dyDescent="0.2">
      <c r="A1190" s="152">
        <v>6222000</v>
      </c>
      <c r="B1190" s="73"/>
      <c r="C1190" s="51" t="s">
        <v>1029</v>
      </c>
      <c r="D1190" s="89"/>
      <c r="E1190" s="89"/>
      <c r="F1190" s="89"/>
      <c r="G1190" s="89"/>
      <c r="H1190" s="89"/>
      <c r="I1190" s="89"/>
      <c r="J1190" s="212">
        <f t="shared" si="122"/>
        <v>0</v>
      </c>
      <c r="K1190" s="212">
        <f t="shared" si="122"/>
        <v>0</v>
      </c>
      <c r="L1190" s="212">
        <f t="shared" si="122"/>
        <v>0</v>
      </c>
      <c r="M1190" s="212">
        <f t="shared" si="122"/>
        <v>0</v>
      </c>
      <c r="N1190" s="212">
        <f t="shared" si="122"/>
        <v>0</v>
      </c>
      <c r="O1190" s="212">
        <f t="shared" si="122"/>
        <v>0</v>
      </c>
      <c r="P1190" s="155">
        <f t="shared" si="122"/>
        <v>0</v>
      </c>
      <c r="Q1190" s="407"/>
      <c r="R1190" s="407"/>
    </row>
    <row r="1191" spans="1:18" ht="12.75" x14ac:dyDescent="0.2">
      <c r="A1191" s="152">
        <v>6222000</v>
      </c>
      <c r="B1191" s="73"/>
      <c r="C1191" s="51" t="s">
        <v>113</v>
      </c>
      <c r="D1191" s="89"/>
      <c r="E1191" s="89"/>
      <c r="F1191" s="89"/>
      <c r="G1191" s="89"/>
      <c r="H1191" s="89"/>
      <c r="I1191" s="89"/>
      <c r="J1191" s="212">
        <f t="shared" si="122"/>
        <v>0</v>
      </c>
      <c r="K1191" s="212">
        <f t="shared" si="122"/>
        <v>0</v>
      </c>
      <c r="L1191" s="212">
        <f t="shared" si="122"/>
        <v>0</v>
      </c>
      <c r="M1191" s="212">
        <f t="shared" si="122"/>
        <v>0</v>
      </c>
      <c r="N1191" s="212">
        <f t="shared" si="122"/>
        <v>0</v>
      </c>
      <c r="O1191" s="212">
        <f t="shared" si="122"/>
        <v>0</v>
      </c>
      <c r="P1191" s="155">
        <f t="shared" si="122"/>
        <v>0</v>
      </c>
      <c r="Q1191" s="407"/>
      <c r="R1191" s="407"/>
    </row>
    <row r="1192" spans="1:18" ht="12.75" x14ac:dyDescent="0.2">
      <c r="A1192" s="152">
        <v>6222000</v>
      </c>
      <c r="B1192" s="73"/>
      <c r="C1192" s="51" t="s">
        <v>1038</v>
      </c>
      <c r="D1192" s="89"/>
      <c r="E1192" s="89"/>
      <c r="F1192" s="89"/>
      <c r="G1192" s="89"/>
      <c r="H1192" s="89"/>
      <c r="I1192" s="89"/>
      <c r="J1192" s="212">
        <f t="shared" si="122"/>
        <v>0</v>
      </c>
      <c r="K1192" s="212">
        <f t="shared" si="122"/>
        <v>0</v>
      </c>
      <c r="L1192" s="212">
        <f t="shared" si="122"/>
        <v>0</v>
      </c>
      <c r="M1192" s="212">
        <f t="shared" si="122"/>
        <v>0</v>
      </c>
      <c r="N1192" s="212">
        <f t="shared" si="122"/>
        <v>0</v>
      </c>
      <c r="O1192" s="212">
        <f t="shared" si="122"/>
        <v>0</v>
      </c>
      <c r="P1192" s="155">
        <f t="shared" si="122"/>
        <v>0</v>
      </c>
      <c r="Q1192" s="407"/>
      <c r="R1192" s="407"/>
    </row>
    <row r="1193" spans="1:18" ht="12.75" x14ac:dyDescent="0.2">
      <c r="A1193" s="152">
        <v>6222000</v>
      </c>
      <c r="B1193" s="73"/>
      <c r="C1193" s="51" t="s">
        <v>1033</v>
      </c>
      <c r="D1193" s="89"/>
      <c r="E1193" s="89"/>
      <c r="F1193" s="89"/>
      <c r="G1193" s="89"/>
      <c r="H1193" s="89"/>
      <c r="I1193" s="89"/>
      <c r="J1193" s="212">
        <f t="shared" ref="J1193:P1202" si="123">SUMIFS(J$26:J$180,$A$26:$A$180,$A1193,$C$26:$C$180,$C1193)</f>
        <v>0</v>
      </c>
      <c r="K1193" s="212">
        <f t="shared" si="123"/>
        <v>0</v>
      </c>
      <c r="L1193" s="212">
        <f t="shared" si="123"/>
        <v>0</v>
      </c>
      <c r="M1193" s="212">
        <f t="shared" si="123"/>
        <v>0</v>
      </c>
      <c r="N1193" s="212">
        <f t="shared" si="123"/>
        <v>0</v>
      </c>
      <c r="O1193" s="212">
        <f t="shared" si="123"/>
        <v>0</v>
      </c>
      <c r="P1193" s="155">
        <f t="shared" si="123"/>
        <v>0</v>
      </c>
      <c r="Q1193" s="407"/>
      <c r="R1193" s="407"/>
    </row>
    <row r="1194" spans="1:18" ht="12.75" x14ac:dyDescent="0.2">
      <c r="A1194" s="152">
        <v>6222000</v>
      </c>
      <c r="B1194" s="73"/>
      <c r="C1194" s="51" t="s">
        <v>1007</v>
      </c>
      <c r="D1194" s="89"/>
      <c r="E1194" s="89"/>
      <c r="F1194" s="89"/>
      <c r="G1194" s="89"/>
      <c r="H1194" s="89"/>
      <c r="I1194" s="89"/>
      <c r="J1194" s="212">
        <f t="shared" si="123"/>
        <v>0</v>
      </c>
      <c r="K1194" s="212">
        <f t="shared" si="123"/>
        <v>0</v>
      </c>
      <c r="L1194" s="212">
        <f t="shared" si="123"/>
        <v>0</v>
      </c>
      <c r="M1194" s="212">
        <f t="shared" si="123"/>
        <v>0</v>
      </c>
      <c r="N1194" s="212">
        <f t="shared" si="123"/>
        <v>0</v>
      </c>
      <c r="O1194" s="212">
        <f t="shared" si="123"/>
        <v>0</v>
      </c>
      <c r="P1194" s="155">
        <f t="shared" si="123"/>
        <v>0</v>
      </c>
      <c r="Q1194" s="407"/>
      <c r="R1194" s="407"/>
    </row>
    <row r="1195" spans="1:18" ht="12.75" x14ac:dyDescent="0.2">
      <c r="A1195" s="152">
        <v>6222000</v>
      </c>
      <c r="B1195" s="73"/>
      <c r="C1195" s="51" t="s">
        <v>969</v>
      </c>
      <c r="D1195" s="89"/>
      <c r="E1195" s="89"/>
      <c r="F1195" s="89"/>
      <c r="G1195" s="89"/>
      <c r="H1195" s="89"/>
      <c r="I1195" s="89"/>
      <c r="J1195" s="212">
        <f t="shared" si="123"/>
        <v>0</v>
      </c>
      <c r="K1195" s="212">
        <f t="shared" si="123"/>
        <v>0</v>
      </c>
      <c r="L1195" s="212">
        <f t="shared" si="123"/>
        <v>0</v>
      </c>
      <c r="M1195" s="212">
        <f t="shared" si="123"/>
        <v>0</v>
      </c>
      <c r="N1195" s="212">
        <f t="shared" si="123"/>
        <v>0</v>
      </c>
      <c r="O1195" s="212">
        <f t="shared" si="123"/>
        <v>0</v>
      </c>
      <c r="P1195" s="155">
        <f t="shared" si="123"/>
        <v>0</v>
      </c>
      <c r="Q1195" s="407"/>
      <c r="R1195" s="407"/>
    </row>
    <row r="1196" spans="1:18" ht="12.75" x14ac:dyDescent="0.2">
      <c r="A1196" s="152">
        <v>6222000</v>
      </c>
      <c r="B1196" s="73"/>
      <c r="C1196" s="51" t="s">
        <v>987</v>
      </c>
      <c r="D1196" s="89"/>
      <c r="E1196" s="89"/>
      <c r="F1196" s="89"/>
      <c r="G1196" s="89"/>
      <c r="H1196" s="89"/>
      <c r="I1196" s="89"/>
      <c r="J1196" s="212">
        <f t="shared" si="123"/>
        <v>0</v>
      </c>
      <c r="K1196" s="212">
        <f t="shared" si="123"/>
        <v>0</v>
      </c>
      <c r="L1196" s="212">
        <f t="shared" si="123"/>
        <v>0</v>
      </c>
      <c r="M1196" s="212">
        <f t="shared" si="123"/>
        <v>0</v>
      </c>
      <c r="N1196" s="212">
        <f t="shared" si="123"/>
        <v>0</v>
      </c>
      <c r="O1196" s="212">
        <f t="shared" si="123"/>
        <v>0</v>
      </c>
      <c r="P1196" s="155">
        <f t="shared" si="123"/>
        <v>0</v>
      </c>
      <c r="Q1196" s="407"/>
      <c r="R1196" s="407"/>
    </row>
    <row r="1197" spans="1:18" ht="12.75" x14ac:dyDescent="0.2">
      <c r="A1197" s="152">
        <v>6222000</v>
      </c>
      <c r="B1197" s="73"/>
      <c r="C1197" s="51" t="s">
        <v>1000</v>
      </c>
      <c r="D1197" s="89"/>
      <c r="E1197" s="89"/>
      <c r="F1197" s="89"/>
      <c r="G1197" s="89"/>
      <c r="H1197" s="89"/>
      <c r="I1197" s="89"/>
      <c r="J1197" s="212">
        <f t="shared" si="123"/>
        <v>0</v>
      </c>
      <c r="K1197" s="212">
        <f t="shared" si="123"/>
        <v>0</v>
      </c>
      <c r="L1197" s="212">
        <f t="shared" si="123"/>
        <v>0</v>
      </c>
      <c r="M1197" s="212">
        <f t="shared" si="123"/>
        <v>0</v>
      </c>
      <c r="N1197" s="212">
        <f t="shared" si="123"/>
        <v>0</v>
      </c>
      <c r="O1197" s="212">
        <f t="shared" si="123"/>
        <v>0</v>
      </c>
      <c r="P1197" s="155">
        <f t="shared" si="123"/>
        <v>0</v>
      </c>
      <c r="Q1197" s="407"/>
      <c r="R1197" s="407"/>
    </row>
    <row r="1198" spans="1:18" ht="12.75" x14ac:dyDescent="0.2">
      <c r="A1198" s="152">
        <v>6222000</v>
      </c>
      <c r="B1198" s="73"/>
      <c r="C1198" s="51" t="s">
        <v>116</v>
      </c>
      <c r="D1198" s="89"/>
      <c r="E1198" s="89"/>
      <c r="F1198" s="89"/>
      <c r="G1198" s="89"/>
      <c r="H1198" s="89"/>
      <c r="I1198" s="89"/>
      <c r="J1198" s="212">
        <f t="shared" si="123"/>
        <v>0</v>
      </c>
      <c r="K1198" s="212">
        <f t="shared" si="123"/>
        <v>0</v>
      </c>
      <c r="L1198" s="212">
        <f t="shared" si="123"/>
        <v>0</v>
      </c>
      <c r="M1198" s="212">
        <f t="shared" si="123"/>
        <v>0</v>
      </c>
      <c r="N1198" s="212">
        <f t="shared" si="123"/>
        <v>0</v>
      </c>
      <c r="O1198" s="212">
        <f t="shared" si="123"/>
        <v>0</v>
      </c>
      <c r="P1198" s="155">
        <f t="shared" si="123"/>
        <v>0</v>
      </c>
      <c r="Q1198" s="407"/>
      <c r="R1198" s="407"/>
    </row>
    <row r="1199" spans="1:18" ht="12.75" x14ac:dyDescent="0.2">
      <c r="A1199" s="152">
        <v>6222000</v>
      </c>
      <c r="B1199" s="73"/>
      <c r="C1199" s="51" t="s">
        <v>114</v>
      </c>
      <c r="D1199" s="89"/>
      <c r="E1199" s="89"/>
      <c r="F1199" s="89"/>
      <c r="G1199" s="89"/>
      <c r="H1199" s="89"/>
      <c r="I1199" s="89"/>
      <c r="J1199" s="212">
        <f t="shared" si="123"/>
        <v>0</v>
      </c>
      <c r="K1199" s="212">
        <f t="shared" si="123"/>
        <v>0</v>
      </c>
      <c r="L1199" s="212">
        <f t="shared" si="123"/>
        <v>0</v>
      </c>
      <c r="M1199" s="212">
        <f t="shared" si="123"/>
        <v>0</v>
      </c>
      <c r="N1199" s="212">
        <f t="shared" si="123"/>
        <v>0</v>
      </c>
      <c r="O1199" s="212">
        <f t="shared" si="123"/>
        <v>0</v>
      </c>
      <c r="P1199" s="155">
        <f t="shared" si="123"/>
        <v>0</v>
      </c>
      <c r="Q1199" s="407"/>
      <c r="R1199" s="407"/>
    </row>
    <row r="1200" spans="1:18" ht="12.75" x14ac:dyDescent="0.2">
      <c r="A1200" s="152">
        <v>6222000</v>
      </c>
      <c r="B1200" s="73"/>
      <c r="C1200" s="51" t="s">
        <v>111</v>
      </c>
      <c r="D1200" s="89"/>
      <c r="E1200" s="89"/>
      <c r="F1200" s="89"/>
      <c r="G1200" s="89"/>
      <c r="H1200" s="89"/>
      <c r="I1200" s="89"/>
      <c r="J1200" s="212">
        <f t="shared" si="123"/>
        <v>0</v>
      </c>
      <c r="K1200" s="212">
        <f t="shared" si="123"/>
        <v>0</v>
      </c>
      <c r="L1200" s="212">
        <f t="shared" si="123"/>
        <v>0</v>
      </c>
      <c r="M1200" s="212">
        <f t="shared" si="123"/>
        <v>0</v>
      </c>
      <c r="N1200" s="212">
        <f t="shared" si="123"/>
        <v>0</v>
      </c>
      <c r="O1200" s="212">
        <f t="shared" si="123"/>
        <v>0</v>
      </c>
      <c r="P1200" s="155">
        <f t="shared" si="123"/>
        <v>0</v>
      </c>
      <c r="Q1200" s="407"/>
      <c r="R1200" s="407"/>
    </row>
    <row r="1201" spans="1:18" ht="12.75" x14ac:dyDescent="0.2">
      <c r="A1201" s="152">
        <v>6222000</v>
      </c>
      <c r="B1201" s="73"/>
      <c r="C1201" s="51" t="s">
        <v>117</v>
      </c>
      <c r="D1201" s="89"/>
      <c r="E1201" s="89"/>
      <c r="F1201" s="89"/>
      <c r="G1201" s="89"/>
      <c r="H1201" s="89"/>
      <c r="I1201" s="89"/>
      <c r="J1201" s="212">
        <f t="shared" si="123"/>
        <v>0</v>
      </c>
      <c r="K1201" s="212">
        <f t="shared" si="123"/>
        <v>0</v>
      </c>
      <c r="L1201" s="212">
        <f t="shared" si="123"/>
        <v>0</v>
      </c>
      <c r="M1201" s="212">
        <f t="shared" si="123"/>
        <v>0</v>
      </c>
      <c r="N1201" s="212">
        <f t="shared" si="123"/>
        <v>0</v>
      </c>
      <c r="O1201" s="212">
        <f t="shared" si="123"/>
        <v>0</v>
      </c>
      <c r="P1201" s="155">
        <f t="shared" si="123"/>
        <v>0</v>
      </c>
      <c r="Q1201" s="407"/>
      <c r="R1201" s="407"/>
    </row>
    <row r="1202" spans="1:18" ht="12.75" x14ac:dyDescent="0.2">
      <c r="A1202" s="152">
        <v>6222000</v>
      </c>
      <c r="B1202" s="73"/>
      <c r="C1202" s="51" t="s">
        <v>112</v>
      </c>
      <c r="D1202" s="89"/>
      <c r="E1202" s="89"/>
      <c r="F1202" s="89"/>
      <c r="G1202" s="89"/>
      <c r="H1202" s="89"/>
      <c r="I1202" s="89"/>
      <c r="J1202" s="212">
        <f t="shared" si="123"/>
        <v>0</v>
      </c>
      <c r="K1202" s="212">
        <f t="shared" si="123"/>
        <v>0</v>
      </c>
      <c r="L1202" s="212">
        <f t="shared" si="123"/>
        <v>0</v>
      </c>
      <c r="M1202" s="212">
        <f t="shared" si="123"/>
        <v>0</v>
      </c>
      <c r="N1202" s="212">
        <f t="shared" si="123"/>
        <v>0</v>
      </c>
      <c r="O1202" s="212">
        <f t="shared" si="123"/>
        <v>0</v>
      </c>
      <c r="P1202" s="155">
        <f t="shared" si="123"/>
        <v>0</v>
      </c>
      <c r="Q1202" s="407"/>
      <c r="R1202" s="407"/>
    </row>
    <row r="1203" spans="1:18" ht="12.75" x14ac:dyDescent="0.2">
      <c r="A1203" s="152">
        <v>6222000</v>
      </c>
      <c r="B1203" s="73"/>
      <c r="C1203" s="51" t="s">
        <v>136</v>
      </c>
      <c r="D1203" s="89"/>
      <c r="E1203" s="89"/>
      <c r="F1203" s="89"/>
      <c r="G1203" s="89"/>
      <c r="H1203" s="89"/>
      <c r="I1203" s="89"/>
      <c r="J1203" s="212">
        <f t="shared" ref="J1203:P1212" si="124">SUMIFS(J$26:J$180,$A$26:$A$180,$A1203,$C$26:$C$180,$C1203)</f>
        <v>0</v>
      </c>
      <c r="K1203" s="212">
        <f t="shared" si="124"/>
        <v>0</v>
      </c>
      <c r="L1203" s="212">
        <f t="shared" si="124"/>
        <v>0</v>
      </c>
      <c r="M1203" s="212">
        <f t="shared" si="124"/>
        <v>0</v>
      </c>
      <c r="N1203" s="212">
        <f t="shared" si="124"/>
        <v>0</v>
      </c>
      <c r="O1203" s="212">
        <f t="shared" si="124"/>
        <v>0</v>
      </c>
      <c r="P1203" s="155">
        <f t="shared" si="124"/>
        <v>0</v>
      </c>
      <c r="Q1203" s="407"/>
      <c r="R1203" s="407"/>
    </row>
    <row r="1204" spans="1:18" ht="12.75" x14ac:dyDescent="0.2">
      <c r="A1204" s="152">
        <v>6222000</v>
      </c>
      <c r="B1204" s="73"/>
      <c r="C1204" s="51" t="s">
        <v>962</v>
      </c>
      <c r="D1204" s="89"/>
      <c r="E1204" s="89"/>
      <c r="F1204" s="89"/>
      <c r="G1204" s="89"/>
      <c r="H1204" s="89"/>
      <c r="I1204" s="89"/>
      <c r="J1204" s="212">
        <f t="shared" si="124"/>
        <v>0</v>
      </c>
      <c r="K1204" s="212">
        <f t="shared" si="124"/>
        <v>0</v>
      </c>
      <c r="L1204" s="212">
        <f t="shared" si="124"/>
        <v>0</v>
      </c>
      <c r="M1204" s="212">
        <f t="shared" si="124"/>
        <v>0</v>
      </c>
      <c r="N1204" s="212">
        <f t="shared" si="124"/>
        <v>0</v>
      </c>
      <c r="O1204" s="212">
        <f t="shared" si="124"/>
        <v>0</v>
      </c>
      <c r="P1204" s="155">
        <f t="shared" si="124"/>
        <v>0</v>
      </c>
      <c r="Q1204" s="407"/>
      <c r="R1204" s="407"/>
    </row>
    <row r="1205" spans="1:18" ht="12.75" x14ac:dyDescent="0.2">
      <c r="A1205" s="152">
        <v>6222000</v>
      </c>
      <c r="B1205" s="73"/>
      <c r="C1205" s="51" t="s">
        <v>115</v>
      </c>
      <c r="D1205" s="89"/>
      <c r="E1205" s="89"/>
      <c r="F1205" s="89"/>
      <c r="G1205" s="89"/>
      <c r="H1205" s="89"/>
      <c r="I1205" s="89"/>
      <c r="J1205" s="212">
        <f t="shared" si="124"/>
        <v>0</v>
      </c>
      <c r="K1205" s="212">
        <f t="shared" si="124"/>
        <v>0</v>
      </c>
      <c r="L1205" s="212">
        <f t="shared" si="124"/>
        <v>0</v>
      </c>
      <c r="M1205" s="212">
        <f t="shared" si="124"/>
        <v>0</v>
      </c>
      <c r="N1205" s="212">
        <f t="shared" si="124"/>
        <v>0</v>
      </c>
      <c r="O1205" s="212">
        <f t="shared" si="124"/>
        <v>0</v>
      </c>
      <c r="P1205" s="155">
        <f t="shared" si="124"/>
        <v>0</v>
      </c>
      <c r="Q1205" s="407"/>
      <c r="R1205" s="407"/>
    </row>
    <row r="1206" spans="1:18" ht="12.75" x14ac:dyDescent="0.2">
      <c r="A1206" s="152">
        <v>6222000</v>
      </c>
      <c r="B1206" s="73"/>
      <c r="C1206" s="51" t="s">
        <v>997</v>
      </c>
      <c r="D1206" s="89"/>
      <c r="E1206" s="89"/>
      <c r="F1206" s="89"/>
      <c r="G1206" s="89"/>
      <c r="H1206" s="89"/>
      <c r="I1206" s="89"/>
      <c r="J1206" s="212">
        <f t="shared" si="124"/>
        <v>0</v>
      </c>
      <c r="K1206" s="212">
        <f t="shared" si="124"/>
        <v>0</v>
      </c>
      <c r="L1206" s="212">
        <f t="shared" si="124"/>
        <v>0</v>
      </c>
      <c r="M1206" s="212">
        <f t="shared" si="124"/>
        <v>0</v>
      </c>
      <c r="N1206" s="212">
        <f t="shared" si="124"/>
        <v>0</v>
      </c>
      <c r="O1206" s="212">
        <f t="shared" si="124"/>
        <v>0</v>
      </c>
      <c r="P1206" s="155">
        <f t="shared" si="124"/>
        <v>0</v>
      </c>
      <c r="Q1206" s="407"/>
      <c r="R1206" s="407"/>
    </row>
    <row r="1207" spans="1:18" ht="12.75" x14ac:dyDescent="0.2">
      <c r="A1207" s="152">
        <v>6222000</v>
      </c>
      <c r="B1207" s="73"/>
      <c r="C1207" s="51" t="s">
        <v>999</v>
      </c>
      <c r="D1207" s="89"/>
      <c r="E1207" s="89"/>
      <c r="F1207" s="89"/>
      <c r="G1207" s="89"/>
      <c r="H1207" s="89"/>
      <c r="I1207" s="89"/>
      <c r="J1207" s="212">
        <f t="shared" si="124"/>
        <v>0</v>
      </c>
      <c r="K1207" s="212">
        <f t="shared" si="124"/>
        <v>0</v>
      </c>
      <c r="L1207" s="212">
        <f t="shared" si="124"/>
        <v>0</v>
      </c>
      <c r="M1207" s="212">
        <f t="shared" si="124"/>
        <v>0</v>
      </c>
      <c r="N1207" s="212">
        <f t="shared" si="124"/>
        <v>0</v>
      </c>
      <c r="O1207" s="212">
        <f t="shared" si="124"/>
        <v>0</v>
      </c>
      <c r="P1207" s="155">
        <f t="shared" si="124"/>
        <v>0</v>
      </c>
      <c r="Q1207" s="407"/>
      <c r="R1207" s="407"/>
    </row>
    <row r="1208" spans="1:18" ht="12.75" x14ac:dyDescent="0.2">
      <c r="A1208" s="152">
        <v>6222000</v>
      </c>
      <c r="B1208" s="73"/>
      <c r="C1208" s="51" t="s">
        <v>1049</v>
      </c>
      <c r="D1208" s="89"/>
      <c r="E1208" s="89"/>
      <c r="F1208" s="89"/>
      <c r="G1208" s="89"/>
      <c r="H1208" s="89"/>
      <c r="I1208" s="89"/>
      <c r="J1208" s="212">
        <f t="shared" si="124"/>
        <v>0</v>
      </c>
      <c r="K1208" s="212">
        <f t="shared" si="124"/>
        <v>0</v>
      </c>
      <c r="L1208" s="212">
        <f t="shared" si="124"/>
        <v>0</v>
      </c>
      <c r="M1208" s="212">
        <f t="shared" si="124"/>
        <v>0</v>
      </c>
      <c r="N1208" s="212">
        <f t="shared" si="124"/>
        <v>0</v>
      </c>
      <c r="O1208" s="212">
        <f t="shared" si="124"/>
        <v>0</v>
      </c>
      <c r="P1208" s="155">
        <f t="shared" si="124"/>
        <v>0</v>
      </c>
      <c r="Q1208" s="407"/>
      <c r="R1208" s="407"/>
    </row>
    <row r="1209" spans="1:18" ht="12.75" x14ac:dyDescent="0.2">
      <c r="A1209" s="152">
        <v>6222000</v>
      </c>
      <c r="B1209" s="73"/>
      <c r="C1209" s="51" t="s">
        <v>96</v>
      </c>
      <c r="D1209" s="89"/>
      <c r="E1209" s="89"/>
      <c r="F1209" s="89"/>
      <c r="G1209" s="89"/>
      <c r="H1209" s="89"/>
      <c r="I1209" s="89"/>
      <c r="J1209" s="212">
        <f t="shared" si="124"/>
        <v>500</v>
      </c>
      <c r="K1209" s="212">
        <f t="shared" si="124"/>
        <v>1000</v>
      </c>
      <c r="L1209" s="212">
        <f t="shared" si="124"/>
        <v>1500</v>
      </c>
      <c r="M1209" s="212">
        <f t="shared" si="124"/>
        <v>100</v>
      </c>
      <c r="N1209" s="212">
        <f t="shared" si="124"/>
        <v>400</v>
      </c>
      <c r="O1209" s="212">
        <f t="shared" si="124"/>
        <v>11500</v>
      </c>
      <c r="P1209" s="155">
        <f t="shared" si="124"/>
        <v>15000</v>
      </c>
      <c r="Q1209" s="407"/>
      <c r="R1209" s="407"/>
    </row>
    <row r="1210" spans="1:18" ht="12.75" x14ac:dyDescent="0.2">
      <c r="A1210" s="152">
        <v>6222000</v>
      </c>
      <c r="B1210" s="73"/>
      <c r="C1210" s="51" t="s">
        <v>983</v>
      </c>
      <c r="D1210" s="89"/>
      <c r="E1210" s="89"/>
      <c r="F1210" s="89"/>
      <c r="G1210" s="89"/>
      <c r="H1210" s="89"/>
      <c r="I1210" s="89"/>
      <c r="J1210" s="212">
        <f t="shared" si="124"/>
        <v>0</v>
      </c>
      <c r="K1210" s="212">
        <f t="shared" si="124"/>
        <v>0</v>
      </c>
      <c r="L1210" s="212">
        <f t="shared" si="124"/>
        <v>0</v>
      </c>
      <c r="M1210" s="212">
        <f t="shared" si="124"/>
        <v>0</v>
      </c>
      <c r="N1210" s="212">
        <f t="shared" si="124"/>
        <v>0</v>
      </c>
      <c r="O1210" s="212">
        <f t="shared" si="124"/>
        <v>0</v>
      </c>
      <c r="P1210" s="155">
        <f t="shared" si="124"/>
        <v>0</v>
      </c>
      <c r="Q1210" s="407"/>
      <c r="R1210" s="407"/>
    </row>
    <row r="1211" spans="1:18" ht="12.75" x14ac:dyDescent="0.2">
      <c r="A1211" s="152">
        <v>6222000</v>
      </c>
      <c r="B1211" s="73"/>
      <c r="C1211" s="51" t="s">
        <v>1042</v>
      </c>
      <c r="D1211" s="89"/>
      <c r="E1211" s="89"/>
      <c r="F1211" s="89"/>
      <c r="G1211" s="89"/>
      <c r="H1211" s="89"/>
      <c r="I1211" s="89"/>
      <c r="J1211" s="212">
        <f t="shared" si="124"/>
        <v>0</v>
      </c>
      <c r="K1211" s="212">
        <f t="shared" si="124"/>
        <v>0</v>
      </c>
      <c r="L1211" s="212">
        <f t="shared" si="124"/>
        <v>0</v>
      </c>
      <c r="M1211" s="212">
        <f t="shared" si="124"/>
        <v>0</v>
      </c>
      <c r="N1211" s="212">
        <f t="shared" si="124"/>
        <v>0</v>
      </c>
      <c r="O1211" s="212">
        <f t="shared" si="124"/>
        <v>0</v>
      </c>
      <c r="P1211" s="155">
        <f t="shared" si="124"/>
        <v>0</v>
      </c>
      <c r="Q1211" s="407"/>
      <c r="R1211" s="407"/>
    </row>
    <row r="1212" spans="1:18" ht="12.75" x14ac:dyDescent="0.2">
      <c r="A1212" s="152">
        <v>6222000</v>
      </c>
      <c r="B1212" s="73"/>
      <c r="C1212" s="51" t="s">
        <v>979</v>
      </c>
      <c r="D1212" s="89"/>
      <c r="E1212" s="89"/>
      <c r="F1212" s="89"/>
      <c r="G1212" s="89"/>
      <c r="H1212" s="89"/>
      <c r="I1212" s="89"/>
      <c r="J1212" s="212">
        <f t="shared" si="124"/>
        <v>0</v>
      </c>
      <c r="K1212" s="212">
        <f t="shared" si="124"/>
        <v>0</v>
      </c>
      <c r="L1212" s="212">
        <f t="shared" si="124"/>
        <v>0</v>
      </c>
      <c r="M1212" s="212">
        <f t="shared" si="124"/>
        <v>0</v>
      </c>
      <c r="N1212" s="212">
        <f t="shared" si="124"/>
        <v>0</v>
      </c>
      <c r="O1212" s="212">
        <f t="shared" si="124"/>
        <v>0</v>
      </c>
      <c r="P1212" s="155">
        <f t="shared" si="124"/>
        <v>0</v>
      </c>
      <c r="Q1212" s="407"/>
      <c r="R1212" s="407"/>
    </row>
    <row r="1213" spans="1:18" ht="12.75" x14ac:dyDescent="0.2">
      <c r="A1213" s="152">
        <v>6222000</v>
      </c>
      <c r="B1213" s="73"/>
      <c r="C1213" s="51" t="s">
        <v>47</v>
      </c>
      <c r="D1213" s="89"/>
      <c r="E1213" s="89"/>
      <c r="F1213" s="89"/>
      <c r="G1213" s="89"/>
      <c r="H1213" s="89"/>
      <c r="I1213" s="89"/>
      <c r="J1213" s="212">
        <f t="shared" ref="J1213:P1222" si="125">SUMIFS(J$26:J$180,$A$26:$A$180,$A1213,$C$26:$C$180,$C1213)</f>
        <v>0</v>
      </c>
      <c r="K1213" s="212">
        <f t="shared" si="125"/>
        <v>0</v>
      </c>
      <c r="L1213" s="212">
        <f t="shared" si="125"/>
        <v>0</v>
      </c>
      <c r="M1213" s="212">
        <f t="shared" si="125"/>
        <v>0</v>
      </c>
      <c r="N1213" s="212">
        <f t="shared" si="125"/>
        <v>0</v>
      </c>
      <c r="O1213" s="212">
        <f t="shared" si="125"/>
        <v>0</v>
      </c>
      <c r="P1213" s="155">
        <f t="shared" si="125"/>
        <v>0</v>
      </c>
      <c r="Q1213" s="407"/>
      <c r="R1213" s="407"/>
    </row>
    <row r="1214" spans="1:18" ht="12.75" x14ac:dyDescent="0.2">
      <c r="A1214" s="152">
        <v>6222000</v>
      </c>
      <c r="B1214" s="73"/>
      <c r="C1214" s="51" t="s">
        <v>48</v>
      </c>
      <c r="D1214" s="89"/>
      <c r="E1214" s="89"/>
      <c r="F1214" s="89"/>
      <c r="G1214" s="89"/>
      <c r="H1214" s="89"/>
      <c r="I1214" s="89"/>
      <c r="J1214" s="212">
        <f t="shared" si="125"/>
        <v>0</v>
      </c>
      <c r="K1214" s="212">
        <f t="shared" si="125"/>
        <v>0</v>
      </c>
      <c r="L1214" s="212">
        <f t="shared" si="125"/>
        <v>0</v>
      </c>
      <c r="M1214" s="212">
        <f t="shared" si="125"/>
        <v>0</v>
      </c>
      <c r="N1214" s="212">
        <f t="shared" si="125"/>
        <v>0</v>
      </c>
      <c r="O1214" s="212">
        <f t="shared" si="125"/>
        <v>0</v>
      </c>
      <c r="P1214" s="155">
        <f t="shared" si="125"/>
        <v>0</v>
      </c>
      <c r="Q1214" s="407"/>
      <c r="R1214" s="407"/>
    </row>
    <row r="1215" spans="1:18" ht="12.75" x14ac:dyDescent="0.2">
      <c r="A1215" s="152">
        <v>6222000</v>
      </c>
      <c r="B1215" s="73"/>
      <c r="C1215" s="51" t="s">
        <v>1051</v>
      </c>
      <c r="D1215" s="89"/>
      <c r="E1215" s="89"/>
      <c r="F1215" s="89"/>
      <c r="G1215" s="89"/>
      <c r="H1215" s="89"/>
      <c r="I1215" s="89"/>
      <c r="J1215" s="212">
        <f t="shared" si="125"/>
        <v>0</v>
      </c>
      <c r="K1215" s="212">
        <f t="shared" si="125"/>
        <v>0</v>
      </c>
      <c r="L1215" s="212">
        <f t="shared" si="125"/>
        <v>0</v>
      </c>
      <c r="M1215" s="212">
        <f t="shared" si="125"/>
        <v>0</v>
      </c>
      <c r="N1215" s="212">
        <f t="shared" si="125"/>
        <v>0</v>
      </c>
      <c r="O1215" s="212">
        <f t="shared" si="125"/>
        <v>0</v>
      </c>
      <c r="P1215" s="155">
        <f t="shared" si="125"/>
        <v>0</v>
      </c>
      <c r="Q1215" s="407"/>
      <c r="R1215" s="407"/>
    </row>
    <row r="1216" spans="1:18" ht="12.75" x14ac:dyDescent="0.2">
      <c r="A1216" s="152">
        <v>6222000</v>
      </c>
      <c r="B1216" s="73"/>
      <c r="C1216" s="51" t="s">
        <v>929</v>
      </c>
      <c r="D1216" s="89"/>
      <c r="E1216" s="89"/>
      <c r="F1216" s="89"/>
      <c r="G1216" s="89"/>
      <c r="H1216" s="89"/>
      <c r="I1216" s="89"/>
      <c r="J1216" s="212">
        <f t="shared" si="125"/>
        <v>0</v>
      </c>
      <c r="K1216" s="212">
        <f t="shared" si="125"/>
        <v>0</v>
      </c>
      <c r="L1216" s="212">
        <f t="shared" si="125"/>
        <v>0</v>
      </c>
      <c r="M1216" s="212">
        <f t="shared" si="125"/>
        <v>0</v>
      </c>
      <c r="N1216" s="212">
        <f t="shared" si="125"/>
        <v>0</v>
      </c>
      <c r="O1216" s="212">
        <f t="shared" si="125"/>
        <v>0</v>
      </c>
      <c r="P1216" s="155">
        <f t="shared" si="125"/>
        <v>0</v>
      </c>
      <c r="Q1216" s="407"/>
      <c r="R1216" s="407"/>
    </row>
    <row r="1217" spans="1:18" ht="12.75" x14ac:dyDescent="0.2">
      <c r="A1217" s="152">
        <v>6222000</v>
      </c>
      <c r="B1217" s="73"/>
      <c r="C1217" s="51" t="s">
        <v>970</v>
      </c>
      <c r="D1217" s="89"/>
      <c r="E1217" s="89"/>
      <c r="F1217" s="89"/>
      <c r="G1217" s="89"/>
      <c r="H1217" s="89"/>
      <c r="I1217" s="89"/>
      <c r="J1217" s="212">
        <f t="shared" si="125"/>
        <v>0</v>
      </c>
      <c r="K1217" s="212">
        <f t="shared" si="125"/>
        <v>0</v>
      </c>
      <c r="L1217" s="212">
        <f t="shared" si="125"/>
        <v>0</v>
      </c>
      <c r="M1217" s="212">
        <f t="shared" si="125"/>
        <v>0</v>
      </c>
      <c r="N1217" s="212">
        <f t="shared" si="125"/>
        <v>0</v>
      </c>
      <c r="O1217" s="212">
        <f t="shared" si="125"/>
        <v>0</v>
      </c>
      <c r="P1217" s="155">
        <f t="shared" si="125"/>
        <v>0</v>
      </c>
      <c r="Q1217" s="407"/>
      <c r="R1217" s="407"/>
    </row>
    <row r="1218" spans="1:18" ht="12.75" x14ac:dyDescent="0.2">
      <c r="A1218" s="152">
        <v>6222000</v>
      </c>
      <c r="B1218" s="73"/>
      <c r="C1218" s="51" t="s">
        <v>122</v>
      </c>
      <c r="D1218" s="89"/>
      <c r="E1218" s="89"/>
      <c r="F1218" s="89"/>
      <c r="G1218" s="89"/>
      <c r="H1218" s="89"/>
      <c r="I1218" s="89"/>
      <c r="J1218" s="212">
        <f t="shared" si="125"/>
        <v>0</v>
      </c>
      <c r="K1218" s="212">
        <f t="shared" si="125"/>
        <v>0</v>
      </c>
      <c r="L1218" s="212">
        <f t="shared" si="125"/>
        <v>0</v>
      </c>
      <c r="M1218" s="212">
        <f t="shared" si="125"/>
        <v>0</v>
      </c>
      <c r="N1218" s="212">
        <f t="shared" si="125"/>
        <v>0</v>
      </c>
      <c r="O1218" s="212">
        <f t="shared" si="125"/>
        <v>0</v>
      </c>
      <c r="P1218" s="155">
        <f t="shared" si="125"/>
        <v>0</v>
      </c>
      <c r="Q1218" s="407"/>
      <c r="R1218" s="407"/>
    </row>
    <row r="1219" spans="1:18" ht="12.75" x14ac:dyDescent="0.2">
      <c r="A1219" s="152">
        <v>6222000</v>
      </c>
      <c r="B1219" s="73"/>
      <c r="C1219" s="51" t="s">
        <v>135</v>
      </c>
      <c r="D1219" s="89"/>
      <c r="E1219" s="89"/>
      <c r="F1219" s="89"/>
      <c r="G1219" s="89"/>
      <c r="H1219" s="89"/>
      <c r="I1219" s="89"/>
      <c r="J1219" s="212">
        <f t="shared" si="125"/>
        <v>0</v>
      </c>
      <c r="K1219" s="212">
        <f t="shared" si="125"/>
        <v>0</v>
      </c>
      <c r="L1219" s="212">
        <f t="shared" si="125"/>
        <v>0</v>
      </c>
      <c r="M1219" s="212">
        <f t="shared" si="125"/>
        <v>0</v>
      </c>
      <c r="N1219" s="212">
        <f t="shared" si="125"/>
        <v>0</v>
      </c>
      <c r="O1219" s="212">
        <f t="shared" si="125"/>
        <v>0</v>
      </c>
      <c r="P1219" s="155">
        <f t="shared" si="125"/>
        <v>0</v>
      </c>
      <c r="Q1219" s="407"/>
      <c r="R1219" s="407"/>
    </row>
    <row r="1220" spans="1:18" ht="12.75" x14ac:dyDescent="0.2">
      <c r="A1220" s="152">
        <v>6222000</v>
      </c>
      <c r="B1220" s="73"/>
      <c r="C1220" s="51" t="s">
        <v>123</v>
      </c>
      <c r="D1220" s="89"/>
      <c r="E1220" s="89"/>
      <c r="F1220" s="89"/>
      <c r="G1220" s="89"/>
      <c r="H1220" s="89"/>
      <c r="I1220" s="89"/>
      <c r="J1220" s="212">
        <f t="shared" si="125"/>
        <v>0</v>
      </c>
      <c r="K1220" s="212">
        <f t="shared" si="125"/>
        <v>0</v>
      </c>
      <c r="L1220" s="212">
        <f t="shared" si="125"/>
        <v>0</v>
      </c>
      <c r="M1220" s="212">
        <f t="shared" si="125"/>
        <v>0</v>
      </c>
      <c r="N1220" s="212">
        <f t="shared" si="125"/>
        <v>0</v>
      </c>
      <c r="O1220" s="212">
        <f t="shared" si="125"/>
        <v>0</v>
      </c>
      <c r="P1220" s="155">
        <f t="shared" si="125"/>
        <v>0</v>
      </c>
      <c r="Q1220" s="407"/>
      <c r="R1220" s="407"/>
    </row>
    <row r="1221" spans="1:18" ht="12.75" x14ac:dyDescent="0.2">
      <c r="A1221" s="152">
        <v>6222000</v>
      </c>
      <c r="B1221" s="73"/>
      <c r="C1221" s="51" t="s">
        <v>974</v>
      </c>
      <c r="D1221" s="89"/>
      <c r="E1221" s="89"/>
      <c r="F1221" s="89"/>
      <c r="G1221" s="89"/>
      <c r="H1221" s="89"/>
      <c r="I1221" s="89"/>
      <c r="J1221" s="212">
        <f t="shared" si="125"/>
        <v>0</v>
      </c>
      <c r="K1221" s="212">
        <f t="shared" si="125"/>
        <v>0</v>
      </c>
      <c r="L1221" s="212">
        <f t="shared" si="125"/>
        <v>0</v>
      </c>
      <c r="M1221" s="212">
        <f t="shared" si="125"/>
        <v>0</v>
      </c>
      <c r="N1221" s="212">
        <f t="shared" si="125"/>
        <v>0</v>
      </c>
      <c r="O1221" s="212">
        <f t="shared" si="125"/>
        <v>0</v>
      </c>
      <c r="P1221" s="155">
        <f t="shared" si="125"/>
        <v>0</v>
      </c>
      <c r="Q1221" s="407"/>
      <c r="R1221" s="407"/>
    </row>
    <row r="1222" spans="1:18" ht="12.75" x14ac:dyDescent="0.2">
      <c r="A1222" s="152">
        <v>6222000</v>
      </c>
      <c r="B1222" s="73"/>
      <c r="C1222" s="51" t="s">
        <v>975</v>
      </c>
      <c r="D1222" s="89"/>
      <c r="E1222" s="89"/>
      <c r="F1222" s="89"/>
      <c r="G1222" s="89"/>
      <c r="H1222" s="89"/>
      <c r="I1222" s="89"/>
      <c r="J1222" s="212">
        <f t="shared" si="125"/>
        <v>0</v>
      </c>
      <c r="K1222" s="212">
        <f t="shared" si="125"/>
        <v>0</v>
      </c>
      <c r="L1222" s="212">
        <f t="shared" si="125"/>
        <v>0</v>
      </c>
      <c r="M1222" s="212">
        <f t="shared" si="125"/>
        <v>0</v>
      </c>
      <c r="N1222" s="212">
        <f t="shared" si="125"/>
        <v>0</v>
      </c>
      <c r="O1222" s="212">
        <f t="shared" si="125"/>
        <v>0</v>
      </c>
      <c r="P1222" s="155">
        <f t="shared" si="125"/>
        <v>0</v>
      </c>
      <c r="Q1222" s="407"/>
      <c r="R1222" s="407"/>
    </row>
    <row r="1223" spans="1:18" ht="12.75" x14ac:dyDescent="0.2">
      <c r="A1223" s="152">
        <v>6222000</v>
      </c>
      <c r="B1223" s="73"/>
      <c r="C1223" s="51" t="s">
        <v>126</v>
      </c>
      <c r="D1223" s="89"/>
      <c r="E1223" s="89"/>
      <c r="F1223" s="89"/>
      <c r="G1223" s="89"/>
      <c r="H1223" s="89"/>
      <c r="I1223" s="89"/>
      <c r="J1223" s="212">
        <f t="shared" ref="J1223:P1232" si="126">SUMIFS(J$26:J$180,$A$26:$A$180,$A1223,$C$26:$C$180,$C1223)</f>
        <v>0</v>
      </c>
      <c r="K1223" s="212">
        <f t="shared" si="126"/>
        <v>0</v>
      </c>
      <c r="L1223" s="212">
        <f t="shared" si="126"/>
        <v>0</v>
      </c>
      <c r="M1223" s="212">
        <f t="shared" si="126"/>
        <v>0</v>
      </c>
      <c r="N1223" s="212">
        <f t="shared" si="126"/>
        <v>0</v>
      </c>
      <c r="O1223" s="212">
        <f t="shared" si="126"/>
        <v>0</v>
      </c>
      <c r="P1223" s="155">
        <f t="shared" si="126"/>
        <v>0</v>
      </c>
      <c r="Q1223" s="407"/>
      <c r="R1223" s="407"/>
    </row>
    <row r="1224" spans="1:18" ht="12.75" x14ac:dyDescent="0.2">
      <c r="A1224" s="152">
        <v>6222000</v>
      </c>
      <c r="B1224" s="73"/>
      <c r="C1224" s="51" t="s">
        <v>127</v>
      </c>
      <c r="D1224" s="89"/>
      <c r="E1224" s="89"/>
      <c r="F1224" s="89"/>
      <c r="G1224" s="89"/>
      <c r="H1224" s="89"/>
      <c r="I1224" s="89"/>
      <c r="J1224" s="212">
        <f t="shared" si="126"/>
        <v>0</v>
      </c>
      <c r="K1224" s="212">
        <f t="shared" si="126"/>
        <v>0</v>
      </c>
      <c r="L1224" s="212">
        <f t="shared" si="126"/>
        <v>0</v>
      </c>
      <c r="M1224" s="212">
        <f t="shared" si="126"/>
        <v>0</v>
      </c>
      <c r="N1224" s="212">
        <f t="shared" si="126"/>
        <v>0</v>
      </c>
      <c r="O1224" s="212">
        <f t="shared" si="126"/>
        <v>0</v>
      </c>
      <c r="P1224" s="155">
        <f t="shared" si="126"/>
        <v>0</v>
      </c>
      <c r="Q1224" s="407"/>
      <c r="R1224" s="407"/>
    </row>
    <row r="1225" spans="1:18" ht="12.75" x14ac:dyDescent="0.2">
      <c r="A1225" s="152">
        <v>6222000</v>
      </c>
      <c r="B1225" s="73"/>
      <c r="C1225" s="51" t="s">
        <v>130</v>
      </c>
      <c r="D1225" s="89"/>
      <c r="E1225" s="89"/>
      <c r="F1225" s="89"/>
      <c r="G1225" s="89"/>
      <c r="H1225" s="89"/>
      <c r="I1225" s="89"/>
      <c r="J1225" s="212">
        <f t="shared" si="126"/>
        <v>0</v>
      </c>
      <c r="K1225" s="212">
        <f t="shared" si="126"/>
        <v>0</v>
      </c>
      <c r="L1225" s="212">
        <f t="shared" si="126"/>
        <v>0</v>
      </c>
      <c r="M1225" s="212">
        <f t="shared" si="126"/>
        <v>0</v>
      </c>
      <c r="N1225" s="212">
        <f t="shared" si="126"/>
        <v>0</v>
      </c>
      <c r="O1225" s="212">
        <f t="shared" si="126"/>
        <v>0</v>
      </c>
      <c r="P1225" s="155">
        <f t="shared" si="126"/>
        <v>0</v>
      </c>
      <c r="Q1225" s="407"/>
      <c r="R1225" s="407"/>
    </row>
    <row r="1226" spans="1:18" ht="12.75" x14ac:dyDescent="0.2">
      <c r="A1226" s="152">
        <v>6222000</v>
      </c>
      <c r="B1226" s="73"/>
      <c r="C1226" s="51" t="s">
        <v>125</v>
      </c>
      <c r="D1226" s="89"/>
      <c r="E1226" s="89"/>
      <c r="F1226" s="89"/>
      <c r="G1226" s="89"/>
      <c r="H1226" s="89"/>
      <c r="I1226" s="89"/>
      <c r="J1226" s="212">
        <f t="shared" si="126"/>
        <v>0</v>
      </c>
      <c r="K1226" s="212">
        <f t="shared" si="126"/>
        <v>0</v>
      </c>
      <c r="L1226" s="212">
        <f t="shared" si="126"/>
        <v>0</v>
      </c>
      <c r="M1226" s="212">
        <f t="shared" si="126"/>
        <v>0</v>
      </c>
      <c r="N1226" s="212">
        <f t="shared" si="126"/>
        <v>0</v>
      </c>
      <c r="O1226" s="212">
        <f t="shared" si="126"/>
        <v>0</v>
      </c>
      <c r="P1226" s="155">
        <f t="shared" si="126"/>
        <v>0</v>
      </c>
      <c r="Q1226" s="407"/>
      <c r="R1226" s="407"/>
    </row>
    <row r="1227" spans="1:18" ht="12.75" x14ac:dyDescent="0.2">
      <c r="A1227" s="152">
        <v>6222000</v>
      </c>
      <c r="B1227" s="73"/>
      <c r="C1227" s="51" t="s">
        <v>128</v>
      </c>
      <c r="D1227" s="89"/>
      <c r="E1227" s="89"/>
      <c r="F1227" s="89"/>
      <c r="G1227" s="89"/>
      <c r="H1227" s="89"/>
      <c r="I1227" s="89"/>
      <c r="J1227" s="212">
        <f t="shared" si="126"/>
        <v>0</v>
      </c>
      <c r="K1227" s="212">
        <f t="shared" si="126"/>
        <v>0</v>
      </c>
      <c r="L1227" s="212">
        <f t="shared" si="126"/>
        <v>0</v>
      </c>
      <c r="M1227" s="212">
        <f t="shared" si="126"/>
        <v>0</v>
      </c>
      <c r="N1227" s="212">
        <f t="shared" si="126"/>
        <v>0</v>
      </c>
      <c r="O1227" s="212">
        <f t="shared" si="126"/>
        <v>0</v>
      </c>
      <c r="P1227" s="155">
        <f t="shared" si="126"/>
        <v>0</v>
      </c>
      <c r="Q1227" s="407"/>
      <c r="R1227" s="407"/>
    </row>
    <row r="1228" spans="1:18" ht="12.75" x14ac:dyDescent="0.2">
      <c r="A1228" s="152">
        <v>6222000</v>
      </c>
      <c r="B1228" s="73"/>
      <c r="C1228" s="51" t="s">
        <v>1016</v>
      </c>
      <c r="D1228" s="89"/>
      <c r="E1228" s="89"/>
      <c r="F1228" s="89"/>
      <c r="G1228" s="89"/>
      <c r="H1228" s="89"/>
      <c r="I1228" s="89"/>
      <c r="J1228" s="212">
        <f t="shared" si="126"/>
        <v>0</v>
      </c>
      <c r="K1228" s="212">
        <f t="shared" si="126"/>
        <v>0</v>
      </c>
      <c r="L1228" s="212">
        <f t="shared" si="126"/>
        <v>0</v>
      </c>
      <c r="M1228" s="212">
        <f t="shared" si="126"/>
        <v>0</v>
      </c>
      <c r="N1228" s="212">
        <f t="shared" si="126"/>
        <v>0</v>
      </c>
      <c r="O1228" s="212">
        <f t="shared" si="126"/>
        <v>0</v>
      </c>
      <c r="P1228" s="155">
        <f t="shared" si="126"/>
        <v>0</v>
      </c>
      <c r="Q1228" s="407"/>
      <c r="R1228" s="407"/>
    </row>
    <row r="1229" spans="1:18" ht="12.75" x14ac:dyDescent="0.2">
      <c r="A1229" s="152">
        <v>6222000</v>
      </c>
      <c r="B1229" s="73"/>
      <c r="C1229" s="51" t="s">
        <v>1015</v>
      </c>
      <c r="D1229" s="89"/>
      <c r="E1229" s="89"/>
      <c r="F1229" s="89"/>
      <c r="G1229" s="89"/>
      <c r="H1229" s="89"/>
      <c r="I1229" s="89"/>
      <c r="J1229" s="212">
        <f t="shared" si="126"/>
        <v>0</v>
      </c>
      <c r="K1229" s="212">
        <f t="shared" si="126"/>
        <v>0</v>
      </c>
      <c r="L1229" s="212">
        <f t="shared" si="126"/>
        <v>0</v>
      </c>
      <c r="M1229" s="212">
        <f t="shared" si="126"/>
        <v>0</v>
      </c>
      <c r="N1229" s="212">
        <f t="shared" si="126"/>
        <v>0</v>
      </c>
      <c r="O1229" s="212">
        <f t="shared" si="126"/>
        <v>0</v>
      </c>
      <c r="P1229" s="155">
        <f t="shared" si="126"/>
        <v>0</v>
      </c>
      <c r="Q1229" s="407"/>
      <c r="R1229" s="407"/>
    </row>
    <row r="1230" spans="1:18" ht="12.75" x14ac:dyDescent="0.2">
      <c r="A1230" s="152">
        <v>6222000</v>
      </c>
      <c r="B1230" s="73"/>
      <c r="C1230" s="51" t="s">
        <v>930</v>
      </c>
      <c r="D1230" s="89"/>
      <c r="E1230" s="89"/>
      <c r="F1230" s="89"/>
      <c r="G1230" s="89"/>
      <c r="H1230" s="89"/>
      <c r="I1230" s="89"/>
      <c r="J1230" s="212">
        <f t="shared" si="126"/>
        <v>0</v>
      </c>
      <c r="K1230" s="212">
        <f t="shared" si="126"/>
        <v>0</v>
      </c>
      <c r="L1230" s="212">
        <f t="shared" si="126"/>
        <v>0</v>
      </c>
      <c r="M1230" s="212">
        <f t="shared" si="126"/>
        <v>0</v>
      </c>
      <c r="N1230" s="212">
        <f t="shared" si="126"/>
        <v>0</v>
      </c>
      <c r="O1230" s="212">
        <f t="shared" si="126"/>
        <v>0</v>
      </c>
      <c r="P1230" s="155">
        <f t="shared" si="126"/>
        <v>0</v>
      </c>
      <c r="Q1230" s="407"/>
      <c r="R1230" s="407"/>
    </row>
    <row r="1231" spans="1:18" ht="12.75" x14ac:dyDescent="0.2">
      <c r="A1231" s="152">
        <v>6222000</v>
      </c>
      <c r="B1231" s="73"/>
      <c r="C1231" s="51" t="s">
        <v>931</v>
      </c>
      <c r="D1231" s="89"/>
      <c r="E1231" s="89"/>
      <c r="F1231" s="89"/>
      <c r="G1231" s="89"/>
      <c r="H1231" s="89"/>
      <c r="I1231" s="89"/>
      <c r="J1231" s="212">
        <f t="shared" si="126"/>
        <v>0</v>
      </c>
      <c r="K1231" s="212">
        <f t="shared" si="126"/>
        <v>0</v>
      </c>
      <c r="L1231" s="212">
        <f t="shared" si="126"/>
        <v>0</v>
      </c>
      <c r="M1231" s="212">
        <f t="shared" si="126"/>
        <v>0</v>
      </c>
      <c r="N1231" s="212">
        <f t="shared" si="126"/>
        <v>0</v>
      </c>
      <c r="O1231" s="212">
        <f t="shared" si="126"/>
        <v>0</v>
      </c>
      <c r="P1231" s="155">
        <f t="shared" si="126"/>
        <v>0</v>
      </c>
      <c r="Q1231" s="407"/>
      <c r="R1231" s="407"/>
    </row>
    <row r="1232" spans="1:18" ht="12.75" x14ac:dyDescent="0.2">
      <c r="A1232" s="152">
        <v>6222000</v>
      </c>
      <c r="B1232" s="73"/>
      <c r="C1232" s="51" t="s">
        <v>926</v>
      </c>
      <c r="D1232" s="89"/>
      <c r="E1232" s="89"/>
      <c r="F1232" s="89"/>
      <c r="G1232" s="89"/>
      <c r="H1232" s="89"/>
      <c r="I1232" s="89"/>
      <c r="J1232" s="212">
        <f t="shared" si="126"/>
        <v>0</v>
      </c>
      <c r="K1232" s="212">
        <f t="shared" si="126"/>
        <v>0</v>
      </c>
      <c r="L1232" s="212">
        <f t="shared" si="126"/>
        <v>0</v>
      </c>
      <c r="M1232" s="212">
        <f t="shared" si="126"/>
        <v>0</v>
      </c>
      <c r="N1232" s="212">
        <f t="shared" si="126"/>
        <v>0</v>
      </c>
      <c r="O1232" s="212">
        <f t="shared" si="126"/>
        <v>0</v>
      </c>
      <c r="P1232" s="155">
        <f t="shared" si="126"/>
        <v>0</v>
      </c>
      <c r="Q1232" s="407"/>
      <c r="R1232" s="407"/>
    </row>
    <row r="1233" spans="1:18" ht="12.75" x14ac:dyDescent="0.2">
      <c r="A1233" s="152">
        <v>6222000</v>
      </c>
      <c r="B1233" s="73"/>
      <c r="C1233" s="51" t="s">
        <v>110</v>
      </c>
      <c r="D1233" s="89"/>
      <c r="E1233" s="89"/>
      <c r="F1233" s="89"/>
      <c r="G1233" s="89"/>
      <c r="H1233" s="89"/>
      <c r="I1233" s="89"/>
      <c r="J1233" s="212">
        <f t="shared" ref="J1233:P1242" si="127">SUMIFS(J$26:J$180,$A$26:$A$180,$A1233,$C$26:$C$180,$C1233)</f>
        <v>0</v>
      </c>
      <c r="K1233" s="212">
        <f t="shared" si="127"/>
        <v>0</v>
      </c>
      <c r="L1233" s="212">
        <f t="shared" si="127"/>
        <v>0</v>
      </c>
      <c r="M1233" s="212">
        <f t="shared" si="127"/>
        <v>0</v>
      </c>
      <c r="N1233" s="212">
        <f t="shared" si="127"/>
        <v>0</v>
      </c>
      <c r="O1233" s="212">
        <f t="shared" si="127"/>
        <v>0</v>
      </c>
      <c r="P1233" s="155">
        <f t="shared" si="127"/>
        <v>0</v>
      </c>
      <c r="Q1233" s="407"/>
      <c r="R1233" s="407"/>
    </row>
    <row r="1234" spans="1:18" ht="12.75" x14ac:dyDescent="0.2">
      <c r="A1234" s="152">
        <v>6222000</v>
      </c>
      <c r="B1234" s="73"/>
      <c r="C1234" s="51" t="s">
        <v>133</v>
      </c>
      <c r="D1234" s="89"/>
      <c r="E1234" s="89"/>
      <c r="F1234" s="89"/>
      <c r="G1234" s="89"/>
      <c r="H1234" s="89"/>
      <c r="I1234" s="89"/>
      <c r="J1234" s="212">
        <f t="shared" si="127"/>
        <v>0</v>
      </c>
      <c r="K1234" s="212">
        <f t="shared" si="127"/>
        <v>0</v>
      </c>
      <c r="L1234" s="212">
        <f t="shared" si="127"/>
        <v>0</v>
      </c>
      <c r="M1234" s="212">
        <f t="shared" si="127"/>
        <v>0</v>
      </c>
      <c r="N1234" s="212">
        <f t="shared" si="127"/>
        <v>0</v>
      </c>
      <c r="O1234" s="212">
        <f t="shared" si="127"/>
        <v>0</v>
      </c>
      <c r="P1234" s="155">
        <f t="shared" si="127"/>
        <v>0</v>
      </c>
      <c r="Q1234" s="407"/>
      <c r="R1234" s="407"/>
    </row>
    <row r="1235" spans="1:18" ht="12.75" x14ac:dyDescent="0.2">
      <c r="A1235" s="152">
        <v>6222000</v>
      </c>
      <c r="B1235" s="73"/>
      <c r="C1235" s="51" t="s">
        <v>134</v>
      </c>
      <c r="D1235" s="89"/>
      <c r="E1235" s="89"/>
      <c r="F1235" s="89"/>
      <c r="G1235" s="89"/>
      <c r="H1235" s="89"/>
      <c r="I1235" s="89"/>
      <c r="J1235" s="212">
        <f t="shared" si="127"/>
        <v>0</v>
      </c>
      <c r="K1235" s="212">
        <f t="shared" si="127"/>
        <v>0</v>
      </c>
      <c r="L1235" s="212">
        <f t="shared" si="127"/>
        <v>0</v>
      </c>
      <c r="M1235" s="212">
        <f t="shared" si="127"/>
        <v>0</v>
      </c>
      <c r="N1235" s="212">
        <f t="shared" si="127"/>
        <v>0</v>
      </c>
      <c r="O1235" s="212">
        <f t="shared" si="127"/>
        <v>0</v>
      </c>
      <c r="P1235" s="155">
        <f t="shared" si="127"/>
        <v>0</v>
      </c>
      <c r="Q1235" s="407"/>
      <c r="R1235" s="407"/>
    </row>
    <row r="1236" spans="1:18" ht="12.75" x14ac:dyDescent="0.2">
      <c r="A1236" s="152">
        <v>6222000</v>
      </c>
      <c r="B1236" s="73"/>
      <c r="C1236" s="51" t="s">
        <v>138</v>
      </c>
      <c r="D1236" s="89"/>
      <c r="E1236" s="89"/>
      <c r="F1236" s="89"/>
      <c r="G1236" s="89"/>
      <c r="H1236" s="89"/>
      <c r="I1236" s="89"/>
      <c r="J1236" s="212">
        <f t="shared" si="127"/>
        <v>0</v>
      </c>
      <c r="K1236" s="212">
        <f t="shared" si="127"/>
        <v>0</v>
      </c>
      <c r="L1236" s="212">
        <f t="shared" si="127"/>
        <v>0</v>
      </c>
      <c r="M1236" s="212">
        <f t="shared" si="127"/>
        <v>0</v>
      </c>
      <c r="N1236" s="212">
        <f t="shared" si="127"/>
        <v>0</v>
      </c>
      <c r="O1236" s="212">
        <f t="shared" si="127"/>
        <v>0</v>
      </c>
      <c r="P1236" s="155">
        <f t="shared" si="127"/>
        <v>0</v>
      </c>
      <c r="Q1236" s="407"/>
      <c r="R1236" s="407"/>
    </row>
    <row r="1237" spans="1:18" ht="12.75" x14ac:dyDescent="0.2">
      <c r="A1237" s="152">
        <v>6222000</v>
      </c>
      <c r="B1237" s="73"/>
      <c r="C1237" s="51" t="s">
        <v>106</v>
      </c>
      <c r="D1237" s="89"/>
      <c r="E1237" s="89"/>
      <c r="F1237" s="89"/>
      <c r="G1237" s="89"/>
      <c r="H1237" s="89"/>
      <c r="I1237" s="89"/>
      <c r="J1237" s="212">
        <f t="shared" si="127"/>
        <v>0</v>
      </c>
      <c r="K1237" s="212">
        <f t="shared" si="127"/>
        <v>0</v>
      </c>
      <c r="L1237" s="212">
        <f t="shared" si="127"/>
        <v>0</v>
      </c>
      <c r="M1237" s="212">
        <f t="shared" si="127"/>
        <v>0</v>
      </c>
      <c r="N1237" s="212">
        <f t="shared" si="127"/>
        <v>0</v>
      </c>
      <c r="O1237" s="212">
        <f t="shared" si="127"/>
        <v>0</v>
      </c>
      <c r="P1237" s="155">
        <f t="shared" si="127"/>
        <v>0</v>
      </c>
      <c r="Q1237" s="407"/>
      <c r="R1237" s="407"/>
    </row>
    <row r="1238" spans="1:18" ht="12.75" x14ac:dyDescent="0.2">
      <c r="A1238" s="152">
        <v>6222000</v>
      </c>
      <c r="B1238" s="73"/>
      <c r="C1238" s="51" t="s">
        <v>1024</v>
      </c>
      <c r="D1238" s="89"/>
      <c r="E1238" s="89"/>
      <c r="F1238" s="89"/>
      <c r="G1238" s="89"/>
      <c r="H1238" s="89"/>
      <c r="I1238" s="89"/>
      <c r="J1238" s="212">
        <f t="shared" si="127"/>
        <v>0</v>
      </c>
      <c r="K1238" s="212">
        <f t="shared" si="127"/>
        <v>0</v>
      </c>
      <c r="L1238" s="212">
        <f t="shared" si="127"/>
        <v>0</v>
      </c>
      <c r="M1238" s="212">
        <f t="shared" si="127"/>
        <v>0</v>
      </c>
      <c r="N1238" s="212">
        <f t="shared" si="127"/>
        <v>0</v>
      </c>
      <c r="O1238" s="212">
        <f t="shared" si="127"/>
        <v>0</v>
      </c>
      <c r="P1238" s="155">
        <f t="shared" si="127"/>
        <v>0</v>
      </c>
      <c r="Q1238" s="407"/>
      <c r="R1238" s="407"/>
    </row>
    <row r="1239" spans="1:18" ht="12.75" x14ac:dyDescent="0.2">
      <c r="A1239" s="152">
        <v>6222000</v>
      </c>
      <c r="B1239" s="73"/>
      <c r="C1239" s="51" t="s">
        <v>1025</v>
      </c>
      <c r="D1239" s="89"/>
      <c r="E1239" s="89"/>
      <c r="F1239" s="89"/>
      <c r="G1239" s="89"/>
      <c r="H1239" s="89"/>
      <c r="I1239" s="89"/>
      <c r="J1239" s="212">
        <f t="shared" si="127"/>
        <v>0</v>
      </c>
      <c r="K1239" s="212">
        <f t="shared" si="127"/>
        <v>0</v>
      </c>
      <c r="L1239" s="212">
        <f t="shared" si="127"/>
        <v>0</v>
      </c>
      <c r="M1239" s="212">
        <f t="shared" si="127"/>
        <v>0</v>
      </c>
      <c r="N1239" s="212">
        <f t="shared" si="127"/>
        <v>0</v>
      </c>
      <c r="O1239" s="212">
        <f t="shared" si="127"/>
        <v>0</v>
      </c>
      <c r="P1239" s="155">
        <f t="shared" si="127"/>
        <v>0</v>
      </c>
      <c r="Q1239" s="407"/>
      <c r="R1239" s="407"/>
    </row>
    <row r="1240" spans="1:18" ht="12.75" x14ac:dyDescent="0.2">
      <c r="A1240" s="152">
        <v>6222000</v>
      </c>
      <c r="B1240" s="73"/>
      <c r="C1240" s="51" t="s">
        <v>960</v>
      </c>
      <c r="D1240" s="89"/>
      <c r="E1240" s="89"/>
      <c r="F1240" s="89"/>
      <c r="G1240" s="89"/>
      <c r="H1240" s="89"/>
      <c r="I1240" s="89"/>
      <c r="J1240" s="212">
        <f t="shared" si="127"/>
        <v>0</v>
      </c>
      <c r="K1240" s="212">
        <f t="shared" si="127"/>
        <v>0</v>
      </c>
      <c r="L1240" s="212">
        <f t="shared" si="127"/>
        <v>0</v>
      </c>
      <c r="M1240" s="212">
        <f t="shared" si="127"/>
        <v>0</v>
      </c>
      <c r="N1240" s="212">
        <f t="shared" si="127"/>
        <v>0</v>
      </c>
      <c r="O1240" s="212">
        <f t="shared" si="127"/>
        <v>0</v>
      </c>
      <c r="P1240" s="155">
        <f t="shared" si="127"/>
        <v>0</v>
      </c>
      <c r="Q1240" s="407"/>
      <c r="R1240" s="407"/>
    </row>
    <row r="1241" spans="1:18" ht="12.75" x14ac:dyDescent="0.2">
      <c r="A1241" s="152">
        <v>6222000</v>
      </c>
      <c r="B1241" s="73"/>
      <c r="C1241" s="51" t="s">
        <v>961</v>
      </c>
      <c r="D1241" s="89"/>
      <c r="E1241" s="89"/>
      <c r="F1241" s="89"/>
      <c r="G1241" s="89"/>
      <c r="H1241" s="89"/>
      <c r="I1241" s="89"/>
      <c r="J1241" s="212">
        <f t="shared" si="127"/>
        <v>0</v>
      </c>
      <c r="K1241" s="212">
        <f t="shared" si="127"/>
        <v>0</v>
      </c>
      <c r="L1241" s="212">
        <f t="shared" si="127"/>
        <v>0</v>
      </c>
      <c r="M1241" s="212">
        <f t="shared" si="127"/>
        <v>0</v>
      </c>
      <c r="N1241" s="212">
        <f t="shared" si="127"/>
        <v>0</v>
      </c>
      <c r="O1241" s="212">
        <f t="shared" si="127"/>
        <v>0</v>
      </c>
      <c r="P1241" s="155">
        <f t="shared" si="127"/>
        <v>0</v>
      </c>
      <c r="Q1241" s="407"/>
      <c r="R1241" s="407"/>
    </row>
    <row r="1242" spans="1:18" ht="12.75" x14ac:dyDescent="0.2">
      <c r="A1242" s="152">
        <v>6222000</v>
      </c>
      <c r="B1242" s="73"/>
      <c r="C1242" s="51" t="s">
        <v>948</v>
      </c>
      <c r="D1242" s="89"/>
      <c r="E1242" s="89"/>
      <c r="F1242" s="89"/>
      <c r="G1242" s="89"/>
      <c r="H1242" s="89"/>
      <c r="I1242" s="89"/>
      <c r="J1242" s="212">
        <f t="shared" si="127"/>
        <v>0</v>
      </c>
      <c r="K1242" s="212">
        <f t="shared" si="127"/>
        <v>0</v>
      </c>
      <c r="L1242" s="212">
        <f t="shared" si="127"/>
        <v>0</v>
      </c>
      <c r="M1242" s="212">
        <f t="shared" si="127"/>
        <v>0</v>
      </c>
      <c r="N1242" s="212">
        <f t="shared" si="127"/>
        <v>0</v>
      </c>
      <c r="O1242" s="212">
        <f t="shared" si="127"/>
        <v>0</v>
      </c>
      <c r="P1242" s="155">
        <f t="shared" si="127"/>
        <v>0</v>
      </c>
      <c r="Q1242" s="407"/>
      <c r="R1242" s="407"/>
    </row>
    <row r="1243" spans="1:18" ht="12.75" x14ac:dyDescent="0.2">
      <c r="A1243" s="152">
        <v>6222000</v>
      </c>
      <c r="B1243" s="73"/>
      <c r="C1243" s="51" t="s">
        <v>949</v>
      </c>
      <c r="D1243" s="89"/>
      <c r="E1243" s="89"/>
      <c r="F1243" s="89"/>
      <c r="G1243" s="89"/>
      <c r="H1243" s="89"/>
      <c r="I1243" s="89"/>
      <c r="J1243" s="212">
        <f t="shared" ref="J1243:P1252" si="128">SUMIFS(J$26:J$180,$A$26:$A$180,$A1243,$C$26:$C$180,$C1243)</f>
        <v>0</v>
      </c>
      <c r="K1243" s="212">
        <f t="shared" si="128"/>
        <v>0</v>
      </c>
      <c r="L1243" s="212">
        <f t="shared" si="128"/>
        <v>0</v>
      </c>
      <c r="M1243" s="212">
        <f t="shared" si="128"/>
        <v>0</v>
      </c>
      <c r="N1243" s="212">
        <f t="shared" si="128"/>
        <v>0</v>
      </c>
      <c r="O1243" s="212">
        <f t="shared" si="128"/>
        <v>0</v>
      </c>
      <c r="P1243" s="155">
        <f t="shared" si="128"/>
        <v>0</v>
      </c>
      <c r="Q1243" s="407"/>
      <c r="R1243" s="407"/>
    </row>
    <row r="1244" spans="1:18" ht="12.75" x14ac:dyDescent="0.2">
      <c r="A1244" s="152">
        <v>6222000</v>
      </c>
      <c r="B1244" s="73"/>
      <c r="C1244" s="51" t="s">
        <v>132</v>
      </c>
      <c r="D1244" s="89"/>
      <c r="E1244" s="89"/>
      <c r="F1244" s="89"/>
      <c r="G1244" s="89"/>
      <c r="H1244" s="89"/>
      <c r="I1244" s="89"/>
      <c r="J1244" s="212">
        <f t="shared" si="128"/>
        <v>0</v>
      </c>
      <c r="K1244" s="212">
        <f t="shared" si="128"/>
        <v>0</v>
      </c>
      <c r="L1244" s="212">
        <f t="shared" si="128"/>
        <v>0</v>
      </c>
      <c r="M1244" s="212">
        <f t="shared" si="128"/>
        <v>0</v>
      </c>
      <c r="N1244" s="212">
        <f t="shared" si="128"/>
        <v>0</v>
      </c>
      <c r="O1244" s="212">
        <f t="shared" si="128"/>
        <v>0</v>
      </c>
      <c r="P1244" s="155">
        <f t="shared" si="128"/>
        <v>0</v>
      </c>
      <c r="Q1244" s="407"/>
      <c r="R1244" s="407"/>
    </row>
    <row r="1245" spans="1:18" ht="12.75" x14ac:dyDescent="0.2">
      <c r="A1245" s="152">
        <v>6222000</v>
      </c>
      <c r="B1245" s="73"/>
      <c r="C1245" s="51" t="s">
        <v>121</v>
      </c>
      <c r="D1245" s="89"/>
      <c r="E1245" s="89"/>
      <c r="F1245" s="89"/>
      <c r="G1245" s="89"/>
      <c r="H1245" s="89"/>
      <c r="I1245" s="89"/>
      <c r="J1245" s="212">
        <f t="shared" si="128"/>
        <v>0</v>
      </c>
      <c r="K1245" s="212">
        <f t="shared" si="128"/>
        <v>0</v>
      </c>
      <c r="L1245" s="212">
        <f t="shared" si="128"/>
        <v>0</v>
      </c>
      <c r="M1245" s="212">
        <f t="shared" si="128"/>
        <v>0</v>
      </c>
      <c r="N1245" s="212">
        <f t="shared" si="128"/>
        <v>0</v>
      </c>
      <c r="O1245" s="212">
        <f t="shared" si="128"/>
        <v>0</v>
      </c>
      <c r="P1245" s="155">
        <f t="shared" si="128"/>
        <v>0</v>
      </c>
      <c r="Q1245" s="407"/>
      <c r="R1245" s="407"/>
    </row>
    <row r="1246" spans="1:18" ht="12.75" x14ac:dyDescent="0.2">
      <c r="A1246" s="152">
        <v>6222000</v>
      </c>
      <c r="B1246" s="73"/>
      <c r="C1246" s="51" t="s">
        <v>131</v>
      </c>
      <c r="D1246" s="89"/>
      <c r="E1246" s="89"/>
      <c r="F1246" s="89"/>
      <c r="G1246" s="89"/>
      <c r="H1246" s="89"/>
      <c r="I1246" s="89"/>
      <c r="J1246" s="212">
        <f t="shared" si="128"/>
        <v>0</v>
      </c>
      <c r="K1246" s="212">
        <f t="shared" si="128"/>
        <v>0</v>
      </c>
      <c r="L1246" s="212">
        <f t="shared" si="128"/>
        <v>0</v>
      </c>
      <c r="M1246" s="212">
        <f t="shared" si="128"/>
        <v>0</v>
      </c>
      <c r="N1246" s="212">
        <f t="shared" si="128"/>
        <v>0</v>
      </c>
      <c r="O1246" s="212">
        <f t="shared" si="128"/>
        <v>0</v>
      </c>
      <c r="P1246" s="155">
        <f t="shared" si="128"/>
        <v>0</v>
      </c>
      <c r="Q1246" s="407"/>
      <c r="R1246" s="407"/>
    </row>
    <row r="1247" spans="1:18" ht="12.75" x14ac:dyDescent="0.2">
      <c r="A1247" s="152">
        <v>6222000</v>
      </c>
      <c r="B1247" s="73"/>
      <c r="C1247" s="51" t="s">
        <v>967</v>
      </c>
      <c r="D1247" s="89"/>
      <c r="E1247" s="89"/>
      <c r="F1247" s="89"/>
      <c r="G1247" s="89"/>
      <c r="H1247" s="89"/>
      <c r="I1247" s="89"/>
      <c r="J1247" s="212">
        <f t="shared" si="128"/>
        <v>0</v>
      </c>
      <c r="K1247" s="212">
        <f t="shared" si="128"/>
        <v>0</v>
      </c>
      <c r="L1247" s="212">
        <f t="shared" si="128"/>
        <v>0</v>
      </c>
      <c r="M1247" s="212">
        <f t="shared" si="128"/>
        <v>0</v>
      </c>
      <c r="N1247" s="212">
        <f t="shared" si="128"/>
        <v>0</v>
      </c>
      <c r="O1247" s="212">
        <f t="shared" si="128"/>
        <v>0</v>
      </c>
      <c r="P1247" s="155">
        <f t="shared" si="128"/>
        <v>0</v>
      </c>
      <c r="Q1247" s="407"/>
      <c r="R1247" s="407"/>
    </row>
    <row r="1248" spans="1:18" ht="12.75" x14ac:dyDescent="0.2">
      <c r="A1248" s="152">
        <v>6222000</v>
      </c>
      <c r="B1248" s="73"/>
      <c r="C1248" s="51" t="s">
        <v>118</v>
      </c>
      <c r="D1248" s="89"/>
      <c r="E1248" s="89"/>
      <c r="F1248" s="89"/>
      <c r="G1248" s="89"/>
      <c r="H1248" s="89"/>
      <c r="I1248" s="89"/>
      <c r="J1248" s="212">
        <f t="shared" si="128"/>
        <v>0</v>
      </c>
      <c r="K1248" s="212">
        <f t="shared" si="128"/>
        <v>0</v>
      </c>
      <c r="L1248" s="212">
        <f t="shared" si="128"/>
        <v>0</v>
      </c>
      <c r="M1248" s="212">
        <f t="shared" si="128"/>
        <v>0</v>
      </c>
      <c r="N1248" s="212">
        <f t="shared" si="128"/>
        <v>0</v>
      </c>
      <c r="O1248" s="212">
        <f t="shared" si="128"/>
        <v>0</v>
      </c>
      <c r="P1248" s="155">
        <f t="shared" si="128"/>
        <v>0</v>
      </c>
      <c r="Q1248" s="407"/>
      <c r="R1248" s="407"/>
    </row>
    <row r="1249" spans="1:18" ht="12.75" x14ac:dyDescent="0.2">
      <c r="A1249" s="152">
        <v>6222000</v>
      </c>
      <c r="B1249" s="73"/>
      <c r="C1249" s="51" t="s">
        <v>971</v>
      </c>
      <c r="D1249" s="89"/>
      <c r="E1249" s="89"/>
      <c r="F1249" s="89"/>
      <c r="G1249" s="89"/>
      <c r="H1249" s="89"/>
      <c r="I1249" s="89"/>
      <c r="J1249" s="212">
        <f t="shared" si="128"/>
        <v>0</v>
      </c>
      <c r="K1249" s="212">
        <f t="shared" si="128"/>
        <v>0</v>
      </c>
      <c r="L1249" s="212">
        <f t="shared" si="128"/>
        <v>0</v>
      </c>
      <c r="M1249" s="212">
        <f t="shared" si="128"/>
        <v>0</v>
      </c>
      <c r="N1249" s="212">
        <f t="shared" si="128"/>
        <v>0</v>
      </c>
      <c r="O1249" s="212">
        <f t="shared" si="128"/>
        <v>0</v>
      </c>
      <c r="P1249" s="155">
        <f t="shared" si="128"/>
        <v>0</v>
      </c>
      <c r="Q1249" s="407"/>
      <c r="R1249" s="407"/>
    </row>
    <row r="1250" spans="1:18" ht="12.75" x14ac:dyDescent="0.2">
      <c r="A1250" s="152">
        <v>6222000</v>
      </c>
      <c r="B1250" s="73"/>
      <c r="C1250" s="51" t="s">
        <v>957</v>
      </c>
      <c r="D1250" s="89"/>
      <c r="E1250" s="89"/>
      <c r="F1250" s="89"/>
      <c r="G1250" s="89"/>
      <c r="H1250" s="89"/>
      <c r="I1250" s="89"/>
      <c r="J1250" s="212">
        <f t="shared" si="128"/>
        <v>0</v>
      </c>
      <c r="K1250" s="212">
        <f t="shared" si="128"/>
        <v>0</v>
      </c>
      <c r="L1250" s="212">
        <f t="shared" si="128"/>
        <v>0</v>
      </c>
      <c r="M1250" s="212">
        <f t="shared" si="128"/>
        <v>0</v>
      </c>
      <c r="N1250" s="212">
        <f t="shared" si="128"/>
        <v>0</v>
      </c>
      <c r="O1250" s="212">
        <f t="shared" si="128"/>
        <v>0</v>
      </c>
      <c r="P1250" s="155">
        <f t="shared" si="128"/>
        <v>0</v>
      </c>
      <c r="Q1250" s="407"/>
      <c r="R1250" s="407"/>
    </row>
    <row r="1251" spans="1:18" ht="12.75" x14ac:dyDescent="0.2">
      <c r="A1251" s="152">
        <v>6222000</v>
      </c>
      <c r="B1251" s="73"/>
      <c r="C1251" s="51" t="s">
        <v>97</v>
      </c>
      <c r="D1251" s="89"/>
      <c r="E1251" s="89"/>
      <c r="F1251" s="89"/>
      <c r="G1251" s="89"/>
      <c r="H1251" s="89"/>
      <c r="I1251" s="89"/>
      <c r="J1251" s="212">
        <f t="shared" si="128"/>
        <v>0</v>
      </c>
      <c r="K1251" s="212">
        <f t="shared" si="128"/>
        <v>0</v>
      </c>
      <c r="L1251" s="212">
        <f t="shared" si="128"/>
        <v>0</v>
      </c>
      <c r="M1251" s="212">
        <f t="shared" si="128"/>
        <v>0</v>
      </c>
      <c r="N1251" s="212">
        <f t="shared" si="128"/>
        <v>0</v>
      </c>
      <c r="O1251" s="212">
        <f t="shared" si="128"/>
        <v>0</v>
      </c>
      <c r="P1251" s="155">
        <f t="shared" si="128"/>
        <v>0</v>
      </c>
      <c r="Q1251" s="407"/>
      <c r="R1251" s="407"/>
    </row>
    <row r="1252" spans="1:18" ht="12.75" x14ac:dyDescent="0.2">
      <c r="A1252" s="152">
        <v>6222000</v>
      </c>
      <c r="B1252" s="73"/>
      <c r="C1252" s="51" t="s">
        <v>49</v>
      </c>
      <c r="D1252" s="89"/>
      <c r="E1252" s="89"/>
      <c r="F1252" s="89"/>
      <c r="G1252" s="89"/>
      <c r="H1252" s="89"/>
      <c r="I1252" s="89"/>
      <c r="J1252" s="212">
        <f t="shared" si="128"/>
        <v>0</v>
      </c>
      <c r="K1252" s="212">
        <f t="shared" si="128"/>
        <v>0</v>
      </c>
      <c r="L1252" s="212">
        <f t="shared" si="128"/>
        <v>0</v>
      </c>
      <c r="M1252" s="212">
        <f t="shared" si="128"/>
        <v>0</v>
      </c>
      <c r="N1252" s="212">
        <f t="shared" si="128"/>
        <v>0</v>
      </c>
      <c r="O1252" s="212">
        <f t="shared" si="128"/>
        <v>0</v>
      </c>
      <c r="P1252" s="155">
        <f t="shared" si="128"/>
        <v>0</v>
      </c>
      <c r="Q1252" s="407"/>
      <c r="R1252" s="407"/>
    </row>
    <row r="1253" spans="1:18" ht="12.75" x14ac:dyDescent="0.2">
      <c r="A1253" s="152">
        <v>6222000</v>
      </c>
      <c r="B1253" s="73"/>
      <c r="C1253" s="51" t="s">
        <v>1017</v>
      </c>
      <c r="D1253" s="89"/>
      <c r="E1253" s="89"/>
      <c r="F1253" s="89"/>
      <c r="G1253" s="89"/>
      <c r="H1253" s="89"/>
      <c r="I1253" s="89"/>
      <c r="J1253" s="212">
        <f t="shared" ref="J1253:P1262" si="129">SUMIFS(J$26:J$180,$A$26:$A$180,$A1253,$C$26:$C$180,$C1253)</f>
        <v>0</v>
      </c>
      <c r="K1253" s="212">
        <f t="shared" si="129"/>
        <v>0</v>
      </c>
      <c r="L1253" s="212">
        <f t="shared" si="129"/>
        <v>0</v>
      </c>
      <c r="M1253" s="212">
        <f t="shared" si="129"/>
        <v>0</v>
      </c>
      <c r="N1253" s="212">
        <f t="shared" si="129"/>
        <v>0</v>
      </c>
      <c r="O1253" s="212">
        <f t="shared" si="129"/>
        <v>0</v>
      </c>
      <c r="P1253" s="155">
        <f t="shared" si="129"/>
        <v>0</v>
      </c>
      <c r="Q1253" s="407"/>
      <c r="R1253" s="407"/>
    </row>
    <row r="1254" spans="1:18" ht="12.75" x14ac:dyDescent="0.2">
      <c r="A1254" s="152">
        <v>6222000</v>
      </c>
      <c r="B1254" s="73"/>
      <c r="C1254" s="51" t="s">
        <v>1018</v>
      </c>
      <c r="D1254" s="89"/>
      <c r="E1254" s="89"/>
      <c r="F1254" s="89"/>
      <c r="G1254" s="89"/>
      <c r="H1254" s="89"/>
      <c r="I1254" s="89"/>
      <c r="J1254" s="212">
        <f t="shared" si="129"/>
        <v>0</v>
      </c>
      <c r="K1254" s="212">
        <f t="shared" si="129"/>
        <v>0</v>
      </c>
      <c r="L1254" s="212">
        <f t="shared" si="129"/>
        <v>0</v>
      </c>
      <c r="M1254" s="212">
        <f t="shared" si="129"/>
        <v>0</v>
      </c>
      <c r="N1254" s="212">
        <f t="shared" si="129"/>
        <v>0</v>
      </c>
      <c r="O1254" s="212">
        <f t="shared" si="129"/>
        <v>0</v>
      </c>
      <c r="P1254" s="155">
        <f t="shared" si="129"/>
        <v>0</v>
      </c>
      <c r="Q1254" s="407"/>
      <c r="R1254" s="407"/>
    </row>
    <row r="1255" spans="1:18" ht="12.75" x14ac:dyDescent="0.2">
      <c r="A1255" s="152">
        <v>6222000</v>
      </c>
      <c r="B1255" s="73"/>
      <c r="C1255" s="51" t="s">
        <v>928</v>
      </c>
      <c r="D1255" s="89"/>
      <c r="E1255" s="89"/>
      <c r="F1255" s="89"/>
      <c r="G1255" s="89"/>
      <c r="H1255" s="89"/>
      <c r="I1255" s="89"/>
      <c r="J1255" s="212">
        <f t="shared" si="129"/>
        <v>0</v>
      </c>
      <c r="K1255" s="212">
        <f t="shared" si="129"/>
        <v>0</v>
      </c>
      <c r="L1255" s="212">
        <f t="shared" si="129"/>
        <v>0</v>
      </c>
      <c r="M1255" s="212">
        <f t="shared" si="129"/>
        <v>0</v>
      </c>
      <c r="N1255" s="212">
        <f t="shared" si="129"/>
        <v>0</v>
      </c>
      <c r="O1255" s="212">
        <f t="shared" si="129"/>
        <v>0</v>
      </c>
      <c r="P1255" s="155">
        <f t="shared" si="129"/>
        <v>0</v>
      </c>
      <c r="Q1255" s="407"/>
      <c r="R1255" s="407"/>
    </row>
    <row r="1256" spans="1:18" ht="12.75" x14ac:dyDescent="0.2">
      <c r="A1256" s="152">
        <v>6222000</v>
      </c>
      <c r="B1256" s="73"/>
      <c r="C1256" s="51" t="s">
        <v>946</v>
      </c>
      <c r="D1256" s="89"/>
      <c r="E1256" s="89"/>
      <c r="F1256" s="89"/>
      <c r="G1256" s="89"/>
      <c r="H1256" s="89"/>
      <c r="I1256" s="89"/>
      <c r="J1256" s="212">
        <f t="shared" si="129"/>
        <v>0</v>
      </c>
      <c r="K1256" s="212">
        <f t="shared" si="129"/>
        <v>0</v>
      </c>
      <c r="L1256" s="212">
        <f t="shared" si="129"/>
        <v>0</v>
      </c>
      <c r="M1256" s="212">
        <f t="shared" si="129"/>
        <v>0</v>
      </c>
      <c r="N1256" s="212">
        <f t="shared" si="129"/>
        <v>0</v>
      </c>
      <c r="O1256" s="212">
        <f t="shared" si="129"/>
        <v>0</v>
      </c>
      <c r="P1256" s="155">
        <f t="shared" si="129"/>
        <v>0</v>
      </c>
      <c r="Q1256" s="407"/>
      <c r="R1256" s="407"/>
    </row>
    <row r="1257" spans="1:18" ht="12.75" x14ac:dyDescent="0.2">
      <c r="A1257" s="152">
        <v>6222000</v>
      </c>
      <c r="B1257" s="73"/>
      <c r="C1257" s="51" t="s">
        <v>947</v>
      </c>
      <c r="D1257" s="89"/>
      <c r="E1257" s="89"/>
      <c r="F1257" s="89"/>
      <c r="G1257" s="89"/>
      <c r="H1257" s="89"/>
      <c r="I1257" s="89"/>
      <c r="J1257" s="212">
        <f t="shared" si="129"/>
        <v>0</v>
      </c>
      <c r="K1257" s="212">
        <f t="shared" si="129"/>
        <v>0</v>
      </c>
      <c r="L1257" s="212">
        <f t="shared" si="129"/>
        <v>0</v>
      </c>
      <c r="M1257" s="212">
        <f t="shared" si="129"/>
        <v>0</v>
      </c>
      <c r="N1257" s="212">
        <f t="shared" si="129"/>
        <v>0</v>
      </c>
      <c r="O1257" s="212">
        <f t="shared" si="129"/>
        <v>0</v>
      </c>
      <c r="P1257" s="155">
        <f t="shared" si="129"/>
        <v>0</v>
      </c>
      <c r="Q1257" s="407"/>
      <c r="R1257" s="407"/>
    </row>
    <row r="1258" spans="1:18" ht="12.75" x14ac:dyDescent="0.2">
      <c r="A1258" s="152">
        <v>6222000</v>
      </c>
      <c r="B1258" s="73"/>
      <c r="C1258" s="51" t="s">
        <v>1020</v>
      </c>
      <c r="D1258" s="89"/>
      <c r="E1258" s="89"/>
      <c r="F1258" s="89"/>
      <c r="G1258" s="89"/>
      <c r="H1258" s="89"/>
      <c r="I1258" s="89"/>
      <c r="J1258" s="212">
        <f t="shared" si="129"/>
        <v>0</v>
      </c>
      <c r="K1258" s="212">
        <f t="shared" si="129"/>
        <v>0</v>
      </c>
      <c r="L1258" s="212">
        <f t="shared" si="129"/>
        <v>0</v>
      </c>
      <c r="M1258" s="212">
        <f t="shared" si="129"/>
        <v>0</v>
      </c>
      <c r="N1258" s="212">
        <f t="shared" si="129"/>
        <v>0</v>
      </c>
      <c r="O1258" s="212">
        <f t="shared" si="129"/>
        <v>0</v>
      </c>
      <c r="P1258" s="155">
        <f t="shared" si="129"/>
        <v>0</v>
      </c>
      <c r="Q1258" s="407"/>
      <c r="R1258" s="407"/>
    </row>
    <row r="1259" spans="1:18" ht="12.75" x14ac:dyDescent="0.2">
      <c r="A1259" s="152">
        <v>6222000</v>
      </c>
      <c r="B1259" s="73"/>
      <c r="C1259" s="51" t="s">
        <v>1021</v>
      </c>
      <c r="D1259" s="89"/>
      <c r="E1259" s="89"/>
      <c r="F1259" s="89"/>
      <c r="G1259" s="89"/>
      <c r="H1259" s="89"/>
      <c r="I1259" s="89"/>
      <c r="J1259" s="212">
        <f t="shared" si="129"/>
        <v>0</v>
      </c>
      <c r="K1259" s="212">
        <f t="shared" si="129"/>
        <v>0</v>
      </c>
      <c r="L1259" s="212">
        <f t="shared" si="129"/>
        <v>0</v>
      </c>
      <c r="M1259" s="212">
        <f t="shared" si="129"/>
        <v>0</v>
      </c>
      <c r="N1259" s="212">
        <f t="shared" si="129"/>
        <v>0</v>
      </c>
      <c r="O1259" s="212">
        <f t="shared" si="129"/>
        <v>0</v>
      </c>
      <c r="P1259" s="155">
        <f t="shared" si="129"/>
        <v>0</v>
      </c>
      <c r="Q1259" s="407"/>
      <c r="R1259" s="407"/>
    </row>
    <row r="1260" spans="1:18" ht="12.75" x14ac:dyDescent="0.2">
      <c r="A1260" s="152">
        <v>6222000</v>
      </c>
      <c r="B1260" s="73"/>
      <c r="C1260" s="51" t="s">
        <v>489</v>
      </c>
      <c r="D1260" s="89"/>
      <c r="E1260" s="89"/>
      <c r="F1260" s="89"/>
      <c r="G1260" s="89"/>
      <c r="H1260" s="89"/>
      <c r="I1260" s="89"/>
      <c r="J1260" s="212">
        <f t="shared" si="129"/>
        <v>0</v>
      </c>
      <c r="K1260" s="212">
        <f t="shared" si="129"/>
        <v>0</v>
      </c>
      <c r="L1260" s="212">
        <f t="shared" si="129"/>
        <v>0</v>
      </c>
      <c r="M1260" s="212">
        <f t="shared" si="129"/>
        <v>0</v>
      </c>
      <c r="N1260" s="212">
        <f t="shared" si="129"/>
        <v>0</v>
      </c>
      <c r="O1260" s="212">
        <f t="shared" si="129"/>
        <v>0</v>
      </c>
      <c r="P1260" s="155">
        <f t="shared" si="129"/>
        <v>0</v>
      </c>
      <c r="Q1260" s="407"/>
      <c r="R1260" s="407"/>
    </row>
    <row r="1261" spans="1:18" ht="12.75" x14ac:dyDescent="0.2">
      <c r="A1261" s="152">
        <v>6222000</v>
      </c>
      <c r="B1261" s="73"/>
      <c r="C1261" s="51" t="s">
        <v>968</v>
      </c>
      <c r="D1261" s="89"/>
      <c r="E1261" s="89"/>
      <c r="F1261" s="89"/>
      <c r="G1261" s="89"/>
      <c r="H1261" s="89"/>
      <c r="I1261" s="89"/>
      <c r="J1261" s="212">
        <f t="shared" si="129"/>
        <v>0</v>
      </c>
      <c r="K1261" s="212">
        <f t="shared" si="129"/>
        <v>0</v>
      </c>
      <c r="L1261" s="212">
        <f t="shared" si="129"/>
        <v>0</v>
      </c>
      <c r="M1261" s="212">
        <f t="shared" si="129"/>
        <v>0</v>
      </c>
      <c r="N1261" s="212">
        <f t="shared" si="129"/>
        <v>0</v>
      </c>
      <c r="O1261" s="212">
        <f t="shared" si="129"/>
        <v>0</v>
      </c>
      <c r="P1261" s="155">
        <f t="shared" si="129"/>
        <v>0</v>
      </c>
      <c r="Q1261" s="407"/>
      <c r="R1261" s="407"/>
    </row>
    <row r="1262" spans="1:18" ht="12.75" x14ac:dyDescent="0.2">
      <c r="A1262" s="152">
        <v>6222000</v>
      </c>
      <c r="B1262" s="73"/>
      <c r="C1262" s="51" t="s">
        <v>98</v>
      </c>
      <c r="D1262" s="89"/>
      <c r="E1262" s="89"/>
      <c r="F1262" s="89"/>
      <c r="G1262" s="89"/>
      <c r="H1262" s="89"/>
      <c r="I1262" s="89"/>
      <c r="J1262" s="212">
        <f t="shared" si="129"/>
        <v>1200</v>
      </c>
      <c r="K1262" s="212">
        <f t="shared" si="129"/>
        <v>1100</v>
      </c>
      <c r="L1262" s="212">
        <f t="shared" si="129"/>
        <v>1500</v>
      </c>
      <c r="M1262" s="212">
        <f t="shared" si="129"/>
        <v>75</v>
      </c>
      <c r="N1262" s="212">
        <f t="shared" si="129"/>
        <v>120</v>
      </c>
      <c r="O1262" s="212">
        <f t="shared" si="129"/>
        <v>300</v>
      </c>
      <c r="P1262" s="155">
        <f t="shared" si="129"/>
        <v>4295</v>
      </c>
      <c r="Q1262" s="407"/>
      <c r="R1262" s="407"/>
    </row>
    <row r="1263" spans="1:18" ht="12.75" x14ac:dyDescent="0.2">
      <c r="A1263" s="152">
        <v>6222000</v>
      </c>
      <c r="B1263" s="73"/>
      <c r="C1263" s="51" t="s">
        <v>1048</v>
      </c>
      <c r="D1263" s="89"/>
      <c r="E1263" s="89"/>
      <c r="F1263" s="89"/>
      <c r="G1263" s="89"/>
      <c r="H1263" s="89"/>
      <c r="I1263" s="89"/>
      <c r="J1263" s="212">
        <f t="shared" ref="J1263:P1272" si="130">SUMIFS(J$26:J$180,$A$26:$A$180,$A1263,$C$26:$C$180,$C1263)</f>
        <v>0</v>
      </c>
      <c r="K1263" s="212">
        <f t="shared" si="130"/>
        <v>0</v>
      </c>
      <c r="L1263" s="212">
        <f t="shared" si="130"/>
        <v>0</v>
      </c>
      <c r="M1263" s="212">
        <f t="shared" si="130"/>
        <v>0</v>
      </c>
      <c r="N1263" s="212">
        <f t="shared" si="130"/>
        <v>0</v>
      </c>
      <c r="O1263" s="212">
        <f t="shared" si="130"/>
        <v>0</v>
      </c>
      <c r="P1263" s="155">
        <f t="shared" si="130"/>
        <v>0</v>
      </c>
      <c r="Q1263" s="407"/>
      <c r="R1263" s="407"/>
    </row>
    <row r="1264" spans="1:18" ht="12.75" x14ac:dyDescent="0.2">
      <c r="A1264" s="152">
        <v>6222000</v>
      </c>
      <c r="B1264" s="73"/>
      <c r="C1264" s="51" t="s">
        <v>1030</v>
      </c>
      <c r="D1264" s="89"/>
      <c r="E1264" s="89"/>
      <c r="F1264" s="89"/>
      <c r="G1264" s="89"/>
      <c r="H1264" s="89"/>
      <c r="I1264" s="89"/>
      <c r="J1264" s="212">
        <f t="shared" si="130"/>
        <v>0</v>
      </c>
      <c r="K1264" s="212">
        <f t="shared" si="130"/>
        <v>0</v>
      </c>
      <c r="L1264" s="212">
        <f t="shared" si="130"/>
        <v>0</v>
      </c>
      <c r="M1264" s="212">
        <f t="shared" si="130"/>
        <v>0</v>
      </c>
      <c r="N1264" s="212">
        <f t="shared" si="130"/>
        <v>0</v>
      </c>
      <c r="O1264" s="212">
        <f t="shared" si="130"/>
        <v>0</v>
      </c>
      <c r="P1264" s="155">
        <f t="shared" si="130"/>
        <v>0</v>
      </c>
      <c r="Q1264" s="407"/>
      <c r="R1264" s="407"/>
    </row>
    <row r="1265" spans="1:18" ht="12.75" x14ac:dyDescent="0.2">
      <c r="A1265" s="152">
        <v>6222000</v>
      </c>
      <c r="B1265" s="73"/>
      <c r="C1265" s="51" t="s">
        <v>977</v>
      </c>
      <c r="D1265" s="89"/>
      <c r="E1265" s="89"/>
      <c r="F1265" s="89"/>
      <c r="G1265" s="89"/>
      <c r="H1265" s="89"/>
      <c r="I1265" s="89"/>
      <c r="J1265" s="212">
        <f t="shared" si="130"/>
        <v>0</v>
      </c>
      <c r="K1265" s="212">
        <f t="shared" si="130"/>
        <v>0</v>
      </c>
      <c r="L1265" s="212">
        <f t="shared" si="130"/>
        <v>0</v>
      </c>
      <c r="M1265" s="212">
        <f t="shared" si="130"/>
        <v>0</v>
      </c>
      <c r="N1265" s="212">
        <f t="shared" si="130"/>
        <v>0</v>
      </c>
      <c r="O1265" s="212">
        <f t="shared" si="130"/>
        <v>0</v>
      </c>
      <c r="P1265" s="155">
        <f t="shared" si="130"/>
        <v>0</v>
      </c>
      <c r="Q1265" s="407"/>
      <c r="R1265" s="407"/>
    </row>
    <row r="1266" spans="1:18" ht="12.75" x14ac:dyDescent="0.2">
      <c r="A1266" s="152">
        <v>6222000</v>
      </c>
      <c r="B1266" s="73"/>
      <c r="C1266" s="51" t="s">
        <v>99</v>
      </c>
      <c r="D1266" s="89"/>
      <c r="E1266" s="89"/>
      <c r="F1266" s="89"/>
      <c r="G1266" s="89"/>
      <c r="H1266" s="89"/>
      <c r="I1266" s="89"/>
      <c r="J1266" s="212">
        <f t="shared" si="130"/>
        <v>0</v>
      </c>
      <c r="K1266" s="212">
        <f t="shared" si="130"/>
        <v>0</v>
      </c>
      <c r="L1266" s="212">
        <f t="shared" si="130"/>
        <v>0</v>
      </c>
      <c r="M1266" s="212">
        <f t="shared" si="130"/>
        <v>0</v>
      </c>
      <c r="N1266" s="212">
        <f t="shared" si="130"/>
        <v>0</v>
      </c>
      <c r="O1266" s="212">
        <f t="shared" si="130"/>
        <v>3500</v>
      </c>
      <c r="P1266" s="155">
        <f t="shared" si="130"/>
        <v>3500</v>
      </c>
      <c r="Q1266" s="407"/>
      <c r="R1266" s="407"/>
    </row>
    <row r="1267" spans="1:18" ht="12.75" x14ac:dyDescent="0.2">
      <c r="A1267" s="152">
        <v>6222000</v>
      </c>
      <c r="B1267" s="73"/>
      <c r="C1267" s="51" t="s">
        <v>1047</v>
      </c>
      <c r="D1267" s="89"/>
      <c r="E1267" s="89"/>
      <c r="F1267" s="89"/>
      <c r="G1267" s="89"/>
      <c r="H1267" s="89"/>
      <c r="I1267" s="89"/>
      <c r="J1267" s="212">
        <f t="shared" si="130"/>
        <v>0</v>
      </c>
      <c r="K1267" s="212">
        <f t="shared" si="130"/>
        <v>0</v>
      </c>
      <c r="L1267" s="212">
        <f t="shared" si="130"/>
        <v>0</v>
      </c>
      <c r="M1267" s="212">
        <f t="shared" si="130"/>
        <v>0</v>
      </c>
      <c r="N1267" s="212">
        <f t="shared" si="130"/>
        <v>0</v>
      </c>
      <c r="O1267" s="212">
        <f t="shared" si="130"/>
        <v>0</v>
      </c>
      <c r="P1267" s="155">
        <f t="shared" si="130"/>
        <v>0</v>
      </c>
      <c r="Q1267" s="407"/>
      <c r="R1267" s="407"/>
    </row>
    <row r="1268" spans="1:18" ht="12.75" x14ac:dyDescent="0.2">
      <c r="A1268" s="152">
        <v>6222000</v>
      </c>
      <c r="B1268" s="73"/>
      <c r="C1268" s="51" t="s">
        <v>1041</v>
      </c>
      <c r="D1268" s="89"/>
      <c r="E1268" s="89"/>
      <c r="F1268" s="89"/>
      <c r="G1268" s="89"/>
      <c r="H1268" s="89"/>
      <c r="I1268" s="89"/>
      <c r="J1268" s="212">
        <f t="shared" si="130"/>
        <v>0</v>
      </c>
      <c r="K1268" s="212">
        <f t="shared" si="130"/>
        <v>0</v>
      </c>
      <c r="L1268" s="212">
        <f t="shared" si="130"/>
        <v>0</v>
      </c>
      <c r="M1268" s="212">
        <f t="shared" si="130"/>
        <v>0</v>
      </c>
      <c r="N1268" s="212">
        <f t="shared" si="130"/>
        <v>0</v>
      </c>
      <c r="O1268" s="212">
        <f t="shared" si="130"/>
        <v>0</v>
      </c>
      <c r="P1268" s="155">
        <f t="shared" si="130"/>
        <v>0</v>
      </c>
      <c r="Q1268" s="407"/>
      <c r="R1268" s="407"/>
    </row>
    <row r="1269" spans="1:18" ht="12.75" x14ac:dyDescent="0.2">
      <c r="A1269" s="152">
        <v>6222000</v>
      </c>
      <c r="B1269" s="73"/>
      <c r="C1269" s="51" t="s">
        <v>102</v>
      </c>
      <c r="D1269" s="89"/>
      <c r="E1269" s="89"/>
      <c r="F1269" s="89"/>
      <c r="G1269" s="89"/>
      <c r="H1269" s="89"/>
      <c r="I1269" s="89"/>
      <c r="J1269" s="212">
        <f t="shared" si="130"/>
        <v>0</v>
      </c>
      <c r="K1269" s="212">
        <f t="shared" si="130"/>
        <v>0</v>
      </c>
      <c r="L1269" s="212">
        <f t="shared" si="130"/>
        <v>0</v>
      </c>
      <c r="M1269" s="212">
        <f t="shared" si="130"/>
        <v>0</v>
      </c>
      <c r="N1269" s="212">
        <f t="shared" si="130"/>
        <v>0</v>
      </c>
      <c r="O1269" s="212">
        <f t="shared" si="130"/>
        <v>0</v>
      </c>
      <c r="P1269" s="155">
        <f t="shared" si="130"/>
        <v>0</v>
      </c>
      <c r="Q1269" s="407"/>
      <c r="R1269" s="407"/>
    </row>
    <row r="1270" spans="1:18" ht="12.75" x14ac:dyDescent="0.2">
      <c r="A1270" s="152">
        <v>6222000</v>
      </c>
      <c r="B1270" s="73"/>
      <c r="C1270" s="51" t="s">
        <v>124</v>
      </c>
      <c r="D1270" s="89"/>
      <c r="E1270" s="89"/>
      <c r="F1270" s="89"/>
      <c r="G1270" s="89"/>
      <c r="H1270" s="89"/>
      <c r="I1270" s="89"/>
      <c r="J1270" s="212">
        <f t="shared" si="130"/>
        <v>0</v>
      </c>
      <c r="K1270" s="212">
        <f t="shared" si="130"/>
        <v>0</v>
      </c>
      <c r="L1270" s="212">
        <f t="shared" si="130"/>
        <v>0</v>
      </c>
      <c r="M1270" s="212">
        <f t="shared" si="130"/>
        <v>0</v>
      </c>
      <c r="N1270" s="212">
        <f t="shared" si="130"/>
        <v>0</v>
      </c>
      <c r="O1270" s="212">
        <f t="shared" si="130"/>
        <v>0</v>
      </c>
      <c r="P1270" s="155">
        <f t="shared" si="130"/>
        <v>0</v>
      </c>
      <c r="Q1270" s="407"/>
      <c r="R1270" s="407"/>
    </row>
    <row r="1271" spans="1:18" ht="12.75" x14ac:dyDescent="0.2">
      <c r="A1271" s="152">
        <v>6222000</v>
      </c>
      <c r="B1271" s="73"/>
      <c r="C1271" s="51" t="s">
        <v>103</v>
      </c>
      <c r="D1271" s="89"/>
      <c r="E1271" s="89"/>
      <c r="F1271" s="89"/>
      <c r="G1271" s="89"/>
      <c r="H1271" s="89"/>
      <c r="I1271" s="89"/>
      <c r="J1271" s="212">
        <f t="shared" si="130"/>
        <v>0</v>
      </c>
      <c r="K1271" s="212">
        <f t="shared" si="130"/>
        <v>0</v>
      </c>
      <c r="L1271" s="212">
        <f t="shared" si="130"/>
        <v>0</v>
      </c>
      <c r="M1271" s="212">
        <f t="shared" si="130"/>
        <v>0</v>
      </c>
      <c r="N1271" s="212">
        <f t="shared" si="130"/>
        <v>0</v>
      </c>
      <c r="O1271" s="212">
        <f t="shared" si="130"/>
        <v>0</v>
      </c>
      <c r="P1271" s="155">
        <f t="shared" si="130"/>
        <v>0</v>
      </c>
      <c r="Q1271" s="407"/>
      <c r="R1271" s="407"/>
    </row>
    <row r="1272" spans="1:18" ht="12.75" x14ac:dyDescent="0.2">
      <c r="A1272" s="152">
        <v>6222000</v>
      </c>
      <c r="B1272" s="73"/>
      <c r="C1272" s="51" t="s">
        <v>104</v>
      </c>
      <c r="D1272" s="89"/>
      <c r="E1272" s="89"/>
      <c r="F1272" s="89"/>
      <c r="G1272" s="89"/>
      <c r="H1272" s="89"/>
      <c r="I1272" s="89"/>
      <c r="J1272" s="212">
        <f t="shared" si="130"/>
        <v>0</v>
      </c>
      <c r="K1272" s="212">
        <f t="shared" si="130"/>
        <v>0</v>
      </c>
      <c r="L1272" s="212">
        <f t="shared" si="130"/>
        <v>0</v>
      </c>
      <c r="M1272" s="212">
        <f t="shared" si="130"/>
        <v>0</v>
      </c>
      <c r="N1272" s="212">
        <f t="shared" si="130"/>
        <v>0</v>
      </c>
      <c r="O1272" s="212">
        <f t="shared" si="130"/>
        <v>0</v>
      </c>
      <c r="P1272" s="155">
        <f t="shared" si="130"/>
        <v>0</v>
      </c>
      <c r="Q1272" s="407"/>
      <c r="R1272" s="407"/>
    </row>
    <row r="1273" spans="1:18" ht="12.75" x14ac:dyDescent="0.2">
      <c r="A1273" s="152">
        <v>6222000</v>
      </c>
      <c r="B1273" s="73"/>
      <c r="C1273" s="51" t="s">
        <v>491</v>
      </c>
      <c r="D1273" s="89"/>
      <c r="E1273" s="89"/>
      <c r="F1273" s="89"/>
      <c r="G1273" s="89"/>
      <c r="H1273" s="89"/>
      <c r="I1273" s="89"/>
      <c r="J1273" s="212">
        <f t="shared" ref="J1273:P1282" si="131">SUMIFS(J$26:J$180,$A$26:$A$180,$A1273,$C$26:$C$180,$C1273)</f>
        <v>0</v>
      </c>
      <c r="K1273" s="212">
        <f t="shared" si="131"/>
        <v>0</v>
      </c>
      <c r="L1273" s="212">
        <f t="shared" si="131"/>
        <v>0</v>
      </c>
      <c r="M1273" s="212">
        <f t="shared" si="131"/>
        <v>0</v>
      </c>
      <c r="N1273" s="212">
        <f t="shared" si="131"/>
        <v>0</v>
      </c>
      <c r="O1273" s="212">
        <f t="shared" si="131"/>
        <v>0</v>
      </c>
      <c r="P1273" s="155">
        <f t="shared" si="131"/>
        <v>0</v>
      </c>
      <c r="Q1273" s="407"/>
      <c r="R1273" s="407"/>
    </row>
    <row r="1274" spans="1:18" ht="12.75" x14ac:dyDescent="0.2">
      <c r="A1274" s="152">
        <v>6222000</v>
      </c>
      <c r="B1274" s="73"/>
      <c r="C1274" s="51" t="s">
        <v>105</v>
      </c>
      <c r="D1274" s="89"/>
      <c r="E1274" s="89"/>
      <c r="F1274" s="89"/>
      <c r="G1274" s="89"/>
      <c r="H1274" s="89"/>
      <c r="I1274" s="89"/>
      <c r="J1274" s="212">
        <f t="shared" si="131"/>
        <v>0</v>
      </c>
      <c r="K1274" s="212">
        <f t="shared" si="131"/>
        <v>0</v>
      </c>
      <c r="L1274" s="212">
        <f t="shared" si="131"/>
        <v>0</v>
      </c>
      <c r="M1274" s="212">
        <f t="shared" si="131"/>
        <v>0</v>
      </c>
      <c r="N1274" s="212">
        <f t="shared" si="131"/>
        <v>0</v>
      </c>
      <c r="O1274" s="212">
        <f t="shared" si="131"/>
        <v>0</v>
      </c>
      <c r="P1274" s="155">
        <f t="shared" si="131"/>
        <v>0</v>
      </c>
      <c r="Q1274" s="407"/>
      <c r="R1274" s="407"/>
    </row>
    <row r="1275" spans="1:18" ht="12.75" x14ac:dyDescent="0.2">
      <c r="A1275" s="152">
        <v>6222000</v>
      </c>
      <c r="B1275" s="73"/>
      <c r="C1275" s="51" t="s">
        <v>129</v>
      </c>
      <c r="D1275" s="89"/>
      <c r="E1275" s="89"/>
      <c r="F1275" s="89"/>
      <c r="G1275" s="89"/>
      <c r="H1275" s="89"/>
      <c r="I1275" s="89"/>
      <c r="J1275" s="212">
        <f t="shared" si="131"/>
        <v>0</v>
      </c>
      <c r="K1275" s="212">
        <f t="shared" si="131"/>
        <v>0</v>
      </c>
      <c r="L1275" s="212">
        <f t="shared" si="131"/>
        <v>0</v>
      </c>
      <c r="M1275" s="212">
        <f t="shared" si="131"/>
        <v>0</v>
      </c>
      <c r="N1275" s="212">
        <f t="shared" si="131"/>
        <v>0</v>
      </c>
      <c r="O1275" s="212">
        <f t="shared" si="131"/>
        <v>0</v>
      </c>
      <c r="P1275" s="155">
        <f t="shared" si="131"/>
        <v>0</v>
      </c>
      <c r="Q1275" s="407"/>
      <c r="R1275" s="407"/>
    </row>
    <row r="1276" spans="1:18" ht="12.75" x14ac:dyDescent="0.2">
      <c r="A1276" s="152">
        <v>6222000</v>
      </c>
      <c r="B1276" s="73"/>
      <c r="C1276" s="51" t="s">
        <v>108</v>
      </c>
      <c r="D1276" s="89"/>
      <c r="E1276" s="89"/>
      <c r="F1276" s="89"/>
      <c r="G1276" s="89"/>
      <c r="H1276" s="89"/>
      <c r="I1276" s="89"/>
      <c r="J1276" s="212">
        <f t="shared" si="131"/>
        <v>0</v>
      </c>
      <c r="K1276" s="212">
        <f t="shared" si="131"/>
        <v>0</v>
      </c>
      <c r="L1276" s="212">
        <f t="shared" si="131"/>
        <v>0</v>
      </c>
      <c r="M1276" s="212">
        <f t="shared" si="131"/>
        <v>0</v>
      </c>
      <c r="N1276" s="212">
        <f t="shared" si="131"/>
        <v>0</v>
      </c>
      <c r="O1276" s="212">
        <f t="shared" si="131"/>
        <v>0</v>
      </c>
      <c r="P1276" s="155">
        <f t="shared" si="131"/>
        <v>0</v>
      </c>
      <c r="Q1276" s="407"/>
      <c r="R1276" s="407"/>
    </row>
    <row r="1277" spans="1:18" ht="12.75" x14ac:dyDescent="0.2">
      <c r="A1277" s="152">
        <v>6222000</v>
      </c>
      <c r="B1277" s="73"/>
      <c r="C1277" s="51" t="s">
        <v>119</v>
      </c>
      <c r="D1277" s="89"/>
      <c r="E1277" s="89"/>
      <c r="F1277" s="89"/>
      <c r="G1277" s="89"/>
      <c r="H1277" s="89"/>
      <c r="I1277" s="89"/>
      <c r="J1277" s="212">
        <f t="shared" si="131"/>
        <v>0</v>
      </c>
      <c r="K1277" s="212">
        <f t="shared" si="131"/>
        <v>0</v>
      </c>
      <c r="L1277" s="212">
        <f t="shared" si="131"/>
        <v>0</v>
      </c>
      <c r="M1277" s="212">
        <f t="shared" si="131"/>
        <v>0</v>
      </c>
      <c r="N1277" s="212">
        <f t="shared" si="131"/>
        <v>0</v>
      </c>
      <c r="O1277" s="212">
        <f t="shared" si="131"/>
        <v>0</v>
      </c>
      <c r="P1277" s="155">
        <f t="shared" si="131"/>
        <v>0</v>
      </c>
      <c r="Q1277" s="407"/>
      <c r="R1277" s="407"/>
    </row>
    <row r="1278" spans="1:18" ht="12.75" x14ac:dyDescent="0.2">
      <c r="A1278" s="152">
        <v>6222000</v>
      </c>
      <c r="B1278" s="73"/>
      <c r="C1278" s="51" t="s">
        <v>954</v>
      </c>
      <c r="D1278" s="89"/>
      <c r="E1278" s="89"/>
      <c r="F1278" s="89"/>
      <c r="G1278" s="89"/>
      <c r="H1278" s="89"/>
      <c r="I1278" s="89"/>
      <c r="J1278" s="212">
        <f t="shared" si="131"/>
        <v>0</v>
      </c>
      <c r="K1278" s="212">
        <f t="shared" si="131"/>
        <v>0</v>
      </c>
      <c r="L1278" s="212">
        <f t="shared" si="131"/>
        <v>0</v>
      </c>
      <c r="M1278" s="212">
        <f t="shared" si="131"/>
        <v>0</v>
      </c>
      <c r="N1278" s="212">
        <f t="shared" si="131"/>
        <v>0</v>
      </c>
      <c r="O1278" s="212">
        <f t="shared" si="131"/>
        <v>0</v>
      </c>
      <c r="P1278" s="155">
        <f t="shared" si="131"/>
        <v>0</v>
      </c>
      <c r="Q1278" s="407"/>
      <c r="R1278" s="407"/>
    </row>
    <row r="1279" spans="1:18" ht="12.75" x14ac:dyDescent="0.2">
      <c r="A1279" s="152">
        <v>6222000</v>
      </c>
      <c r="B1279" s="73"/>
      <c r="C1279" s="51" t="s">
        <v>1031</v>
      </c>
      <c r="D1279" s="89"/>
      <c r="E1279" s="89"/>
      <c r="F1279" s="89"/>
      <c r="G1279" s="89"/>
      <c r="H1279" s="89"/>
      <c r="I1279" s="89"/>
      <c r="J1279" s="212">
        <f t="shared" si="131"/>
        <v>0</v>
      </c>
      <c r="K1279" s="212">
        <f t="shared" si="131"/>
        <v>0</v>
      </c>
      <c r="L1279" s="212">
        <f t="shared" si="131"/>
        <v>0</v>
      </c>
      <c r="M1279" s="212">
        <f t="shared" si="131"/>
        <v>0</v>
      </c>
      <c r="N1279" s="212">
        <f t="shared" si="131"/>
        <v>0</v>
      </c>
      <c r="O1279" s="212">
        <f t="shared" si="131"/>
        <v>0</v>
      </c>
      <c r="P1279" s="155">
        <f t="shared" si="131"/>
        <v>0</v>
      </c>
      <c r="Q1279" s="407"/>
      <c r="R1279" s="407"/>
    </row>
    <row r="1280" spans="1:18" ht="12.75" x14ac:dyDescent="0.2">
      <c r="A1280" s="152">
        <v>6222000</v>
      </c>
      <c r="B1280" s="73"/>
      <c r="C1280" s="51" t="s">
        <v>1009</v>
      </c>
      <c r="D1280" s="89"/>
      <c r="E1280" s="89"/>
      <c r="F1280" s="89"/>
      <c r="G1280" s="89"/>
      <c r="H1280" s="89"/>
      <c r="I1280" s="89"/>
      <c r="J1280" s="212">
        <f t="shared" si="131"/>
        <v>0</v>
      </c>
      <c r="K1280" s="212">
        <f t="shared" si="131"/>
        <v>0</v>
      </c>
      <c r="L1280" s="212">
        <f t="shared" si="131"/>
        <v>0</v>
      </c>
      <c r="M1280" s="212">
        <f t="shared" si="131"/>
        <v>0</v>
      </c>
      <c r="N1280" s="212">
        <f t="shared" si="131"/>
        <v>0</v>
      </c>
      <c r="O1280" s="212">
        <f t="shared" si="131"/>
        <v>0</v>
      </c>
      <c r="P1280" s="155">
        <f t="shared" si="131"/>
        <v>0</v>
      </c>
      <c r="Q1280" s="407"/>
      <c r="R1280" s="407"/>
    </row>
    <row r="1281" spans="1:18" ht="12.75" x14ac:dyDescent="0.2">
      <c r="A1281" s="152">
        <v>6222000</v>
      </c>
      <c r="B1281" s="73"/>
      <c r="C1281" s="51" t="s">
        <v>107</v>
      </c>
      <c r="D1281" s="89"/>
      <c r="E1281" s="89"/>
      <c r="F1281" s="89"/>
      <c r="G1281" s="89"/>
      <c r="H1281" s="89"/>
      <c r="I1281" s="89"/>
      <c r="J1281" s="212">
        <f t="shared" si="131"/>
        <v>0</v>
      </c>
      <c r="K1281" s="212">
        <f t="shared" si="131"/>
        <v>0</v>
      </c>
      <c r="L1281" s="212">
        <f t="shared" si="131"/>
        <v>0</v>
      </c>
      <c r="M1281" s="212">
        <f t="shared" si="131"/>
        <v>0</v>
      </c>
      <c r="N1281" s="212">
        <f t="shared" si="131"/>
        <v>0</v>
      </c>
      <c r="O1281" s="212">
        <f t="shared" si="131"/>
        <v>0</v>
      </c>
      <c r="P1281" s="155">
        <f t="shared" si="131"/>
        <v>0</v>
      </c>
      <c r="Q1281" s="407"/>
      <c r="R1281" s="407"/>
    </row>
    <row r="1282" spans="1:18" ht="12.75" x14ac:dyDescent="0.2">
      <c r="A1282" s="152">
        <v>6222000</v>
      </c>
      <c r="B1282" s="73"/>
      <c r="C1282" s="51" t="s">
        <v>1026</v>
      </c>
      <c r="D1282" s="89"/>
      <c r="E1282" s="89"/>
      <c r="F1282" s="89"/>
      <c r="G1282" s="89"/>
      <c r="H1282" s="89"/>
      <c r="I1282" s="89"/>
      <c r="J1282" s="212">
        <f t="shared" si="131"/>
        <v>0</v>
      </c>
      <c r="K1282" s="212">
        <f t="shared" si="131"/>
        <v>0</v>
      </c>
      <c r="L1282" s="212">
        <f t="shared" si="131"/>
        <v>0</v>
      </c>
      <c r="M1282" s="212">
        <f t="shared" si="131"/>
        <v>0</v>
      </c>
      <c r="N1282" s="212">
        <f t="shared" si="131"/>
        <v>0</v>
      </c>
      <c r="O1282" s="212">
        <f t="shared" si="131"/>
        <v>0</v>
      </c>
      <c r="P1282" s="155">
        <f t="shared" si="131"/>
        <v>0</v>
      </c>
      <c r="Q1282" s="407"/>
      <c r="R1282" s="407"/>
    </row>
    <row r="1283" spans="1:18" ht="12.75" x14ac:dyDescent="0.2">
      <c r="A1283" s="152">
        <v>6222000</v>
      </c>
      <c r="B1283" s="73"/>
      <c r="C1283" s="51" t="s">
        <v>1027</v>
      </c>
      <c r="D1283" s="89"/>
      <c r="E1283" s="89"/>
      <c r="F1283" s="89"/>
      <c r="G1283" s="89"/>
      <c r="H1283" s="89"/>
      <c r="I1283" s="89"/>
      <c r="J1283" s="212">
        <f t="shared" ref="J1283:P1292" si="132">SUMIFS(J$26:J$180,$A$26:$A$180,$A1283,$C$26:$C$180,$C1283)</f>
        <v>0</v>
      </c>
      <c r="K1283" s="212">
        <f t="shared" si="132"/>
        <v>0</v>
      </c>
      <c r="L1283" s="212">
        <f t="shared" si="132"/>
        <v>0</v>
      </c>
      <c r="M1283" s="212">
        <f t="shared" si="132"/>
        <v>0</v>
      </c>
      <c r="N1283" s="212">
        <f t="shared" si="132"/>
        <v>0</v>
      </c>
      <c r="O1283" s="212">
        <f t="shared" si="132"/>
        <v>0</v>
      </c>
      <c r="P1283" s="155">
        <f t="shared" si="132"/>
        <v>0</v>
      </c>
      <c r="Q1283" s="407"/>
      <c r="R1283" s="407"/>
    </row>
    <row r="1284" spans="1:18" ht="12.75" x14ac:dyDescent="0.2">
      <c r="A1284" s="152">
        <v>6222000</v>
      </c>
      <c r="B1284" s="73"/>
      <c r="C1284" s="51" t="s">
        <v>955</v>
      </c>
      <c r="D1284" s="89"/>
      <c r="E1284" s="89"/>
      <c r="F1284" s="89"/>
      <c r="G1284" s="89"/>
      <c r="H1284" s="89"/>
      <c r="I1284" s="89"/>
      <c r="J1284" s="212">
        <f t="shared" si="132"/>
        <v>0</v>
      </c>
      <c r="K1284" s="212">
        <f t="shared" si="132"/>
        <v>0</v>
      </c>
      <c r="L1284" s="212">
        <f t="shared" si="132"/>
        <v>0</v>
      </c>
      <c r="M1284" s="212">
        <f t="shared" si="132"/>
        <v>0</v>
      </c>
      <c r="N1284" s="212">
        <f t="shared" si="132"/>
        <v>0</v>
      </c>
      <c r="O1284" s="212">
        <f t="shared" si="132"/>
        <v>0</v>
      </c>
      <c r="P1284" s="155">
        <f t="shared" si="132"/>
        <v>0</v>
      </c>
      <c r="Q1284" s="407"/>
      <c r="R1284" s="407"/>
    </row>
    <row r="1285" spans="1:18" ht="12.75" x14ac:dyDescent="0.2">
      <c r="A1285" s="152">
        <v>6222000</v>
      </c>
      <c r="B1285" s="73"/>
      <c r="C1285" s="51" t="s">
        <v>958</v>
      </c>
      <c r="D1285" s="89"/>
      <c r="E1285" s="89"/>
      <c r="F1285" s="89"/>
      <c r="G1285" s="89"/>
      <c r="H1285" s="89"/>
      <c r="I1285" s="89"/>
      <c r="J1285" s="212">
        <f t="shared" si="132"/>
        <v>0</v>
      </c>
      <c r="K1285" s="212">
        <f t="shared" si="132"/>
        <v>0</v>
      </c>
      <c r="L1285" s="212">
        <f t="shared" si="132"/>
        <v>0</v>
      </c>
      <c r="M1285" s="212">
        <f t="shared" si="132"/>
        <v>0</v>
      </c>
      <c r="N1285" s="212">
        <f t="shared" si="132"/>
        <v>0</v>
      </c>
      <c r="O1285" s="212">
        <f t="shared" si="132"/>
        <v>0</v>
      </c>
      <c r="P1285" s="155">
        <f t="shared" si="132"/>
        <v>0</v>
      </c>
      <c r="Q1285" s="407"/>
      <c r="R1285" s="407"/>
    </row>
    <row r="1286" spans="1:18" ht="12.75" x14ac:dyDescent="0.2">
      <c r="A1286" s="152">
        <v>6222000</v>
      </c>
      <c r="B1286" s="73"/>
      <c r="C1286" s="51" t="s">
        <v>1032</v>
      </c>
      <c r="D1286" s="89"/>
      <c r="E1286" s="89"/>
      <c r="F1286" s="89"/>
      <c r="G1286" s="89"/>
      <c r="H1286" s="89"/>
      <c r="I1286" s="89"/>
      <c r="J1286" s="212">
        <f t="shared" si="132"/>
        <v>0</v>
      </c>
      <c r="K1286" s="212">
        <f t="shared" si="132"/>
        <v>0</v>
      </c>
      <c r="L1286" s="212">
        <f t="shared" si="132"/>
        <v>0</v>
      </c>
      <c r="M1286" s="212">
        <f t="shared" si="132"/>
        <v>0</v>
      </c>
      <c r="N1286" s="212">
        <f t="shared" si="132"/>
        <v>0</v>
      </c>
      <c r="O1286" s="212">
        <f t="shared" si="132"/>
        <v>0</v>
      </c>
      <c r="P1286" s="155">
        <f t="shared" si="132"/>
        <v>0</v>
      </c>
      <c r="Q1286" s="407"/>
      <c r="R1286" s="407"/>
    </row>
    <row r="1287" spans="1:18" ht="12.75" x14ac:dyDescent="0.2">
      <c r="A1287" s="152">
        <v>6222000</v>
      </c>
      <c r="B1287" s="73"/>
      <c r="C1287" s="51" t="s">
        <v>109</v>
      </c>
      <c r="D1287" s="89"/>
      <c r="E1287" s="89"/>
      <c r="F1287" s="89"/>
      <c r="G1287" s="89"/>
      <c r="H1287" s="89"/>
      <c r="I1287" s="89"/>
      <c r="J1287" s="212">
        <f t="shared" si="132"/>
        <v>0</v>
      </c>
      <c r="K1287" s="212">
        <f t="shared" si="132"/>
        <v>0</v>
      </c>
      <c r="L1287" s="212">
        <f t="shared" si="132"/>
        <v>0</v>
      </c>
      <c r="M1287" s="212">
        <f t="shared" si="132"/>
        <v>0</v>
      </c>
      <c r="N1287" s="212">
        <f t="shared" si="132"/>
        <v>0</v>
      </c>
      <c r="O1287" s="212">
        <f t="shared" si="132"/>
        <v>0</v>
      </c>
      <c r="P1287" s="155">
        <f t="shared" si="132"/>
        <v>0</v>
      </c>
      <c r="Q1287" s="407"/>
      <c r="R1287" s="407"/>
    </row>
    <row r="1288" spans="1:18" ht="12.75" x14ac:dyDescent="0.2">
      <c r="A1288" s="152">
        <v>6222000</v>
      </c>
      <c r="B1288" s="73"/>
      <c r="C1288" s="51" t="s">
        <v>966</v>
      </c>
      <c r="D1288" s="89"/>
      <c r="E1288" s="89"/>
      <c r="F1288" s="89"/>
      <c r="G1288" s="89"/>
      <c r="H1288" s="89"/>
      <c r="I1288" s="89"/>
      <c r="J1288" s="212">
        <f t="shared" si="132"/>
        <v>0</v>
      </c>
      <c r="K1288" s="212">
        <f t="shared" si="132"/>
        <v>0</v>
      </c>
      <c r="L1288" s="212">
        <f t="shared" si="132"/>
        <v>0</v>
      </c>
      <c r="M1288" s="212">
        <f t="shared" si="132"/>
        <v>0</v>
      </c>
      <c r="N1288" s="212">
        <f t="shared" si="132"/>
        <v>0</v>
      </c>
      <c r="O1288" s="212">
        <f t="shared" si="132"/>
        <v>0</v>
      </c>
      <c r="P1288" s="155">
        <f t="shared" si="132"/>
        <v>0</v>
      </c>
      <c r="Q1288" s="407"/>
      <c r="R1288" s="407"/>
    </row>
    <row r="1289" spans="1:18" ht="12.75" x14ac:dyDescent="0.2">
      <c r="A1289" s="152">
        <v>6222000</v>
      </c>
      <c r="B1289" s="73"/>
      <c r="C1289" s="51" t="s">
        <v>981</v>
      </c>
      <c r="D1289" s="89"/>
      <c r="E1289" s="89"/>
      <c r="F1289" s="89"/>
      <c r="G1289" s="89"/>
      <c r="H1289" s="89"/>
      <c r="I1289" s="89"/>
      <c r="J1289" s="212">
        <f t="shared" si="132"/>
        <v>0</v>
      </c>
      <c r="K1289" s="212">
        <f t="shared" si="132"/>
        <v>0</v>
      </c>
      <c r="L1289" s="212">
        <f t="shared" si="132"/>
        <v>0</v>
      </c>
      <c r="M1289" s="212">
        <f t="shared" si="132"/>
        <v>0</v>
      </c>
      <c r="N1289" s="212">
        <f t="shared" si="132"/>
        <v>0</v>
      </c>
      <c r="O1289" s="212">
        <f t="shared" si="132"/>
        <v>0</v>
      </c>
      <c r="P1289" s="155">
        <f t="shared" si="132"/>
        <v>0</v>
      </c>
      <c r="Q1289" s="407"/>
      <c r="R1289" s="407"/>
    </row>
    <row r="1290" spans="1:18" ht="12.75" x14ac:dyDescent="0.2">
      <c r="A1290" s="152">
        <v>6222000</v>
      </c>
      <c r="B1290" s="73"/>
      <c r="C1290" s="51" t="s">
        <v>963</v>
      </c>
      <c r="D1290" s="89"/>
      <c r="E1290" s="89"/>
      <c r="F1290" s="89"/>
      <c r="G1290" s="89"/>
      <c r="H1290" s="89"/>
      <c r="I1290" s="89"/>
      <c r="J1290" s="212">
        <f t="shared" si="132"/>
        <v>0</v>
      </c>
      <c r="K1290" s="212">
        <f t="shared" si="132"/>
        <v>0</v>
      </c>
      <c r="L1290" s="212">
        <f t="shared" si="132"/>
        <v>0</v>
      </c>
      <c r="M1290" s="212">
        <f t="shared" si="132"/>
        <v>0</v>
      </c>
      <c r="N1290" s="212">
        <f t="shared" si="132"/>
        <v>0</v>
      </c>
      <c r="O1290" s="212">
        <f t="shared" si="132"/>
        <v>0</v>
      </c>
      <c r="P1290" s="155">
        <f t="shared" si="132"/>
        <v>0</v>
      </c>
      <c r="Q1290" s="407"/>
      <c r="R1290" s="407"/>
    </row>
    <row r="1291" spans="1:18" ht="12.75" x14ac:dyDescent="0.2">
      <c r="A1291" s="152">
        <v>6222000</v>
      </c>
      <c r="B1291" s="73"/>
      <c r="C1291" s="51" t="s">
        <v>120</v>
      </c>
      <c r="D1291" s="89"/>
      <c r="E1291" s="89"/>
      <c r="F1291" s="89"/>
      <c r="G1291" s="89"/>
      <c r="H1291" s="89"/>
      <c r="I1291" s="89"/>
      <c r="J1291" s="212">
        <f t="shared" si="132"/>
        <v>0</v>
      </c>
      <c r="K1291" s="212">
        <f t="shared" si="132"/>
        <v>0</v>
      </c>
      <c r="L1291" s="212">
        <f t="shared" si="132"/>
        <v>0</v>
      </c>
      <c r="M1291" s="212">
        <f t="shared" si="132"/>
        <v>0</v>
      </c>
      <c r="N1291" s="212">
        <f t="shared" si="132"/>
        <v>0</v>
      </c>
      <c r="O1291" s="212">
        <f t="shared" si="132"/>
        <v>0</v>
      </c>
      <c r="P1291" s="155">
        <f t="shared" si="132"/>
        <v>0</v>
      </c>
      <c r="Q1291" s="407"/>
      <c r="R1291" s="407"/>
    </row>
    <row r="1292" spans="1:18" ht="12.75" x14ac:dyDescent="0.2">
      <c r="A1292" s="152">
        <v>6222000</v>
      </c>
      <c r="B1292" s="73"/>
      <c r="C1292" s="51" t="s">
        <v>989</v>
      </c>
      <c r="D1292" s="89"/>
      <c r="E1292" s="89"/>
      <c r="F1292" s="89"/>
      <c r="G1292" s="89"/>
      <c r="H1292" s="89"/>
      <c r="I1292" s="89"/>
      <c r="J1292" s="212">
        <f t="shared" si="132"/>
        <v>0</v>
      </c>
      <c r="K1292" s="212">
        <f t="shared" si="132"/>
        <v>0</v>
      </c>
      <c r="L1292" s="212">
        <f t="shared" si="132"/>
        <v>0</v>
      </c>
      <c r="M1292" s="212">
        <f t="shared" si="132"/>
        <v>0</v>
      </c>
      <c r="N1292" s="212">
        <f t="shared" si="132"/>
        <v>0</v>
      </c>
      <c r="O1292" s="212">
        <f t="shared" si="132"/>
        <v>0</v>
      </c>
      <c r="P1292" s="155">
        <f t="shared" si="132"/>
        <v>0</v>
      </c>
      <c r="Q1292" s="407"/>
      <c r="R1292" s="407"/>
    </row>
    <row r="1293" spans="1:18" ht="12.75" x14ac:dyDescent="0.2">
      <c r="A1293" s="152">
        <v>6235000</v>
      </c>
      <c r="B1293" s="73"/>
      <c r="C1293" s="51" t="s">
        <v>986</v>
      </c>
      <c r="D1293" s="89"/>
      <c r="E1293" s="89"/>
      <c r="F1293" s="89"/>
      <c r="G1293" s="89"/>
      <c r="H1293" s="89"/>
      <c r="I1293" s="89"/>
      <c r="J1293" s="212">
        <f t="shared" ref="J1293:P1302" si="133">SUMIFS(J$26:J$180,$A$26:$A$180,$A1293,$C$26:$C$180,$C1293)</f>
        <v>0</v>
      </c>
      <c r="K1293" s="212">
        <f t="shared" si="133"/>
        <v>0</v>
      </c>
      <c r="L1293" s="212">
        <f t="shared" si="133"/>
        <v>0</v>
      </c>
      <c r="M1293" s="212">
        <f t="shared" si="133"/>
        <v>0</v>
      </c>
      <c r="N1293" s="212">
        <f t="shared" si="133"/>
        <v>0</v>
      </c>
      <c r="O1293" s="212">
        <f t="shared" si="133"/>
        <v>0</v>
      </c>
      <c r="P1293" s="155">
        <f t="shared" si="133"/>
        <v>0</v>
      </c>
      <c r="Q1293" s="407"/>
      <c r="R1293" s="407"/>
    </row>
    <row r="1294" spans="1:18" ht="12.75" x14ac:dyDescent="0.2">
      <c r="A1294" s="152">
        <v>6235000</v>
      </c>
      <c r="B1294" s="73"/>
      <c r="C1294" s="51" t="s">
        <v>988</v>
      </c>
      <c r="D1294" s="89"/>
      <c r="E1294" s="89"/>
      <c r="F1294" s="89"/>
      <c r="G1294" s="89"/>
      <c r="H1294" s="89"/>
      <c r="I1294" s="89"/>
      <c r="J1294" s="212">
        <f t="shared" si="133"/>
        <v>0</v>
      </c>
      <c r="K1294" s="212">
        <f t="shared" si="133"/>
        <v>0</v>
      </c>
      <c r="L1294" s="212">
        <f t="shared" si="133"/>
        <v>0</v>
      </c>
      <c r="M1294" s="212">
        <f t="shared" si="133"/>
        <v>0</v>
      </c>
      <c r="N1294" s="212">
        <f t="shared" si="133"/>
        <v>0</v>
      </c>
      <c r="O1294" s="212">
        <f t="shared" si="133"/>
        <v>0</v>
      </c>
      <c r="P1294" s="155">
        <f t="shared" si="133"/>
        <v>0</v>
      </c>
      <c r="Q1294" s="407"/>
      <c r="R1294" s="407"/>
    </row>
    <row r="1295" spans="1:18" ht="12.75" x14ac:dyDescent="0.2">
      <c r="A1295" s="152">
        <v>6235000</v>
      </c>
      <c r="B1295" s="73"/>
      <c r="C1295" s="51" t="s">
        <v>1058</v>
      </c>
      <c r="D1295" s="89"/>
      <c r="E1295" s="89"/>
      <c r="F1295" s="89"/>
      <c r="G1295" s="89"/>
      <c r="H1295" s="89"/>
      <c r="I1295" s="89"/>
      <c r="J1295" s="212">
        <f t="shared" si="133"/>
        <v>0</v>
      </c>
      <c r="K1295" s="212">
        <f t="shared" si="133"/>
        <v>0</v>
      </c>
      <c r="L1295" s="212">
        <f t="shared" si="133"/>
        <v>0</v>
      </c>
      <c r="M1295" s="212">
        <f t="shared" si="133"/>
        <v>0</v>
      </c>
      <c r="N1295" s="212">
        <f t="shared" si="133"/>
        <v>0</v>
      </c>
      <c r="O1295" s="212">
        <f t="shared" si="133"/>
        <v>0</v>
      </c>
      <c r="P1295" s="155">
        <f t="shared" si="133"/>
        <v>0</v>
      </c>
      <c r="Q1295" s="407"/>
      <c r="R1295" s="407"/>
    </row>
    <row r="1296" spans="1:18" ht="12.75" x14ac:dyDescent="0.2">
      <c r="A1296" s="152">
        <v>6235000</v>
      </c>
      <c r="B1296" s="73"/>
      <c r="C1296" s="51" t="s">
        <v>972</v>
      </c>
      <c r="D1296" s="89"/>
      <c r="E1296" s="89"/>
      <c r="F1296" s="89"/>
      <c r="G1296" s="89"/>
      <c r="H1296" s="89"/>
      <c r="I1296" s="89"/>
      <c r="J1296" s="212">
        <f t="shared" si="133"/>
        <v>0</v>
      </c>
      <c r="K1296" s="212">
        <f t="shared" si="133"/>
        <v>0</v>
      </c>
      <c r="L1296" s="212">
        <f t="shared" si="133"/>
        <v>0</v>
      </c>
      <c r="M1296" s="212">
        <f t="shared" si="133"/>
        <v>0</v>
      </c>
      <c r="N1296" s="212">
        <f t="shared" si="133"/>
        <v>0</v>
      </c>
      <c r="O1296" s="212">
        <f t="shared" si="133"/>
        <v>0</v>
      </c>
      <c r="P1296" s="155">
        <f t="shared" si="133"/>
        <v>0</v>
      </c>
      <c r="Q1296" s="407"/>
      <c r="R1296" s="407"/>
    </row>
    <row r="1297" spans="1:18" ht="12.75" x14ac:dyDescent="0.2">
      <c r="A1297" s="152">
        <v>6235000</v>
      </c>
      <c r="B1297" s="73"/>
      <c r="C1297" s="51" t="s">
        <v>973</v>
      </c>
      <c r="D1297" s="89"/>
      <c r="E1297" s="89"/>
      <c r="F1297" s="89"/>
      <c r="G1297" s="89"/>
      <c r="H1297" s="89"/>
      <c r="I1297" s="89"/>
      <c r="J1297" s="212">
        <f t="shared" si="133"/>
        <v>0</v>
      </c>
      <c r="K1297" s="212">
        <f t="shared" si="133"/>
        <v>0</v>
      </c>
      <c r="L1297" s="212">
        <f t="shared" si="133"/>
        <v>0</v>
      </c>
      <c r="M1297" s="212">
        <f t="shared" si="133"/>
        <v>0</v>
      </c>
      <c r="N1297" s="212">
        <f t="shared" si="133"/>
        <v>0</v>
      </c>
      <c r="O1297" s="212">
        <f t="shared" si="133"/>
        <v>0</v>
      </c>
      <c r="P1297" s="155">
        <f t="shared" si="133"/>
        <v>0</v>
      </c>
      <c r="Q1297" s="407"/>
      <c r="R1297" s="407"/>
    </row>
    <row r="1298" spans="1:18" ht="12.75" x14ac:dyDescent="0.2">
      <c r="A1298" s="152">
        <v>6235000</v>
      </c>
      <c r="B1298" s="73"/>
      <c r="C1298" s="51" t="s">
        <v>980</v>
      </c>
      <c r="D1298" s="89"/>
      <c r="E1298" s="89"/>
      <c r="F1298" s="89"/>
      <c r="G1298" s="89"/>
      <c r="H1298" s="89"/>
      <c r="I1298" s="89"/>
      <c r="J1298" s="212">
        <f t="shared" si="133"/>
        <v>0</v>
      </c>
      <c r="K1298" s="212">
        <f t="shared" si="133"/>
        <v>0</v>
      </c>
      <c r="L1298" s="212">
        <f t="shared" si="133"/>
        <v>0</v>
      </c>
      <c r="M1298" s="212">
        <f t="shared" si="133"/>
        <v>0</v>
      </c>
      <c r="N1298" s="212">
        <f t="shared" si="133"/>
        <v>0</v>
      </c>
      <c r="O1298" s="212">
        <f t="shared" si="133"/>
        <v>0</v>
      </c>
      <c r="P1298" s="155">
        <f t="shared" si="133"/>
        <v>0</v>
      </c>
      <c r="Q1298" s="407"/>
      <c r="R1298" s="407"/>
    </row>
    <row r="1299" spans="1:18" ht="12.75" x14ac:dyDescent="0.2">
      <c r="A1299" s="152">
        <v>6235000</v>
      </c>
      <c r="B1299" s="73"/>
      <c r="C1299" s="51" t="s">
        <v>982</v>
      </c>
      <c r="D1299" s="89"/>
      <c r="E1299" s="89"/>
      <c r="F1299" s="89"/>
      <c r="G1299" s="89"/>
      <c r="H1299" s="89"/>
      <c r="I1299" s="89"/>
      <c r="J1299" s="212">
        <f t="shared" si="133"/>
        <v>0</v>
      </c>
      <c r="K1299" s="212">
        <f t="shared" si="133"/>
        <v>0</v>
      </c>
      <c r="L1299" s="212">
        <f t="shared" si="133"/>
        <v>0</v>
      </c>
      <c r="M1299" s="212">
        <f t="shared" si="133"/>
        <v>0</v>
      </c>
      <c r="N1299" s="212">
        <f t="shared" si="133"/>
        <v>0</v>
      </c>
      <c r="O1299" s="212">
        <f t="shared" si="133"/>
        <v>0</v>
      </c>
      <c r="P1299" s="155">
        <f t="shared" si="133"/>
        <v>0</v>
      </c>
      <c r="Q1299" s="407"/>
      <c r="R1299" s="407"/>
    </row>
    <row r="1300" spans="1:18" ht="12.75" x14ac:dyDescent="0.2">
      <c r="A1300" s="152">
        <v>6235000</v>
      </c>
      <c r="B1300" s="73"/>
      <c r="C1300" s="51" t="s">
        <v>46</v>
      </c>
      <c r="D1300" s="89"/>
      <c r="E1300" s="89"/>
      <c r="F1300" s="89"/>
      <c r="G1300" s="89"/>
      <c r="H1300" s="89"/>
      <c r="I1300" s="89"/>
      <c r="J1300" s="212">
        <f t="shared" si="133"/>
        <v>16000</v>
      </c>
      <c r="K1300" s="212">
        <f t="shared" si="133"/>
        <v>0</v>
      </c>
      <c r="L1300" s="212">
        <f t="shared" si="133"/>
        <v>27000</v>
      </c>
      <c r="M1300" s="212">
        <f t="shared" si="133"/>
        <v>1750</v>
      </c>
      <c r="N1300" s="212">
        <f t="shared" si="133"/>
        <v>1750</v>
      </c>
      <c r="O1300" s="212">
        <f t="shared" si="133"/>
        <v>9300</v>
      </c>
      <c r="P1300" s="155">
        <f t="shared" si="133"/>
        <v>55800</v>
      </c>
      <c r="Q1300" s="407"/>
      <c r="R1300" s="407"/>
    </row>
    <row r="1301" spans="1:18" ht="12.75" x14ac:dyDescent="0.2">
      <c r="A1301" s="152">
        <v>6235000</v>
      </c>
      <c r="B1301" s="73"/>
      <c r="C1301" s="51" t="s">
        <v>1019</v>
      </c>
      <c r="D1301" s="89"/>
      <c r="E1301" s="89"/>
      <c r="F1301" s="89"/>
      <c r="G1301" s="89"/>
      <c r="H1301" s="89"/>
      <c r="I1301" s="89"/>
      <c r="J1301" s="212">
        <f t="shared" si="133"/>
        <v>1650</v>
      </c>
      <c r="K1301" s="212">
        <f t="shared" si="133"/>
        <v>4500</v>
      </c>
      <c r="L1301" s="212">
        <f t="shared" si="133"/>
        <v>7500</v>
      </c>
      <c r="M1301" s="212">
        <f t="shared" si="133"/>
        <v>300</v>
      </c>
      <c r="N1301" s="212">
        <f t="shared" si="133"/>
        <v>150</v>
      </c>
      <c r="O1301" s="212">
        <f t="shared" si="133"/>
        <v>20900</v>
      </c>
      <c r="P1301" s="155">
        <f t="shared" si="133"/>
        <v>35000</v>
      </c>
      <c r="Q1301" s="407"/>
      <c r="R1301" s="407"/>
    </row>
    <row r="1302" spans="1:18" ht="12.75" x14ac:dyDescent="0.2">
      <c r="A1302" s="152">
        <v>6235000</v>
      </c>
      <c r="B1302" s="73"/>
      <c r="C1302" s="51" t="s">
        <v>1050</v>
      </c>
      <c r="D1302" s="89"/>
      <c r="E1302" s="89"/>
      <c r="F1302" s="89"/>
      <c r="G1302" s="89"/>
      <c r="H1302" s="89"/>
      <c r="I1302" s="89"/>
      <c r="J1302" s="212">
        <f t="shared" si="133"/>
        <v>0</v>
      </c>
      <c r="K1302" s="212">
        <f t="shared" si="133"/>
        <v>0</v>
      </c>
      <c r="L1302" s="212">
        <f t="shared" si="133"/>
        <v>0</v>
      </c>
      <c r="M1302" s="212">
        <f t="shared" si="133"/>
        <v>0</v>
      </c>
      <c r="N1302" s="212">
        <f t="shared" si="133"/>
        <v>0</v>
      </c>
      <c r="O1302" s="212">
        <f t="shared" si="133"/>
        <v>0</v>
      </c>
      <c r="P1302" s="155">
        <f t="shared" si="133"/>
        <v>0</v>
      </c>
      <c r="Q1302" s="407"/>
      <c r="R1302" s="407"/>
    </row>
    <row r="1303" spans="1:18" ht="12.75" x14ac:dyDescent="0.2">
      <c r="A1303" s="152">
        <v>6235000</v>
      </c>
      <c r="B1303" s="73"/>
      <c r="C1303" s="51" t="s">
        <v>100</v>
      </c>
      <c r="D1303" s="89"/>
      <c r="E1303" s="89"/>
      <c r="F1303" s="89"/>
      <c r="G1303" s="89"/>
      <c r="H1303" s="89"/>
      <c r="I1303" s="89"/>
      <c r="J1303" s="212">
        <f t="shared" ref="J1303:P1312" si="134">SUMIFS(J$26:J$180,$A$26:$A$180,$A1303,$C$26:$C$180,$C1303)</f>
        <v>0</v>
      </c>
      <c r="K1303" s="212">
        <f t="shared" si="134"/>
        <v>0</v>
      </c>
      <c r="L1303" s="212">
        <f t="shared" si="134"/>
        <v>0</v>
      </c>
      <c r="M1303" s="212">
        <f t="shared" si="134"/>
        <v>0</v>
      </c>
      <c r="N1303" s="212">
        <f t="shared" si="134"/>
        <v>0</v>
      </c>
      <c r="O1303" s="212">
        <f t="shared" si="134"/>
        <v>0</v>
      </c>
      <c r="P1303" s="155">
        <f t="shared" si="134"/>
        <v>0</v>
      </c>
      <c r="Q1303" s="407"/>
      <c r="R1303" s="407"/>
    </row>
    <row r="1304" spans="1:18" ht="12.75" x14ac:dyDescent="0.2">
      <c r="A1304" s="152">
        <v>6235000</v>
      </c>
      <c r="B1304" s="73"/>
      <c r="C1304" s="51" t="s">
        <v>101</v>
      </c>
      <c r="D1304" s="89"/>
      <c r="E1304" s="89"/>
      <c r="F1304" s="89"/>
      <c r="G1304" s="89"/>
      <c r="H1304" s="89"/>
      <c r="I1304" s="89"/>
      <c r="J1304" s="212">
        <f t="shared" si="134"/>
        <v>0</v>
      </c>
      <c r="K1304" s="212">
        <f t="shared" si="134"/>
        <v>0</v>
      </c>
      <c r="L1304" s="212">
        <f t="shared" si="134"/>
        <v>0</v>
      </c>
      <c r="M1304" s="212">
        <f t="shared" si="134"/>
        <v>0</v>
      </c>
      <c r="N1304" s="212">
        <f t="shared" si="134"/>
        <v>0</v>
      </c>
      <c r="O1304" s="212">
        <f t="shared" si="134"/>
        <v>0</v>
      </c>
      <c r="P1304" s="155">
        <f t="shared" si="134"/>
        <v>0</v>
      </c>
      <c r="Q1304" s="407"/>
      <c r="R1304" s="407"/>
    </row>
    <row r="1305" spans="1:18" ht="12.75" x14ac:dyDescent="0.2">
      <c r="A1305" s="152">
        <v>6235000</v>
      </c>
      <c r="B1305" s="73"/>
      <c r="C1305" s="51" t="s">
        <v>1056</v>
      </c>
      <c r="D1305" s="89"/>
      <c r="E1305" s="89"/>
      <c r="F1305" s="89"/>
      <c r="G1305" s="89"/>
      <c r="H1305" s="89"/>
      <c r="I1305" s="89"/>
      <c r="J1305" s="212">
        <f t="shared" si="134"/>
        <v>0</v>
      </c>
      <c r="K1305" s="212">
        <f t="shared" si="134"/>
        <v>0</v>
      </c>
      <c r="L1305" s="212">
        <f t="shared" si="134"/>
        <v>0</v>
      </c>
      <c r="M1305" s="212">
        <f t="shared" si="134"/>
        <v>0</v>
      </c>
      <c r="N1305" s="212">
        <f t="shared" si="134"/>
        <v>0</v>
      </c>
      <c r="O1305" s="212">
        <f t="shared" si="134"/>
        <v>0</v>
      </c>
      <c r="P1305" s="155">
        <f t="shared" si="134"/>
        <v>0</v>
      </c>
      <c r="Q1305" s="407"/>
      <c r="R1305" s="407"/>
    </row>
    <row r="1306" spans="1:18" ht="12.75" x14ac:dyDescent="0.2">
      <c r="A1306" s="152">
        <v>6235000</v>
      </c>
      <c r="B1306" s="73"/>
      <c r="C1306" s="51" t="s">
        <v>1057</v>
      </c>
      <c r="D1306" s="89"/>
      <c r="E1306" s="89"/>
      <c r="F1306" s="89"/>
      <c r="G1306" s="89"/>
      <c r="H1306" s="89"/>
      <c r="I1306" s="89"/>
      <c r="J1306" s="212">
        <f t="shared" si="134"/>
        <v>0</v>
      </c>
      <c r="K1306" s="212">
        <f t="shared" si="134"/>
        <v>0</v>
      </c>
      <c r="L1306" s="212">
        <f t="shared" si="134"/>
        <v>0</v>
      </c>
      <c r="M1306" s="212">
        <f t="shared" si="134"/>
        <v>0</v>
      </c>
      <c r="N1306" s="212">
        <f t="shared" si="134"/>
        <v>0</v>
      </c>
      <c r="O1306" s="212">
        <f t="shared" si="134"/>
        <v>0</v>
      </c>
      <c r="P1306" s="155">
        <f t="shared" si="134"/>
        <v>0</v>
      </c>
      <c r="Q1306" s="407"/>
      <c r="R1306" s="407"/>
    </row>
    <row r="1307" spans="1:18" ht="12.75" x14ac:dyDescent="0.2">
      <c r="A1307" s="152">
        <v>6235000</v>
      </c>
      <c r="B1307" s="73"/>
      <c r="C1307" s="51" t="s">
        <v>944</v>
      </c>
      <c r="D1307" s="89"/>
      <c r="E1307" s="89"/>
      <c r="F1307" s="89"/>
      <c r="G1307" s="89"/>
      <c r="H1307" s="89"/>
      <c r="I1307" s="89"/>
      <c r="J1307" s="212">
        <f t="shared" si="134"/>
        <v>0</v>
      </c>
      <c r="K1307" s="212">
        <f t="shared" si="134"/>
        <v>0</v>
      </c>
      <c r="L1307" s="212">
        <f t="shared" si="134"/>
        <v>0</v>
      </c>
      <c r="M1307" s="212">
        <f t="shared" si="134"/>
        <v>0</v>
      </c>
      <c r="N1307" s="212">
        <f t="shared" si="134"/>
        <v>0</v>
      </c>
      <c r="O1307" s="212">
        <f t="shared" si="134"/>
        <v>0</v>
      </c>
      <c r="P1307" s="155">
        <f t="shared" si="134"/>
        <v>0</v>
      </c>
      <c r="Q1307" s="407"/>
      <c r="R1307" s="407"/>
    </row>
    <row r="1308" spans="1:18" ht="12.75" x14ac:dyDescent="0.2">
      <c r="A1308" s="152">
        <v>6235000</v>
      </c>
      <c r="B1308" s="73"/>
      <c r="C1308" s="51" t="s">
        <v>945</v>
      </c>
      <c r="D1308" s="89"/>
      <c r="E1308" s="89"/>
      <c r="F1308" s="89"/>
      <c r="G1308" s="89"/>
      <c r="H1308" s="89"/>
      <c r="I1308" s="89"/>
      <c r="J1308" s="212">
        <f t="shared" si="134"/>
        <v>0</v>
      </c>
      <c r="K1308" s="212">
        <f t="shared" si="134"/>
        <v>0</v>
      </c>
      <c r="L1308" s="212">
        <f t="shared" si="134"/>
        <v>0</v>
      </c>
      <c r="M1308" s="212">
        <f t="shared" si="134"/>
        <v>0</v>
      </c>
      <c r="N1308" s="212">
        <f t="shared" si="134"/>
        <v>0</v>
      </c>
      <c r="O1308" s="212">
        <f t="shared" si="134"/>
        <v>0</v>
      </c>
      <c r="P1308" s="155">
        <f t="shared" si="134"/>
        <v>0</v>
      </c>
      <c r="Q1308" s="407"/>
      <c r="R1308" s="407"/>
    </row>
    <row r="1309" spans="1:18" ht="12.75" x14ac:dyDescent="0.2">
      <c r="A1309" s="152">
        <v>6235000</v>
      </c>
      <c r="B1309" s="73"/>
      <c r="C1309" s="51" t="s">
        <v>965</v>
      </c>
      <c r="D1309" s="89"/>
      <c r="E1309" s="89"/>
      <c r="F1309" s="89"/>
      <c r="G1309" s="89"/>
      <c r="H1309" s="89"/>
      <c r="I1309" s="89"/>
      <c r="J1309" s="212">
        <f t="shared" si="134"/>
        <v>0</v>
      </c>
      <c r="K1309" s="212">
        <f t="shared" si="134"/>
        <v>0</v>
      </c>
      <c r="L1309" s="212">
        <f t="shared" si="134"/>
        <v>0</v>
      </c>
      <c r="M1309" s="212">
        <f t="shared" si="134"/>
        <v>0</v>
      </c>
      <c r="N1309" s="212">
        <f t="shared" si="134"/>
        <v>0</v>
      </c>
      <c r="O1309" s="212">
        <f t="shared" si="134"/>
        <v>0</v>
      </c>
      <c r="P1309" s="155">
        <f t="shared" si="134"/>
        <v>0</v>
      </c>
      <c r="Q1309" s="407"/>
      <c r="R1309" s="407"/>
    </row>
    <row r="1310" spans="1:18" ht="12.75" x14ac:dyDescent="0.2">
      <c r="A1310" s="152">
        <v>6235000</v>
      </c>
      <c r="B1310" s="73"/>
      <c r="C1310" s="51" t="s">
        <v>1011</v>
      </c>
      <c r="D1310" s="89"/>
      <c r="E1310" s="89"/>
      <c r="F1310" s="89"/>
      <c r="G1310" s="89"/>
      <c r="H1310" s="89"/>
      <c r="I1310" s="89"/>
      <c r="J1310" s="212">
        <f t="shared" si="134"/>
        <v>0</v>
      </c>
      <c r="K1310" s="212">
        <f t="shared" si="134"/>
        <v>0</v>
      </c>
      <c r="L1310" s="212">
        <f t="shared" si="134"/>
        <v>0</v>
      </c>
      <c r="M1310" s="212">
        <f t="shared" si="134"/>
        <v>0</v>
      </c>
      <c r="N1310" s="212">
        <f t="shared" si="134"/>
        <v>0</v>
      </c>
      <c r="O1310" s="212">
        <f t="shared" si="134"/>
        <v>0</v>
      </c>
      <c r="P1310" s="155">
        <f t="shared" si="134"/>
        <v>0</v>
      </c>
      <c r="Q1310" s="407"/>
      <c r="R1310" s="407"/>
    </row>
    <row r="1311" spans="1:18" ht="12.75" x14ac:dyDescent="0.2">
      <c r="A1311" s="152">
        <v>6235000</v>
      </c>
      <c r="B1311" s="73"/>
      <c r="C1311" s="51" t="s">
        <v>1010</v>
      </c>
      <c r="D1311" s="89"/>
      <c r="E1311" s="89"/>
      <c r="F1311" s="89"/>
      <c r="G1311" s="89"/>
      <c r="H1311" s="89"/>
      <c r="I1311" s="89"/>
      <c r="J1311" s="212">
        <f t="shared" si="134"/>
        <v>0</v>
      </c>
      <c r="K1311" s="212">
        <f t="shared" si="134"/>
        <v>0</v>
      </c>
      <c r="L1311" s="212">
        <f t="shared" si="134"/>
        <v>0</v>
      </c>
      <c r="M1311" s="212">
        <f t="shared" si="134"/>
        <v>0</v>
      </c>
      <c r="N1311" s="212">
        <f t="shared" si="134"/>
        <v>0</v>
      </c>
      <c r="O1311" s="212">
        <f t="shared" si="134"/>
        <v>0</v>
      </c>
      <c r="P1311" s="155">
        <f t="shared" si="134"/>
        <v>0</v>
      </c>
      <c r="Q1311" s="407"/>
      <c r="R1311" s="407"/>
    </row>
    <row r="1312" spans="1:18" ht="12.75" x14ac:dyDescent="0.2">
      <c r="A1312" s="152">
        <v>6235000</v>
      </c>
      <c r="B1312" s="73"/>
      <c r="C1312" s="51" t="s">
        <v>1013</v>
      </c>
      <c r="D1312" s="89"/>
      <c r="E1312" s="89"/>
      <c r="F1312" s="89"/>
      <c r="G1312" s="89"/>
      <c r="H1312" s="89"/>
      <c r="I1312" s="89"/>
      <c r="J1312" s="212">
        <f t="shared" si="134"/>
        <v>0</v>
      </c>
      <c r="K1312" s="212">
        <f t="shared" si="134"/>
        <v>0</v>
      </c>
      <c r="L1312" s="212">
        <f t="shared" si="134"/>
        <v>0</v>
      </c>
      <c r="M1312" s="212">
        <f t="shared" si="134"/>
        <v>0</v>
      </c>
      <c r="N1312" s="212">
        <f t="shared" si="134"/>
        <v>0</v>
      </c>
      <c r="O1312" s="212">
        <f t="shared" si="134"/>
        <v>0</v>
      </c>
      <c r="P1312" s="155">
        <f t="shared" si="134"/>
        <v>0</v>
      </c>
      <c r="Q1312" s="407"/>
      <c r="R1312" s="407"/>
    </row>
    <row r="1313" spans="1:18" ht="12.75" x14ac:dyDescent="0.2">
      <c r="A1313" s="152">
        <v>6235000</v>
      </c>
      <c r="B1313" s="73"/>
      <c r="C1313" s="51" t="s">
        <v>1012</v>
      </c>
      <c r="D1313" s="89"/>
      <c r="E1313" s="89"/>
      <c r="F1313" s="89"/>
      <c r="G1313" s="89"/>
      <c r="H1313" s="89"/>
      <c r="I1313" s="89"/>
      <c r="J1313" s="212">
        <f t="shared" ref="J1313:P1322" si="135">SUMIFS(J$26:J$180,$A$26:$A$180,$A1313,$C$26:$C$180,$C1313)</f>
        <v>0</v>
      </c>
      <c r="K1313" s="212">
        <f t="shared" si="135"/>
        <v>0</v>
      </c>
      <c r="L1313" s="212">
        <f t="shared" si="135"/>
        <v>0</v>
      </c>
      <c r="M1313" s="212">
        <f t="shared" si="135"/>
        <v>0</v>
      </c>
      <c r="N1313" s="212">
        <f t="shared" si="135"/>
        <v>0</v>
      </c>
      <c r="O1313" s="212">
        <f t="shared" si="135"/>
        <v>0</v>
      </c>
      <c r="P1313" s="155">
        <f t="shared" si="135"/>
        <v>0</v>
      </c>
      <c r="Q1313" s="407"/>
      <c r="R1313" s="407"/>
    </row>
    <row r="1314" spans="1:18" ht="12.75" x14ac:dyDescent="0.2">
      <c r="A1314" s="152">
        <v>6235000</v>
      </c>
      <c r="B1314" s="73"/>
      <c r="C1314" s="51" t="s">
        <v>1052</v>
      </c>
      <c r="D1314" s="89"/>
      <c r="E1314" s="89"/>
      <c r="F1314" s="89"/>
      <c r="G1314" s="89"/>
      <c r="H1314" s="89"/>
      <c r="I1314" s="89"/>
      <c r="J1314" s="212">
        <f t="shared" si="135"/>
        <v>0</v>
      </c>
      <c r="K1314" s="212">
        <f t="shared" si="135"/>
        <v>0</v>
      </c>
      <c r="L1314" s="212">
        <f t="shared" si="135"/>
        <v>0</v>
      </c>
      <c r="M1314" s="212">
        <f t="shared" si="135"/>
        <v>0</v>
      </c>
      <c r="N1314" s="212">
        <f t="shared" si="135"/>
        <v>0</v>
      </c>
      <c r="O1314" s="212">
        <f t="shared" si="135"/>
        <v>0</v>
      </c>
      <c r="P1314" s="155">
        <f t="shared" si="135"/>
        <v>0</v>
      </c>
      <c r="Q1314" s="407"/>
      <c r="R1314" s="407"/>
    </row>
    <row r="1315" spans="1:18" ht="12.75" x14ac:dyDescent="0.2">
      <c r="A1315" s="152">
        <v>6235000</v>
      </c>
      <c r="B1315" s="73"/>
      <c r="C1315" s="51" t="s">
        <v>1053</v>
      </c>
      <c r="D1315" s="89"/>
      <c r="E1315" s="89"/>
      <c r="F1315" s="89"/>
      <c r="G1315" s="89"/>
      <c r="H1315" s="89"/>
      <c r="I1315" s="89"/>
      <c r="J1315" s="212">
        <f t="shared" si="135"/>
        <v>0</v>
      </c>
      <c r="K1315" s="212">
        <f t="shared" si="135"/>
        <v>0</v>
      </c>
      <c r="L1315" s="212">
        <f t="shared" si="135"/>
        <v>0</v>
      </c>
      <c r="M1315" s="212">
        <f t="shared" si="135"/>
        <v>0</v>
      </c>
      <c r="N1315" s="212">
        <f t="shared" si="135"/>
        <v>0</v>
      </c>
      <c r="O1315" s="212">
        <f t="shared" si="135"/>
        <v>0</v>
      </c>
      <c r="P1315" s="155">
        <f t="shared" si="135"/>
        <v>0</v>
      </c>
      <c r="Q1315" s="407"/>
      <c r="R1315" s="407"/>
    </row>
    <row r="1316" spans="1:18" ht="12.75" x14ac:dyDescent="0.2">
      <c r="A1316" s="152">
        <v>6235000</v>
      </c>
      <c r="B1316" s="73"/>
      <c r="C1316" s="51" t="s">
        <v>984</v>
      </c>
      <c r="D1316" s="89"/>
      <c r="E1316" s="89"/>
      <c r="F1316" s="89"/>
      <c r="G1316" s="89"/>
      <c r="H1316" s="89"/>
      <c r="I1316" s="89"/>
      <c r="J1316" s="212">
        <f t="shared" si="135"/>
        <v>0</v>
      </c>
      <c r="K1316" s="212">
        <f t="shared" si="135"/>
        <v>0</v>
      </c>
      <c r="L1316" s="212">
        <f t="shared" si="135"/>
        <v>0</v>
      </c>
      <c r="M1316" s="212">
        <f t="shared" si="135"/>
        <v>0</v>
      </c>
      <c r="N1316" s="212">
        <f t="shared" si="135"/>
        <v>0</v>
      </c>
      <c r="O1316" s="212">
        <f t="shared" si="135"/>
        <v>0</v>
      </c>
      <c r="P1316" s="155">
        <f t="shared" si="135"/>
        <v>0</v>
      </c>
      <c r="Q1316" s="407"/>
      <c r="R1316" s="407"/>
    </row>
    <row r="1317" spans="1:18" ht="12.75" x14ac:dyDescent="0.2">
      <c r="A1317" s="152">
        <v>6235000</v>
      </c>
      <c r="B1317" s="73"/>
      <c r="C1317" s="51" t="s">
        <v>985</v>
      </c>
      <c r="D1317" s="89"/>
      <c r="E1317" s="89"/>
      <c r="F1317" s="89"/>
      <c r="G1317" s="89"/>
      <c r="H1317" s="89"/>
      <c r="I1317" s="89"/>
      <c r="J1317" s="212">
        <f t="shared" si="135"/>
        <v>0</v>
      </c>
      <c r="K1317" s="212">
        <f t="shared" si="135"/>
        <v>0</v>
      </c>
      <c r="L1317" s="212">
        <f t="shared" si="135"/>
        <v>0</v>
      </c>
      <c r="M1317" s="212">
        <f t="shared" si="135"/>
        <v>0</v>
      </c>
      <c r="N1317" s="212">
        <f t="shared" si="135"/>
        <v>0</v>
      </c>
      <c r="O1317" s="212">
        <f t="shared" si="135"/>
        <v>0</v>
      </c>
      <c r="P1317" s="155">
        <f t="shared" si="135"/>
        <v>0</v>
      </c>
      <c r="Q1317" s="407"/>
      <c r="R1317" s="407"/>
    </row>
    <row r="1318" spans="1:18" ht="12.75" x14ac:dyDescent="0.2">
      <c r="A1318" s="152">
        <v>6235000</v>
      </c>
      <c r="B1318" s="73"/>
      <c r="C1318" s="51" t="s">
        <v>1005</v>
      </c>
      <c r="D1318" s="89"/>
      <c r="E1318" s="89"/>
      <c r="F1318" s="89"/>
      <c r="G1318" s="89"/>
      <c r="H1318" s="89"/>
      <c r="I1318" s="89"/>
      <c r="J1318" s="212">
        <f t="shared" si="135"/>
        <v>0</v>
      </c>
      <c r="K1318" s="212">
        <f t="shared" si="135"/>
        <v>0</v>
      </c>
      <c r="L1318" s="212">
        <f t="shared" si="135"/>
        <v>0</v>
      </c>
      <c r="M1318" s="212">
        <f t="shared" si="135"/>
        <v>0</v>
      </c>
      <c r="N1318" s="212">
        <f t="shared" si="135"/>
        <v>0</v>
      </c>
      <c r="O1318" s="212">
        <f t="shared" si="135"/>
        <v>0</v>
      </c>
      <c r="P1318" s="155">
        <f t="shared" si="135"/>
        <v>0</v>
      </c>
      <c r="Q1318" s="407"/>
      <c r="R1318" s="407"/>
    </row>
    <row r="1319" spans="1:18" ht="12.75" x14ac:dyDescent="0.2">
      <c r="A1319" s="152">
        <v>6235000</v>
      </c>
      <c r="B1319" s="73"/>
      <c r="C1319" s="51" t="s">
        <v>1004</v>
      </c>
      <c r="D1319" s="89"/>
      <c r="E1319" s="89"/>
      <c r="F1319" s="89"/>
      <c r="G1319" s="89"/>
      <c r="H1319" s="89"/>
      <c r="I1319" s="89"/>
      <c r="J1319" s="212">
        <f t="shared" si="135"/>
        <v>0</v>
      </c>
      <c r="K1319" s="212">
        <f t="shared" si="135"/>
        <v>0</v>
      </c>
      <c r="L1319" s="212">
        <f t="shared" si="135"/>
        <v>0</v>
      </c>
      <c r="M1319" s="212">
        <f t="shared" si="135"/>
        <v>0</v>
      </c>
      <c r="N1319" s="212">
        <f t="shared" si="135"/>
        <v>0</v>
      </c>
      <c r="O1319" s="212">
        <f t="shared" si="135"/>
        <v>0</v>
      </c>
      <c r="P1319" s="155">
        <f t="shared" si="135"/>
        <v>0</v>
      </c>
      <c r="Q1319" s="407"/>
      <c r="R1319" s="407"/>
    </row>
    <row r="1320" spans="1:18" ht="12.75" x14ac:dyDescent="0.2">
      <c r="A1320" s="152">
        <v>6235000</v>
      </c>
      <c r="B1320" s="73"/>
      <c r="C1320" s="51" t="s">
        <v>1008</v>
      </c>
      <c r="D1320" s="89"/>
      <c r="E1320" s="89"/>
      <c r="F1320" s="89"/>
      <c r="G1320" s="89"/>
      <c r="H1320" s="89"/>
      <c r="I1320" s="89"/>
      <c r="J1320" s="212">
        <f t="shared" si="135"/>
        <v>0</v>
      </c>
      <c r="K1320" s="212">
        <f t="shared" si="135"/>
        <v>0</v>
      </c>
      <c r="L1320" s="212">
        <f t="shared" si="135"/>
        <v>0</v>
      </c>
      <c r="M1320" s="212">
        <f t="shared" si="135"/>
        <v>0</v>
      </c>
      <c r="N1320" s="212">
        <f t="shared" si="135"/>
        <v>0</v>
      </c>
      <c r="O1320" s="212">
        <f t="shared" si="135"/>
        <v>0</v>
      </c>
      <c r="P1320" s="155">
        <f t="shared" si="135"/>
        <v>0</v>
      </c>
      <c r="Q1320" s="407"/>
      <c r="R1320" s="407"/>
    </row>
    <row r="1321" spans="1:18" ht="12.75" x14ac:dyDescent="0.2">
      <c r="A1321" s="152">
        <v>6235000</v>
      </c>
      <c r="B1321" s="73"/>
      <c r="C1321" s="51" t="s">
        <v>1006</v>
      </c>
      <c r="D1321" s="89"/>
      <c r="E1321" s="89"/>
      <c r="F1321" s="89"/>
      <c r="G1321" s="89"/>
      <c r="H1321" s="89"/>
      <c r="I1321" s="89"/>
      <c r="J1321" s="212">
        <f t="shared" si="135"/>
        <v>0</v>
      </c>
      <c r="K1321" s="212">
        <f t="shared" si="135"/>
        <v>0</v>
      </c>
      <c r="L1321" s="212">
        <f t="shared" si="135"/>
        <v>0</v>
      </c>
      <c r="M1321" s="212">
        <f t="shared" si="135"/>
        <v>0</v>
      </c>
      <c r="N1321" s="212">
        <f t="shared" si="135"/>
        <v>0</v>
      </c>
      <c r="O1321" s="212">
        <f t="shared" si="135"/>
        <v>0</v>
      </c>
      <c r="P1321" s="155">
        <f t="shared" si="135"/>
        <v>0</v>
      </c>
      <c r="Q1321" s="407"/>
      <c r="R1321" s="407"/>
    </row>
    <row r="1322" spans="1:18" ht="12.75" x14ac:dyDescent="0.2">
      <c r="A1322" s="152">
        <v>6235000</v>
      </c>
      <c r="B1322" s="73"/>
      <c r="C1322" s="51" t="s">
        <v>1034</v>
      </c>
      <c r="D1322" s="89"/>
      <c r="E1322" s="89"/>
      <c r="F1322" s="89"/>
      <c r="G1322" s="89"/>
      <c r="H1322" s="89"/>
      <c r="I1322" s="89"/>
      <c r="J1322" s="212">
        <f t="shared" si="135"/>
        <v>0</v>
      </c>
      <c r="K1322" s="212">
        <f t="shared" si="135"/>
        <v>0</v>
      </c>
      <c r="L1322" s="212">
        <f t="shared" si="135"/>
        <v>0</v>
      </c>
      <c r="M1322" s="212">
        <f t="shared" si="135"/>
        <v>0</v>
      </c>
      <c r="N1322" s="212">
        <f t="shared" si="135"/>
        <v>0</v>
      </c>
      <c r="O1322" s="212">
        <f t="shared" si="135"/>
        <v>0</v>
      </c>
      <c r="P1322" s="155">
        <f t="shared" si="135"/>
        <v>0</v>
      </c>
      <c r="Q1322" s="407"/>
      <c r="R1322" s="407"/>
    </row>
    <row r="1323" spans="1:18" ht="12.75" x14ac:dyDescent="0.2">
      <c r="A1323" s="152">
        <v>6235000</v>
      </c>
      <c r="B1323" s="73"/>
      <c r="C1323" s="51" t="s">
        <v>1035</v>
      </c>
      <c r="D1323" s="89"/>
      <c r="E1323" s="89"/>
      <c r="F1323" s="89"/>
      <c r="G1323" s="89"/>
      <c r="H1323" s="89"/>
      <c r="I1323" s="89"/>
      <c r="J1323" s="212">
        <f t="shared" ref="J1323:P1332" si="136">SUMIFS(J$26:J$180,$A$26:$A$180,$A1323,$C$26:$C$180,$C1323)</f>
        <v>0</v>
      </c>
      <c r="K1323" s="212">
        <f t="shared" si="136"/>
        <v>0</v>
      </c>
      <c r="L1323" s="212">
        <f t="shared" si="136"/>
        <v>0</v>
      </c>
      <c r="M1323" s="212">
        <f t="shared" si="136"/>
        <v>0</v>
      </c>
      <c r="N1323" s="212">
        <f t="shared" si="136"/>
        <v>0</v>
      </c>
      <c r="O1323" s="212">
        <f t="shared" si="136"/>
        <v>0</v>
      </c>
      <c r="P1323" s="155">
        <f t="shared" si="136"/>
        <v>0</v>
      </c>
      <c r="Q1323" s="407"/>
      <c r="R1323" s="407"/>
    </row>
    <row r="1324" spans="1:18" ht="12.75" x14ac:dyDescent="0.2">
      <c r="A1324" s="152">
        <v>6235000</v>
      </c>
      <c r="B1324" s="73"/>
      <c r="C1324" s="51" t="s">
        <v>922</v>
      </c>
      <c r="D1324" s="89"/>
      <c r="E1324" s="89"/>
      <c r="F1324" s="89"/>
      <c r="G1324" s="89"/>
      <c r="H1324" s="89"/>
      <c r="I1324" s="89"/>
      <c r="J1324" s="212">
        <f t="shared" si="136"/>
        <v>0</v>
      </c>
      <c r="K1324" s="212">
        <f t="shared" si="136"/>
        <v>0</v>
      </c>
      <c r="L1324" s="212">
        <f t="shared" si="136"/>
        <v>0</v>
      </c>
      <c r="M1324" s="212">
        <f t="shared" si="136"/>
        <v>0</v>
      </c>
      <c r="N1324" s="212">
        <f t="shared" si="136"/>
        <v>0</v>
      </c>
      <c r="O1324" s="212">
        <f t="shared" si="136"/>
        <v>0</v>
      </c>
      <c r="P1324" s="155">
        <f t="shared" si="136"/>
        <v>0</v>
      </c>
      <c r="Q1324" s="407"/>
      <c r="R1324" s="407"/>
    </row>
    <row r="1325" spans="1:18" ht="12.75" x14ac:dyDescent="0.2">
      <c r="A1325" s="152">
        <v>6235000</v>
      </c>
      <c r="B1325" s="73"/>
      <c r="C1325" s="51" t="s">
        <v>942</v>
      </c>
      <c r="D1325" s="89"/>
      <c r="E1325" s="89"/>
      <c r="F1325" s="89"/>
      <c r="G1325" s="89"/>
      <c r="H1325" s="89"/>
      <c r="I1325" s="89"/>
      <c r="J1325" s="212">
        <f t="shared" si="136"/>
        <v>0</v>
      </c>
      <c r="K1325" s="212">
        <f t="shared" si="136"/>
        <v>0</v>
      </c>
      <c r="L1325" s="212">
        <f t="shared" si="136"/>
        <v>0</v>
      </c>
      <c r="M1325" s="212">
        <f t="shared" si="136"/>
        <v>0</v>
      </c>
      <c r="N1325" s="212">
        <f t="shared" si="136"/>
        <v>0</v>
      </c>
      <c r="O1325" s="212">
        <f t="shared" si="136"/>
        <v>0</v>
      </c>
      <c r="P1325" s="155">
        <f t="shared" si="136"/>
        <v>0</v>
      </c>
      <c r="Q1325" s="407"/>
      <c r="R1325" s="407"/>
    </row>
    <row r="1326" spans="1:18" ht="12.75" x14ac:dyDescent="0.2">
      <c r="A1326" s="152">
        <v>6235000</v>
      </c>
      <c r="B1326" s="73"/>
      <c r="C1326" s="51" t="s">
        <v>943</v>
      </c>
      <c r="D1326" s="89"/>
      <c r="E1326" s="89"/>
      <c r="F1326" s="89"/>
      <c r="G1326" s="89"/>
      <c r="H1326" s="89"/>
      <c r="I1326" s="89"/>
      <c r="J1326" s="212">
        <f t="shared" si="136"/>
        <v>0</v>
      </c>
      <c r="K1326" s="212">
        <f t="shared" si="136"/>
        <v>0</v>
      </c>
      <c r="L1326" s="212">
        <f t="shared" si="136"/>
        <v>0</v>
      </c>
      <c r="M1326" s="212">
        <f t="shared" si="136"/>
        <v>0</v>
      </c>
      <c r="N1326" s="212">
        <f t="shared" si="136"/>
        <v>0</v>
      </c>
      <c r="O1326" s="212">
        <f t="shared" si="136"/>
        <v>0</v>
      </c>
      <c r="P1326" s="155">
        <f t="shared" si="136"/>
        <v>0</v>
      </c>
      <c r="Q1326" s="407"/>
      <c r="R1326" s="407"/>
    </row>
    <row r="1327" spans="1:18" ht="12.75" x14ac:dyDescent="0.2">
      <c r="A1327" s="152">
        <v>6235000</v>
      </c>
      <c r="B1327" s="73"/>
      <c r="C1327" s="51" t="s">
        <v>938</v>
      </c>
      <c r="D1327" s="89"/>
      <c r="E1327" s="89"/>
      <c r="F1327" s="89"/>
      <c r="G1327" s="89"/>
      <c r="H1327" s="89"/>
      <c r="I1327" s="89"/>
      <c r="J1327" s="212">
        <f t="shared" si="136"/>
        <v>0</v>
      </c>
      <c r="K1327" s="212">
        <f t="shared" si="136"/>
        <v>0</v>
      </c>
      <c r="L1327" s="212">
        <f t="shared" si="136"/>
        <v>0</v>
      </c>
      <c r="M1327" s="212">
        <f t="shared" si="136"/>
        <v>0</v>
      </c>
      <c r="N1327" s="212">
        <f t="shared" si="136"/>
        <v>0</v>
      </c>
      <c r="O1327" s="212">
        <f t="shared" si="136"/>
        <v>0</v>
      </c>
      <c r="P1327" s="155">
        <f t="shared" si="136"/>
        <v>0</v>
      </c>
      <c r="Q1327" s="407"/>
      <c r="R1327" s="407"/>
    </row>
    <row r="1328" spans="1:18" ht="12.75" x14ac:dyDescent="0.2">
      <c r="A1328" s="152">
        <v>6235000</v>
      </c>
      <c r="B1328" s="73"/>
      <c r="C1328" s="51" t="s">
        <v>939</v>
      </c>
      <c r="D1328" s="89"/>
      <c r="E1328" s="89"/>
      <c r="F1328" s="89"/>
      <c r="G1328" s="89"/>
      <c r="H1328" s="89"/>
      <c r="I1328" s="89"/>
      <c r="J1328" s="212">
        <f t="shared" si="136"/>
        <v>4000</v>
      </c>
      <c r="K1328" s="212">
        <f t="shared" si="136"/>
        <v>0</v>
      </c>
      <c r="L1328" s="212">
        <f t="shared" si="136"/>
        <v>0</v>
      </c>
      <c r="M1328" s="212">
        <f t="shared" si="136"/>
        <v>0</v>
      </c>
      <c r="N1328" s="212">
        <f t="shared" si="136"/>
        <v>0</v>
      </c>
      <c r="O1328" s="212">
        <f t="shared" si="136"/>
        <v>0</v>
      </c>
      <c r="P1328" s="155">
        <f t="shared" si="136"/>
        <v>4000</v>
      </c>
      <c r="Q1328" s="407"/>
      <c r="R1328" s="407"/>
    </row>
    <row r="1329" spans="1:18" ht="12.75" x14ac:dyDescent="0.2">
      <c r="A1329" s="152">
        <v>6235000</v>
      </c>
      <c r="B1329" s="73"/>
      <c r="C1329" s="51" t="s">
        <v>934</v>
      </c>
      <c r="D1329" s="89"/>
      <c r="E1329" s="89"/>
      <c r="F1329" s="89"/>
      <c r="G1329" s="89"/>
      <c r="H1329" s="89"/>
      <c r="I1329" s="89"/>
      <c r="J1329" s="212">
        <f t="shared" si="136"/>
        <v>0</v>
      </c>
      <c r="K1329" s="212">
        <f t="shared" si="136"/>
        <v>0</v>
      </c>
      <c r="L1329" s="212">
        <f t="shared" si="136"/>
        <v>0</v>
      </c>
      <c r="M1329" s="212">
        <f t="shared" si="136"/>
        <v>0</v>
      </c>
      <c r="N1329" s="212">
        <f t="shared" si="136"/>
        <v>0</v>
      </c>
      <c r="O1329" s="212">
        <f t="shared" si="136"/>
        <v>0</v>
      </c>
      <c r="P1329" s="155">
        <f t="shared" si="136"/>
        <v>0</v>
      </c>
      <c r="Q1329" s="407"/>
      <c r="R1329" s="407"/>
    </row>
    <row r="1330" spans="1:18" ht="12.75" x14ac:dyDescent="0.2">
      <c r="A1330" s="152">
        <v>6235000</v>
      </c>
      <c r="B1330" s="73"/>
      <c r="C1330" s="51" t="s">
        <v>935</v>
      </c>
      <c r="D1330" s="89"/>
      <c r="E1330" s="89"/>
      <c r="F1330" s="89"/>
      <c r="G1330" s="89"/>
      <c r="H1330" s="89"/>
      <c r="I1330" s="89"/>
      <c r="J1330" s="212">
        <f t="shared" si="136"/>
        <v>0</v>
      </c>
      <c r="K1330" s="212">
        <f t="shared" si="136"/>
        <v>0</v>
      </c>
      <c r="L1330" s="212">
        <f t="shared" si="136"/>
        <v>0</v>
      </c>
      <c r="M1330" s="212">
        <f t="shared" si="136"/>
        <v>0</v>
      </c>
      <c r="N1330" s="212">
        <f t="shared" si="136"/>
        <v>0</v>
      </c>
      <c r="O1330" s="212">
        <f t="shared" si="136"/>
        <v>0</v>
      </c>
      <c r="P1330" s="155">
        <f t="shared" si="136"/>
        <v>0</v>
      </c>
      <c r="Q1330" s="407"/>
      <c r="R1330" s="407"/>
    </row>
    <row r="1331" spans="1:18" ht="12.75" x14ac:dyDescent="0.2">
      <c r="A1331" s="152">
        <v>6235000</v>
      </c>
      <c r="B1331" s="73"/>
      <c r="C1331" s="51" t="s">
        <v>953</v>
      </c>
      <c r="D1331" s="89"/>
      <c r="E1331" s="89"/>
      <c r="F1331" s="89"/>
      <c r="G1331" s="89"/>
      <c r="H1331" s="89"/>
      <c r="I1331" s="89"/>
      <c r="J1331" s="212">
        <f t="shared" si="136"/>
        <v>0</v>
      </c>
      <c r="K1331" s="212">
        <f t="shared" si="136"/>
        <v>0</v>
      </c>
      <c r="L1331" s="212">
        <f t="shared" si="136"/>
        <v>0</v>
      </c>
      <c r="M1331" s="212">
        <f t="shared" si="136"/>
        <v>0</v>
      </c>
      <c r="N1331" s="212">
        <f t="shared" si="136"/>
        <v>0</v>
      </c>
      <c r="O1331" s="212">
        <f t="shared" si="136"/>
        <v>0</v>
      </c>
      <c r="P1331" s="155">
        <f t="shared" si="136"/>
        <v>0</v>
      </c>
      <c r="Q1331" s="407"/>
      <c r="R1331" s="407"/>
    </row>
    <row r="1332" spans="1:18" ht="12.75" x14ac:dyDescent="0.2">
      <c r="A1332" s="152">
        <v>6235000</v>
      </c>
      <c r="B1332" s="73"/>
      <c r="C1332" s="51" t="s">
        <v>924</v>
      </c>
      <c r="D1332" s="89"/>
      <c r="E1332" s="89"/>
      <c r="F1332" s="89"/>
      <c r="G1332" s="89"/>
      <c r="H1332" s="89"/>
      <c r="I1332" s="89"/>
      <c r="J1332" s="212">
        <f t="shared" si="136"/>
        <v>0</v>
      </c>
      <c r="K1332" s="212">
        <f t="shared" si="136"/>
        <v>0</v>
      </c>
      <c r="L1332" s="212">
        <f t="shared" si="136"/>
        <v>0</v>
      </c>
      <c r="M1332" s="212">
        <f t="shared" si="136"/>
        <v>0</v>
      </c>
      <c r="N1332" s="212">
        <f t="shared" si="136"/>
        <v>0</v>
      </c>
      <c r="O1332" s="212">
        <f t="shared" si="136"/>
        <v>0</v>
      </c>
      <c r="P1332" s="155">
        <f t="shared" si="136"/>
        <v>0</v>
      </c>
      <c r="Q1332" s="407"/>
      <c r="R1332" s="407"/>
    </row>
    <row r="1333" spans="1:18" ht="12.75" x14ac:dyDescent="0.2">
      <c r="A1333" s="152">
        <v>6235000</v>
      </c>
      <c r="B1333" s="73"/>
      <c r="C1333" s="51" t="s">
        <v>927</v>
      </c>
      <c r="D1333" s="89"/>
      <c r="E1333" s="89"/>
      <c r="F1333" s="89"/>
      <c r="G1333" s="89"/>
      <c r="H1333" s="89"/>
      <c r="I1333" s="89"/>
      <c r="J1333" s="212">
        <f t="shared" ref="J1333:P1342" si="137">SUMIFS(J$26:J$180,$A$26:$A$180,$A1333,$C$26:$C$180,$C1333)</f>
        <v>0</v>
      </c>
      <c r="K1333" s="212">
        <f t="shared" si="137"/>
        <v>0</v>
      </c>
      <c r="L1333" s="212">
        <f t="shared" si="137"/>
        <v>0</v>
      </c>
      <c r="M1333" s="212">
        <f t="shared" si="137"/>
        <v>0</v>
      </c>
      <c r="N1333" s="212">
        <f t="shared" si="137"/>
        <v>0</v>
      </c>
      <c r="O1333" s="212">
        <f t="shared" si="137"/>
        <v>0</v>
      </c>
      <c r="P1333" s="155">
        <f t="shared" si="137"/>
        <v>0</v>
      </c>
      <c r="Q1333" s="407"/>
      <c r="R1333" s="407"/>
    </row>
    <row r="1334" spans="1:18" ht="12.75" x14ac:dyDescent="0.2">
      <c r="A1334" s="152">
        <v>6235000</v>
      </c>
      <c r="B1334" s="73"/>
      <c r="C1334" s="51" t="s">
        <v>951</v>
      </c>
      <c r="D1334" s="89"/>
      <c r="E1334" s="89"/>
      <c r="F1334" s="89"/>
      <c r="G1334" s="89"/>
      <c r="H1334" s="89"/>
      <c r="I1334" s="89"/>
      <c r="J1334" s="212">
        <f t="shared" si="137"/>
        <v>0</v>
      </c>
      <c r="K1334" s="212">
        <f t="shared" si="137"/>
        <v>0</v>
      </c>
      <c r="L1334" s="212">
        <f t="shared" si="137"/>
        <v>0</v>
      </c>
      <c r="M1334" s="212">
        <f t="shared" si="137"/>
        <v>0</v>
      </c>
      <c r="N1334" s="212">
        <f t="shared" si="137"/>
        <v>0</v>
      </c>
      <c r="O1334" s="212">
        <f t="shared" si="137"/>
        <v>0</v>
      </c>
      <c r="P1334" s="155">
        <f t="shared" si="137"/>
        <v>0</v>
      </c>
      <c r="Q1334" s="407"/>
      <c r="R1334" s="407"/>
    </row>
    <row r="1335" spans="1:18" ht="12.75" x14ac:dyDescent="0.2">
      <c r="A1335" s="152">
        <v>6235000</v>
      </c>
      <c r="B1335" s="73"/>
      <c r="C1335" s="51" t="s">
        <v>1055</v>
      </c>
      <c r="D1335" s="89"/>
      <c r="E1335" s="89"/>
      <c r="F1335" s="89"/>
      <c r="G1335" s="89"/>
      <c r="H1335" s="89"/>
      <c r="I1335" s="89"/>
      <c r="J1335" s="212">
        <f t="shared" si="137"/>
        <v>0</v>
      </c>
      <c r="K1335" s="212">
        <f t="shared" si="137"/>
        <v>0</v>
      </c>
      <c r="L1335" s="212">
        <f t="shared" si="137"/>
        <v>0</v>
      </c>
      <c r="M1335" s="212">
        <f t="shared" si="137"/>
        <v>0</v>
      </c>
      <c r="N1335" s="212">
        <f t="shared" si="137"/>
        <v>0</v>
      </c>
      <c r="O1335" s="212">
        <f t="shared" si="137"/>
        <v>0</v>
      </c>
      <c r="P1335" s="155">
        <f t="shared" si="137"/>
        <v>0</v>
      </c>
      <c r="Q1335" s="407"/>
      <c r="R1335" s="407"/>
    </row>
    <row r="1336" spans="1:18" ht="12.75" x14ac:dyDescent="0.2">
      <c r="A1336" s="152">
        <v>6235000</v>
      </c>
      <c r="B1336" s="73"/>
      <c r="C1336" s="51" t="s">
        <v>940</v>
      </c>
      <c r="D1336" s="89"/>
      <c r="E1336" s="89"/>
      <c r="F1336" s="89"/>
      <c r="G1336" s="89"/>
      <c r="H1336" s="89"/>
      <c r="I1336" s="89"/>
      <c r="J1336" s="212">
        <f t="shared" si="137"/>
        <v>0</v>
      </c>
      <c r="K1336" s="212">
        <f t="shared" si="137"/>
        <v>0</v>
      </c>
      <c r="L1336" s="212">
        <f t="shared" si="137"/>
        <v>0</v>
      </c>
      <c r="M1336" s="212">
        <f t="shared" si="137"/>
        <v>0</v>
      </c>
      <c r="N1336" s="212">
        <f t="shared" si="137"/>
        <v>0</v>
      </c>
      <c r="O1336" s="212">
        <f t="shared" si="137"/>
        <v>0</v>
      </c>
      <c r="P1336" s="155">
        <f t="shared" si="137"/>
        <v>0</v>
      </c>
      <c r="Q1336" s="407"/>
      <c r="R1336" s="407"/>
    </row>
    <row r="1337" spans="1:18" ht="12.75" x14ac:dyDescent="0.2">
      <c r="A1337" s="152">
        <v>6235000</v>
      </c>
      <c r="B1337" s="73"/>
      <c r="C1337" s="51" t="s">
        <v>941</v>
      </c>
      <c r="D1337" s="89"/>
      <c r="E1337" s="89"/>
      <c r="F1337" s="89"/>
      <c r="G1337" s="89"/>
      <c r="H1337" s="89"/>
      <c r="I1337" s="89"/>
      <c r="J1337" s="212">
        <f t="shared" si="137"/>
        <v>0</v>
      </c>
      <c r="K1337" s="212">
        <f t="shared" si="137"/>
        <v>0</v>
      </c>
      <c r="L1337" s="212">
        <f t="shared" si="137"/>
        <v>0</v>
      </c>
      <c r="M1337" s="212">
        <f t="shared" si="137"/>
        <v>0</v>
      </c>
      <c r="N1337" s="212">
        <f t="shared" si="137"/>
        <v>0</v>
      </c>
      <c r="O1337" s="212">
        <f t="shared" si="137"/>
        <v>0</v>
      </c>
      <c r="P1337" s="155">
        <f t="shared" si="137"/>
        <v>0</v>
      </c>
      <c r="Q1337" s="407"/>
      <c r="R1337" s="407"/>
    </row>
    <row r="1338" spans="1:18" ht="12.75" x14ac:dyDescent="0.2">
      <c r="A1338" s="152">
        <v>6235000</v>
      </c>
      <c r="B1338" s="73"/>
      <c r="C1338" s="51" t="s">
        <v>936</v>
      </c>
      <c r="D1338" s="89"/>
      <c r="E1338" s="89"/>
      <c r="F1338" s="89"/>
      <c r="G1338" s="89"/>
      <c r="H1338" s="89"/>
      <c r="I1338" s="89"/>
      <c r="J1338" s="212">
        <f t="shared" si="137"/>
        <v>0</v>
      </c>
      <c r="K1338" s="212">
        <f t="shared" si="137"/>
        <v>0</v>
      </c>
      <c r="L1338" s="212">
        <f t="shared" si="137"/>
        <v>0</v>
      </c>
      <c r="M1338" s="212">
        <f t="shared" si="137"/>
        <v>0</v>
      </c>
      <c r="N1338" s="212">
        <f t="shared" si="137"/>
        <v>0</v>
      </c>
      <c r="O1338" s="212">
        <f t="shared" si="137"/>
        <v>0</v>
      </c>
      <c r="P1338" s="155">
        <f t="shared" si="137"/>
        <v>0</v>
      </c>
      <c r="Q1338" s="407"/>
      <c r="R1338" s="407"/>
    </row>
    <row r="1339" spans="1:18" ht="12.75" x14ac:dyDescent="0.2">
      <c r="A1339" s="152">
        <v>6235000</v>
      </c>
      <c r="B1339" s="73"/>
      <c r="C1339" s="51" t="s">
        <v>937</v>
      </c>
      <c r="D1339" s="89"/>
      <c r="E1339" s="89"/>
      <c r="F1339" s="89"/>
      <c r="G1339" s="89"/>
      <c r="H1339" s="89"/>
      <c r="I1339" s="89"/>
      <c r="J1339" s="212">
        <f t="shared" si="137"/>
        <v>4000</v>
      </c>
      <c r="K1339" s="212">
        <f t="shared" si="137"/>
        <v>0</v>
      </c>
      <c r="L1339" s="212">
        <f t="shared" si="137"/>
        <v>0</v>
      </c>
      <c r="M1339" s="212">
        <f t="shared" si="137"/>
        <v>0</v>
      </c>
      <c r="N1339" s="212">
        <f t="shared" si="137"/>
        <v>0</v>
      </c>
      <c r="O1339" s="212">
        <f t="shared" si="137"/>
        <v>0</v>
      </c>
      <c r="P1339" s="155">
        <f t="shared" si="137"/>
        <v>4000</v>
      </c>
      <c r="Q1339" s="407"/>
      <c r="R1339" s="407"/>
    </row>
    <row r="1340" spans="1:18" ht="12.75" x14ac:dyDescent="0.2">
      <c r="A1340" s="152">
        <v>6235000</v>
      </c>
      <c r="B1340" s="73"/>
      <c r="C1340" s="51" t="s">
        <v>932</v>
      </c>
      <c r="D1340" s="89"/>
      <c r="E1340" s="89"/>
      <c r="F1340" s="89"/>
      <c r="G1340" s="89"/>
      <c r="H1340" s="89"/>
      <c r="I1340" s="89"/>
      <c r="J1340" s="212">
        <f t="shared" si="137"/>
        <v>0</v>
      </c>
      <c r="K1340" s="212">
        <f t="shared" si="137"/>
        <v>0</v>
      </c>
      <c r="L1340" s="212">
        <f t="shared" si="137"/>
        <v>0</v>
      </c>
      <c r="M1340" s="212">
        <f t="shared" si="137"/>
        <v>0</v>
      </c>
      <c r="N1340" s="212">
        <f t="shared" si="137"/>
        <v>0</v>
      </c>
      <c r="O1340" s="212">
        <f t="shared" si="137"/>
        <v>0</v>
      </c>
      <c r="P1340" s="155">
        <f t="shared" si="137"/>
        <v>0</v>
      </c>
      <c r="Q1340" s="407"/>
      <c r="R1340" s="407"/>
    </row>
    <row r="1341" spans="1:18" ht="12.75" x14ac:dyDescent="0.2">
      <c r="A1341" s="152">
        <v>6235000</v>
      </c>
      <c r="B1341" s="73"/>
      <c r="C1341" s="51" t="s">
        <v>933</v>
      </c>
      <c r="D1341" s="89"/>
      <c r="E1341" s="89"/>
      <c r="F1341" s="89"/>
      <c r="G1341" s="89"/>
      <c r="H1341" s="89"/>
      <c r="I1341" s="89"/>
      <c r="J1341" s="212">
        <f t="shared" si="137"/>
        <v>0</v>
      </c>
      <c r="K1341" s="212">
        <f t="shared" si="137"/>
        <v>0</v>
      </c>
      <c r="L1341" s="212">
        <f t="shared" si="137"/>
        <v>0</v>
      </c>
      <c r="M1341" s="212">
        <f t="shared" si="137"/>
        <v>0</v>
      </c>
      <c r="N1341" s="212">
        <f t="shared" si="137"/>
        <v>0</v>
      </c>
      <c r="O1341" s="212">
        <f t="shared" si="137"/>
        <v>0</v>
      </c>
      <c r="P1341" s="155">
        <f t="shared" si="137"/>
        <v>0</v>
      </c>
      <c r="Q1341" s="407"/>
      <c r="R1341" s="407"/>
    </row>
    <row r="1342" spans="1:18" ht="12.75" x14ac:dyDescent="0.2">
      <c r="A1342" s="152">
        <v>6235000</v>
      </c>
      <c r="B1342" s="73"/>
      <c r="C1342" s="51" t="s">
        <v>952</v>
      </c>
      <c r="D1342" s="89"/>
      <c r="E1342" s="89"/>
      <c r="F1342" s="89"/>
      <c r="G1342" s="89"/>
      <c r="H1342" s="89"/>
      <c r="I1342" s="89"/>
      <c r="J1342" s="212">
        <f t="shared" si="137"/>
        <v>0</v>
      </c>
      <c r="K1342" s="212">
        <f t="shared" si="137"/>
        <v>0</v>
      </c>
      <c r="L1342" s="212">
        <f t="shared" si="137"/>
        <v>0</v>
      </c>
      <c r="M1342" s="212">
        <f t="shared" si="137"/>
        <v>0</v>
      </c>
      <c r="N1342" s="212">
        <f t="shared" si="137"/>
        <v>0</v>
      </c>
      <c r="O1342" s="212">
        <f t="shared" si="137"/>
        <v>0</v>
      </c>
      <c r="P1342" s="155">
        <f t="shared" si="137"/>
        <v>0</v>
      </c>
      <c r="Q1342" s="407"/>
      <c r="R1342" s="407"/>
    </row>
    <row r="1343" spans="1:18" ht="12.75" x14ac:dyDescent="0.2">
      <c r="A1343" s="152">
        <v>6235000</v>
      </c>
      <c r="B1343" s="73"/>
      <c r="C1343" s="51" t="s">
        <v>923</v>
      </c>
      <c r="D1343" s="89"/>
      <c r="E1343" s="89"/>
      <c r="F1343" s="89"/>
      <c r="G1343" s="89"/>
      <c r="H1343" s="89"/>
      <c r="I1343" s="89"/>
      <c r="J1343" s="212">
        <f t="shared" ref="J1343:P1352" si="138">SUMIFS(J$26:J$180,$A$26:$A$180,$A1343,$C$26:$C$180,$C1343)</f>
        <v>0</v>
      </c>
      <c r="K1343" s="212">
        <f t="shared" si="138"/>
        <v>0</v>
      </c>
      <c r="L1343" s="212">
        <f t="shared" si="138"/>
        <v>0</v>
      </c>
      <c r="M1343" s="212">
        <f t="shared" si="138"/>
        <v>0</v>
      </c>
      <c r="N1343" s="212">
        <f t="shared" si="138"/>
        <v>0</v>
      </c>
      <c r="O1343" s="212">
        <f t="shared" si="138"/>
        <v>0</v>
      </c>
      <c r="P1343" s="155">
        <f t="shared" si="138"/>
        <v>0</v>
      </c>
      <c r="Q1343" s="407"/>
      <c r="R1343" s="407"/>
    </row>
    <row r="1344" spans="1:18" ht="12.75" x14ac:dyDescent="0.2">
      <c r="A1344" s="152">
        <v>6235000</v>
      </c>
      <c r="B1344" s="73"/>
      <c r="C1344" s="51" t="s">
        <v>925</v>
      </c>
      <c r="D1344" s="89"/>
      <c r="E1344" s="89"/>
      <c r="F1344" s="89"/>
      <c r="G1344" s="89"/>
      <c r="H1344" s="89"/>
      <c r="I1344" s="89"/>
      <c r="J1344" s="212">
        <f t="shared" si="138"/>
        <v>0</v>
      </c>
      <c r="K1344" s="212">
        <f t="shared" si="138"/>
        <v>0</v>
      </c>
      <c r="L1344" s="212">
        <f t="shared" si="138"/>
        <v>0</v>
      </c>
      <c r="M1344" s="212">
        <f t="shared" si="138"/>
        <v>0</v>
      </c>
      <c r="N1344" s="212">
        <f t="shared" si="138"/>
        <v>0</v>
      </c>
      <c r="O1344" s="212">
        <f t="shared" si="138"/>
        <v>0</v>
      </c>
      <c r="P1344" s="155">
        <f t="shared" si="138"/>
        <v>0</v>
      </c>
      <c r="Q1344" s="407"/>
      <c r="R1344" s="407"/>
    </row>
    <row r="1345" spans="1:18" ht="12.75" x14ac:dyDescent="0.2">
      <c r="A1345" s="152">
        <v>6235000</v>
      </c>
      <c r="B1345" s="73"/>
      <c r="C1345" s="51" t="s">
        <v>950</v>
      </c>
      <c r="D1345" s="89"/>
      <c r="E1345" s="89"/>
      <c r="F1345" s="89"/>
      <c r="G1345" s="89"/>
      <c r="H1345" s="89"/>
      <c r="I1345" s="89"/>
      <c r="J1345" s="212">
        <f t="shared" si="138"/>
        <v>0</v>
      </c>
      <c r="K1345" s="212">
        <f t="shared" si="138"/>
        <v>0</v>
      </c>
      <c r="L1345" s="212">
        <f t="shared" si="138"/>
        <v>0</v>
      </c>
      <c r="M1345" s="212">
        <f t="shared" si="138"/>
        <v>0</v>
      </c>
      <c r="N1345" s="212">
        <f t="shared" si="138"/>
        <v>0</v>
      </c>
      <c r="O1345" s="212">
        <f t="shared" si="138"/>
        <v>0</v>
      </c>
      <c r="P1345" s="155">
        <f t="shared" si="138"/>
        <v>0</v>
      </c>
      <c r="Q1345" s="407"/>
      <c r="R1345" s="407"/>
    </row>
    <row r="1346" spans="1:18" ht="12.75" x14ac:dyDescent="0.2">
      <c r="A1346" s="152">
        <v>6235000</v>
      </c>
      <c r="B1346" s="73"/>
      <c r="C1346" s="51" t="s">
        <v>1054</v>
      </c>
      <c r="D1346" s="89"/>
      <c r="E1346" s="89"/>
      <c r="F1346" s="89"/>
      <c r="G1346" s="89"/>
      <c r="H1346" s="89"/>
      <c r="I1346" s="89"/>
      <c r="J1346" s="212">
        <f t="shared" si="138"/>
        <v>0</v>
      </c>
      <c r="K1346" s="212">
        <f t="shared" si="138"/>
        <v>0</v>
      </c>
      <c r="L1346" s="212">
        <f t="shared" si="138"/>
        <v>0</v>
      </c>
      <c r="M1346" s="212">
        <f t="shared" si="138"/>
        <v>0</v>
      </c>
      <c r="N1346" s="212">
        <f t="shared" si="138"/>
        <v>0</v>
      </c>
      <c r="O1346" s="212">
        <f t="shared" si="138"/>
        <v>0</v>
      </c>
      <c r="P1346" s="155">
        <f t="shared" si="138"/>
        <v>0</v>
      </c>
      <c r="Q1346" s="407"/>
      <c r="R1346" s="407"/>
    </row>
    <row r="1347" spans="1:18" ht="12.75" x14ac:dyDescent="0.2">
      <c r="A1347" s="152">
        <v>6235000</v>
      </c>
      <c r="B1347" s="73"/>
      <c r="C1347" s="51" t="s">
        <v>921</v>
      </c>
      <c r="D1347" s="89"/>
      <c r="E1347" s="89"/>
      <c r="F1347" s="89"/>
      <c r="G1347" s="89"/>
      <c r="H1347" s="89"/>
      <c r="I1347" s="89"/>
      <c r="J1347" s="212">
        <f t="shared" si="138"/>
        <v>0</v>
      </c>
      <c r="K1347" s="212">
        <f t="shared" si="138"/>
        <v>0</v>
      </c>
      <c r="L1347" s="212">
        <f t="shared" si="138"/>
        <v>0</v>
      </c>
      <c r="M1347" s="212">
        <f t="shared" si="138"/>
        <v>0</v>
      </c>
      <c r="N1347" s="212">
        <f t="shared" si="138"/>
        <v>0</v>
      </c>
      <c r="O1347" s="212">
        <f t="shared" si="138"/>
        <v>0</v>
      </c>
      <c r="P1347" s="155">
        <f t="shared" si="138"/>
        <v>0</v>
      </c>
      <c r="Q1347" s="407"/>
      <c r="R1347" s="407"/>
    </row>
    <row r="1348" spans="1:18" ht="12.75" x14ac:dyDescent="0.2">
      <c r="A1348" s="152">
        <v>6235000</v>
      </c>
      <c r="B1348" s="73"/>
      <c r="C1348" s="51" t="s">
        <v>1022</v>
      </c>
      <c r="D1348" s="89"/>
      <c r="E1348" s="89"/>
      <c r="F1348" s="89"/>
      <c r="G1348" s="89"/>
      <c r="H1348" s="89"/>
      <c r="I1348" s="89"/>
      <c r="J1348" s="212">
        <f t="shared" si="138"/>
        <v>0</v>
      </c>
      <c r="K1348" s="212">
        <f t="shared" si="138"/>
        <v>0</v>
      </c>
      <c r="L1348" s="212">
        <f t="shared" si="138"/>
        <v>0</v>
      </c>
      <c r="M1348" s="212">
        <f t="shared" si="138"/>
        <v>0</v>
      </c>
      <c r="N1348" s="212">
        <f t="shared" si="138"/>
        <v>0</v>
      </c>
      <c r="O1348" s="212">
        <f t="shared" si="138"/>
        <v>0</v>
      </c>
      <c r="P1348" s="155">
        <f t="shared" si="138"/>
        <v>0</v>
      </c>
      <c r="Q1348" s="407"/>
      <c r="R1348" s="407"/>
    </row>
    <row r="1349" spans="1:18" ht="12.75" x14ac:dyDescent="0.2">
      <c r="A1349" s="152">
        <v>6235000</v>
      </c>
      <c r="B1349" s="73"/>
      <c r="C1349" s="51" t="s">
        <v>1023</v>
      </c>
      <c r="D1349" s="89"/>
      <c r="E1349" s="89"/>
      <c r="F1349" s="89"/>
      <c r="G1349" s="89"/>
      <c r="H1349" s="89"/>
      <c r="I1349" s="89"/>
      <c r="J1349" s="212">
        <f t="shared" si="138"/>
        <v>0</v>
      </c>
      <c r="K1349" s="212">
        <f t="shared" si="138"/>
        <v>0</v>
      </c>
      <c r="L1349" s="212">
        <f t="shared" si="138"/>
        <v>0</v>
      </c>
      <c r="M1349" s="212">
        <f t="shared" si="138"/>
        <v>0</v>
      </c>
      <c r="N1349" s="212">
        <f t="shared" si="138"/>
        <v>0</v>
      </c>
      <c r="O1349" s="212">
        <f t="shared" si="138"/>
        <v>0</v>
      </c>
      <c r="P1349" s="155">
        <f t="shared" si="138"/>
        <v>0</v>
      </c>
      <c r="Q1349" s="407"/>
      <c r="R1349" s="407"/>
    </row>
    <row r="1350" spans="1:18" ht="12.75" x14ac:dyDescent="0.2">
      <c r="A1350" s="152">
        <v>6235000</v>
      </c>
      <c r="B1350" s="73"/>
      <c r="C1350" s="51" t="s">
        <v>137</v>
      </c>
      <c r="D1350" s="89"/>
      <c r="E1350" s="89"/>
      <c r="F1350" s="89"/>
      <c r="G1350" s="89"/>
      <c r="H1350" s="89"/>
      <c r="I1350" s="89"/>
      <c r="J1350" s="212">
        <f t="shared" si="138"/>
        <v>0</v>
      </c>
      <c r="K1350" s="212">
        <f t="shared" si="138"/>
        <v>0</v>
      </c>
      <c r="L1350" s="212">
        <f t="shared" si="138"/>
        <v>0</v>
      </c>
      <c r="M1350" s="212">
        <f t="shared" si="138"/>
        <v>0</v>
      </c>
      <c r="N1350" s="212">
        <f t="shared" si="138"/>
        <v>0</v>
      </c>
      <c r="O1350" s="212">
        <f t="shared" si="138"/>
        <v>0</v>
      </c>
      <c r="P1350" s="155">
        <f t="shared" si="138"/>
        <v>0</v>
      </c>
      <c r="Q1350" s="407"/>
      <c r="R1350" s="407"/>
    </row>
    <row r="1351" spans="1:18" ht="12.75" x14ac:dyDescent="0.2">
      <c r="A1351" s="152">
        <v>6235000</v>
      </c>
      <c r="B1351" s="73"/>
      <c r="C1351" s="51" t="s">
        <v>956</v>
      </c>
      <c r="D1351" s="89"/>
      <c r="E1351" s="89"/>
      <c r="F1351" s="89"/>
      <c r="G1351" s="89"/>
      <c r="H1351" s="89"/>
      <c r="I1351" s="89"/>
      <c r="J1351" s="212">
        <f t="shared" si="138"/>
        <v>0</v>
      </c>
      <c r="K1351" s="212">
        <f t="shared" si="138"/>
        <v>0</v>
      </c>
      <c r="L1351" s="212">
        <f t="shared" si="138"/>
        <v>0</v>
      </c>
      <c r="M1351" s="212">
        <f t="shared" si="138"/>
        <v>0</v>
      </c>
      <c r="N1351" s="212">
        <f t="shared" si="138"/>
        <v>0</v>
      </c>
      <c r="O1351" s="212">
        <f t="shared" si="138"/>
        <v>0</v>
      </c>
      <c r="P1351" s="155">
        <f t="shared" si="138"/>
        <v>0</v>
      </c>
      <c r="Q1351" s="407"/>
      <c r="R1351" s="407"/>
    </row>
    <row r="1352" spans="1:18" ht="12.75" x14ac:dyDescent="0.2">
      <c r="A1352" s="152">
        <v>6235000</v>
      </c>
      <c r="B1352" s="73"/>
      <c r="C1352" s="51" t="s">
        <v>1045</v>
      </c>
      <c r="D1352" s="89"/>
      <c r="E1352" s="89"/>
      <c r="F1352" s="89"/>
      <c r="G1352" s="89"/>
      <c r="H1352" s="89"/>
      <c r="I1352" s="89"/>
      <c r="J1352" s="212">
        <f t="shared" si="138"/>
        <v>0</v>
      </c>
      <c r="K1352" s="212">
        <f t="shared" si="138"/>
        <v>0</v>
      </c>
      <c r="L1352" s="212">
        <f t="shared" si="138"/>
        <v>0</v>
      </c>
      <c r="M1352" s="212">
        <f t="shared" si="138"/>
        <v>0</v>
      </c>
      <c r="N1352" s="212">
        <f t="shared" si="138"/>
        <v>0</v>
      </c>
      <c r="O1352" s="212">
        <f t="shared" si="138"/>
        <v>0</v>
      </c>
      <c r="P1352" s="155">
        <f t="shared" si="138"/>
        <v>0</v>
      </c>
      <c r="Q1352" s="407"/>
      <c r="R1352" s="407"/>
    </row>
    <row r="1353" spans="1:18" ht="12.75" x14ac:dyDescent="0.2">
      <c r="A1353" s="152">
        <v>6235000</v>
      </c>
      <c r="B1353" s="73"/>
      <c r="C1353" s="51" t="s">
        <v>1046</v>
      </c>
      <c r="D1353" s="89"/>
      <c r="E1353" s="89"/>
      <c r="F1353" s="89"/>
      <c r="G1353" s="89"/>
      <c r="H1353" s="89"/>
      <c r="I1353" s="89"/>
      <c r="J1353" s="212">
        <f t="shared" ref="J1353:P1362" si="139">SUMIFS(J$26:J$180,$A$26:$A$180,$A1353,$C$26:$C$180,$C1353)</f>
        <v>0</v>
      </c>
      <c r="K1353" s="212">
        <f t="shared" si="139"/>
        <v>0</v>
      </c>
      <c r="L1353" s="212">
        <f t="shared" si="139"/>
        <v>0</v>
      </c>
      <c r="M1353" s="212">
        <f t="shared" si="139"/>
        <v>0</v>
      </c>
      <c r="N1353" s="212">
        <f t="shared" si="139"/>
        <v>0</v>
      </c>
      <c r="O1353" s="212">
        <f t="shared" si="139"/>
        <v>0</v>
      </c>
      <c r="P1353" s="155">
        <f t="shared" si="139"/>
        <v>0</v>
      </c>
      <c r="Q1353" s="407"/>
      <c r="R1353" s="407"/>
    </row>
    <row r="1354" spans="1:18" ht="12.75" x14ac:dyDescent="0.2">
      <c r="A1354" s="152">
        <v>6235000</v>
      </c>
      <c r="B1354" s="73"/>
      <c r="C1354" s="51" t="s">
        <v>1036</v>
      </c>
      <c r="D1354" s="89"/>
      <c r="E1354" s="89"/>
      <c r="F1354" s="89"/>
      <c r="G1354" s="89"/>
      <c r="H1354" s="89"/>
      <c r="I1354" s="89"/>
      <c r="J1354" s="212">
        <f t="shared" si="139"/>
        <v>0</v>
      </c>
      <c r="K1354" s="212">
        <f t="shared" si="139"/>
        <v>0</v>
      </c>
      <c r="L1354" s="212">
        <f t="shared" si="139"/>
        <v>0</v>
      </c>
      <c r="M1354" s="212">
        <f t="shared" si="139"/>
        <v>0</v>
      </c>
      <c r="N1354" s="212">
        <f t="shared" si="139"/>
        <v>0</v>
      </c>
      <c r="O1354" s="212">
        <f t="shared" si="139"/>
        <v>0</v>
      </c>
      <c r="P1354" s="155">
        <f t="shared" si="139"/>
        <v>0</v>
      </c>
      <c r="Q1354" s="407"/>
      <c r="R1354" s="407"/>
    </row>
    <row r="1355" spans="1:18" ht="12.75" x14ac:dyDescent="0.2">
      <c r="A1355" s="152">
        <v>6235000</v>
      </c>
      <c r="B1355" s="73"/>
      <c r="C1355" s="51" t="s">
        <v>1037</v>
      </c>
      <c r="D1355" s="89"/>
      <c r="E1355" s="89"/>
      <c r="F1355" s="89"/>
      <c r="G1355" s="89"/>
      <c r="H1355" s="89"/>
      <c r="I1355" s="89"/>
      <c r="J1355" s="212">
        <f t="shared" si="139"/>
        <v>0</v>
      </c>
      <c r="K1355" s="212">
        <f t="shared" si="139"/>
        <v>0</v>
      </c>
      <c r="L1355" s="212">
        <f t="shared" si="139"/>
        <v>0</v>
      </c>
      <c r="M1355" s="212">
        <f t="shared" si="139"/>
        <v>0</v>
      </c>
      <c r="N1355" s="212">
        <f t="shared" si="139"/>
        <v>0</v>
      </c>
      <c r="O1355" s="212">
        <f t="shared" si="139"/>
        <v>0</v>
      </c>
      <c r="P1355" s="155">
        <f t="shared" si="139"/>
        <v>0</v>
      </c>
      <c r="Q1355" s="407"/>
      <c r="R1355" s="407"/>
    </row>
    <row r="1356" spans="1:18" ht="12.75" x14ac:dyDescent="0.2">
      <c r="A1356" s="152">
        <v>6235000</v>
      </c>
      <c r="B1356" s="73"/>
      <c r="C1356" s="51" t="s">
        <v>990</v>
      </c>
      <c r="D1356" s="89"/>
      <c r="E1356" s="89"/>
      <c r="F1356" s="89"/>
      <c r="G1356" s="89"/>
      <c r="H1356" s="89"/>
      <c r="I1356" s="89"/>
      <c r="J1356" s="212">
        <f t="shared" si="139"/>
        <v>0</v>
      </c>
      <c r="K1356" s="212">
        <f t="shared" si="139"/>
        <v>0</v>
      </c>
      <c r="L1356" s="212">
        <f t="shared" si="139"/>
        <v>0</v>
      </c>
      <c r="M1356" s="212">
        <f t="shared" si="139"/>
        <v>0</v>
      </c>
      <c r="N1356" s="212">
        <f t="shared" si="139"/>
        <v>0</v>
      </c>
      <c r="O1356" s="212">
        <f t="shared" si="139"/>
        <v>0</v>
      </c>
      <c r="P1356" s="155">
        <f t="shared" si="139"/>
        <v>0</v>
      </c>
      <c r="Q1356" s="407"/>
      <c r="R1356" s="407"/>
    </row>
    <row r="1357" spans="1:18" ht="12.75" x14ac:dyDescent="0.2">
      <c r="A1357" s="152">
        <v>6235000</v>
      </c>
      <c r="B1357" s="73"/>
      <c r="C1357" s="51" t="s">
        <v>1040</v>
      </c>
      <c r="D1357" s="89"/>
      <c r="E1357" s="89"/>
      <c r="F1357" s="89"/>
      <c r="G1357" s="89"/>
      <c r="H1357" s="89"/>
      <c r="I1357" s="89"/>
      <c r="J1357" s="212">
        <f t="shared" si="139"/>
        <v>0</v>
      </c>
      <c r="K1357" s="212">
        <f t="shared" si="139"/>
        <v>0</v>
      </c>
      <c r="L1357" s="212">
        <f t="shared" si="139"/>
        <v>0</v>
      </c>
      <c r="M1357" s="212">
        <f t="shared" si="139"/>
        <v>0</v>
      </c>
      <c r="N1357" s="212">
        <f t="shared" si="139"/>
        <v>0</v>
      </c>
      <c r="O1357" s="212">
        <f t="shared" si="139"/>
        <v>0</v>
      </c>
      <c r="P1357" s="155">
        <f t="shared" si="139"/>
        <v>0</v>
      </c>
      <c r="Q1357" s="407"/>
      <c r="R1357" s="407"/>
    </row>
    <row r="1358" spans="1:18" ht="12.75" x14ac:dyDescent="0.2">
      <c r="A1358" s="152">
        <v>6235000</v>
      </c>
      <c r="B1358" s="73"/>
      <c r="C1358" s="51" t="s">
        <v>991</v>
      </c>
      <c r="D1358" s="89"/>
      <c r="E1358" s="89"/>
      <c r="F1358" s="89"/>
      <c r="G1358" s="89"/>
      <c r="H1358" s="89"/>
      <c r="I1358" s="89"/>
      <c r="J1358" s="212">
        <f t="shared" si="139"/>
        <v>0</v>
      </c>
      <c r="K1358" s="212">
        <f t="shared" si="139"/>
        <v>0</v>
      </c>
      <c r="L1358" s="212">
        <f t="shared" si="139"/>
        <v>0</v>
      </c>
      <c r="M1358" s="212">
        <f t="shared" si="139"/>
        <v>0</v>
      </c>
      <c r="N1358" s="212">
        <f t="shared" si="139"/>
        <v>0</v>
      </c>
      <c r="O1358" s="212">
        <f t="shared" si="139"/>
        <v>0</v>
      </c>
      <c r="P1358" s="155">
        <f t="shared" si="139"/>
        <v>0</v>
      </c>
      <c r="Q1358" s="407"/>
      <c r="R1358" s="407"/>
    </row>
    <row r="1359" spans="1:18" ht="12.75" x14ac:dyDescent="0.2">
      <c r="A1359" s="152">
        <v>6235000</v>
      </c>
      <c r="B1359" s="73"/>
      <c r="C1359" s="51" t="s">
        <v>959</v>
      </c>
      <c r="D1359" s="89"/>
      <c r="E1359" s="89"/>
      <c r="F1359" s="89"/>
      <c r="G1359" s="89"/>
      <c r="H1359" s="89"/>
      <c r="I1359" s="89"/>
      <c r="J1359" s="212">
        <f t="shared" si="139"/>
        <v>0</v>
      </c>
      <c r="K1359" s="212">
        <f t="shared" si="139"/>
        <v>0</v>
      </c>
      <c r="L1359" s="212">
        <f t="shared" si="139"/>
        <v>0</v>
      </c>
      <c r="M1359" s="212">
        <f t="shared" si="139"/>
        <v>0</v>
      </c>
      <c r="N1359" s="212">
        <f t="shared" si="139"/>
        <v>0</v>
      </c>
      <c r="O1359" s="212">
        <f t="shared" si="139"/>
        <v>0</v>
      </c>
      <c r="P1359" s="155">
        <f t="shared" si="139"/>
        <v>0</v>
      </c>
      <c r="Q1359" s="407"/>
      <c r="R1359" s="407"/>
    </row>
    <row r="1360" spans="1:18" ht="12.75" x14ac:dyDescent="0.2">
      <c r="A1360" s="152">
        <v>6235000</v>
      </c>
      <c r="B1360" s="73"/>
      <c r="C1360" s="51" t="s">
        <v>964</v>
      </c>
      <c r="D1360" s="89"/>
      <c r="E1360" s="89"/>
      <c r="F1360" s="89"/>
      <c r="G1360" s="89"/>
      <c r="H1360" s="89"/>
      <c r="I1360" s="89"/>
      <c r="J1360" s="212">
        <f t="shared" si="139"/>
        <v>0</v>
      </c>
      <c r="K1360" s="212">
        <f t="shared" si="139"/>
        <v>0</v>
      </c>
      <c r="L1360" s="212">
        <f t="shared" si="139"/>
        <v>0</v>
      </c>
      <c r="M1360" s="212">
        <f t="shared" si="139"/>
        <v>0</v>
      </c>
      <c r="N1360" s="212">
        <f t="shared" si="139"/>
        <v>0</v>
      </c>
      <c r="O1360" s="212">
        <f t="shared" si="139"/>
        <v>0</v>
      </c>
      <c r="P1360" s="155">
        <f t="shared" si="139"/>
        <v>0</v>
      </c>
      <c r="Q1360" s="407"/>
      <c r="R1360" s="407"/>
    </row>
    <row r="1361" spans="1:18" ht="12.75" x14ac:dyDescent="0.2">
      <c r="A1361" s="152">
        <v>6235000</v>
      </c>
      <c r="B1361" s="73"/>
      <c r="C1361" s="51" t="s">
        <v>1003</v>
      </c>
      <c r="D1361" s="89"/>
      <c r="E1361" s="89"/>
      <c r="F1361" s="89"/>
      <c r="G1361" s="89"/>
      <c r="H1361" s="89"/>
      <c r="I1361" s="89"/>
      <c r="J1361" s="212">
        <f t="shared" si="139"/>
        <v>0</v>
      </c>
      <c r="K1361" s="212">
        <f t="shared" si="139"/>
        <v>0</v>
      </c>
      <c r="L1361" s="212">
        <f t="shared" si="139"/>
        <v>0</v>
      </c>
      <c r="M1361" s="212">
        <f t="shared" si="139"/>
        <v>0</v>
      </c>
      <c r="N1361" s="212">
        <f t="shared" si="139"/>
        <v>0</v>
      </c>
      <c r="O1361" s="212">
        <f t="shared" si="139"/>
        <v>0</v>
      </c>
      <c r="P1361" s="155">
        <f t="shared" si="139"/>
        <v>0</v>
      </c>
      <c r="Q1361" s="407"/>
      <c r="R1361" s="407"/>
    </row>
    <row r="1362" spans="1:18" ht="12.75" x14ac:dyDescent="0.2">
      <c r="A1362" s="152">
        <v>6235000</v>
      </c>
      <c r="B1362" s="73"/>
      <c r="C1362" s="51" t="s">
        <v>992</v>
      </c>
      <c r="D1362" s="89"/>
      <c r="E1362" s="89"/>
      <c r="F1362" s="89"/>
      <c r="G1362" s="89"/>
      <c r="H1362" s="89"/>
      <c r="I1362" s="89"/>
      <c r="J1362" s="212">
        <f t="shared" si="139"/>
        <v>0</v>
      </c>
      <c r="K1362" s="212">
        <f t="shared" si="139"/>
        <v>0</v>
      </c>
      <c r="L1362" s="212">
        <f t="shared" si="139"/>
        <v>0</v>
      </c>
      <c r="M1362" s="212">
        <f t="shared" si="139"/>
        <v>0</v>
      </c>
      <c r="N1362" s="212">
        <f t="shared" si="139"/>
        <v>0</v>
      </c>
      <c r="O1362" s="212">
        <f t="shared" si="139"/>
        <v>0</v>
      </c>
      <c r="P1362" s="155">
        <f t="shared" si="139"/>
        <v>0</v>
      </c>
      <c r="Q1362" s="407"/>
      <c r="R1362" s="407"/>
    </row>
    <row r="1363" spans="1:18" ht="12.75" x14ac:dyDescent="0.2">
      <c r="A1363" s="152">
        <v>6235000</v>
      </c>
      <c r="B1363" s="73"/>
      <c r="C1363" s="51" t="s">
        <v>994</v>
      </c>
      <c r="D1363" s="89"/>
      <c r="E1363" s="89"/>
      <c r="F1363" s="89"/>
      <c r="G1363" s="89"/>
      <c r="H1363" s="89"/>
      <c r="I1363" s="89"/>
      <c r="J1363" s="212">
        <f t="shared" ref="J1363:P1372" si="140">SUMIFS(J$26:J$180,$A$26:$A$180,$A1363,$C$26:$C$180,$C1363)</f>
        <v>0</v>
      </c>
      <c r="K1363" s="212">
        <f t="shared" si="140"/>
        <v>0</v>
      </c>
      <c r="L1363" s="212">
        <f t="shared" si="140"/>
        <v>0</v>
      </c>
      <c r="M1363" s="212">
        <f t="shared" si="140"/>
        <v>0</v>
      </c>
      <c r="N1363" s="212">
        <f t="shared" si="140"/>
        <v>0</v>
      </c>
      <c r="O1363" s="212">
        <f t="shared" si="140"/>
        <v>0</v>
      </c>
      <c r="P1363" s="155">
        <f t="shared" si="140"/>
        <v>0</v>
      </c>
      <c r="Q1363" s="407"/>
      <c r="R1363" s="407"/>
    </row>
    <row r="1364" spans="1:18" ht="12.75" x14ac:dyDescent="0.2">
      <c r="A1364" s="152">
        <v>6235000</v>
      </c>
      <c r="B1364" s="73"/>
      <c r="C1364" s="51" t="s">
        <v>993</v>
      </c>
      <c r="D1364" s="89"/>
      <c r="E1364" s="89"/>
      <c r="F1364" s="89"/>
      <c r="G1364" s="89"/>
      <c r="H1364" s="89"/>
      <c r="I1364" s="89"/>
      <c r="J1364" s="212">
        <f t="shared" si="140"/>
        <v>0</v>
      </c>
      <c r="K1364" s="212">
        <f t="shared" si="140"/>
        <v>0</v>
      </c>
      <c r="L1364" s="212">
        <f t="shared" si="140"/>
        <v>6000</v>
      </c>
      <c r="M1364" s="212">
        <f t="shared" si="140"/>
        <v>0</v>
      </c>
      <c r="N1364" s="212">
        <f t="shared" si="140"/>
        <v>0</v>
      </c>
      <c r="O1364" s="212">
        <f t="shared" si="140"/>
        <v>0</v>
      </c>
      <c r="P1364" s="155">
        <f t="shared" si="140"/>
        <v>6000</v>
      </c>
      <c r="Q1364" s="407"/>
      <c r="R1364" s="407"/>
    </row>
    <row r="1365" spans="1:18" ht="12.75" x14ac:dyDescent="0.2">
      <c r="A1365" s="152">
        <v>6235000</v>
      </c>
      <c r="B1365" s="73"/>
      <c r="C1365" s="51" t="s">
        <v>995</v>
      </c>
      <c r="D1365" s="89"/>
      <c r="E1365" s="89"/>
      <c r="F1365" s="89"/>
      <c r="G1365" s="89"/>
      <c r="H1365" s="89"/>
      <c r="I1365" s="89"/>
      <c r="J1365" s="212">
        <f t="shared" si="140"/>
        <v>0</v>
      </c>
      <c r="K1365" s="212">
        <f t="shared" si="140"/>
        <v>0</v>
      </c>
      <c r="L1365" s="212">
        <f t="shared" si="140"/>
        <v>0</v>
      </c>
      <c r="M1365" s="212">
        <f t="shared" si="140"/>
        <v>0</v>
      </c>
      <c r="N1365" s="212">
        <f t="shared" si="140"/>
        <v>0</v>
      </c>
      <c r="O1365" s="212">
        <f t="shared" si="140"/>
        <v>0</v>
      </c>
      <c r="P1365" s="155">
        <f t="shared" si="140"/>
        <v>0</v>
      </c>
      <c r="Q1365" s="407"/>
      <c r="R1365" s="407"/>
    </row>
    <row r="1366" spans="1:18" ht="12.75" x14ac:dyDescent="0.2">
      <c r="A1366" s="152">
        <v>6235000</v>
      </c>
      <c r="B1366" s="73"/>
      <c r="C1366" s="51" t="s">
        <v>1001</v>
      </c>
      <c r="D1366" s="89"/>
      <c r="E1366" s="89"/>
      <c r="F1366" s="89"/>
      <c r="G1366" s="89"/>
      <c r="H1366" s="89"/>
      <c r="I1366" s="89"/>
      <c r="J1366" s="212">
        <f t="shared" si="140"/>
        <v>0</v>
      </c>
      <c r="K1366" s="212">
        <f t="shared" si="140"/>
        <v>0</v>
      </c>
      <c r="L1366" s="212">
        <f t="shared" si="140"/>
        <v>0</v>
      </c>
      <c r="M1366" s="212">
        <f t="shared" si="140"/>
        <v>0</v>
      </c>
      <c r="N1366" s="212">
        <f t="shared" si="140"/>
        <v>0</v>
      </c>
      <c r="O1366" s="212">
        <f t="shared" si="140"/>
        <v>0</v>
      </c>
      <c r="P1366" s="155">
        <f t="shared" si="140"/>
        <v>0</v>
      </c>
      <c r="Q1366" s="407"/>
      <c r="R1366" s="407"/>
    </row>
    <row r="1367" spans="1:18" ht="12.75" x14ac:dyDescent="0.2">
      <c r="A1367" s="152">
        <v>6235000</v>
      </c>
      <c r="B1367" s="73"/>
      <c r="C1367" s="51" t="s">
        <v>978</v>
      </c>
      <c r="D1367" s="89"/>
      <c r="E1367" s="89"/>
      <c r="F1367" s="89"/>
      <c r="G1367" s="89"/>
      <c r="H1367" s="89"/>
      <c r="I1367" s="89"/>
      <c r="J1367" s="212">
        <f t="shared" si="140"/>
        <v>0</v>
      </c>
      <c r="K1367" s="212">
        <f t="shared" si="140"/>
        <v>0</v>
      </c>
      <c r="L1367" s="212">
        <f t="shared" si="140"/>
        <v>0</v>
      </c>
      <c r="M1367" s="212">
        <f t="shared" si="140"/>
        <v>0</v>
      </c>
      <c r="N1367" s="212">
        <f t="shared" si="140"/>
        <v>0</v>
      </c>
      <c r="O1367" s="212">
        <f t="shared" si="140"/>
        <v>0</v>
      </c>
      <c r="P1367" s="155">
        <f t="shared" si="140"/>
        <v>0</v>
      </c>
      <c r="Q1367" s="407"/>
      <c r="R1367" s="407"/>
    </row>
    <row r="1368" spans="1:18" ht="12.75" x14ac:dyDescent="0.2">
      <c r="A1368" s="152">
        <v>6235000</v>
      </c>
      <c r="B1368" s="73"/>
      <c r="C1368" s="51" t="s">
        <v>494</v>
      </c>
      <c r="D1368" s="89"/>
      <c r="E1368" s="89"/>
      <c r="F1368" s="89"/>
      <c r="G1368" s="89"/>
      <c r="H1368" s="89"/>
      <c r="I1368" s="89"/>
      <c r="J1368" s="212">
        <f t="shared" si="140"/>
        <v>0</v>
      </c>
      <c r="K1368" s="212">
        <f t="shared" si="140"/>
        <v>0</v>
      </c>
      <c r="L1368" s="212">
        <f t="shared" si="140"/>
        <v>0</v>
      </c>
      <c r="M1368" s="212">
        <f t="shared" si="140"/>
        <v>0</v>
      </c>
      <c r="N1368" s="212">
        <f t="shared" si="140"/>
        <v>0</v>
      </c>
      <c r="O1368" s="212">
        <f t="shared" si="140"/>
        <v>0</v>
      </c>
      <c r="P1368" s="155">
        <f t="shared" si="140"/>
        <v>0</v>
      </c>
      <c r="Q1368" s="407"/>
      <c r="R1368" s="407"/>
    </row>
    <row r="1369" spans="1:18" ht="12.75" x14ac:dyDescent="0.2">
      <c r="A1369" s="152">
        <v>6235000</v>
      </c>
      <c r="B1369" s="73"/>
      <c r="C1369" s="51" t="s">
        <v>976</v>
      </c>
      <c r="D1369" s="89"/>
      <c r="E1369" s="89"/>
      <c r="F1369" s="89"/>
      <c r="G1369" s="89"/>
      <c r="H1369" s="89"/>
      <c r="I1369" s="89"/>
      <c r="J1369" s="212">
        <f t="shared" si="140"/>
        <v>0</v>
      </c>
      <c r="K1369" s="212">
        <f t="shared" si="140"/>
        <v>0</v>
      </c>
      <c r="L1369" s="212">
        <f t="shared" si="140"/>
        <v>0</v>
      </c>
      <c r="M1369" s="212">
        <f t="shared" si="140"/>
        <v>0</v>
      </c>
      <c r="N1369" s="212">
        <f t="shared" si="140"/>
        <v>0</v>
      </c>
      <c r="O1369" s="212">
        <f t="shared" si="140"/>
        <v>0</v>
      </c>
      <c r="P1369" s="155">
        <f t="shared" si="140"/>
        <v>0</v>
      </c>
      <c r="Q1369" s="407"/>
      <c r="R1369" s="407"/>
    </row>
    <row r="1370" spans="1:18" ht="12.75" x14ac:dyDescent="0.2">
      <c r="A1370" s="152">
        <v>6235000</v>
      </c>
      <c r="B1370" s="73"/>
      <c r="C1370" s="51" t="s">
        <v>1002</v>
      </c>
      <c r="D1370" s="89"/>
      <c r="E1370" s="89"/>
      <c r="F1370" s="89"/>
      <c r="G1370" s="89"/>
      <c r="H1370" s="89"/>
      <c r="I1370" s="89"/>
      <c r="J1370" s="212">
        <f t="shared" si="140"/>
        <v>0</v>
      </c>
      <c r="K1370" s="212">
        <f t="shared" si="140"/>
        <v>0</v>
      </c>
      <c r="L1370" s="212">
        <f t="shared" si="140"/>
        <v>0</v>
      </c>
      <c r="M1370" s="212">
        <f t="shared" si="140"/>
        <v>0</v>
      </c>
      <c r="N1370" s="212">
        <f t="shared" si="140"/>
        <v>0</v>
      </c>
      <c r="O1370" s="212">
        <f t="shared" si="140"/>
        <v>0</v>
      </c>
      <c r="P1370" s="155">
        <f t="shared" si="140"/>
        <v>0</v>
      </c>
      <c r="Q1370" s="407"/>
      <c r="R1370" s="407"/>
    </row>
    <row r="1371" spans="1:18" ht="12.75" x14ac:dyDescent="0.2">
      <c r="A1371" s="152">
        <v>6235000</v>
      </c>
      <c r="B1371" s="73"/>
      <c r="C1371" s="51" t="s">
        <v>1014</v>
      </c>
      <c r="D1371" s="89"/>
      <c r="E1371" s="89"/>
      <c r="F1371" s="89"/>
      <c r="G1371" s="89"/>
      <c r="H1371" s="89"/>
      <c r="I1371" s="89"/>
      <c r="J1371" s="212">
        <f t="shared" si="140"/>
        <v>0</v>
      </c>
      <c r="K1371" s="212">
        <f t="shared" si="140"/>
        <v>0</v>
      </c>
      <c r="L1371" s="212">
        <f t="shared" si="140"/>
        <v>0</v>
      </c>
      <c r="M1371" s="212">
        <f t="shared" si="140"/>
        <v>0</v>
      </c>
      <c r="N1371" s="212">
        <f t="shared" si="140"/>
        <v>0</v>
      </c>
      <c r="O1371" s="212">
        <f t="shared" si="140"/>
        <v>0</v>
      </c>
      <c r="P1371" s="155">
        <f t="shared" si="140"/>
        <v>0</v>
      </c>
      <c r="Q1371" s="407"/>
      <c r="R1371" s="407"/>
    </row>
    <row r="1372" spans="1:18" ht="12.75" x14ac:dyDescent="0.2">
      <c r="A1372" s="152">
        <v>6235000</v>
      </c>
      <c r="B1372" s="73"/>
      <c r="C1372" s="51" t="s">
        <v>998</v>
      </c>
      <c r="D1372" s="89"/>
      <c r="E1372" s="89"/>
      <c r="F1372" s="89"/>
      <c r="G1372" s="89"/>
      <c r="H1372" s="89"/>
      <c r="I1372" s="89"/>
      <c r="J1372" s="212">
        <f t="shared" si="140"/>
        <v>0</v>
      </c>
      <c r="K1372" s="212">
        <f t="shared" si="140"/>
        <v>0</v>
      </c>
      <c r="L1372" s="212">
        <f t="shared" si="140"/>
        <v>0</v>
      </c>
      <c r="M1372" s="212">
        <f t="shared" si="140"/>
        <v>0</v>
      </c>
      <c r="N1372" s="212">
        <f t="shared" si="140"/>
        <v>0</v>
      </c>
      <c r="O1372" s="212">
        <f t="shared" si="140"/>
        <v>0</v>
      </c>
      <c r="P1372" s="155">
        <f t="shared" si="140"/>
        <v>0</v>
      </c>
      <c r="Q1372" s="407"/>
      <c r="R1372" s="407"/>
    </row>
    <row r="1373" spans="1:18" ht="12.75" x14ac:dyDescent="0.2">
      <c r="A1373" s="152">
        <v>6235000</v>
      </c>
      <c r="B1373" s="73"/>
      <c r="C1373" s="51" t="s">
        <v>996</v>
      </c>
      <c r="D1373" s="89"/>
      <c r="E1373" s="89"/>
      <c r="F1373" s="89"/>
      <c r="G1373" s="89"/>
      <c r="H1373" s="89"/>
      <c r="I1373" s="89"/>
      <c r="J1373" s="212">
        <f t="shared" ref="J1373:P1382" si="141">SUMIFS(J$26:J$180,$A$26:$A$180,$A1373,$C$26:$C$180,$C1373)</f>
        <v>0</v>
      </c>
      <c r="K1373" s="212">
        <f t="shared" si="141"/>
        <v>0</v>
      </c>
      <c r="L1373" s="212">
        <f t="shared" si="141"/>
        <v>0</v>
      </c>
      <c r="M1373" s="212">
        <f t="shared" si="141"/>
        <v>0</v>
      </c>
      <c r="N1373" s="212">
        <f t="shared" si="141"/>
        <v>0</v>
      </c>
      <c r="O1373" s="212">
        <f t="shared" si="141"/>
        <v>0</v>
      </c>
      <c r="P1373" s="155">
        <f t="shared" si="141"/>
        <v>0</v>
      </c>
      <c r="Q1373" s="407"/>
      <c r="R1373" s="407"/>
    </row>
    <row r="1374" spans="1:18" ht="12.75" x14ac:dyDescent="0.2">
      <c r="A1374" s="152">
        <v>6235000</v>
      </c>
      <c r="B1374" s="73"/>
      <c r="C1374" s="51" t="s">
        <v>1043</v>
      </c>
      <c r="D1374" s="89"/>
      <c r="E1374" s="89"/>
      <c r="F1374" s="89"/>
      <c r="G1374" s="89"/>
      <c r="H1374" s="89"/>
      <c r="I1374" s="89"/>
      <c r="J1374" s="212">
        <f t="shared" si="141"/>
        <v>0</v>
      </c>
      <c r="K1374" s="212">
        <f t="shared" si="141"/>
        <v>0</v>
      </c>
      <c r="L1374" s="212">
        <f t="shared" si="141"/>
        <v>0</v>
      </c>
      <c r="M1374" s="212">
        <f t="shared" si="141"/>
        <v>0</v>
      </c>
      <c r="N1374" s="212">
        <f t="shared" si="141"/>
        <v>0</v>
      </c>
      <c r="O1374" s="212">
        <f t="shared" si="141"/>
        <v>0</v>
      </c>
      <c r="P1374" s="155">
        <f t="shared" si="141"/>
        <v>0</v>
      </c>
      <c r="Q1374" s="407"/>
      <c r="R1374" s="407"/>
    </row>
    <row r="1375" spans="1:18" ht="12.75" x14ac:dyDescent="0.2">
      <c r="A1375" s="152">
        <v>6235000</v>
      </c>
      <c r="B1375" s="73"/>
      <c r="C1375" s="51" t="s">
        <v>1044</v>
      </c>
      <c r="D1375" s="89"/>
      <c r="E1375" s="89"/>
      <c r="F1375" s="89"/>
      <c r="G1375" s="89"/>
      <c r="H1375" s="89"/>
      <c r="I1375" s="89"/>
      <c r="J1375" s="212">
        <f t="shared" si="141"/>
        <v>0</v>
      </c>
      <c r="K1375" s="212">
        <f t="shared" si="141"/>
        <v>0</v>
      </c>
      <c r="L1375" s="212">
        <f t="shared" si="141"/>
        <v>0</v>
      </c>
      <c r="M1375" s="212">
        <f t="shared" si="141"/>
        <v>0</v>
      </c>
      <c r="N1375" s="212">
        <f t="shared" si="141"/>
        <v>0</v>
      </c>
      <c r="O1375" s="212">
        <f t="shared" si="141"/>
        <v>0</v>
      </c>
      <c r="P1375" s="155">
        <f t="shared" si="141"/>
        <v>0</v>
      </c>
      <c r="Q1375" s="407"/>
      <c r="R1375" s="407"/>
    </row>
    <row r="1376" spans="1:18" ht="12.75" x14ac:dyDescent="0.2">
      <c r="A1376" s="152">
        <v>6235000</v>
      </c>
      <c r="B1376" s="73"/>
      <c r="C1376" s="51" t="s">
        <v>1039</v>
      </c>
      <c r="D1376" s="89"/>
      <c r="E1376" s="89"/>
      <c r="F1376" s="89"/>
      <c r="G1376" s="89"/>
      <c r="H1376" s="89"/>
      <c r="I1376" s="89"/>
      <c r="J1376" s="212">
        <f t="shared" si="141"/>
        <v>0</v>
      </c>
      <c r="K1376" s="212">
        <f t="shared" si="141"/>
        <v>0</v>
      </c>
      <c r="L1376" s="212">
        <f t="shared" si="141"/>
        <v>0</v>
      </c>
      <c r="M1376" s="212">
        <f t="shared" si="141"/>
        <v>0</v>
      </c>
      <c r="N1376" s="212">
        <f t="shared" si="141"/>
        <v>0</v>
      </c>
      <c r="O1376" s="212">
        <f t="shared" si="141"/>
        <v>0</v>
      </c>
      <c r="P1376" s="155">
        <f t="shared" si="141"/>
        <v>0</v>
      </c>
      <c r="Q1376" s="407"/>
      <c r="R1376" s="407"/>
    </row>
    <row r="1377" spans="1:18" ht="12.75" x14ac:dyDescent="0.2">
      <c r="A1377" s="152">
        <v>6235000</v>
      </c>
      <c r="B1377" s="73"/>
      <c r="C1377" s="51" t="s">
        <v>1028</v>
      </c>
      <c r="D1377" s="89"/>
      <c r="E1377" s="89"/>
      <c r="F1377" s="89"/>
      <c r="G1377" s="89"/>
      <c r="H1377" s="89"/>
      <c r="I1377" s="89"/>
      <c r="J1377" s="212">
        <f t="shared" si="141"/>
        <v>0</v>
      </c>
      <c r="K1377" s="212">
        <f t="shared" si="141"/>
        <v>0</v>
      </c>
      <c r="L1377" s="212">
        <f t="shared" si="141"/>
        <v>0</v>
      </c>
      <c r="M1377" s="212">
        <f t="shared" si="141"/>
        <v>0</v>
      </c>
      <c r="N1377" s="212">
        <f t="shared" si="141"/>
        <v>0</v>
      </c>
      <c r="O1377" s="212">
        <f t="shared" si="141"/>
        <v>0</v>
      </c>
      <c r="P1377" s="155">
        <f t="shared" si="141"/>
        <v>0</v>
      </c>
      <c r="Q1377" s="407"/>
      <c r="R1377" s="407"/>
    </row>
    <row r="1378" spans="1:18" ht="12.75" x14ac:dyDescent="0.2">
      <c r="A1378" s="152">
        <v>6235000</v>
      </c>
      <c r="B1378" s="73"/>
      <c r="C1378" s="51" t="s">
        <v>1029</v>
      </c>
      <c r="D1378" s="89"/>
      <c r="E1378" s="89"/>
      <c r="F1378" s="89"/>
      <c r="G1378" s="89"/>
      <c r="H1378" s="89"/>
      <c r="I1378" s="89"/>
      <c r="J1378" s="212">
        <f t="shared" si="141"/>
        <v>0</v>
      </c>
      <c r="K1378" s="212">
        <f t="shared" si="141"/>
        <v>0</v>
      </c>
      <c r="L1378" s="212">
        <f t="shared" si="141"/>
        <v>0</v>
      </c>
      <c r="M1378" s="212">
        <f t="shared" si="141"/>
        <v>0</v>
      </c>
      <c r="N1378" s="212">
        <f t="shared" si="141"/>
        <v>0</v>
      </c>
      <c r="O1378" s="212">
        <f t="shared" si="141"/>
        <v>0</v>
      </c>
      <c r="P1378" s="155">
        <f t="shared" si="141"/>
        <v>0</v>
      </c>
      <c r="Q1378" s="407"/>
      <c r="R1378" s="407"/>
    </row>
    <row r="1379" spans="1:18" ht="12.75" x14ac:dyDescent="0.2">
      <c r="A1379" s="152">
        <v>6235000</v>
      </c>
      <c r="B1379" s="73"/>
      <c r="C1379" s="51" t="s">
        <v>113</v>
      </c>
      <c r="D1379" s="89"/>
      <c r="E1379" s="89"/>
      <c r="F1379" s="89"/>
      <c r="G1379" s="89"/>
      <c r="H1379" s="89"/>
      <c r="I1379" s="89"/>
      <c r="J1379" s="212">
        <f t="shared" si="141"/>
        <v>0</v>
      </c>
      <c r="K1379" s="212">
        <f t="shared" si="141"/>
        <v>0</v>
      </c>
      <c r="L1379" s="212">
        <f t="shared" si="141"/>
        <v>0</v>
      </c>
      <c r="M1379" s="212">
        <f t="shared" si="141"/>
        <v>0</v>
      </c>
      <c r="N1379" s="212">
        <f t="shared" si="141"/>
        <v>0</v>
      </c>
      <c r="O1379" s="212">
        <f t="shared" si="141"/>
        <v>0</v>
      </c>
      <c r="P1379" s="155">
        <f t="shared" si="141"/>
        <v>0</v>
      </c>
      <c r="Q1379" s="407"/>
      <c r="R1379" s="407"/>
    </row>
    <row r="1380" spans="1:18" ht="12.75" x14ac:dyDescent="0.2">
      <c r="A1380" s="152">
        <v>6235000</v>
      </c>
      <c r="B1380" s="73"/>
      <c r="C1380" s="51" t="s">
        <v>1038</v>
      </c>
      <c r="D1380" s="89"/>
      <c r="E1380" s="89"/>
      <c r="F1380" s="89"/>
      <c r="G1380" s="89"/>
      <c r="H1380" s="89"/>
      <c r="I1380" s="89"/>
      <c r="J1380" s="212">
        <f t="shared" si="141"/>
        <v>0</v>
      </c>
      <c r="K1380" s="212">
        <f t="shared" si="141"/>
        <v>0</v>
      </c>
      <c r="L1380" s="212">
        <f t="shared" si="141"/>
        <v>0</v>
      </c>
      <c r="M1380" s="212">
        <f t="shared" si="141"/>
        <v>0</v>
      </c>
      <c r="N1380" s="212">
        <f t="shared" si="141"/>
        <v>0</v>
      </c>
      <c r="O1380" s="212">
        <f t="shared" si="141"/>
        <v>0</v>
      </c>
      <c r="P1380" s="155">
        <f t="shared" si="141"/>
        <v>0</v>
      </c>
      <c r="Q1380" s="407"/>
      <c r="R1380" s="407"/>
    </row>
    <row r="1381" spans="1:18" ht="12.75" x14ac:dyDescent="0.2">
      <c r="A1381" s="152">
        <v>6235000</v>
      </c>
      <c r="B1381" s="73"/>
      <c r="C1381" s="51" t="s">
        <v>1033</v>
      </c>
      <c r="D1381" s="89"/>
      <c r="E1381" s="89"/>
      <c r="F1381" s="89"/>
      <c r="G1381" s="89"/>
      <c r="H1381" s="89"/>
      <c r="I1381" s="89"/>
      <c r="J1381" s="212">
        <f t="shared" si="141"/>
        <v>0</v>
      </c>
      <c r="K1381" s="212">
        <f t="shared" si="141"/>
        <v>0</v>
      </c>
      <c r="L1381" s="212">
        <f t="shared" si="141"/>
        <v>0</v>
      </c>
      <c r="M1381" s="212">
        <f t="shared" si="141"/>
        <v>0</v>
      </c>
      <c r="N1381" s="212">
        <f t="shared" si="141"/>
        <v>0</v>
      </c>
      <c r="O1381" s="212">
        <f t="shared" si="141"/>
        <v>0</v>
      </c>
      <c r="P1381" s="155">
        <f t="shared" si="141"/>
        <v>0</v>
      </c>
      <c r="Q1381" s="407"/>
      <c r="R1381" s="407"/>
    </row>
    <row r="1382" spans="1:18" ht="12.75" x14ac:dyDescent="0.2">
      <c r="A1382" s="152">
        <v>6235000</v>
      </c>
      <c r="B1382" s="73"/>
      <c r="C1382" s="51" t="s">
        <v>1007</v>
      </c>
      <c r="D1382" s="89"/>
      <c r="E1382" s="89"/>
      <c r="F1382" s="89"/>
      <c r="G1382" s="89"/>
      <c r="H1382" s="89"/>
      <c r="I1382" s="89"/>
      <c r="J1382" s="212">
        <f t="shared" si="141"/>
        <v>0</v>
      </c>
      <c r="K1382" s="212">
        <f t="shared" si="141"/>
        <v>0</v>
      </c>
      <c r="L1382" s="212">
        <f t="shared" si="141"/>
        <v>0</v>
      </c>
      <c r="M1382" s="212">
        <f t="shared" si="141"/>
        <v>0</v>
      </c>
      <c r="N1382" s="212">
        <f t="shared" si="141"/>
        <v>0</v>
      </c>
      <c r="O1382" s="212">
        <f t="shared" si="141"/>
        <v>0</v>
      </c>
      <c r="P1382" s="155">
        <f t="shared" si="141"/>
        <v>0</v>
      </c>
      <c r="Q1382" s="407"/>
      <c r="R1382" s="407"/>
    </row>
    <row r="1383" spans="1:18" ht="12.75" x14ac:dyDescent="0.2">
      <c r="A1383" s="152">
        <v>6235000</v>
      </c>
      <c r="B1383" s="73"/>
      <c r="C1383" s="51" t="s">
        <v>969</v>
      </c>
      <c r="D1383" s="89"/>
      <c r="E1383" s="89"/>
      <c r="F1383" s="89"/>
      <c r="G1383" s="89"/>
      <c r="H1383" s="89"/>
      <c r="I1383" s="89"/>
      <c r="J1383" s="212">
        <f t="shared" ref="J1383:P1392" si="142">SUMIFS(J$26:J$180,$A$26:$A$180,$A1383,$C$26:$C$180,$C1383)</f>
        <v>0</v>
      </c>
      <c r="K1383" s="212">
        <f t="shared" si="142"/>
        <v>0</v>
      </c>
      <c r="L1383" s="212">
        <f t="shared" si="142"/>
        <v>0</v>
      </c>
      <c r="M1383" s="212">
        <f t="shared" si="142"/>
        <v>0</v>
      </c>
      <c r="N1383" s="212">
        <f t="shared" si="142"/>
        <v>0</v>
      </c>
      <c r="O1383" s="212">
        <f t="shared" si="142"/>
        <v>0</v>
      </c>
      <c r="P1383" s="155">
        <f t="shared" si="142"/>
        <v>0</v>
      </c>
      <c r="Q1383" s="407"/>
      <c r="R1383" s="407"/>
    </row>
    <row r="1384" spans="1:18" ht="12.75" x14ac:dyDescent="0.2">
      <c r="A1384" s="152">
        <v>6235000</v>
      </c>
      <c r="B1384" s="73"/>
      <c r="C1384" s="51" t="s">
        <v>987</v>
      </c>
      <c r="D1384" s="89"/>
      <c r="E1384" s="89"/>
      <c r="F1384" s="89"/>
      <c r="G1384" s="89"/>
      <c r="H1384" s="89"/>
      <c r="I1384" s="89"/>
      <c r="J1384" s="212">
        <f t="shared" si="142"/>
        <v>0</v>
      </c>
      <c r="K1384" s="212">
        <f t="shared" si="142"/>
        <v>0</v>
      </c>
      <c r="L1384" s="212">
        <f t="shared" si="142"/>
        <v>0</v>
      </c>
      <c r="M1384" s="212">
        <f t="shared" si="142"/>
        <v>0</v>
      </c>
      <c r="N1384" s="212">
        <f t="shared" si="142"/>
        <v>0</v>
      </c>
      <c r="O1384" s="212">
        <f t="shared" si="142"/>
        <v>0</v>
      </c>
      <c r="P1384" s="155">
        <f t="shared" si="142"/>
        <v>0</v>
      </c>
      <c r="Q1384" s="407"/>
      <c r="R1384" s="407"/>
    </row>
    <row r="1385" spans="1:18" ht="12.75" x14ac:dyDescent="0.2">
      <c r="A1385" s="152">
        <v>6235000</v>
      </c>
      <c r="B1385" s="73"/>
      <c r="C1385" s="51" t="s">
        <v>1000</v>
      </c>
      <c r="D1385" s="89"/>
      <c r="E1385" s="89"/>
      <c r="F1385" s="89"/>
      <c r="G1385" s="89"/>
      <c r="H1385" s="89"/>
      <c r="I1385" s="89"/>
      <c r="J1385" s="212">
        <f t="shared" si="142"/>
        <v>0</v>
      </c>
      <c r="K1385" s="212">
        <f t="shared" si="142"/>
        <v>0</v>
      </c>
      <c r="L1385" s="212">
        <f t="shared" si="142"/>
        <v>0</v>
      </c>
      <c r="M1385" s="212">
        <f t="shared" si="142"/>
        <v>0</v>
      </c>
      <c r="N1385" s="212">
        <f t="shared" si="142"/>
        <v>0</v>
      </c>
      <c r="O1385" s="212">
        <f t="shared" si="142"/>
        <v>0</v>
      </c>
      <c r="P1385" s="155">
        <f t="shared" si="142"/>
        <v>0</v>
      </c>
      <c r="Q1385" s="407"/>
      <c r="R1385" s="407"/>
    </row>
    <row r="1386" spans="1:18" ht="12.75" x14ac:dyDescent="0.2">
      <c r="A1386" s="152">
        <v>6235000</v>
      </c>
      <c r="B1386" s="73"/>
      <c r="C1386" s="51" t="s">
        <v>116</v>
      </c>
      <c r="D1386" s="89"/>
      <c r="E1386" s="89"/>
      <c r="F1386" s="89"/>
      <c r="G1386" s="89"/>
      <c r="H1386" s="89"/>
      <c r="I1386" s="89"/>
      <c r="J1386" s="212">
        <f t="shared" si="142"/>
        <v>0</v>
      </c>
      <c r="K1386" s="212">
        <f t="shared" si="142"/>
        <v>0</v>
      </c>
      <c r="L1386" s="212">
        <f t="shared" si="142"/>
        <v>0</v>
      </c>
      <c r="M1386" s="212">
        <f t="shared" si="142"/>
        <v>0</v>
      </c>
      <c r="N1386" s="212">
        <f t="shared" si="142"/>
        <v>0</v>
      </c>
      <c r="O1386" s="212">
        <f t="shared" si="142"/>
        <v>0</v>
      </c>
      <c r="P1386" s="155">
        <f t="shared" si="142"/>
        <v>0</v>
      </c>
      <c r="Q1386" s="407"/>
      <c r="R1386" s="407"/>
    </row>
    <row r="1387" spans="1:18" ht="12.75" x14ac:dyDescent="0.2">
      <c r="A1387" s="152">
        <v>6235000</v>
      </c>
      <c r="B1387" s="73"/>
      <c r="C1387" s="51" t="s">
        <v>114</v>
      </c>
      <c r="D1387" s="89"/>
      <c r="E1387" s="89"/>
      <c r="F1387" s="89"/>
      <c r="G1387" s="89"/>
      <c r="H1387" s="89"/>
      <c r="I1387" s="89"/>
      <c r="J1387" s="212">
        <f t="shared" si="142"/>
        <v>0</v>
      </c>
      <c r="K1387" s="212">
        <f t="shared" si="142"/>
        <v>0</v>
      </c>
      <c r="L1387" s="212">
        <f t="shared" si="142"/>
        <v>0</v>
      </c>
      <c r="M1387" s="212">
        <f t="shared" si="142"/>
        <v>0</v>
      </c>
      <c r="N1387" s="212">
        <f t="shared" si="142"/>
        <v>0</v>
      </c>
      <c r="O1387" s="212">
        <f t="shared" si="142"/>
        <v>0</v>
      </c>
      <c r="P1387" s="155">
        <f t="shared" si="142"/>
        <v>0</v>
      </c>
      <c r="Q1387" s="407"/>
      <c r="R1387" s="407"/>
    </row>
    <row r="1388" spans="1:18" ht="12.75" x14ac:dyDescent="0.2">
      <c r="A1388" s="152">
        <v>6235000</v>
      </c>
      <c r="B1388" s="73"/>
      <c r="C1388" s="51" t="s">
        <v>111</v>
      </c>
      <c r="D1388" s="89"/>
      <c r="E1388" s="89"/>
      <c r="F1388" s="89"/>
      <c r="G1388" s="89"/>
      <c r="H1388" s="89"/>
      <c r="I1388" s="89"/>
      <c r="J1388" s="212">
        <f t="shared" si="142"/>
        <v>0</v>
      </c>
      <c r="K1388" s="212">
        <f t="shared" si="142"/>
        <v>0</v>
      </c>
      <c r="L1388" s="212">
        <f t="shared" si="142"/>
        <v>0</v>
      </c>
      <c r="M1388" s="212">
        <f t="shared" si="142"/>
        <v>0</v>
      </c>
      <c r="N1388" s="212">
        <f t="shared" si="142"/>
        <v>0</v>
      </c>
      <c r="O1388" s="212">
        <f t="shared" si="142"/>
        <v>0</v>
      </c>
      <c r="P1388" s="155">
        <f t="shared" si="142"/>
        <v>0</v>
      </c>
      <c r="Q1388" s="407"/>
      <c r="R1388" s="407"/>
    </row>
    <row r="1389" spans="1:18" ht="12.75" x14ac:dyDescent="0.2">
      <c r="A1389" s="152">
        <v>6235000</v>
      </c>
      <c r="B1389" s="73"/>
      <c r="C1389" s="51" t="s">
        <v>117</v>
      </c>
      <c r="D1389" s="89"/>
      <c r="E1389" s="89"/>
      <c r="F1389" s="89"/>
      <c r="G1389" s="89"/>
      <c r="H1389" s="89"/>
      <c r="I1389" s="89"/>
      <c r="J1389" s="212">
        <f t="shared" si="142"/>
        <v>0</v>
      </c>
      <c r="K1389" s="212">
        <f t="shared" si="142"/>
        <v>0</v>
      </c>
      <c r="L1389" s="212">
        <f t="shared" si="142"/>
        <v>0</v>
      </c>
      <c r="M1389" s="212">
        <f t="shared" si="142"/>
        <v>0</v>
      </c>
      <c r="N1389" s="212">
        <f t="shared" si="142"/>
        <v>0</v>
      </c>
      <c r="O1389" s="212">
        <f t="shared" si="142"/>
        <v>0</v>
      </c>
      <c r="P1389" s="155">
        <f t="shared" si="142"/>
        <v>0</v>
      </c>
      <c r="Q1389" s="407"/>
      <c r="R1389" s="407"/>
    </row>
    <row r="1390" spans="1:18" ht="12.75" x14ac:dyDescent="0.2">
      <c r="A1390" s="152">
        <v>6235000</v>
      </c>
      <c r="B1390" s="73"/>
      <c r="C1390" s="51" t="s">
        <v>112</v>
      </c>
      <c r="D1390" s="89"/>
      <c r="E1390" s="89"/>
      <c r="F1390" s="89"/>
      <c r="G1390" s="89"/>
      <c r="H1390" s="89"/>
      <c r="I1390" s="89"/>
      <c r="J1390" s="212">
        <f t="shared" si="142"/>
        <v>0</v>
      </c>
      <c r="K1390" s="212">
        <f t="shared" si="142"/>
        <v>0</v>
      </c>
      <c r="L1390" s="212">
        <f t="shared" si="142"/>
        <v>0</v>
      </c>
      <c r="M1390" s="212">
        <f t="shared" si="142"/>
        <v>0</v>
      </c>
      <c r="N1390" s="212">
        <f t="shared" si="142"/>
        <v>0</v>
      </c>
      <c r="O1390" s="212">
        <f t="shared" si="142"/>
        <v>0</v>
      </c>
      <c r="P1390" s="155">
        <f t="shared" si="142"/>
        <v>0</v>
      </c>
      <c r="Q1390" s="407"/>
      <c r="R1390" s="407"/>
    </row>
    <row r="1391" spans="1:18" ht="12.75" x14ac:dyDescent="0.2">
      <c r="A1391" s="152">
        <v>6235000</v>
      </c>
      <c r="B1391" s="73"/>
      <c r="C1391" s="51" t="s">
        <v>136</v>
      </c>
      <c r="D1391" s="89"/>
      <c r="E1391" s="89"/>
      <c r="F1391" s="89"/>
      <c r="G1391" s="89"/>
      <c r="H1391" s="89"/>
      <c r="I1391" s="89"/>
      <c r="J1391" s="212">
        <f t="shared" si="142"/>
        <v>0</v>
      </c>
      <c r="K1391" s="212">
        <f t="shared" si="142"/>
        <v>0</v>
      </c>
      <c r="L1391" s="212">
        <f t="shared" si="142"/>
        <v>0</v>
      </c>
      <c r="M1391" s="212">
        <f t="shared" si="142"/>
        <v>0</v>
      </c>
      <c r="N1391" s="212">
        <f t="shared" si="142"/>
        <v>0</v>
      </c>
      <c r="O1391" s="212">
        <f t="shared" si="142"/>
        <v>0</v>
      </c>
      <c r="P1391" s="155">
        <f t="shared" si="142"/>
        <v>0</v>
      </c>
      <c r="Q1391" s="407"/>
      <c r="R1391" s="407"/>
    </row>
    <row r="1392" spans="1:18" ht="12.75" x14ac:dyDescent="0.2">
      <c r="A1392" s="152">
        <v>6235000</v>
      </c>
      <c r="B1392" s="73"/>
      <c r="C1392" s="51" t="s">
        <v>962</v>
      </c>
      <c r="D1392" s="89"/>
      <c r="E1392" s="89"/>
      <c r="F1392" s="89"/>
      <c r="G1392" s="89"/>
      <c r="H1392" s="89"/>
      <c r="I1392" s="89"/>
      <c r="J1392" s="212">
        <f t="shared" si="142"/>
        <v>0</v>
      </c>
      <c r="K1392" s="212">
        <f t="shared" si="142"/>
        <v>0</v>
      </c>
      <c r="L1392" s="212">
        <f t="shared" si="142"/>
        <v>0</v>
      </c>
      <c r="M1392" s="212">
        <f t="shared" si="142"/>
        <v>0</v>
      </c>
      <c r="N1392" s="212">
        <f t="shared" si="142"/>
        <v>0</v>
      </c>
      <c r="O1392" s="212">
        <f t="shared" si="142"/>
        <v>0</v>
      </c>
      <c r="P1392" s="155">
        <f t="shared" si="142"/>
        <v>0</v>
      </c>
      <c r="Q1392" s="407"/>
      <c r="R1392" s="407"/>
    </row>
    <row r="1393" spans="1:18" ht="12.75" x14ac:dyDescent="0.2">
      <c r="A1393" s="152">
        <v>6235000</v>
      </c>
      <c r="B1393" s="73"/>
      <c r="C1393" s="51" t="s">
        <v>115</v>
      </c>
      <c r="D1393" s="89"/>
      <c r="E1393" s="89"/>
      <c r="F1393" s="89"/>
      <c r="G1393" s="89"/>
      <c r="H1393" s="89"/>
      <c r="I1393" s="89"/>
      <c r="J1393" s="212">
        <f t="shared" ref="J1393:P1402" si="143">SUMIFS(J$26:J$180,$A$26:$A$180,$A1393,$C$26:$C$180,$C1393)</f>
        <v>0</v>
      </c>
      <c r="K1393" s="212">
        <f t="shared" si="143"/>
        <v>0</v>
      </c>
      <c r="L1393" s="212">
        <f t="shared" si="143"/>
        <v>0</v>
      </c>
      <c r="M1393" s="212">
        <f t="shared" si="143"/>
        <v>0</v>
      </c>
      <c r="N1393" s="212">
        <f t="shared" si="143"/>
        <v>0</v>
      </c>
      <c r="O1393" s="212">
        <f t="shared" si="143"/>
        <v>0</v>
      </c>
      <c r="P1393" s="155">
        <f t="shared" si="143"/>
        <v>0</v>
      </c>
      <c r="Q1393" s="407"/>
      <c r="R1393" s="407"/>
    </row>
    <row r="1394" spans="1:18" ht="12.75" x14ac:dyDescent="0.2">
      <c r="A1394" s="152">
        <v>6235000</v>
      </c>
      <c r="B1394" s="73"/>
      <c r="C1394" s="51" t="s">
        <v>997</v>
      </c>
      <c r="D1394" s="89"/>
      <c r="E1394" s="89"/>
      <c r="F1394" s="89"/>
      <c r="G1394" s="89"/>
      <c r="H1394" s="89"/>
      <c r="I1394" s="89"/>
      <c r="J1394" s="212">
        <f t="shared" si="143"/>
        <v>0</v>
      </c>
      <c r="K1394" s="212">
        <f t="shared" si="143"/>
        <v>0</v>
      </c>
      <c r="L1394" s="212">
        <f t="shared" si="143"/>
        <v>0</v>
      </c>
      <c r="M1394" s="212">
        <f t="shared" si="143"/>
        <v>0</v>
      </c>
      <c r="N1394" s="212">
        <f t="shared" si="143"/>
        <v>0</v>
      </c>
      <c r="O1394" s="212">
        <f t="shared" si="143"/>
        <v>0</v>
      </c>
      <c r="P1394" s="155">
        <f t="shared" si="143"/>
        <v>0</v>
      </c>
      <c r="Q1394" s="407"/>
      <c r="R1394" s="407"/>
    </row>
    <row r="1395" spans="1:18" ht="12.75" x14ac:dyDescent="0.2">
      <c r="A1395" s="152">
        <v>6235000</v>
      </c>
      <c r="B1395" s="73"/>
      <c r="C1395" s="51" t="s">
        <v>999</v>
      </c>
      <c r="D1395" s="89"/>
      <c r="E1395" s="89"/>
      <c r="F1395" s="89"/>
      <c r="G1395" s="89"/>
      <c r="H1395" s="89"/>
      <c r="I1395" s="89"/>
      <c r="J1395" s="212">
        <f t="shared" si="143"/>
        <v>0</v>
      </c>
      <c r="K1395" s="212">
        <f t="shared" si="143"/>
        <v>0</v>
      </c>
      <c r="L1395" s="212">
        <f t="shared" si="143"/>
        <v>0</v>
      </c>
      <c r="M1395" s="212">
        <f t="shared" si="143"/>
        <v>0</v>
      </c>
      <c r="N1395" s="212">
        <f t="shared" si="143"/>
        <v>0</v>
      </c>
      <c r="O1395" s="212">
        <f t="shared" si="143"/>
        <v>0</v>
      </c>
      <c r="P1395" s="155">
        <f t="shared" si="143"/>
        <v>0</v>
      </c>
      <c r="Q1395" s="407"/>
      <c r="R1395" s="407"/>
    </row>
    <row r="1396" spans="1:18" ht="12.75" x14ac:dyDescent="0.2">
      <c r="A1396" s="152">
        <v>6235000</v>
      </c>
      <c r="B1396" s="73"/>
      <c r="C1396" s="51" t="s">
        <v>1049</v>
      </c>
      <c r="D1396" s="89"/>
      <c r="E1396" s="89"/>
      <c r="F1396" s="89"/>
      <c r="G1396" s="89"/>
      <c r="H1396" s="89"/>
      <c r="I1396" s="89"/>
      <c r="J1396" s="212">
        <f t="shared" si="143"/>
        <v>0</v>
      </c>
      <c r="K1396" s="212">
        <f t="shared" si="143"/>
        <v>0</v>
      </c>
      <c r="L1396" s="212">
        <f t="shared" si="143"/>
        <v>0</v>
      </c>
      <c r="M1396" s="212">
        <f t="shared" si="143"/>
        <v>0</v>
      </c>
      <c r="N1396" s="212">
        <f t="shared" si="143"/>
        <v>0</v>
      </c>
      <c r="O1396" s="212">
        <f t="shared" si="143"/>
        <v>0</v>
      </c>
      <c r="P1396" s="155">
        <f t="shared" si="143"/>
        <v>0</v>
      </c>
      <c r="Q1396" s="407"/>
      <c r="R1396" s="407"/>
    </row>
    <row r="1397" spans="1:18" ht="12.75" x14ac:dyDescent="0.2">
      <c r="A1397" s="152">
        <v>6235000</v>
      </c>
      <c r="B1397" s="73"/>
      <c r="C1397" s="51" t="s">
        <v>96</v>
      </c>
      <c r="D1397" s="89"/>
      <c r="E1397" s="89"/>
      <c r="F1397" s="89"/>
      <c r="G1397" s="89"/>
      <c r="H1397" s="89"/>
      <c r="I1397" s="89"/>
      <c r="J1397" s="212">
        <f t="shared" si="143"/>
        <v>500</v>
      </c>
      <c r="K1397" s="212">
        <f t="shared" si="143"/>
        <v>1000</v>
      </c>
      <c r="L1397" s="212">
        <f t="shared" si="143"/>
        <v>2000</v>
      </c>
      <c r="M1397" s="212">
        <f t="shared" si="143"/>
        <v>0</v>
      </c>
      <c r="N1397" s="212">
        <f t="shared" si="143"/>
        <v>0</v>
      </c>
      <c r="O1397" s="212">
        <f t="shared" si="143"/>
        <v>500</v>
      </c>
      <c r="P1397" s="155">
        <f t="shared" si="143"/>
        <v>4000</v>
      </c>
      <c r="Q1397" s="407"/>
      <c r="R1397" s="407"/>
    </row>
    <row r="1398" spans="1:18" ht="12.75" x14ac:dyDescent="0.2">
      <c r="A1398" s="152">
        <v>6235000</v>
      </c>
      <c r="B1398" s="73"/>
      <c r="C1398" s="51" t="s">
        <v>983</v>
      </c>
      <c r="D1398" s="89"/>
      <c r="E1398" s="89"/>
      <c r="F1398" s="89"/>
      <c r="G1398" s="89"/>
      <c r="H1398" s="89"/>
      <c r="I1398" s="89"/>
      <c r="J1398" s="212">
        <f t="shared" si="143"/>
        <v>0</v>
      </c>
      <c r="K1398" s="212">
        <f t="shared" si="143"/>
        <v>0</v>
      </c>
      <c r="L1398" s="212">
        <f t="shared" si="143"/>
        <v>0</v>
      </c>
      <c r="M1398" s="212">
        <f t="shared" si="143"/>
        <v>0</v>
      </c>
      <c r="N1398" s="212">
        <f t="shared" si="143"/>
        <v>0</v>
      </c>
      <c r="O1398" s="212">
        <f t="shared" si="143"/>
        <v>0</v>
      </c>
      <c r="P1398" s="155">
        <f t="shared" si="143"/>
        <v>0</v>
      </c>
      <c r="Q1398" s="407"/>
      <c r="R1398" s="407"/>
    </row>
    <row r="1399" spans="1:18" ht="12.75" x14ac:dyDescent="0.2">
      <c r="A1399" s="152">
        <v>6235000</v>
      </c>
      <c r="B1399" s="73"/>
      <c r="C1399" s="51" t="s">
        <v>1042</v>
      </c>
      <c r="D1399" s="89"/>
      <c r="E1399" s="89"/>
      <c r="F1399" s="89"/>
      <c r="G1399" s="89"/>
      <c r="H1399" s="89"/>
      <c r="I1399" s="89"/>
      <c r="J1399" s="212">
        <f t="shared" si="143"/>
        <v>0</v>
      </c>
      <c r="K1399" s="212">
        <f t="shared" si="143"/>
        <v>0</v>
      </c>
      <c r="L1399" s="212">
        <f t="shared" si="143"/>
        <v>0</v>
      </c>
      <c r="M1399" s="212">
        <f t="shared" si="143"/>
        <v>0</v>
      </c>
      <c r="N1399" s="212">
        <f t="shared" si="143"/>
        <v>0</v>
      </c>
      <c r="O1399" s="212">
        <f t="shared" si="143"/>
        <v>0</v>
      </c>
      <c r="P1399" s="155">
        <f t="shared" si="143"/>
        <v>0</v>
      </c>
      <c r="Q1399" s="407"/>
      <c r="R1399" s="407"/>
    </row>
    <row r="1400" spans="1:18" ht="12.75" x14ac:dyDescent="0.2">
      <c r="A1400" s="152">
        <v>6235000</v>
      </c>
      <c r="B1400" s="73"/>
      <c r="C1400" s="51" t="s">
        <v>979</v>
      </c>
      <c r="D1400" s="89"/>
      <c r="E1400" s="89"/>
      <c r="F1400" s="89"/>
      <c r="G1400" s="89"/>
      <c r="H1400" s="89"/>
      <c r="I1400" s="89"/>
      <c r="J1400" s="212">
        <f t="shared" si="143"/>
        <v>0</v>
      </c>
      <c r="K1400" s="212">
        <f t="shared" si="143"/>
        <v>0</v>
      </c>
      <c r="L1400" s="212">
        <f t="shared" si="143"/>
        <v>0</v>
      </c>
      <c r="M1400" s="212">
        <f t="shared" si="143"/>
        <v>0</v>
      </c>
      <c r="N1400" s="212">
        <f t="shared" si="143"/>
        <v>0</v>
      </c>
      <c r="O1400" s="212">
        <f t="shared" si="143"/>
        <v>0</v>
      </c>
      <c r="P1400" s="155">
        <f t="shared" si="143"/>
        <v>0</v>
      </c>
      <c r="Q1400" s="407"/>
      <c r="R1400" s="407"/>
    </row>
    <row r="1401" spans="1:18" ht="12.75" x14ac:dyDescent="0.2">
      <c r="A1401" s="152">
        <v>6235000</v>
      </c>
      <c r="B1401" s="73"/>
      <c r="C1401" s="51" t="s">
        <v>47</v>
      </c>
      <c r="D1401" s="89"/>
      <c r="E1401" s="89"/>
      <c r="F1401" s="89"/>
      <c r="G1401" s="89"/>
      <c r="H1401" s="89"/>
      <c r="I1401" s="89"/>
      <c r="J1401" s="212">
        <f t="shared" si="143"/>
        <v>0</v>
      </c>
      <c r="K1401" s="212">
        <f t="shared" si="143"/>
        <v>0</v>
      </c>
      <c r="L1401" s="212">
        <f t="shared" si="143"/>
        <v>0</v>
      </c>
      <c r="M1401" s="212">
        <f t="shared" si="143"/>
        <v>0</v>
      </c>
      <c r="N1401" s="212">
        <f t="shared" si="143"/>
        <v>0</v>
      </c>
      <c r="O1401" s="212">
        <f t="shared" si="143"/>
        <v>0</v>
      </c>
      <c r="P1401" s="155">
        <f t="shared" si="143"/>
        <v>0</v>
      </c>
      <c r="Q1401" s="407"/>
      <c r="R1401" s="407"/>
    </row>
    <row r="1402" spans="1:18" ht="12.75" x14ac:dyDescent="0.2">
      <c r="A1402" s="152">
        <v>6235000</v>
      </c>
      <c r="B1402" s="73"/>
      <c r="C1402" s="51" t="s">
        <v>48</v>
      </c>
      <c r="D1402" s="89"/>
      <c r="E1402" s="89"/>
      <c r="F1402" s="89"/>
      <c r="G1402" s="89"/>
      <c r="H1402" s="89"/>
      <c r="I1402" s="89"/>
      <c r="J1402" s="212">
        <f t="shared" si="143"/>
        <v>0</v>
      </c>
      <c r="K1402" s="212">
        <f t="shared" si="143"/>
        <v>0</v>
      </c>
      <c r="L1402" s="212">
        <f t="shared" si="143"/>
        <v>0</v>
      </c>
      <c r="M1402" s="212">
        <f t="shared" si="143"/>
        <v>0</v>
      </c>
      <c r="N1402" s="212">
        <f t="shared" si="143"/>
        <v>0</v>
      </c>
      <c r="O1402" s="212">
        <f t="shared" si="143"/>
        <v>0</v>
      </c>
      <c r="P1402" s="155">
        <f t="shared" si="143"/>
        <v>0</v>
      </c>
      <c r="Q1402" s="407"/>
      <c r="R1402" s="407"/>
    </row>
    <row r="1403" spans="1:18" ht="12.75" x14ac:dyDescent="0.2">
      <c r="A1403" s="152">
        <v>6235000</v>
      </c>
      <c r="B1403" s="73"/>
      <c r="C1403" s="51" t="s">
        <v>1051</v>
      </c>
      <c r="D1403" s="89"/>
      <c r="E1403" s="89"/>
      <c r="F1403" s="89"/>
      <c r="G1403" s="89"/>
      <c r="H1403" s="89"/>
      <c r="I1403" s="89"/>
      <c r="J1403" s="212">
        <f t="shared" ref="J1403:P1412" si="144">SUMIFS(J$26:J$180,$A$26:$A$180,$A1403,$C$26:$C$180,$C1403)</f>
        <v>0</v>
      </c>
      <c r="K1403" s="212">
        <f t="shared" si="144"/>
        <v>0</v>
      </c>
      <c r="L1403" s="212">
        <f t="shared" si="144"/>
        <v>0</v>
      </c>
      <c r="M1403" s="212">
        <f t="shared" si="144"/>
        <v>0</v>
      </c>
      <c r="N1403" s="212">
        <f t="shared" si="144"/>
        <v>0</v>
      </c>
      <c r="O1403" s="212">
        <f t="shared" si="144"/>
        <v>0</v>
      </c>
      <c r="P1403" s="155">
        <f t="shared" si="144"/>
        <v>0</v>
      </c>
      <c r="Q1403" s="407"/>
      <c r="R1403" s="407"/>
    </row>
    <row r="1404" spans="1:18" ht="12.75" x14ac:dyDescent="0.2">
      <c r="A1404" s="152">
        <v>6235000</v>
      </c>
      <c r="B1404" s="73"/>
      <c r="C1404" s="51" t="s">
        <v>929</v>
      </c>
      <c r="D1404" s="89"/>
      <c r="E1404" s="89"/>
      <c r="F1404" s="89"/>
      <c r="G1404" s="89"/>
      <c r="H1404" s="89"/>
      <c r="I1404" s="89"/>
      <c r="J1404" s="212">
        <f t="shared" si="144"/>
        <v>0</v>
      </c>
      <c r="K1404" s="212">
        <f t="shared" si="144"/>
        <v>0</v>
      </c>
      <c r="L1404" s="212">
        <f t="shared" si="144"/>
        <v>0</v>
      </c>
      <c r="M1404" s="212">
        <f t="shared" si="144"/>
        <v>0</v>
      </c>
      <c r="N1404" s="212">
        <f t="shared" si="144"/>
        <v>0</v>
      </c>
      <c r="O1404" s="212">
        <f t="shared" si="144"/>
        <v>0</v>
      </c>
      <c r="P1404" s="155">
        <f t="shared" si="144"/>
        <v>0</v>
      </c>
      <c r="Q1404" s="407"/>
      <c r="R1404" s="407"/>
    </row>
    <row r="1405" spans="1:18" ht="12.75" x14ac:dyDescent="0.2">
      <c r="A1405" s="152">
        <v>6235000</v>
      </c>
      <c r="B1405" s="73"/>
      <c r="C1405" s="51" t="s">
        <v>970</v>
      </c>
      <c r="D1405" s="89"/>
      <c r="E1405" s="89"/>
      <c r="F1405" s="89"/>
      <c r="G1405" s="89"/>
      <c r="H1405" s="89"/>
      <c r="I1405" s="89"/>
      <c r="J1405" s="212">
        <f t="shared" si="144"/>
        <v>0</v>
      </c>
      <c r="K1405" s="212">
        <f t="shared" si="144"/>
        <v>0</v>
      </c>
      <c r="L1405" s="212">
        <f t="shared" si="144"/>
        <v>0</v>
      </c>
      <c r="M1405" s="212">
        <f t="shared" si="144"/>
        <v>0</v>
      </c>
      <c r="N1405" s="212">
        <f t="shared" si="144"/>
        <v>0</v>
      </c>
      <c r="O1405" s="212">
        <f t="shared" si="144"/>
        <v>0</v>
      </c>
      <c r="P1405" s="155">
        <f t="shared" si="144"/>
        <v>0</v>
      </c>
      <c r="Q1405" s="407"/>
      <c r="R1405" s="407"/>
    </row>
    <row r="1406" spans="1:18" ht="12.75" x14ac:dyDescent="0.2">
      <c r="A1406" s="152">
        <v>6235000</v>
      </c>
      <c r="B1406" s="73"/>
      <c r="C1406" s="51" t="s">
        <v>122</v>
      </c>
      <c r="D1406" s="89"/>
      <c r="E1406" s="89"/>
      <c r="F1406" s="89"/>
      <c r="G1406" s="89"/>
      <c r="H1406" s="89"/>
      <c r="I1406" s="89"/>
      <c r="J1406" s="212">
        <f t="shared" si="144"/>
        <v>0</v>
      </c>
      <c r="K1406" s="212">
        <f t="shared" si="144"/>
        <v>0</v>
      </c>
      <c r="L1406" s="212">
        <f t="shared" si="144"/>
        <v>0</v>
      </c>
      <c r="M1406" s="212">
        <f t="shared" si="144"/>
        <v>0</v>
      </c>
      <c r="N1406" s="212">
        <f t="shared" si="144"/>
        <v>0</v>
      </c>
      <c r="O1406" s="212">
        <f t="shared" si="144"/>
        <v>0</v>
      </c>
      <c r="P1406" s="155">
        <f t="shared" si="144"/>
        <v>0</v>
      </c>
      <c r="Q1406" s="407"/>
      <c r="R1406" s="407"/>
    </row>
    <row r="1407" spans="1:18" ht="12.75" x14ac:dyDescent="0.2">
      <c r="A1407" s="152">
        <v>6235000</v>
      </c>
      <c r="B1407" s="73"/>
      <c r="C1407" s="51" t="s">
        <v>135</v>
      </c>
      <c r="D1407" s="89"/>
      <c r="E1407" s="89"/>
      <c r="F1407" s="89"/>
      <c r="G1407" s="89"/>
      <c r="H1407" s="89"/>
      <c r="I1407" s="89"/>
      <c r="J1407" s="212">
        <f t="shared" si="144"/>
        <v>0</v>
      </c>
      <c r="K1407" s="212">
        <f t="shared" si="144"/>
        <v>0</v>
      </c>
      <c r="L1407" s="212">
        <f t="shared" si="144"/>
        <v>0</v>
      </c>
      <c r="M1407" s="212">
        <f t="shared" si="144"/>
        <v>0</v>
      </c>
      <c r="N1407" s="212">
        <f t="shared" si="144"/>
        <v>0</v>
      </c>
      <c r="O1407" s="212">
        <f t="shared" si="144"/>
        <v>0</v>
      </c>
      <c r="P1407" s="155">
        <f t="shared" si="144"/>
        <v>0</v>
      </c>
      <c r="Q1407" s="407"/>
      <c r="R1407" s="407"/>
    </row>
    <row r="1408" spans="1:18" ht="12.75" x14ac:dyDescent="0.2">
      <c r="A1408" s="152">
        <v>6235000</v>
      </c>
      <c r="B1408" s="73"/>
      <c r="C1408" s="51" t="s">
        <v>123</v>
      </c>
      <c r="D1408" s="89"/>
      <c r="E1408" s="89"/>
      <c r="F1408" s="89"/>
      <c r="G1408" s="89"/>
      <c r="H1408" s="89"/>
      <c r="I1408" s="89"/>
      <c r="J1408" s="212">
        <f t="shared" si="144"/>
        <v>0</v>
      </c>
      <c r="K1408" s="212">
        <f t="shared" si="144"/>
        <v>0</v>
      </c>
      <c r="L1408" s="212">
        <f t="shared" si="144"/>
        <v>0</v>
      </c>
      <c r="M1408" s="212">
        <f t="shared" si="144"/>
        <v>0</v>
      </c>
      <c r="N1408" s="212">
        <f t="shared" si="144"/>
        <v>0</v>
      </c>
      <c r="O1408" s="212">
        <f t="shared" si="144"/>
        <v>0</v>
      </c>
      <c r="P1408" s="155">
        <f t="shared" si="144"/>
        <v>0</v>
      </c>
      <c r="Q1408" s="407"/>
      <c r="R1408" s="407"/>
    </row>
    <row r="1409" spans="1:18" ht="12.75" x14ac:dyDescent="0.2">
      <c r="A1409" s="152">
        <v>6235000</v>
      </c>
      <c r="B1409" s="73"/>
      <c r="C1409" s="51" t="s">
        <v>974</v>
      </c>
      <c r="D1409" s="89"/>
      <c r="E1409" s="89"/>
      <c r="F1409" s="89"/>
      <c r="G1409" s="89"/>
      <c r="H1409" s="89"/>
      <c r="I1409" s="89"/>
      <c r="J1409" s="212">
        <f t="shared" si="144"/>
        <v>0</v>
      </c>
      <c r="K1409" s="212">
        <f t="shared" si="144"/>
        <v>0</v>
      </c>
      <c r="L1409" s="212">
        <f t="shared" si="144"/>
        <v>0</v>
      </c>
      <c r="M1409" s="212">
        <f t="shared" si="144"/>
        <v>0</v>
      </c>
      <c r="N1409" s="212">
        <f t="shared" si="144"/>
        <v>0</v>
      </c>
      <c r="O1409" s="212">
        <f t="shared" si="144"/>
        <v>0</v>
      </c>
      <c r="P1409" s="155">
        <f t="shared" si="144"/>
        <v>0</v>
      </c>
      <c r="Q1409" s="407"/>
      <c r="R1409" s="407"/>
    </row>
    <row r="1410" spans="1:18" ht="12.75" x14ac:dyDescent="0.2">
      <c r="A1410" s="152">
        <v>6235000</v>
      </c>
      <c r="B1410" s="73"/>
      <c r="C1410" s="51" t="s">
        <v>975</v>
      </c>
      <c r="D1410" s="89"/>
      <c r="E1410" s="89"/>
      <c r="F1410" s="89"/>
      <c r="G1410" s="89"/>
      <c r="H1410" s="89"/>
      <c r="I1410" s="89"/>
      <c r="J1410" s="212">
        <f t="shared" si="144"/>
        <v>0</v>
      </c>
      <c r="K1410" s="212">
        <f t="shared" si="144"/>
        <v>0</v>
      </c>
      <c r="L1410" s="212">
        <f t="shared" si="144"/>
        <v>0</v>
      </c>
      <c r="M1410" s="212">
        <f t="shared" si="144"/>
        <v>0</v>
      </c>
      <c r="N1410" s="212">
        <f t="shared" si="144"/>
        <v>0</v>
      </c>
      <c r="O1410" s="212">
        <f t="shared" si="144"/>
        <v>0</v>
      </c>
      <c r="P1410" s="155">
        <f t="shared" si="144"/>
        <v>0</v>
      </c>
      <c r="Q1410" s="407"/>
      <c r="R1410" s="407"/>
    </row>
    <row r="1411" spans="1:18" ht="12.75" x14ac:dyDescent="0.2">
      <c r="A1411" s="152">
        <v>6235000</v>
      </c>
      <c r="B1411" s="73"/>
      <c r="C1411" s="51" t="s">
        <v>126</v>
      </c>
      <c r="D1411" s="89"/>
      <c r="E1411" s="89"/>
      <c r="F1411" s="89"/>
      <c r="G1411" s="89"/>
      <c r="H1411" s="89"/>
      <c r="I1411" s="89"/>
      <c r="J1411" s="212">
        <f t="shared" si="144"/>
        <v>0</v>
      </c>
      <c r="K1411" s="212">
        <f t="shared" si="144"/>
        <v>0</v>
      </c>
      <c r="L1411" s="212">
        <f t="shared" si="144"/>
        <v>0</v>
      </c>
      <c r="M1411" s="212">
        <f t="shared" si="144"/>
        <v>0</v>
      </c>
      <c r="N1411" s="212">
        <f t="shared" si="144"/>
        <v>0</v>
      </c>
      <c r="O1411" s="212">
        <f t="shared" si="144"/>
        <v>0</v>
      </c>
      <c r="P1411" s="155">
        <f t="shared" si="144"/>
        <v>0</v>
      </c>
      <c r="Q1411" s="407"/>
      <c r="R1411" s="407"/>
    </row>
    <row r="1412" spans="1:18" ht="12.75" x14ac:dyDescent="0.2">
      <c r="A1412" s="152">
        <v>6235000</v>
      </c>
      <c r="B1412" s="73"/>
      <c r="C1412" s="51" t="s">
        <v>127</v>
      </c>
      <c r="D1412" s="89"/>
      <c r="E1412" s="89"/>
      <c r="F1412" s="89"/>
      <c r="G1412" s="89"/>
      <c r="H1412" s="89"/>
      <c r="I1412" s="89"/>
      <c r="J1412" s="212">
        <f t="shared" si="144"/>
        <v>0</v>
      </c>
      <c r="K1412" s="212">
        <f t="shared" si="144"/>
        <v>0</v>
      </c>
      <c r="L1412" s="212">
        <f t="shared" si="144"/>
        <v>0</v>
      </c>
      <c r="M1412" s="212">
        <f t="shared" si="144"/>
        <v>0</v>
      </c>
      <c r="N1412" s="212">
        <f t="shared" si="144"/>
        <v>0</v>
      </c>
      <c r="O1412" s="212">
        <f t="shared" si="144"/>
        <v>0</v>
      </c>
      <c r="P1412" s="155">
        <f t="shared" si="144"/>
        <v>0</v>
      </c>
      <c r="Q1412" s="407"/>
      <c r="R1412" s="407"/>
    </row>
    <row r="1413" spans="1:18" ht="12.75" x14ac:dyDescent="0.2">
      <c r="A1413" s="152">
        <v>6235000</v>
      </c>
      <c r="B1413" s="73"/>
      <c r="C1413" s="51" t="s">
        <v>130</v>
      </c>
      <c r="D1413" s="89"/>
      <c r="E1413" s="89"/>
      <c r="F1413" s="89"/>
      <c r="G1413" s="89"/>
      <c r="H1413" s="89"/>
      <c r="I1413" s="89"/>
      <c r="J1413" s="212">
        <f t="shared" ref="J1413:P1422" si="145">SUMIFS(J$26:J$180,$A$26:$A$180,$A1413,$C$26:$C$180,$C1413)</f>
        <v>0</v>
      </c>
      <c r="K1413" s="212">
        <f t="shared" si="145"/>
        <v>0</v>
      </c>
      <c r="L1413" s="212">
        <f t="shared" si="145"/>
        <v>0</v>
      </c>
      <c r="M1413" s="212">
        <f t="shared" si="145"/>
        <v>0</v>
      </c>
      <c r="N1413" s="212">
        <f t="shared" si="145"/>
        <v>0</v>
      </c>
      <c r="O1413" s="212">
        <f t="shared" si="145"/>
        <v>0</v>
      </c>
      <c r="P1413" s="155">
        <f t="shared" si="145"/>
        <v>0</v>
      </c>
      <c r="Q1413" s="407"/>
      <c r="R1413" s="407"/>
    </row>
    <row r="1414" spans="1:18" ht="12.75" x14ac:dyDescent="0.2">
      <c r="A1414" s="152">
        <v>6235000</v>
      </c>
      <c r="B1414" s="73"/>
      <c r="C1414" s="51" t="s">
        <v>125</v>
      </c>
      <c r="D1414" s="89"/>
      <c r="E1414" s="89"/>
      <c r="F1414" s="89"/>
      <c r="G1414" s="89"/>
      <c r="H1414" s="89"/>
      <c r="I1414" s="89"/>
      <c r="J1414" s="212">
        <f t="shared" si="145"/>
        <v>0</v>
      </c>
      <c r="K1414" s="212">
        <f t="shared" si="145"/>
        <v>0</v>
      </c>
      <c r="L1414" s="212">
        <f t="shared" si="145"/>
        <v>0</v>
      </c>
      <c r="M1414" s="212">
        <f t="shared" si="145"/>
        <v>0</v>
      </c>
      <c r="N1414" s="212">
        <f t="shared" si="145"/>
        <v>0</v>
      </c>
      <c r="O1414" s="212">
        <f t="shared" si="145"/>
        <v>0</v>
      </c>
      <c r="P1414" s="155">
        <f t="shared" si="145"/>
        <v>0</v>
      </c>
      <c r="Q1414" s="407"/>
      <c r="R1414" s="407"/>
    </row>
    <row r="1415" spans="1:18" ht="12.75" x14ac:dyDescent="0.2">
      <c r="A1415" s="152">
        <v>6235000</v>
      </c>
      <c r="B1415" s="73"/>
      <c r="C1415" s="51" t="s">
        <v>128</v>
      </c>
      <c r="D1415" s="89"/>
      <c r="E1415" s="89"/>
      <c r="F1415" s="89"/>
      <c r="G1415" s="89"/>
      <c r="H1415" s="89"/>
      <c r="I1415" s="89"/>
      <c r="J1415" s="212">
        <f t="shared" si="145"/>
        <v>0</v>
      </c>
      <c r="K1415" s="212">
        <f t="shared" si="145"/>
        <v>0</v>
      </c>
      <c r="L1415" s="212">
        <f t="shared" si="145"/>
        <v>0</v>
      </c>
      <c r="M1415" s="212">
        <f t="shared" si="145"/>
        <v>0</v>
      </c>
      <c r="N1415" s="212">
        <f t="shared" si="145"/>
        <v>0</v>
      </c>
      <c r="O1415" s="212">
        <f t="shared" si="145"/>
        <v>0</v>
      </c>
      <c r="P1415" s="155">
        <f t="shared" si="145"/>
        <v>0</v>
      </c>
      <c r="Q1415" s="407"/>
      <c r="R1415" s="407"/>
    </row>
    <row r="1416" spans="1:18" ht="12.75" x14ac:dyDescent="0.2">
      <c r="A1416" s="152">
        <v>6235000</v>
      </c>
      <c r="B1416" s="73"/>
      <c r="C1416" s="51" t="s">
        <v>1016</v>
      </c>
      <c r="D1416" s="89"/>
      <c r="E1416" s="89"/>
      <c r="F1416" s="89"/>
      <c r="G1416" s="89"/>
      <c r="H1416" s="89"/>
      <c r="I1416" s="89"/>
      <c r="J1416" s="212">
        <f t="shared" si="145"/>
        <v>0</v>
      </c>
      <c r="K1416" s="212">
        <f t="shared" si="145"/>
        <v>0</v>
      </c>
      <c r="L1416" s="212">
        <f t="shared" si="145"/>
        <v>0</v>
      </c>
      <c r="M1416" s="212">
        <f t="shared" si="145"/>
        <v>0</v>
      </c>
      <c r="N1416" s="212">
        <f t="shared" si="145"/>
        <v>0</v>
      </c>
      <c r="O1416" s="212">
        <f t="shared" si="145"/>
        <v>0</v>
      </c>
      <c r="P1416" s="155">
        <f t="shared" si="145"/>
        <v>0</v>
      </c>
      <c r="Q1416" s="407"/>
      <c r="R1416" s="407"/>
    </row>
    <row r="1417" spans="1:18" ht="12.75" x14ac:dyDescent="0.2">
      <c r="A1417" s="152">
        <v>6235000</v>
      </c>
      <c r="B1417" s="73"/>
      <c r="C1417" s="51" t="s">
        <v>1015</v>
      </c>
      <c r="D1417" s="89"/>
      <c r="E1417" s="89"/>
      <c r="F1417" s="89"/>
      <c r="G1417" s="89"/>
      <c r="H1417" s="89"/>
      <c r="I1417" s="89"/>
      <c r="J1417" s="212">
        <f t="shared" si="145"/>
        <v>0</v>
      </c>
      <c r="K1417" s="212">
        <f t="shared" si="145"/>
        <v>0</v>
      </c>
      <c r="L1417" s="212">
        <f t="shared" si="145"/>
        <v>0</v>
      </c>
      <c r="M1417" s="212">
        <f t="shared" si="145"/>
        <v>0</v>
      </c>
      <c r="N1417" s="212">
        <f t="shared" si="145"/>
        <v>0</v>
      </c>
      <c r="O1417" s="212">
        <f t="shared" si="145"/>
        <v>0</v>
      </c>
      <c r="P1417" s="155">
        <f t="shared" si="145"/>
        <v>0</v>
      </c>
      <c r="Q1417" s="407"/>
      <c r="R1417" s="407"/>
    </row>
    <row r="1418" spans="1:18" ht="12.75" x14ac:dyDescent="0.2">
      <c r="A1418" s="152">
        <v>6235000</v>
      </c>
      <c r="B1418" s="73"/>
      <c r="C1418" s="51" t="s">
        <v>930</v>
      </c>
      <c r="D1418" s="89"/>
      <c r="E1418" s="89"/>
      <c r="F1418" s="89"/>
      <c r="G1418" s="89"/>
      <c r="H1418" s="89"/>
      <c r="I1418" s="89"/>
      <c r="J1418" s="212">
        <f t="shared" si="145"/>
        <v>0</v>
      </c>
      <c r="K1418" s="212">
        <f t="shared" si="145"/>
        <v>0</v>
      </c>
      <c r="L1418" s="212">
        <f t="shared" si="145"/>
        <v>0</v>
      </c>
      <c r="M1418" s="212">
        <f t="shared" si="145"/>
        <v>0</v>
      </c>
      <c r="N1418" s="212">
        <f t="shared" si="145"/>
        <v>0</v>
      </c>
      <c r="O1418" s="212">
        <f t="shared" si="145"/>
        <v>0</v>
      </c>
      <c r="P1418" s="155">
        <f t="shared" si="145"/>
        <v>0</v>
      </c>
      <c r="Q1418" s="407"/>
      <c r="R1418" s="407"/>
    </row>
    <row r="1419" spans="1:18" ht="12.75" x14ac:dyDescent="0.2">
      <c r="A1419" s="152">
        <v>6235000</v>
      </c>
      <c r="B1419" s="73"/>
      <c r="C1419" s="51" t="s">
        <v>931</v>
      </c>
      <c r="D1419" s="89"/>
      <c r="E1419" s="89"/>
      <c r="F1419" s="89"/>
      <c r="G1419" s="89"/>
      <c r="H1419" s="89"/>
      <c r="I1419" s="89"/>
      <c r="J1419" s="212">
        <f t="shared" si="145"/>
        <v>0</v>
      </c>
      <c r="K1419" s="212">
        <f t="shared" si="145"/>
        <v>0</v>
      </c>
      <c r="L1419" s="212">
        <f t="shared" si="145"/>
        <v>0</v>
      </c>
      <c r="M1419" s="212">
        <f t="shared" si="145"/>
        <v>0</v>
      </c>
      <c r="N1419" s="212">
        <f t="shared" si="145"/>
        <v>0</v>
      </c>
      <c r="O1419" s="212">
        <f t="shared" si="145"/>
        <v>0</v>
      </c>
      <c r="P1419" s="155">
        <f t="shared" si="145"/>
        <v>0</v>
      </c>
      <c r="Q1419" s="407"/>
      <c r="R1419" s="407"/>
    </row>
    <row r="1420" spans="1:18" ht="12.75" x14ac:dyDescent="0.2">
      <c r="A1420" s="152">
        <v>6235000</v>
      </c>
      <c r="B1420" s="73"/>
      <c r="C1420" s="51" t="s">
        <v>926</v>
      </c>
      <c r="D1420" s="89"/>
      <c r="E1420" s="89"/>
      <c r="F1420" s="89"/>
      <c r="G1420" s="89"/>
      <c r="H1420" s="89"/>
      <c r="I1420" s="89"/>
      <c r="J1420" s="212">
        <f t="shared" si="145"/>
        <v>0</v>
      </c>
      <c r="K1420" s="212">
        <f t="shared" si="145"/>
        <v>0</v>
      </c>
      <c r="L1420" s="212">
        <f t="shared" si="145"/>
        <v>0</v>
      </c>
      <c r="M1420" s="212">
        <f t="shared" si="145"/>
        <v>0</v>
      </c>
      <c r="N1420" s="212">
        <f t="shared" si="145"/>
        <v>0</v>
      </c>
      <c r="O1420" s="212">
        <f t="shared" si="145"/>
        <v>0</v>
      </c>
      <c r="P1420" s="155">
        <f t="shared" si="145"/>
        <v>0</v>
      </c>
      <c r="Q1420" s="407"/>
      <c r="R1420" s="407"/>
    </row>
    <row r="1421" spans="1:18" ht="12.75" x14ac:dyDescent="0.2">
      <c r="A1421" s="152">
        <v>6235000</v>
      </c>
      <c r="B1421" s="73"/>
      <c r="C1421" s="51" t="s">
        <v>110</v>
      </c>
      <c r="D1421" s="89"/>
      <c r="E1421" s="89"/>
      <c r="F1421" s="89"/>
      <c r="G1421" s="89"/>
      <c r="H1421" s="89"/>
      <c r="I1421" s="89"/>
      <c r="J1421" s="212">
        <f t="shared" si="145"/>
        <v>0</v>
      </c>
      <c r="K1421" s="212">
        <f t="shared" si="145"/>
        <v>0</v>
      </c>
      <c r="L1421" s="212">
        <f t="shared" si="145"/>
        <v>0</v>
      </c>
      <c r="M1421" s="212">
        <f t="shared" si="145"/>
        <v>0</v>
      </c>
      <c r="N1421" s="212">
        <f t="shared" si="145"/>
        <v>0</v>
      </c>
      <c r="O1421" s="212">
        <f t="shared" si="145"/>
        <v>0</v>
      </c>
      <c r="P1421" s="155">
        <f t="shared" si="145"/>
        <v>0</v>
      </c>
      <c r="Q1421" s="407"/>
      <c r="R1421" s="407"/>
    </row>
    <row r="1422" spans="1:18" ht="12.75" x14ac:dyDescent="0.2">
      <c r="A1422" s="152">
        <v>6235000</v>
      </c>
      <c r="B1422" s="73"/>
      <c r="C1422" s="51" t="s">
        <v>133</v>
      </c>
      <c r="D1422" s="89"/>
      <c r="E1422" s="89"/>
      <c r="F1422" s="89"/>
      <c r="G1422" s="89"/>
      <c r="H1422" s="89"/>
      <c r="I1422" s="89"/>
      <c r="J1422" s="212">
        <f t="shared" si="145"/>
        <v>0</v>
      </c>
      <c r="K1422" s="212">
        <f t="shared" si="145"/>
        <v>0</v>
      </c>
      <c r="L1422" s="212">
        <f t="shared" si="145"/>
        <v>0</v>
      </c>
      <c r="M1422" s="212">
        <f t="shared" si="145"/>
        <v>0</v>
      </c>
      <c r="N1422" s="212">
        <f t="shared" si="145"/>
        <v>0</v>
      </c>
      <c r="O1422" s="212">
        <f t="shared" si="145"/>
        <v>0</v>
      </c>
      <c r="P1422" s="155">
        <f t="shared" si="145"/>
        <v>0</v>
      </c>
      <c r="Q1422" s="407"/>
      <c r="R1422" s="407"/>
    </row>
    <row r="1423" spans="1:18" ht="12.75" x14ac:dyDescent="0.2">
      <c r="A1423" s="152">
        <v>6235000</v>
      </c>
      <c r="B1423" s="73"/>
      <c r="C1423" s="51" t="s">
        <v>134</v>
      </c>
      <c r="D1423" s="89"/>
      <c r="E1423" s="89"/>
      <c r="F1423" s="89"/>
      <c r="G1423" s="89"/>
      <c r="H1423" s="89"/>
      <c r="I1423" s="89"/>
      <c r="J1423" s="212">
        <f t="shared" ref="J1423:P1432" si="146">SUMIFS(J$26:J$180,$A$26:$A$180,$A1423,$C$26:$C$180,$C1423)</f>
        <v>0</v>
      </c>
      <c r="K1423" s="212">
        <f t="shared" si="146"/>
        <v>0</v>
      </c>
      <c r="L1423" s="212">
        <f t="shared" si="146"/>
        <v>0</v>
      </c>
      <c r="M1423" s="212">
        <f t="shared" si="146"/>
        <v>0</v>
      </c>
      <c r="N1423" s="212">
        <f t="shared" si="146"/>
        <v>0</v>
      </c>
      <c r="O1423" s="212">
        <f t="shared" si="146"/>
        <v>0</v>
      </c>
      <c r="P1423" s="155">
        <f t="shared" si="146"/>
        <v>0</v>
      </c>
      <c r="Q1423" s="407"/>
      <c r="R1423" s="407"/>
    </row>
    <row r="1424" spans="1:18" ht="12.75" x14ac:dyDescent="0.2">
      <c r="A1424" s="152">
        <v>6235000</v>
      </c>
      <c r="B1424" s="73"/>
      <c r="C1424" s="51" t="s">
        <v>138</v>
      </c>
      <c r="D1424" s="89"/>
      <c r="E1424" s="89"/>
      <c r="F1424" s="89"/>
      <c r="G1424" s="89"/>
      <c r="H1424" s="89"/>
      <c r="I1424" s="89"/>
      <c r="J1424" s="212">
        <f t="shared" si="146"/>
        <v>0</v>
      </c>
      <c r="K1424" s="212">
        <f t="shared" si="146"/>
        <v>0</v>
      </c>
      <c r="L1424" s="212">
        <f t="shared" si="146"/>
        <v>0</v>
      </c>
      <c r="M1424" s="212">
        <f t="shared" si="146"/>
        <v>0</v>
      </c>
      <c r="N1424" s="212">
        <f t="shared" si="146"/>
        <v>0</v>
      </c>
      <c r="O1424" s="212">
        <f t="shared" si="146"/>
        <v>0</v>
      </c>
      <c r="P1424" s="155">
        <f t="shared" si="146"/>
        <v>0</v>
      </c>
      <c r="Q1424" s="407"/>
      <c r="R1424" s="407"/>
    </row>
    <row r="1425" spans="1:18" ht="12.75" x14ac:dyDescent="0.2">
      <c r="A1425" s="152">
        <v>6235000</v>
      </c>
      <c r="B1425" s="73"/>
      <c r="C1425" s="51" t="s">
        <v>106</v>
      </c>
      <c r="D1425" s="89"/>
      <c r="E1425" s="89"/>
      <c r="F1425" s="89"/>
      <c r="G1425" s="89"/>
      <c r="H1425" s="89"/>
      <c r="I1425" s="89"/>
      <c r="J1425" s="212">
        <f t="shared" si="146"/>
        <v>0</v>
      </c>
      <c r="K1425" s="212">
        <f t="shared" si="146"/>
        <v>0</v>
      </c>
      <c r="L1425" s="212">
        <f t="shared" si="146"/>
        <v>0</v>
      </c>
      <c r="M1425" s="212">
        <f t="shared" si="146"/>
        <v>0</v>
      </c>
      <c r="N1425" s="212">
        <f t="shared" si="146"/>
        <v>0</v>
      </c>
      <c r="O1425" s="212">
        <f t="shared" si="146"/>
        <v>0</v>
      </c>
      <c r="P1425" s="155">
        <f t="shared" si="146"/>
        <v>0</v>
      </c>
      <c r="Q1425" s="407"/>
      <c r="R1425" s="407"/>
    </row>
    <row r="1426" spans="1:18" ht="12.75" x14ac:dyDescent="0.2">
      <c r="A1426" s="152">
        <v>6235000</v>
      </c>
      <c r="B1426" s="73"/>
      <c r="C1426" s="51" t="s">
        <v>1024</v>
      </c>
      <c r="D1426" s="89"/>
      <c r="E1426" s="89"/>
      <c r="F1426" s="89"/>
      <c r="G1426" s="89"/>
      <c r="H1426" s="89"/>
      <c r="I1426" s="89"/>
      <c r="J1426" s="212">
        <f t="shared" si="146"/>
        <v>0</v>
      </c>
      <c r="K1426" s="212">
        <f t="shared" si="146"/>
        <v>0</v>
      </c>
      <c r="L1426" s="212">
        <f t="shared" si="146"/>
        <v>0</v>
      </c>
      <c r="M1426" s="212">
        <f t="shared" si="146"/>
        <v>0</v>
      </c>
      <c r="N1426" s="212">
        <f t="shared" si="146"/>
        <v>0</v>
      </c>
      <c r="O1426" s="212">
        <f t="shared" si="146"/>
        <v>0</v>
      </c>
      <c r="P1426" s="155">
        <f t="shared" si="146"/>
        <v>0</v>
      </c>
      <c r="Q1426" s="407"/>
      <c r="R1426" s="407"/>
    </row>
    <row r="1427" spans="1:18" ht="12.75" x14ac:dyDescent="0.2">
      <c r="A1427" s="152">
        <v>6235000</v>
      </c>
      <c r="B1427" s="73"/>
      <c r="C1427" s="51" t="s">
        <v>1025</v>
      </c>
      <c r="D1427" s="89"/>
      <c r="E1427" s="89"/>
      <c r="F1427" s="89"/>
      <c r="G1427" s="89"/>
      <c r="H1427" s="89"/>
      <c r="I1427" s="89"/>
      <c r="J1427" s="212">
        <f t="shared" si="146"/>
        <v>0</v>
      </c>
      <c r="K1427" s="212">
        <f t="shared" si="146"/>
        <v>0</v>
      </c>
      <c r="L1427" s="212">
        <f t="shared" si="146"/>
        <v>0</v>
      </c>
      <c r="M1427" s="212">
        <f t="shared" si="146"/>
        <v>0</v>
      </c>
      <c r="N1427" s="212">
        <f t="shared" si="146"/>
        <v>0</v>
      </c>
      <c r="O1427" s="212">
        <f t="shared" si="146"/>
        <v>0</v>
      </c>
      <c r="P1427" s="155">
        <f t="shared" si="146"/>
        <v>0</v>
      </c>
      <c r="Q1427" s="407"/>
      <c r="R1427" s="407"/>
    </row>
    <row r="1428" spans="1:18" ht="12.75" x14ac:dyDescent="0.2">
      <c r="A1428" s="152">
        <v>6235000</v>
      </c>
      <c r="B1428" s="73"/>
      <c r="C1428" s="51" t="s">
        <v>960</v>
      </c>
      <c r="D1428" s="89"/>
      <c r="E1428" s="89"/>
      <c r="F1428" s="89"/>
      <c r="G1428" s="89"/>
      <c r="H1428" s="89"/>
      <c r="I1428" s="89"/>
      <c r="J1428" s="212">
        <f t="shared" si="146"/>
        <v>0</v>
      </c>
      <c r="K1428" s="212">
        <f t="shared" si="146"/>
        <v>0</v>
      </c>
      <c r="L1428" s="212">
        <f t="shared" si="146"/>
        <v>0</v>
      </c>
      <c r="M1428" s="212">
        <f t="shared" si="146"/>
        <v>0</v>
      </c>
      <c r="N1428" s="212">
        <f t="shared" si="146"/>
        <v>0</v>
      </c>
      <c r="O1428" s="212">
        <f t="shared" si="146"/>
        <v>0</v>
      </c>
      <c r="P1428" s="155">
        <f t="shared" si="146"/>
        <v>0</v>
      </c>
      <c r="Q1428" s="407"/>
      <c r="R1428" s="407"/>
    </row>
    <row r="1429" spans="1:18" ht="12.75" x14ac:dyDescent="0.2">
      <c r="A1429" s="152">
        <v>6235000</v>
      </c>
      <c r="B1429" s="73"/>
      <c r="C1429" s="51" t="s">
        <v>961</v>
      </c>
      <c r="D1429" s="89"/>
      <c r="E1429" s="89"/>
      <c r="F1429" s="89"/>
      <c r="G1429" s="89"/>
      <c r="H1429" s="89"/>
      <c r="I1429" s="89"/>
      <c r="J1429" s="212">
        <f t="shared" si="146"/>
        <v>0</v>
      </c>
      <c r="K1429" s="212">
        <f t="shared" si="146"/>
        <v>0</v>
      </c>
      <c r="L1429" s="212">
        <f t="shared" si="146"/>
        <v>0</v>
      </c>
      <c r="M1429" s="212">
        <f t="shared" si="146"/>
        <v>0</v>
      </c>
      <c r="N1429" s="212">
        <f t="shared" si="146"/>
        <v>0</v>
      </c>
      <c r="O1429" s="212">
        <f t="shared" si="146"/>
        <v>0</v>
      </c>
      <c r="P1429" s="155">
        <f t="shared" si="146"/>
        <v>0</v>
      </c>
      <c r="Q1429" s="407"/>
      <c r="R1429" s="407"/>
    </row>
    <row r="1430" spans="1:18" ht="12.75" x14ac:dyDescent="0.2">
      <c r="A1430" s="152">
        <v>6235000</v>
      </c>
      <c r="B1430" s="73"/>
      <c r="C1430" s="51" t="s">
        <v>948</v>
      </c>
      <c r="D1430" s="89"/>
      <c r="E1430" s="89"/>
      <c r="F1430" s="89"/>
      <c r="G1430" s="89"/>
      <c r="H1430" s="89"/>
      <c r="I1430" s="89"/>
      <c r="J1430" s="212">
        <f t="shared" si="146"/>
        <v>0</v>
      </c>
      <c r="K1430" s="212">
        <f t="shared" si="146"/>
        <v>0</v>
      </c>
      <c r="L1430" s="212">
        <f t="shared" si="146"/>
        <v>0</v>
      </c>
      <c r="M1430" s="212">
        <f t="shared" si="146"/>
        <v>0</v>
      </c>
      <c r="N1430" s="212">
        <f t="shared" si="146"/>
        <v>0</v>
      </c>
      <c r="O1430" s="212">
        <f t="shared" si="146"/>
        <v>0</v>
      </c>
      <c r="P1430" s="155">
        <f t="shared" si="146"/>
        <v>0</v>
      </c>
      <c r="Q1430" s="407"/>
      <c r="R1430" s="407"/>
    </row>
    <row r="1431" spans="1:18" ht="12.75" x14ac:dyDescent="0.2">
      <c r="A1431" s="152">
        <v>6235000</v>
      </c>
      <c r="B1431" s="73"/>
      <c r="C1431" s="51" t="s">
        <v>949</v>
      </c>
      <c r="D1431" s="89"/>
      <c r="E1431" s="89"/>
      <c r="F1431" s="89"/>
      <c r="G1431" s="89"/>
      <c r="H1431" s="89"/>
      <c r="I1431" s="89"/>
      <c r="J1431" s="212">
        <f t="shared" si="146"/>
        <v>0</v>
      </c>
      <c r="K1431" s="212">
        <f t="shared" si="146"/>
        <v>0</v>
      </c>
      <c r="L1431" s="212">
        <f t="shared" si="146"/>
        <v>0</v>
      </c>
      <c r="M1431" s="212">
        <f t="shared" si="146"/>
        <v>0</v>
      </c>
      <c r="N1431" s="212">
        <f t="shared" si="146"/>
        <v>0</v>
      </c>
      <c r="O1431" s="212">
        <f t="shared" si="146"/>
        <v>0</v>
      </c>
      <c r="P1431" s="155">
        <f t="shared" si="146"/>
        <v>0</v>
      </c>
      <c r="Q1431" s="407"/>
      <c r="R1431" s="407"/>
    </row>
    <row r="1432" spans="1:18" ht="12.75" x14ac:dyDescent="0.2">
      <c r="A1432" s="152">
        <v>6235000</v>
      </c>
      <c r="B1432" s="73"/>
      <c r="C1432" s="51" t="s">
        <v>132</v>
      </c>
      <c r="D1432" s="89"/>
      <c r="E1432" s="89"/>
      <c r="F1432" s="89"/>
      <c r="G1432" s="89"/>
      <c r="H1432" s="89"/>
      <c r="I1432" s="89"/>
      <c r="J1432" s="212">
        <f t="shared" si="146"/>
        <v>0</v>
      </c>
      <c r="K1432" s="212">
        <f t="shared" si="146"/>
        <v>0</v>
      </c>
      <c r="L1432" s="212">
        <f t="shared" si="146"/>
        <v>0</v>
      </c>
      <c r="M1432" s="212">
        <f t="shared" si="146"/>
        <v>0</v>
      </c>
      <c r="N1432" s="212">
        <f t="shared" si="146"/>
        <v>0</v>
      </c>
      <c r="O1432" s="212">
        <f t="shared" si="146"/>
        <v>0</v>
      </c>
      <c r="P1432" s="155">
        <f t="shared" si="146"/>
        <v>0</v>
      </c>
      <c r="Q1432" s="407"/>
      <c r="R1432" s="407"/>
    </row>
    <row r="1433" spans="1:18" ht="12.75" x14ac:dyDescent="0.2">
      <c r="A1433" s="152">
        <v>6235000</v>
      </c>
      <c r="B1433" s="73"/>
      <c r="C1433" s="51" t="s">
        <v>121</v>
      </c>
      <c r="D1433" s="89"/>
      <c r="E1433" s="89"/>
      <c r="F1433" s="89"/>
      <c r="G1433" s="89"/>
      <c r="H1433" s="89"/>
      <c r="I1433" s="89"/>
      <c r="J1433" s="212">
        <f t="shared" ref="J1433:P1442" si="147">SUMIFS(J$26:J$180,$A$26:$A$180,$A1433,$C$26:$C$180,$C1433)</f>
        <v>0</v>
      </c>
      <c r="K1433" s="212">
        <f t="shared" si="147"/>
        <v>0</v>
      </c>
      <c r="L1433" s="212">
        <f t="shared" si="147"/>
        <v>0</v>
      </c>
      <c r="M1433" s="212">
        <f t="shared" si="147"/>
        <v>0</v>
      </c>
      <c r="N1433" s="212">
        <f t="shared" si="147"/>
        <v>0</v>
      </c>
      <c r="O1433" s="212">
        <f t="shared" si="147"/>
        <v>0</v>
      </c>
      <c r="P1433" s="155">
        <f t="shared" si="147"/>
        <v>0</v>
      </c>
      <c r="Q1433" s="407"/>
      <c r="R1433" s="407"/>
    </row>
    <row r="1434" spans="1:18" ht="12.75" x14ac:dyDescent="0.2">
      <c r="A1434" s="152">
        <v>6235000</v>
      </c>
      <c r="B1434" s="73"/>
      <c r="C1434" s="51" t="s">
        <v>131</v>
      </c>
      <c r="D1434" s="89"/>
      <c r="E1434" s="89"/>
      <c r="F1434" s="89"/>
      <c r="G1434" s="89"/>
      <c r="H1434" s="89"/>
      <c r="I1434" s="89"/>
      <c r="J1434" s="212">
        <f t="shared" si="147"/>
        <v>0</v>
      </c>
      <c r="K1434" s="212">
        <f t="shared" si="147"/>
        <v>0</v>
      </c>
      <c r="L1434" s="212">
        <f t="shared" si="147"/>
        <v>0</v>
      </c>
      <c r="M1434" s="212">
        <f t="shared" si="147"/>
        <v>0</v>
      </c>
      <c r="N1434" s="212">
        <f t="shared" si="147"/>
        <v>0</v>
      </c>
      <c r="O1434" s="212">
        <f t="shared" si="147"/>
        <v>0</v>
      </c>
      <c r="P1434" s="155">
        <f t="shared" si="147"/>
        <v>0</v>
      </c>
      <c r="Q1434" s="407"/>
      <c r="R1434" s="407"/>
    </row>
    <row r="1435" spans="1:18" ht="12.75" x14ac:dyDescent="0.2">
      <c r="A1435" s="152">
        <v>6235000</v>
      </c>
      <c r="B1435" s="73"/>
      <c r="C1435" s="51" t="s">
        <v>967</v>
      </c>
      <c r="D1435" s="89"/>
      <c r="E1435" s="89"/>
      <c r="F1435" s="89"/>
      <c r="G1435" s="89"/>
      <c r="H1435" s="89"/>
      <c r="I1435" s="89"/>
      <c r="J1435" s="212">
        <f t="shared" si="147"/>
        <v>0</v>
      </c>
      <c r="K1435" s="212">
        <f t="shared" si="147"/>
        <v>0</v>
      </c>
      <c r="L1435" s="212">
        <f t="shared" si="147"/>
        <v>0</v>
      </c>
      <c r="M1435" s="212">
        <f t="shared" si="147"/>
        <v>0</v>
      </c>
      <c r="N1435" s="212">
        <f t="shared" si="147"/>
        <v>0</v>
      </c>
      <c r="O1435" s="212">
        <f t="shared" si="147"/>
        <v>0</v>
      </c>
      <c r="P1435" s="155">
        <f t="shared" si="147"/>
        <v>0</v>
      </c>
      <c r="Q1435" s="407"/>
      <c r="R1435" s="407"/>
    </row>
    <row r="1436" spans="1:18" ht="12.75" x14ac:dyDescent="0.2">
      <c r="A1436" s="152">
        <v>6235000</v>
      </c>
      <c r="B1436" s="73"/>
      <c r="C1436" s="51" t="s">
        <v>118</v>
      </c>
      <c r="D1436" s="89"/>
      <c r="E1436" s="89"/>
      <c r="F1436" s="89"/>
      <c r="G1436" s="89"/>
      <c r="H1436" s="89"/>
      <c r="I1436" s="89"/>
      <c r="J1436" s="212">
        <f t="shared" si="147"/>
        <v>0</v>
      </c>
      <c r="K1436" s="212">
        <f t="shared" si="147"/>
        <v>0</v>
      </c>
      <c r="L1436" s="212">
        <f t="shared" si="147"/>
        <v>0</v>
      </c>
      <c r="M1436" s="212">
        <f t="shared" si="147"/>
        <v>0</v>
      </c>
      <c r="N1436" s="212">
        <f t="shared" si="147"/>
        <v>0</v>
      </c>
      <c r="O1436" s="212">
        <f t="shared" si="147"/>
        <v>0</v>
      </c>
      <c r="P1436" s="155">
        <f t="shared" si="147"/>
        <v>0</v>
      </c>
      <c r="Q1436" s="407"/>
      <c r="R1436" s="407"/>
    </row>
    <row r="1437" spans="1:18" ht="12.75" x14ac:dyDescent="0.2">
      <c r="A1437" s="152">
        <v>6235000</v>
      </c>
      <c r="B1437" s="73"/>
      <c r="C1437" s="51" t="s">
        <v>971</v>
      </c>
      <c r="D1437" s="89"/>
      <c r="E1437" s="89"/>
      <c r="F1437" s="89"/>
      <c r="G1437" s="89"/>
      <c r="H1437" s="89"/>
      <c r="I1437" s="89"/>
      <c r="J1437" s="212">
        <f t="shared" si="147"/>
        <v>0</v>
      </c>
      <c r="K1437" s="212">
        <f t="shared" si="147"/>
        <v>0</v>
      </c>
      <c r="L1437" s="212">
        <f t="shared" si="147"/>
        <v>0</v>
      </c>
      <c r="M1437" s="212">
        <f t="shared" si="147"/>
        <v>0</v>
      </c>
      <c r="N1437" s="212">
        <f t="shared" si="147"/>
        <v>0</v>
      </c>
      <c r="O1437" s="212">
        <f t="shared" si="147"/>
        <v>0</v>
      </c>
      <c r="P1437" s="155">
        <f t="shared" si="147"/>
        <v>0</v>
      </c>
      <c r="Q1437" s="407"/>
      <c r="R1437" s="407"/>
    </row>
    <row r="1438" spans="1:18" ht="12.75" x14ac:dyDescent="0.2">
      <c r="A1438" s="152">
        <v>6235000</v>
      </c>
      <c r="B1438" s="73"/>
      <c r="C1438" s="51" t="s">
        <v>957</v>
      </c>
      <c r="D1438" s="89"/>
      <c r="E1438" s="89"/>
      <c r="F1438" s="89"/>
      <c r="G1438" s="89"/>
      <c r="H1438" s="89"/>
      <c r="I1438" s="89"/>
      <c r="J1438" s="212">
        <f t="shared" si="147"/>
        <v>0</v>
      </c>
      <c r="K1438" s="212">
        <f t="shared" si="147"/>
        <v>0</v>
      </c>
      <c r="L1438" s="212">
        <f t="shared" si="147"/>
        <v>0</v>
      </c>
      <c r="M1438" s="212">
        <f t="shared" si="147"/>
        <v>0</v>
      </c>
      <c r="N1438" s="212">
        <f t="shared" si="147"/>
        <v>0</v>
      </c>
      <c r="O1438" s="212">
        <f t="shared" si="147"/>
        <v>0</v>
      </c>
      <c r="P1438" s="155">
        <f t="shared" si="147"/>
        <v>0</v>
      </c>
      <c r="Q1438" s="407"/>
      <c r="R1438" s="407"/>
    </row>
    <row r="1439" spans="1:18" ht="12.75" x14ac:dyDescent="0.2">
      <c r="A1439" s="152">
        <v>6235000</v>
      </c>
      <c r="B1439" s="73"/>
      <c r="C1439" s="51" t="s">
        <v>97</v>
      </c>
      <c r="D1439" s="89"/>
      <c r="E1439" s="89"/>
      <c r="F1439" s="89"/>
      <c r="G1439" s="89"/>
      <c r="H1439" s="89"/>
      <c r="I1439" s="89"/>
      <c r="J1439" s="212">
        <f t="shared" si="147"/>
        <v>0</v>
      </c>
      <c r="K1439" s="212">
        <f t="shared" si="147"/>
        <v>0</v>
      </c>
      <c r="L1439" s="212">
        <f t="shared" si="147"/>
        <v>0</v>
      </c>
      <c r="M1439" s="212">
        <f t="shared" si="147"/>
        <v>0</v>
      </c>
      <c r="N1439" s="212">
        <f t="shared" si="147"/>
        <v>0</v>
      </c>
      <c r="O1439" s="212">
        <f t="shared" si="147"/>
        <v>0</v>
      </c>
      <c r="P1439" s="155">
        <f t="shared" si="147"/>
        <v>0</v>
      </c>
      <c r="Q1439" s="407"/>
      <c r="R1439" s="407"/>
    </row>
    <row r="1440" spans="1:18" ht="12.75" x14ac:dyDescent="0.2">
      <c r="A1440" s="152">
        <v>6235000</v>
      </c>
      <c r="B1440" s="73"/>
      <c r="C1440" s="51" t="s">
        <v>49</v>
      </c>
      <c r="D1440" s="89"/>
      <c r="E1440" s="89"/>
      <c r="F1440" s="89"/>
      <c r="G1440" s="89"/>
      <c r="H1440" s="89"/>
      <c r="I1440" s="89"/>
      <c r="J1440" s="212">
        <f t="shared" si="147"/>
        <v>0</v>
      </c>
      <c r="K1440" s="212">
        <f t="shared" si="147"/>
        <v>0</v>
      </c>
      <c r="L1440" s="212">
        <f t="shared" si="147"/>
        <v>0</v>
      </c>
      <c r="M1440" s="212">
        <f t="shared" si="147"/>
        <v>0</v>
      </c>
      <c r="N1440" s="212">
        <f t="shared" si="147"/>
        <v>0</v>
      </c>
      <c r="O1440" s="212">
        <f t="shared" si="147"/>
        <v>0</v>
      </c>
      <c r="P1440" s="155">
        <f t="shared" si="147"/>
        <v>0</v>
      </c>
      <c r="Q1440" s="407"/>
      <c r="R1440" s="407"/>
    </row>
    <row r="1441" spans="1:18" ht="12.75" x14ac:dyDescent="0.2">
      <c r="A1441" s="152">
        <v>6235000</v>
      </c>
      <c r="B1441" s="73"/>
      <c r="C1441" s="51" t="s">
        <v>1017</v>
      </c>
      <c r="D1441" s="89"/>
      <c r="E1441" s="89"/>
      <c r="F1441" s="89"/>
      <c r="G1441" s="89"/>
      <c r="H1441" s="89"/>
      <c r="I1441" s="89"/>
      <c r="J1441" s="212">
        <f t="shared" si="147"/>
        <v>0</v>
      </c>
      <c r="K1441" s="212">
        <f t="shared" si="147"/>
        <v>0</v>
      </c>
      <c r="L1441" s="212">
        <f t="shared" si="147"/>
        <v>0</v>
      </c>
      <c r="M1441" s="212">
        <f t="shared" si="147"/>
        <v>0</v>
      </c>
      <c r="N1441" s="212">
        <f t="shared" si="147"/>
        <v>0</v>
      </c>
      <c r="O1441" s="212">
        <f t="shared" si="147"/>
        <v>0</v>
      </c>
      <c r="P1441" s="155">
        <f t="shared" si="147"/>
        <v>0</v>
      </c>
      <c r="Q1441" s="407"/>
      <c r="R1441" s="407"/>
    </row>
    <row r="1442" spans="1:18" ht="12.75" x14ac:dyDescent="0.2">
      <c r="A1442" s="152">
        <v>6235000</v>
      </c>
      <c r="B1442" s="73"/>
      <c r="C1442" s="51" t="s">
        <v>1018</v>
      </c>
      <c r="D1442" s="89"/>
      <c r="E1442" s="89"/>
      <c r="F1442" s="89"/>
      <c r="G1442" s="89"/>
      <c r="H1442" s="89"/>
      <c r="I1442" s="89"/>
      <c r="J1442" s="212">
        <f t="shared" si="147"/>
        <v>0</v>
      </c>
      <c r="K1442" s="212">
        <f t="shared" si="147"/>
        <v>0</v>
      </c>
      <c r="L1442" s="212">
        <f t="shared" si="147"/>
        <v>0</v>
      </c>
      <c r="M1442" s="212">
        <f t="shared" si="147"/>
        <v>0</v>
      </c>
      <c r="N1442" s="212">
        <f t="shared" si="147"/>
        <v>0</v>
      </c>
      <c r="O1442" s="212">
        <f t="shared" si="147"/>
        <v>0</v>
      </c>
      <c r="P1442" s="155">
        <f t="shared" si="147"/>
        <v>0</v>
      </c>
      <c r="Q1442" s="407"/>
      <c r="R1442" s="407"/>
    </row>
    <row r="1443" spans="1:18" ht="12.75" x14ac:dyDescent="0.2">
      <c r="A1443" s="152">
        <v>6235000</v>
      </c>
      <c r="B1443" s="73"/>
      <c r="C1443" s="51" t="s">
        <v>928</v>
      </c>
      <c r="D1443" s="89"/>
      <c r="E1443" s="89"/>
      <c r="F1443" s="89"/>
      <c r="G1443" s="89"/>
      <c r="H1443" s="89"/>
      <c r="I1443" s="89"/>
      <c r="J1443" s="212">
        <f t="shared" ref="J1443:P1452" si="148">SUMIFS(J$26:J$180,$A$26:$A$180,$A1443,$C$26:$C$180,$C1443)</f>
        <v>0</v>
      </c>
      <c r="K1443" s="212">
        <f t="shared" si="148"/>
        <v>0</v>
      </c>
      <c r="L1443" s="212">
        <f t="shared" si="148"/>
        <v>0</v>
      </c>
      <c r="M1443" s="212">
        <f t="shared" si="148"/>
        <v>0</v>
      </c>
      <c r="N1443" s="212">
        <f t="shared" si="148"/>
        <v>0</v>
      </c>
      <c r="O1443" s="212">
        <f t="shared" si="148"/>
        <v>0</v>
      </c>
      <c r="P1443" s="155">
        <f t="shared" si="148"/>
        <v>0</v>
      </c>
      <c r="Q1443" s="407"/>
      <c r="R1443" s="407"/>
    </row>
    <row r="1444" spans="1:18" ht="12.75" x14ac:dyDescent="0.2">
      <c r="A1444" s="152">
        <v>6235000</v>
      </c>
      <c r="B1444" s="73"/>
      <c r="C1444" s="51" t="s">
        <v>946</v>
      </c>
      <c r="D1444" s="89"/>
      <c r="E1444" s="89"/>
      <c r="F1444" s="89"/>
      <c r="G1444" s="89"/>
      <c r="H1444" s="89"/>
      <c r="I1444" s="89"/>
      <c r="J1444" s="212">
        <f t="shared" si="148"/>
        <v>0</v>
      </c>
      <c r="K1444" s="212">
        <f t="shared" si="148"/>
        <v>0</v>
      </c>
      <c r="L1444" s="212">
        <f t="shared" si="148"/>
        <v>0</v>
      </c>
      <c r="M1444" s="212">
        <f t="shared" si="148"/>
        <v>0</v>
      </c>
      <c r="N1444" s="212">
        <f t="shared" si="148"/>
        <v>0</v>
      </c>
      <c r="O1444" s="212">
        <f t="shared" si="148"/>
        <v>0</v>
      </c>
      <c r="P1444" s="155">
        <f t="shared" si="148"/>
        <v>0</v>
      </c>
      <c r="Q1444" s="407"/>
      <c r="R1444" s="407"/>
    </row>
    <row r="1445" spans="1:18" ht="12.75" x14ac:dyDescent="0.2">
      <c r="A1445" s="152">
        <v>6235000</v>
      </c>
      <c r="B1445" s="73"/>
      <c r="C1445" s="51" t="s">
        <v>947</v>
      </c>
      <c r="D1445" s="89"/>
      <c r="E1445" s="89"/>
      <c r="F1445" s="89"/>
      <c r="G1445" s="89"/>
      <c r="H1445" s="89"/>
      <c r="I1445" s="89"/>
      <c r="J1445" s="212">
        <f t="shared" si="148"/>
        <v>0</v>
      </c>
      <c r="K1445" s="212">
        <f t="shared" si="148"/>
        <v>0</v>
      </c>
      <c r="L1445" s="212">
        <f t="shared" si="148"/>
        <v>0</v>
      </c>
      <c r="M1445" s="212">
        <f t="shared" si="148"/>
        <v>0</v>
      </c>
      <c r="N1445" s="212">
        <f t="shared" si="148"/>
        <v>0</v>
      </c>
      <c r="O1445" s="212">
        <f t="shared" si="148"/>
        <v>0</v>
      </c>
      <c r="P1445" s="155">
        <f t="shared" si="148"/>
        <v>0</v>
      </c>
      <c r="Q1445" s="407"/>
      <c r="R1445" s="407"/>
    </row>
    <row r="1446" spans="1:18" ht="12.75" x14ac:dyDescent="0.2">
      <c r="A1446" s="152">
        <v>6235000</v>
      </c>
      <c r="B1446" s="73"/>
      <c r="C1446" s="51" t="s">
        <v>1020</v>
      </c>
      <c r="D1446" s="89"/>
      <c r="E1446" s="89"/>
      <c r="F1446" s="89"/>
      <c r="G1446" s="89"/>
      <c r="H1446" s="89"/>
      <c r="I1446" s="89"/>
      <c r="J1446" s="212">
        <f t="shared" si="148"/>
        <v>0</v>
      </c>
      <c r="K1446" s="212">
        <f t="shared" si="148"/>
        <v>0</v>
      </c>
      <c r="L1446" s="212">
        <f t="shared" si="148"/>
        <v>0</v>
      </c>
      <c r="M1446" s="212">
        <f t="shared" si="148"/>
        <v>0</v>
      </c>
      <c r="N1446" s="212">
        <f t="shared" si="148"/>
        <v>0</v>
      </c>
      <c r="O1446" s="212">
        <f t="shared" si="148"/>
        <v>0</v>
      </c>
      <c r="P1446" s="155">
        <f t="shared" si="148"/>
        <v>0</v>
      </c>
      <c r="Q1446" s="407"/>
      <c r="R1446" s="407"/>
    </row>
    <row r="1447" spans="1:18" ht="12.75" x14ac:dyDescent="0.2">
      <c r="A1447" s="152">
        <v>6235000</v>
      </c>
      <c r="B1447" s="73"/>
      <c r="C1447" s="51" t="s">
        <v>1021</v>
      </c>
      <c r="D1447" s="89"/>
      <c r="E1447" s="89"/>
      <c r="F1447" s="89"/>
      <c r="G1447" s="89"/>
      <c r="H1447" s="89"/>
      <c r="I1447" s="89"/>
      <c r="J1447" s="212">
        <f t="shared" si="148"/>
        <v>0</v>
      </c>
      <c r="K1447" s="212">
        <f t="shared" si="148"/>
        <v>0</v>
      </c>
      <c r="L1447" s="212">
        <f t="shared" si="148"/>
        <v>0</v>
      </c>
      <c r="M1447" s="212">
        <f t="shared" si="148"/>
        <v>0</v>
      </c>
      <c r="N1447" s="212">
        <f t="shared" si="148"/>
        <v>0</v>
      </c>
      <c r="O1447" s="212">
        <f t="shared" si="148"/>
        <v>0</v>
      </c>
      <c r="P1447" s="155">
        <f t="shared" si="148"/>
        <v>0</v>
      </c>
      <c r="Q1447" s="407"/>
      <c r="R1447" s="407"/>
    </row>
    <row r="1448" spans="1:18" ht="12.75" x14ac:dyDescent="0.2">
      <c r="A1448" s="152">
        <v>6235000</v>
      </c>
      <c r="B1448" s="73"/>
      <c r="C1448" s="51" t="s">
        <v>489</v>
      </c>
      <c r="D1448" s="89"/>
      <c r="E1448" s="89"/>
      <c r="F1448" s="89"/>
      <c r="G1448" s="89"/>
      <c r="H1448" s="89"/>
      <c r="I1448" s="89"/>
      <c r="J1448" s="212">
        <f t="shared" si="148"/>
        <v>0</v>
      </c>
      <c r="K1448" s="212">
        <f t="shared" si="148"/>
        <v>0</v>
      </c>
      <c r="L1448" s="212">
        <f t="shared" si="148"/>
        <v>0</v>
      </c>
      <c r="M1448" s="212">
        <f t="shared" si="148"/>
        <v>0</v>
      </c>
      <c r="N1448" s="212">
        <f t="shared" si="148"/>
        <v>0</v>
      </c>
      <c r="O1448" s="212">
        <f t="shared" si="148"/>
        <v>0</v>
      </c>
      <c r="P1448" s="155">
        <f t="shared" si="148"/>
        <v>0</v>
      </c>
      <c r="Q1448" s="407"/>
      <c r="R1448" s="407"/>
    </row>
    <row r="1449" spans="1:18" ht="12.75" x14ac:dyDescent="0.2">
      <c r="A1449" s="152">
        <v>6235000</v>
      </c>
      <c r="B1449" s="73"/>
      <c r="C1449" s="51" t="s">
        <v>968</v>
      </c>
      <c r="D1449" s="89"/>
      <c r="E1449" s="89"/>
      <c r="F1449" s="89"/>
      <c r="G1449" s="89"/>
      <c r="H1449" s="89"/>
      <c r="I1449" s="89"/>
      <c r="J1449" s="212">
        <f t="shared" si="148"/>
        <v>0</v>
      </c>
      <c r="K1449" s="212">
        <f t="shared" si="148"/>
        <v>0</v>
      </c>
      <c r="L1449" s="212">
        <f t="shared" si="148"/>
        <v>0</v>
      </c>
      <c r="M1449" s="212">
        <f t="shared" si="148"/>
        <v>0</v>
      </c>
      <c r="N1449" s="212">
        <f t="shared" si="148"/>
        <v>0</v>
      </c>
      <c r="O1449" s="212">
        <f t="shared" si="148"/>
        <v>0</v>
      </c>
      <c r="P1449" s="155">
        <f t="shared" si="148"/>
        <v>0</v>
      </c>
      <c r="Q1449" s="407"/>
      <c r="R1449" s="407"/>
    </row>
    <row r="1450" spans="1:18" ht="12.75" x14ac:dyDescent="0.2">
      <c r="A1450" s="152">
        <v>6235000</v>
      </c>
      <c r="B1450" s="73"/>
      <c r="C1450" s="51" t="s">
        <v>98</v>
      </c>
      <c r="D1450" s="89"/>
      <c r="E1450" s="89"/>
      <c r="F1450" s="89"/>
      <c r="G1450" s="89"/>
      <c r="H1450" s="89"/>
      <c r="I1450" s="89"/>
      <c r="J1450" s="212">
        <f t="shared" si="148"/>
        <v>0</v>
      </c>
      <c r="K1450" s="212">
        <f t="shared" si="148"/>
        <v>0</v>
      </c>
      <c r="L1450" s="212">
        <f t="shared" si="148"/>
        <v>0</v>
      </c>
      <c r="M1450" s="212">
        <f t="shared" si="148"/>
        <v>0</v>
      </c>
      <c r="N1450" s="212">
        <f t="shared" si="148"/>
        <v>0</v>
      </c>
      <c r="O1450" s="212">
        <f t="shared" si="148"/>
        <v>0</v>
      </c>
      <c r="P1450" s="155">
        <f t="shared" si="148"/>
        <v>0</v>
      </c>
      <c r="Q1450" s="407"/>
      <c r="R1450" s="407"/>
    </row>
    <row r="1451" spans="1:18" ht="12.75" x14ac:dyDescent="0.2">
      <c r="A1451" s="152">
        <v>6235000</v>
      </c>
      <c r="B1451" s="73"/>
      <c r="C1451" s="51" t="s">
        <v>1048</v>
      </c>
      <c r="D1451" s="89"/>
      <c r="E1451" s="89"/>
      <c r="F1451" s="89"/>
      <c r="G1451" s="89"/>
      <c r="H1451" s="89"/>
      <c r="I1451" s="89"/>
      <c r="J1451" s="212">
        <f t="shared" si="148"/>
        <v>0</v>
      </c>
      <c r="K1451" s="212">
        <f t="shared" si="148"/>
        <v>0</v>
      </c>
      <c r="L1451" s="212">
        <f t="shared" si="148"/>
        <v>0</v>
      </c>
      <c r="M1451" s="212">
        <f t="shared" si="148"/>
        <v>0</v>
      </c>
      <c r="N1451" s="212">
        <f t="shared" si="148"/>
        <v>0</v>
      </c>
      <c r="O1451" s="212">
        <f t="shared" si="148"/>
        <v>0</v>
      </c>
      <c r="P1451" s="155">
        <f t="shared" si="148"/>
        <v>0</v>
      </c>
      <c r="Q1451" s="407"/>
      <c r="R1451" s="407"/>
    </row>
    <row r="1452" spans="1:18" ht="12.75" x14ac:dyDescent="0.2">
      <c r="A1452" s="152">
        <v>6235000</v>
      </c>
      <c r="B1452" s="73"/>
      <c r="C1452" s="51" t="s">
        <v>1030</v>
      </c>
      <c r="D1452" s="89"/>
      <c r="E1452" s="89"/>
      <c r="F1452" s="89"/>
      <c r="G1452" s="89"/>
      <c r="H1452" s="89"/>
      <c r="I1452" s="89"/>
      <c r="J1452" s="212">
        <f t="shared" si="148"/>
        <v>0</v>
      </c>
      <c r="K1452" s="212">
        <f t="shared" si="148"/>
        <v>0</v>
      </c>
      <c r="L1452" s="212">
        <f t="shared" si="148"/>
        <v>0</v>
      </c>
      <c r="M1452" s="212">
        <f t="shared" si="148"/>
        <v>0</v>
      </c>
      <c r="N1452" s="212">
        <f t="shared" si="148"/>
        <v>0</v>
      </c>
      <c r="O1452" s="212">
        <f t="shared" si="148"/>
        <v>0</v>
      </c>
      <c r="P1452" s="155">
        <f t="shared" si="148"/>
        <v>0</v>
      </c>
      <c r="Q1452" s="407"/>
      <c r="R1452" s="407"/>
    </row>
    <row r="1453" spans="1:18" ht="12.75" x14ac:dyDescent="0.2">
      <c r="A1453" s="152">
        <v>6235000</v>
      </c>
      <c r="B1453" s="73"/>
      <c r="C1453" s="51" t="s">
        <v>977</v>
      </c>
      <c r="D1453" s="89"/>
      <c r="E1453" s="89"/>
      <c r="F1453" s="89"/>
      <c r="G1453" s="89"/>
      <c r="H1453" s="89"/>
      <c r="I1453" s="89"/>
      <c r="J1453" s="212">
        <f t="shared" ref="J1453:P1462" si="149">SUMIFS(J$26:J$180,$A$26:$A$180,$A1453,$C$26:$C$180,$C1453)</f>
        <v>0</v>
      </c>
      <c r="K1453" s="212">
        <f t="shared" si="149"/>
        <v>0</v>
      </c>
      <c r="L1453" s="212">
        <f t="shared" si="149"/>
        <v>0</v>
      </c>
      <c r="M1453" s="212">
        <f t="shared" si="149"/>
        <v>0</v>
      </c>
      <c r="N1453" s="212">
        <f t="shared" si="149"/>
        <v>0</v>
      </c>
      <c r="O1453" s="212">
        <f t="shared" si="149"/>
        <v>0</v>
      </c>
      <c r="P1453" s="155">
        <f t="shared" si="149"/>
        <v>0</v>
      </c>
      <c r="Q1453" s="407"/>
      <c r="R1453" s="407"/>
    </row>
    <row r="1454" spans="1:18" ht="12.75" x14ac:dyDescent="0.2">
      <c r="A1454" s="152">
        <v>6235000</v>
      </c>
      <c r="B1454" s="73"/>
      <c r="C1454" s="51" t="s">
        <v>99</v>
      </c>
      <c r="D1454" s="89"/>
      <c r="E1454" s="89"/>
      <c r="F1454" s="89"/>
      <c r="G1454" s="89"/>
      <c r="H1454" s="89"/>
      <c r="I1454" s="89"/>
      <c r="J1454" s="212">
        <f t="shared" si="149"/>
        <v>500</v>
      </c>
      <c r="K1454" s="212">
        <f t="shared" si="149"/>
        <v>1000</v>
      </c>
      <c r="L1454" s="212">
        <f t="shared" si="149"/>
        <v>2000</v>
      </c>
      <c r="M1454" s="212">
        <f t="shared" si="149"/>
        <v>0</v>
      </c>
      <c r="N1454" s="212">
        <f t="shared" si="149"/>
        <v>0</v>
      </c>
      <c r="O1454" s="212">
        <f t="shared" si="149"/>
        <v>16000</v>
      </c>
      <c r="P1454" s="155">
        <f t="shared" si="149"/>
        <v>19500</v>
      </c>
      <c r="Q1454" s="407"/>
      <c r="R1454" s="407"/>
    </row>
    <row r="1455" spans="1:18" ht="12.75" x14ac:dyDescent="0.2">
      <c r="A1455" s="152">
        <v>6235000</v>
      </c>
      <c r="B1455" s="73"/>
      <c r="C1455" s="51" t="s">
        <v>1047</v>
      </c>
      <c r="D1455" s="89"/>
      <c r="E1455" s="89"/>
      <c r="F1455" s="89"/>
      <c r="G1455" s="89"/>
      <c r="H1455" s="89"/>
      <c r="I1455" s="89"/>
      <c r="J1455" s="212">
        <f t="shared" si="149"/>
        <v>0</v>
      </c>
      <c r="K1455" s="212">
        <f t="shared" si="149"/>
        <v>0</v>
      </c>
      <c r="L1455" s="212">
        <f t="shared" si="149"/>
        <v>0</v>
      </c>
      <c r="M1455" s="212">
        <f t="shared" si="149"/>
        <v>0</v>
      </c>
      <c r="N1455" s="212">
        <f t="shared" si="149"/>
        <v>0</v>
      </c>
      <c r="O1455" s="212">
        <f t="shared" si="149"/>
        <v>0</v>
      </c>
      <c r="P1455" s="155">
        <f t="shared" si="149"/>
        <v>0</v>
      </c>
      <c r="Q1455" s="407"/>
      <c r="R1455" s="407"/>
    </row>
    <row r="1456" spans="1:18" ht="12.75" x14ac:dyDescent="0.2">
      <c r="A1456" s="152">
        <v>6235000</v>
      </c>
      <c r="B1456" s="73"/>
      <c r="C1456" s="51" t="s">
        <v>1041</v>
      </c>
      <c r="D1456" s="89"/>
      <c r="E1456" s="89"/>
      <c r="F1456" s="89"/>
      <c r="G1456" s="89"/>
      <c r="H1456" s="89"/>
      <c r="I1456" s="89"/>
      <c r="J1456" s="212">
        <f t="shared" si="149"/>
        <v>0</v>
      </c>
      <c r="K1456" s="212">
        <f t="shared" si="149"/>
        <v>0</v>
      </c>
      <c r="L1456" s="212">
        <f t="shared" si="149"/>
        <v>0</v>
      </c>
      <c r="M1456" s="212">
        <f t="shared" si="149"/>
        <v>0</v>
      </c>
      <c r="N1456" s="212">
        <f t="shared" si="149"/>
        <v>0</v>
      </c>
      <c r="O1456" s="212">
        <f t="shared" si="149"/>
        <v>0</v>
      </c>
      <c r="P1456" s="155">
        <f t="shared" si="149"/>
        <v>0</v>
      </c>
      <c r="Q1456" s="407"/>
      <c r="R1456" s="407"/>
    </row>
    <row r="1457" spans="1:18" ht="12.75" x14ac:dyDescent="0.2">
      <c r="A1457" s="152">
        <v>6235000</v>
      </c>
      <c r="B1457" s="73"/>
      <c r="C1457" s="51" t="s">
        <v>102</v>
      </c>
      <c r="D1457" s="89"/>
      <c r="E1457" s="89"/>
      <c r="F1457" s="89"/>
      <c r="G1457" s="89"/>
      <c r="H1457" s="89"/>
      <c r="I1457" s="89"/>
      <c r="J1457" s="212">
        <f t="shared" si="149"/>
        <v>0</v>
      </c>
      <c r="K1457" s="212">
        <f t="shared" si="149"/>
        <v>0</v>
      </c>
      <c r="L1457" s="212">
        <f t="shared" si="149"/>
        <v>0</v>
      </c>
      <c r="M1457" s="212">
        <f t="shared" si="149"/>
        <v>0</v>
      </c>
      <c r="N1457" s="212">
        <f t="shared" si="149"/>
        <v>0</v>
      </c>
      <c r="O1457" s="212">
        <f t="shared" si="149"/>
        <v>0</v>
      </c>
      <c r="P1457" s="155">
        <f t="shared" si="149"/>
        <v>0</v>
      </c>
      <c r="Q1457" s="407"/>
      <c r="R1457" s="407"/>
    </row>
    <row r="1458" spans="1:18" ht="12.75" x14ac:dyDescent="0.2">
      <c r="A1458" s="152">
        <v>6235000</v>
      </c>
      <c r="B1458" s="73"/>
      <c r="C1458" s="51" t="s">
        <v>124</v>
      </c>
      <c r="D1458" s="89"/>
      <c r="E1458" s="89"/>
      <c r="F1458" s="89"/>
      <c r="G1458" s="89"/>
      <c r="H1458" s="89"/>
      <c r="I1458" s="89"/>
      <c r="J1458" s="212">
        <f t="shared" si="149"/>
        <v>0</v>
      </c>
      <c r="K1458" s="212">
        <f t="shared" si="149"/>
        <v>0</v>
      </c>
      <c r="L1458" s="212">
        <f t="shared" si="149"/>
        <v>0</v>
      </c>
      <c r="M1458" s="212">
        <f t="shared" si="149"/>
        <v>0</v>
      </c>
      <c r="N1458" s="212">
        <f t="shared" si="149"/>
        <v>0</v>
      </c>
      <c r="O1458" s="212">
        <f t="shared" si="149"/>
        <v>0</v>
      </c>
      <c r="P1458" s="155">
        <f t="shared" si="149"/>
        <v>0</v>
      </c>
      <c r="Q1458" s="407"/>
      <c r="R1458" s="407"/>
    </row>
    <row r="1459" spans="1:18" ht="12.75" x14ac:dyDescent="0.2">
      <c r="A1459" s="152">
        <v>6235000</v>
      </c>
      <c r="B1459" s="73"/>
      <c r="C1459" s="51" t="s">
        <v>103</v>
      </c>
      <c r="D1459" s="89"/>
      <c r="E1459" s="89"/>
      <c r="F1459" s="89"/>
      <c r="G1459" s="89"/>
      <c r="H1459" s="89"/>
      <c r="I1459" s="89"/>
      <c r="J1459" s="212">
        <f t="shared" si="149"/>
        <v>0</v>
      </c>
      <c r="K1459" s="212">
        <f t="shared" si="149"/>
        <v>0</v>
      </c>
      <c r="L1459" s="212">
        <f t="shared" si="149"/>
        <v>0</v>
      </c>
      <c r="M1459" s="212">
        <f t="shared" si="149"/>
        <v>0</v>
      </c>
      <c r="N1459" s="212">
        <f t="shared" si="149"/>
        <v>0</v>
      </c>
      <c r="O1459" s="212">
        <f t="shared" si="149"/>
        <v>0</v>
      </c>
      <c r="P1459" s="155">
        <f t="shared" si="149"/>
        <v>0</v>
      </c>
      <c r="Q1459" s="407"/>
      <c r="R1459" s="407"/>
    </row>
    <row r="1460" spans="1:18" ht="12.75" x14ac:dyDescent="0.2">
      <c r="A1460" s="152">
        <v>6235000</v>
      </c>
      <c r="B1460" s="73"/>
      <c r="C1460" s="51" t="s">
        <v>104</v>
      </c>
      <c r="D1460" s="89"/>
      <c r="E1460" s="89"/>
      <c r="F1460" s="89"/>
      <c r="G1460" s="89"/>
      <c r="H1460" s="89"/>
      <c r="I1460" s="89"/>
      <c r="J1460" s="212">
        <f t="shared" si="149"/>
        <v>0</v>
      </c>
      <c r="K1460" s="212">
        <f t="shared" si="149"/>
        <v>0</v>
      </c>
      <c r="L1460" s="212">
        <f t="shared" si="149"/>
        <v>0</v>
      </c>
      <c r="M1460" s="212">
        <f t="shared" si="149"/>
        <v>0</v>
      </c>
      <c r="N1460" s="212">
        <f t="shared" si="149"/>
        <v>0</v>
      </c>
      <c r="O1460" s="212">
        <f t="shared" si="149"/>
        <v>0</v>
      </c>
      <c r="P1460" s="155">
        <f t="shared" si="149"/>
        <v>0</v>
      </c>
      <c r="Q1460" s="407"/>
      <c r="R1460" s="407"/>
    </row>
    <row r="1461" spans="1:18" ht="12.75" x14ac:dyDescent="0.2">
      <c r="A1461" s="152">
        <v>6235000</v>
      </c>
      <c r="B1461" s="73"/>
      <c r="C1461" s="51" t="s">
        <v>491</v>
      </c>
      <c r="D1461" s="89"/>
      <c r="E1461" s="89"/>
      <c r="F1461" s="89"/>
      <c r="G1461" s="89"/>
      <c r="H1461" s="89"/>
      <c r="I1461" s="89"/>
      <c r="J1461" s="212">
        <f t="shared" si="149"/>
        <v>0</v>
      </c>
      <c r="K1461" s="212">
        <f t="shared" si="149"/>
        <v>0</v>
      </c>
      <c r="L1461" s="212">
        <f t="shared" si="149"/>
        <v>0</v>
      </c>
      <c r="M1461" s="212">
        <f t="shared" si="149"/>
        <v>0</v>
      </c>
      <c r="N1461" s="212">
        <f t="shared" si="149"/>
        <v>0</v>
      </c>
      <c r="O1461" s="212">
        <f t="shared" si="149"/>
        <v>0</v>
      </c>
      <c r="P1461" s="155">
        <f t="shared" si="149"/>
        <v>0</v>
      </c>
      <c r="Q1461" s="407"/>
      <c r="R1461" s="407"/>
    </row>
    <row r="1462" spans="1:18" ht="12.75" x14ac:dyDescent="0.2">
      <c r="A1462" s="152">
        <v>6235000</v>
      </c>
      <c r="B1462" s="73"/>
      <c r="C1462" s="51" t="s">
        <v>105</v>
      </c>
      <c r="D1462" s="89"/>
      <c r="E1462" s="89"/>
      <c r="F1462" s="89"/>
      <c r="G1462" s="89"/>
      <c r="H1462" s="89"/>
      <c r="I1462" s="89"/>
      <c r="J1462" s="212">
        <f t="shared" si="149"/>
        <v>0</v>
      </c>
      <c r="K1462" s="212">
        <f t="shared" si="149"/>
        <v>0</v>
      </c>
      <c r="L1462" s="212">
        <f t="shared" si="149"/>
        <v>0</v>
      </c>
      <c r="M1462" s="212">
        <f t="shared" si="149"/>
        <v>0</v>
      </c>
      <c r="N1462" s="212">
        <f t="shared" si="149"/>
        <v>0</v>
      </c>
      <c r="O1462" s="212">
        <f t="shared" si="149"/>
        <v>0</v>
      </c>
      <c r="P1462" s="155">
        <f t="shared" si="149"/>
        <v>0</v>
      </c>
      <c r="Q1462" s="407"/>
      <c r="R1462" s="407"/>
    </row>
    <row r="1463" spans="1:18" ht="12.75" x14ac:dyDescent="0.2">
      <c r="A1463" s="152">
        <v>6235000</v>
      </c>
      <c r="B1463" s="73"/>
      <c r="C1463" s="51" t="s">
        <v>129</v>
      </c>
      <c r="D1463" s="89"/>
      <c r="E1463" s="89"/>
      <c r="F1463" s="89"/>
      <c r="G1463" s="89"/>
      <c r="H1463" s="89"/>
      <c r="I1463" s="89"/>
      <c r="J1463" s="212">
        <f t="shared" ref="J1463:P1472" si="150">SUMIFS(J$26:J$180,$A$26:$A$180,$A1463,$C$26:$C$180,$C1463)</f>
        <v>0</v>
      </c>
      <c r="K1463" s="212">
        <f t="shared" si="150"/>
        <v>0</v>
      </c>
      <c r="L1463" s="212">
        <f t="shared" si="150"/>
        <v>0</v>
      </c>
      <c r="M1463" s="212">
        <f t="shared" si="150"/>
        <v>0</v>
      </c>
      <c r="N1463" s="212">
        <f t="shared" si="150"/>
        <v>0</v>
      </c>
      <c r="O1463" s="212">
        <f t="shared" si="150"/>
        <v>0</v>
      </c>
      <c r="P1463" s="155">
        <f t="shared" si="150"/>
        <v>0</v>
      </c>
      <c r="Q1463" s="407"/>
      <c r="R1463" s="407"/>
    </row>
    <row r="1464" spans="1:18" ht="12.75" x14ac:dyDescent="0.2">
      <c r="A1464" s="152">
        <v>6235000</v>
      </c>
      <c r="B1464" s="73"/>
      <c r="C1464" s="51" t="s">
        <v>108</v>
      </c>
      <c r="D1464" s="89"/>
      <c r="E1464" s="89"/>
      <c r="F1464" s="89"/>
      <c r="G1464" s="89"/>
      <c r="H1464" s="89"/>
      <c r="I1464" s="89"/>
      <c r="J1464" s="212">
        <f t="shared" si="150"/>
        <v>1600</v>
      </c>
      <c r="K1464" s="212">
        <f t="shared" si="150"/>
        <v>2000</v>
      </c>
      <c r="L1464" s="212">
        <f t="shared" si="150"/>
        <v>3350</v>
      </c>
      <c r="M1464" s="212">
        <f t="shared" si="150"/>
        <v>120</v>
      </c>
      <c r="N1464" s="212">
        <f t="shared" si="150"/>
        <v>150</v>
      </c>
      <c r="O1464" s="212">
        <f t="shared" si="150"/>
        <v>800</v>
      </c>
      <c r="P1464" s="155">
        <f t="shared" si="150"/>
        <v>8020</v>
      </c>
      <c r="Q1464" s="407"/>
      <c r="R1464" s="407"/>
    </row>
    <row r="1465" spans="1:18" ht="12.75" x14ac:dyDescent="0.2">
      <c r="A1465" s="152">
        <v>6235000</v>
      </c>
      <c r="B1465" s="73"/>
      <c r="C1465" s="51" t="s">
        <v>119</v>
      </c>
      <c r="D1465" s="89"/>
      <c r="E1465" s="89"/>
      <c r="F1465" s="89"/>
      <c r="G1465" s="89"/>
      <c r="H1465" s="89"/>
      <c r="I1465" s="89"/>
      <c r="J1465" s="212">
        <f t="shared" si="150"/>
        <v>0</v>
      </c>
      <c r="K1465" s="212">
        <f t="shared" si="150"/>
        <v>0</v>
      </c>
      <c r="L1465" s="212">
        <f t="shared" si="150"/>
        <v>0</v>
      </c>
      <c r="M1465" s="212">
        <f t="shared" si="150"/>
        <v>0</v>
      </c>
      <c r="N1465" s="212">
        <f t="shared" si="150"/>
        <v>0</v>
      </c>
      <c r="O1465" s="212">
        <f t="shared" si="150"/>
        <v>0</v>
      </c>
      <c r="P1465" s="155">
        <f t="shared" si="150"/>
        <v>0</v>
      </c>
      <c r="Q1465" s="407"/>
      <c r="R1465" s="407"/>
    </row>
    <row r="1466" spans="1:18" ht="12.75" x14ac:dyDescent="0.2">
      <c r="A1466" s="152">
        <v>6235000</v>
      </c>
      <c r="B1466" s="73"/>
      <c r="C1466" s="51" t="s">
        <v>954</v>
      </c>
      <c r="D1466" s="89"/>
      <c r="E1466" s="89"/>
      <c r="F1466" s="89"/>
      <c r="G1466" s="89"/>
      <c r="H1466" s="89"/>
      <c r="I1466" s="89"/>
      <c r="J1466" s="212">
        <f t="shared" si="150"/>
        <v>700</v>
      </c>
      <c r="K1466" s="212">
        <f t="shared" si="150"/>
        <v>900</v>
      </c>
      <c r="L1466" s="212">
        <f t="shared" si="150"/>
        <v>1600</v>
      </c>
      <c r="M1466" s="212">
        <f t="shared" si="150"/>
        <v>200</v>
      </c>
      <c r="N1466" s="212">
        <f t="shared" si="150"/>
        <v>400</v>
      </c>
      <c r="O1466" s="212">
        <f t="shared" si="150"/>
        <v>200</v>
      </c>
      <c r="P1466" s="155">
        <f t="shared" si="150"/>
        <v>4000</v>
      </c>
      <c r="Q1466" s="407"/>
      <c r="R1466" s="407"/>
    </row>
    <row r="1467" spans="1:18" ht="12.75" x14ac:dyDescent="0.2">
      <c r="A1467" s="152">
        <v>6235000</v>
      </c>
      <c r="B1467" s="73"/>
      <c r="C1467" s="51" t="s">
        <v>1031</v>
      </c>
      <c r="D1467" s="89"/>
      <c r="E1467" s="89"/>
      <c r="F1467" s="89"/>
      <c r="G1467" s="89"/>
      <c r="H1467" s="89"/>
      <c r="I1467" s="89"/>
      <c r="J1467" s="212">
        <f t="shared" si="150"/>
        <v>0</v>
      </c>
      <c r="K1467" s="212">
        <f t="shared" si="150"/>
        <v>0</v>
      </c>
      <c r="L1467" s="212">
        <f t="shared" si="150"/>
        <v>0</v>
      </c>
      <c r="M1467" s="212">
        <f t="shared" si="150"/>
        <v>0</v>
      </c>
      <c r="N1467" s="212">
        <f t="shared" si="150"/>
        <v>0</v>
      </c>
      <c r="O1467" s="212">
        <f t="shared" si="150"/>
        <v>0</v>
      </c>
      <c r="P1467" s="155">
        <f t="shared" si="150"/>
        <v>0</v>
      </c>
      <c r="Q1467" s="407"/>
      <c r="R1467" s="407"/>
    </row>
    <row r="1468" spans="1:18" ht="12.75" x14ac:dyDescent="0.2">
      <c r="A1468" s="152">
        <v>6235000</v>
      </c>
      <c r="B1468" s="73"/>
      <c r="C1468" s="51" t="s">
        <v>1009</v>
      </c>
      <c r="D1468" s="89"/>
      <c r="E1468" s="89"/>
      <c r="F1468" s="89"/>
      <c r="G1468" s="89"/>
      <c r="H1468" s="89"/>
      <c r="I1468" s="89"/>
      <c r="J1468" s="212">
        <f t="shared" si="150"/>
        <v>0</v>
      </c>
      <c r="K1468" s="212">
        <f t="shared" si="150"/>
        <v>0</v>
      </c>
      <c r="L1468" s="212">
        <f t="shared" si="150"/>
        <v>0</v>
      </c>
      <c r="M1468" s="212">
        <f t="shared" si="150"/>
        <v>0</v>
      </c>
      <c r="N1468" s="212">
        <f t="shared" si="150"/>
        <v>0</v>
      </c>
      <c r="O1468" s="212">
        <f t="shared" si="150"/>
        <v>0</v>
      </c>
      <c r="P1468" s="155">
        <f t="shared" si="150"/>
        <v>0</v>
      </c>
      <c r="Q1468" s="407"/>
      <c r="R1468" s="407"/>
    </row>
    <row r="1469" spans="1:18" ht="12.75" x14ac:dyDescent="0.2">
      <c r="A1469" s="152">
        <v>6235000</v>
      </c>
      <c r="B1469" s="73"/>
      <c r="C1469" s="51" t="s">
        <v>107</v>
      </c>
      <c r="D1469" s="89"/>
      <c r="E1469" s="89"/>
      <c r="F1469" s="89"/>
      <c r="G1469" s="89"/>
      <c r="H1469" s="89"/>
      <c r="I1469" s="89"/>
      <c r="J1469" s="212">
        <f t="shared" si="150"/>
        <v>0</v>
      </c>
      <c r="K1469" s="212">
        <f t="shared" si="150"/>
        <v>0</v>
      </c>
      <c r="L1469" s="212">
        <f t="shared" si="150"/>
        <v>0</v>
      </c>
      <c r="M1469" s="212">
        <f t="shared" si="150"/>
        <v>0</v>
      </c>
      <c r="N1469" s="212">
        <f t="shared" si="150"/>
        <v>0</v>
      </c>
      <c r="O1469" s="212">
        <f t="shared" si="150"/>
        <v>0</v>
      </c>
      <c r="P1469" s="155">
        <f t="shared" si="150"/>
        <v>0</v>
      </c>
      <c r="Q1469" s="407"/>
      <c r="R1469" s="407"/>
    </row>
    <row r="1470" spans="1:18" ht="12.75" x14ac:dyDescent="0.2">
      <c r="A1470" s="152">
        <v>6235000</v>
      </c>
      <c r="B1470" s="73"/>
      <c r="C1470" s="51" t="s">
        <v>1026</v>
      </c>
      <c r="D1470" s="89"/>
      <c r="E1470" s="89"/>
      <c r="F1470" s="89"/>
      <c r="G1470" s="89"/>
      <c r="H1470" s="89"/>
      <c r="I1470" s="89"/>
      <c r="J1470" s="212">
        <f t="shared" si="150"/>
        <v>0</v>
      </c>
      <c r="K1470" s="212">
        <f t="shared" si="150"/>
        <v>0</v>
      </c>
      <c r="L1470" s="212">
        <f t="shared" si="150"/>
        <v>0</v>
      </c>
      <c r="M1470" s="212">
        <f t="shared" si="150"/>
        <v>0</v>
      </c>
      <c r="N1470" s="212">
        <f t="shared" si="150"/>
        <v>0</v>
      </c>
      <c r="O1470" s="212">
        <f t="shared" si="150"/>
        <v>0</v>
      </c>
      <c r="P1470" s="155">
        <f t="shared" si="150"/>
        <v>0</v>
      </c>
      <c r="Q1470" s="407"/>
      <c r="R1470" s="407"/>
    </row>
    <row r="1471" spans="1:18" ht="12.75" x14ac:dyDescent="0.2">
      <c r="A1471" s="152">
        <v>6235000</v>
      </c>
      <c r="B1471" s="73"/>
      <c r="C1471" s="51" t="s">
        <v>1027</v>
      </c>
      <c r="D1471" s="89"/>
      <c r="E1471" s="89"/>
      <c r="F1471" s="89"/>
      <c r="G1471" s="89"/>
      <c r="H1471" s="89"/>
      <c r="I1471" s="89"/>
      <c r="J1471" s="212">
        <f t="shared" si="150"/>
        <v>0</v>
      </c>
      <c r="K1471" s="212">
        <f t="shared" si="150"/>
        <v>0</v>
      </c>
      <c r="L1471" s="212">
        <f t="shared" si="150"/>
        <v>0</v>
      </c>
      <c r="M1471" s="212">
        <f t="shared" si="150"/>
        <v>0</v>
      </c>
      <c r="N1471" s="212">
        <f t="shared" si="150"/>
        <v>0</v>
      </c>
      <c r="O1471" s="212">
        <f t="shared" si="150"/>
        <v>0</v>
      </c>
      <c r="P1471" s="155">
        <f t="shared" si="150"/>
        <v>0</v>
      </c>
      <c r="Q1471" s="407"/>
      <c r="R1471" s="407"/>
    </row>
    <row r="1472" spans="1:18" ht="12.75" x14ac:dyDescent="0.2">
      <c r="A1472" s="152">
        <v>6235000</v>
      </c>
      <c r="B1472" s="73"/>
      <c r="C1472" s="51" t="s">
        <v>955</v>
      </c>
      <c r="D1472" s="89"/>
      <c r="E1472" s="89"/>
      <c r="F1472" s="89"/>
      <c r="G1472" s="89"/>
      <c r="H1472" s="89"/>
      <c r="I1472" s="89"/>
      <c r="J1472" s="212">
        <f t="shared" si="150"/>
        <v>0</v>
      </c>
      <c r="K1472" s="212">
        <f t="shared" si="150"/>
        <v>0</v>
      </c>
      <c r="L1472" s="212">
        <f t="shared" si="150"/>
        <v>0</v>
      </c>
      <c r="M1472" s="212">
        <f t="shared" si="150"/>
        <v>0</v>
      </c>
      <c r="N1472" s="212">
        <f t="shared" si="150"/>
        <v>0</v>
      </c>
      <c r="O1472" s="212">
        <f t="shared" si="150"/>
        <v>0</v>
      </c>
      <c r="P1472" s="155">
        <f t="shared" si="150"/>
        <v>0</v>
      </c>
      <c r="Q1472" s="407"/>
      <c r="R1472" s="407"/>
    </row>
    <row r="1473" spans="1:18" ht="12.75" x14ac:dyDescent="0.2">
      <c r="A1473" s="152">
        <v>6235000</v>
      </c>
      <c r="B1473" s="73"/>
      <c r="C1473" s="51" t="s">
        <v>958</v>
      </c>
      <c r="D1473" s="89"/>
      <c r="E1473" s="89"/>
      <c r="F1473" s="89"/>
      <c r="G1473" s="89"/>
      <c r="H1473" s="89"/>
      <c r="I1473" s="89"/>
      <c r="J1473" s="212">
        <f t="shared" ref="J1473:P1482" si="151">SUMIFS(J$26:J$180,$A$26:$A$180,$A1473,$C$26:$C$180,$C1473)</f>
        <v>0</v>
      </c>
      <c r="K1473" s="212">
        <f t="shared" si="151"/>
        <v>0</v>
      </c>
      <c r="L1473" s="212">
        <f t="shared" si="151"/>
        <v>0</v>
      </c>
      <c r="M1473" s="212">
        <f t="shared" si="151"/>
        <v>0</v>
      </c>
      <c r="N1473" s="212">
        <f t="shared" si="151"/>
        <v>0</v>
      </c>
      <c r="O1473" s="212">
        <f t="shared" si="151"/>
        <v>0</v>
      </c>
      <c r="P1473" s="155">
        <f t="shared" si="151"/>
        <v>0</v>
      </c>
      <c r="Q1473" s="407"/>
      <c r="R1473" s="407"/>
    </row>
    <row r="1474" spans="1:18" ht="12.75" x14ac:dyDescent="0.2">
      <c r="A1474" s="152">
        <v>6235000</v>
      </c>
      <c r="B1474" s="73"/>
      <c r="C1474" s="51" t="s">
        <v>1032</v>
      </c>
      <c r="D1474" s="89"/>
      <c r="E1474" s="89"/>
      <c r="F1474" s="89"/>
      <c r="G1474" s="89"/>
      <c r="H1474" s="89"/>
      <c r="I1474" s="89"/>
      <c r="J1474" s="212">
        <f t="shared" si="151"/>
        <v>0</v>
      </c>
      <c r="K1474" s="212">
        <f t="shared" si="151"/>
        <v>0</v>
      </c>
      <c r="L1474" s="212">
        <f t="shared" si="151"/>
        <v>0</v>
      </c>
      <c r="M1474" s="212">
        <f t="shared" si="151"/>
        <v>0</v>
      </c>
      <c r="N1474" s="212">
        <f t="shared" si="151"/>
        <v>0</v>
      </c>
      <c r="O1474" s="212">
        <f t="shared" si="151"/>
        <v>0</v>
      </c>
      <c r="P1474" s="155">
        <f t="shared" si="151"/>
        <v>0</v>
      </c>
      <c r="Q1474" s="407"/>
      <c r="R1474" s="407"/>
    </row>
    <row r="1475" spans="1:18" ht="12.75" x14ac:dyDescent="0.2">
      <c r="A1475" s="152">
        <v>6235000</v>
      </c>
      <c r="B1475" s="73"/>
      <c r="C1475" s="51" t="s">
        <v>109</v>
      </c>
      <c r="D1475" s="89"/>
      <c r="E1475" s="89"/>
      <c r="F1475" s="89"/>
      <c r="G1475" s="89"/>
      <c r="H1475" s="89"/>
      <c r="I1475" s="89"/>
      <c r="J1475" s="212">
        <f t="shared" si="151"/>
        <v>0</v>
      </c>
      <c r="K1475" s="212">
        <f t="shared" si="151"/>
        <v>0</v>
      </c>
      <c r="L1475" s="212">
        <f t="shared" si="151"/>
        <v>0</v>
      </c>
      <c r="M1475" s="212">
        <f t="shared" si="151"/>
        <v>0</v>
      </c>
      <c r="N1475" s="212">
        <f t="shared" si="151"/>
        <v>0</v>
      </c>
      <c r="O1475" s="212">
        <f t="shared" si="151"/>
        <v>0</v>
      </c>
      <c r="P1475" s="155">
        <f t="shared" si="151"/>
        <v>0</v>
      </c>
      <c r="Q1475" s="407"/>
      <c r="R1475" s="407"/>
    </row>
    <row r="1476" spans="1:18" ht="12.75" x14ac:dyDescent="0.2">
      <c r="A1476" s="152">
        <v>6235000</v>
      </c>
      <c r="B1476" s="73"/>
      <c r="C1476" s="51" t="s">
        <v>966</v>
      </c>
      <c r="D1476" s="89"/>
      <c r="E1476" s="89"/>
      <c r="F1476" s="89"/>
      <c r="G1476" s="89"/>
      <c r="H1476" s="89"/>
      <c r="I1476" s="89"/>
      <c r="J1476" s="212">
        <f t="shared" si="151"/>
        <v>0</v>
      </c>
      <c r="K1476" s="212">
        <f t="shared" si="151"/>
        <v>0</v>
      </c>
      <c r="L1476" s="212">
        <f t="shared" si="151"/>
        <v>0</v>
      </c>
      <c r="M1476" s="212">
        <f t="shared" si="151"/>
        <v>0</v>
      </c>
      <c r="N1476" s="212">
        <f t="shared" si="151"/>
        <v>0</v>
      </c>
      <c r="O1476" s="212">
        <f t="shared" si="151"/>
        <v>0</v>
      </c>
      <c r="P1476" s="155">
        <f t="shared" si="151"/>
        <v>0</v>
      </c>
      <c r="Q1476" s="407"/>
      <c r="R1476" s="407"/>
    </row>
    <row r="1477" spans="1:18" ht="12.75" x14ac:dyDescent="0.2">
      <c r="A1477" s="152">
        <v>6235000</v>
      </c>
      <c r="B1477" s="73"/>
      <c r="C1477" s="51" t="s">
        <v>981</v>
      </c>
      <c r="D1477" s="89"/>
      <c r="E1477" s="89"/>
      <c r="F1477" s="89"/>
      <c r="G1477" s="89"/>
      <c r="H1477" s="89"/>
      <c r="I1477" s="89"/>
      <c r="J1477" s="212">
        <f t="shared" si="151"/>
        <v>0</v>
      </c>
      <c r="K1477" s="212">
        <f t="shared" si="151"/>
        <v>0</v>
      </c>
      <c r="L1477" s="212">
        <f t="shared" si="151"/>
        <v>0</v>
      </c>
      <c r="M1477" s="212">
        <f t="shared" si="151"/>
        <v>0</v>
      </c>
      <c r="N1477" s="212">
        <f t="shared" si="151"/>
        <v>0</v>
      </c>
      <c r="O1477" s="212">
        <f t="shared" si="151"/>
        <v>0</v>
      </c>
      <c r="P1477" s="155">
        <f t="shared" si="151"/>
        <v>0</v>
      </c>
      <c r="Q1477" s="407"/>
      <c r="R1477" s="407"/>
    </row>
    <row r="1478" spans="1:18" ht="12.75" x14ac:dyDescent="0.2">
      <c r="A1478" s="152">
        <v>6235000</v>
      </c>
      <c r="B1478" s="73"/>
      <c r="C1478" s="51" t="s">
        <v>963</v>
      </c>
      <c r="D1478" s="89"/>
      <c r="E1478" s="89"/>
      <c r="F1478" s="89"/>
      <c r="G1478" s="89"/>
      <c r="H1478" s="89"/>
      <c r="I1478" s="89"/>
      <c r="J1478" s="212">
        <f t="shared" si="151"/>
        <v>0</v>
      </c>
      <c r="K1478" s="212">
        <f t="shared" si="151"/>
        <v>0</v>
      </c>
      <c r="L1478" s="212">
        <f t="shared" si="151"/>
        <v>0</v>
      </c>
      <c r="M1478" s="212">
        <f t="shared" si="151"/>
        <v>0</v>
      </c>
      <c r="N1478" s="212">
        <f t="shared" si="151"/>
        <v>0</v>
      </c>
      <c r="O1478" s="212">
        <f t="shared" si="151"/>
        <v>0</v>
      </c>
      <c r="P1478" s="155">
        <f t="shared" si="151"/>
        <v>0</v>
      </c>
      <c r="Q1478" s="407"/>
      <c r="R1478" s="407"/>
    </row>
    <row r="1479" spans="1:18" ht="12.75" x14ac:dyDescent="0.2">
      <c r="A1479" s="152">
        <v>6235000</v>
      </c>
      <c r="B1479" s="73"/>
      <c r="C1479" s="51" t="s">
        <v>120</v>
      </c>
      <c r="D1479" s="89"/>
      <c r="E1479" s="89"/>
      <c r="F1479" s="89"/>
      <c r="G1479" s="89"/>
      <c r="H1479" s="89"/>
      <c r="I1479" s="89"/>
      <c r="J1479" s="212">
        <f t="shared" si="151"/>
        <v>0</v>
      </c>
      <c r="K1479" s="212">
        <f t="shared" si="151"/>
        <v>0</v>
      </c>
      <c r="L1479" s="212">
        <f t="shared" si="151"/>
        <v>0</v>
      </c>
      <c r="M1479" s="212">
        <f t="shared" si="151"/>
        <v>0</v>
      </c>
      <c r="N1479" s="212">
        <f t="shared" si="151"/>
        <v>0</v>
      </c>
      <c r="O1479" s="212">
        <f t="shared" si="151"/>
        <v>0</v>
      </c>
      <c r="P1479" s="155">
        <f t="shared" si="151"/>
        <v>0</v>
      </c>
      <c r="Q1479" s="407"/>
      <c r="R1479" s="407"/>
    </row>
    <row r="1480" spans="1:18" ht="12.75" x14ac:dyDescent="0.2">
      <c r="A1480" s="152">
        <v>6235000</v>
      </c>
      <c r="B1480" s="73"/>
      <c r="C1480" s="51" t="s">
        <v>989</v>
      </c>
      <c r="D1480" s="89"/>
      <c r="E1480" s="89"/>
      <c r="F1480" s="89"/>
      <c r="G1480" s="89"/>
      <c r="H1480" s="89"/>
      <c r="I1480" s="89"/>
      <c r="J1480" s="212">
        <f t="shared" si="151"/>
        <v>0</v>
      </c>
      <c r="K1480" s="212">
        <f t="shared" si="151"/>
        <v>0</v>
      </c>
      <c r="L1480" s="212">
        <f t="shared" si="151"/>
        <v>0</v>
      </c>
      <c r="M1480" s="212">
        <f t="shared" si="151"/>
        <v>0</v>
      </c>
      <c r="N1480" s="212">
        <f t="shared" si="151"/>
        <v>0</v>
      </c>
      <c r="O1480" s="212">
        <f t="shared" si="151"/>
        <v>0</v>
      </c>
      <c r="P1480" s="155">
        <f t="shared" si="151"/>
        <v>0</v>
      </c>
      <c r="Q1480" s="407"/>
      <c r="R1480" s="407"/>
    </row>
    <row r="1481" spans="1:18" ht="12.75" x14ac:dyDescent="0.2">
      <c r="A1481" s="152">
        <v>6245000</v>
      </c>
      <c r="B1481" s="73"/>
      <c r="C1481" s="51" t="s">
        <v>986</v>
      </c>
      <c r="D1481" s="89"/>
      <c r="E1481" s="89"/>
      <c r="F1481" s="89"/>
      <c r="G1481" s="89"/>
      <c r="H1481" s="89"/>
      <c r="I1481" s="89"/>
      <c r="J1481" s="212">
        <f t="shared" si="151"/>
        <v>0</v>
      </c>
      <c r="K1481" s="212">
        <f t="shared" si="151"/>
        <v>0</v>
      </c>
      <c r="L1481" s="212">
        <f t="shared" si="151"/>
        <v>0</v>
      </c>
      <c r="M1481" s="212">
        <f t="shared" si="151"/>
        <v>0</v>
      </c>
      <c r="N1481" s="212">
        <f t="shared" si="151"/>
        <v>0</v>
      </c>
      <c r="O1481" s="212">
        <f t="shared" si="151"/>
        <v>0</v>
      </c>
      <c r="P1481" s="155">
        <f t="shared" si="151"/>
        <v>0</v>
      </c>
      <c r="Q1481" s="407"/>
      <c r="R1481" s="407"/>
    </row>
    <row r="1482" spans="1:18" ht="12.75" x14ac:dyDescent="0.2">
      <c r="A1482" s="152">
        <v>6245000</v>
      </c>
      <c r="B1482" s="73"/>
      <c r="C1482" s="51" t="s">
        <v>988</v>
      </c>
      <c r="D1482" s="89"/>
      <c r="E1482" s="89"/>
      <c r="F1482" s="89"/>
      <c r="G1482" s="89"/>
      <c r="H1482" s="89"/>
      <c r="I1482" s="89"/>
      <c r="J1482" s="212">
        <f t="shared" si="151"/>
        <v>0</v>
      </c>
      <c r="K1482" s="212">
        <f t="shared" si="151"/>
        <v>0</v>
      </c>
      <c r="L1482" s="212">
        <f t="shared" si="151"/>
        <v>0</v>
      </c>
      <c r="M1482" s="212">
        <f t="shared" si="151"/>
        <v>0</v>
      </c>
      <c r="N1482" s="212">
        <f t="shared" si="151"/>
        <v>0</v>
      </c>
      <c r="O1482" s="212">
        <f t="shared" si="151"/>
        <v>0</v>
      </c>
      <c r="P1482" s="155">
        <f t="shared" si="151"/>
        <v>0</v>
      </c>
      <c r="Q1482" s="407"/>
      <c r="R1482" s="407"/>
    </row>
    <row r="1483" spans="1:18" ht="12.75" x14ac:dyDescent="0.2">
      <c r="A1483" s="152">
        <v>6245000</v>
      </c>
      <c r="B1483" s="73"/>
      <c r="C1483" s="51" t="s">
        <v>1058</v>
      </c>
      <c r="D1483" s="89"/>
      <c r="E1483" s="89"/>
      <c r="F1483" s="89"/>
      <c r="G1483" s="89"/>
      <c r="H1483" s="89"/>
      <c r="I1483" s="89"/>
      <c r="J1483" s="212">
        <f t="shared" ref="J1483:P1492" si="152">SUMIFS(J$26:J$180,$A$26:$A$180,$A1483,$C$26:$C$180,$C1483)</f>
        <v>0</v>
      </c>
      <c r="K1483" s="212">
        <f t="shared" si="152"/>
        <v>0</v>
      </c>
      <c r="L1483" s="212">
        <f t="shared" si="152"/>
        <v>0</v>
      </c>
      <c r="M1483" s="212">
        <f t="shared" si="152"/>
        <v>0</v>
      </c>
      <c r="N1483" s="212">
        <f t="shared" si="152"/>
        <v>0</v>
      </c>
      <c r="O1483" s="212">
        <f t="shared" si="152"/>
        <v>0</v>
      </c>
      <c r="P1483" s="155">
        <f t="shared" si="152"/>
        <v>0</v>
      </c>
      <c r="Q1483" s="407"/>
      <c r="R1483" s="407"/>
    </row>
    <row r="1484" spans="1:18" ht="12.75" x14ac:dyDescent="0.2">
      <c r="A1484" s="152">
        <v>6245000</v>
      </c>
      <c r="B1484" s="73"/>
      <c r="C1484" s="51" t="s">
        <v>972</v>
      </c>
      <c r="D1484" s="89"/>
      <c r="E1484" s="89"/>
      <c r="F1484" s="89"/>
      <c r="G1484" s="89"/>
      <c r="H1484" s="89"/>
      <c r="I1484" s="89"/>
      <c r="J1484" s="212">
        <f t="shared" si="152"/>
        <v>0</v>
      </c>
      <c r="K1484" s="212">
        <f t="shared" si="152"/>
        <v>0</v>
      </c>
      <c r="L1484" s="212">
        <f t="shared" si="152"/>
        <v>0</v>
      </c>
      <c r="M1484" s="212">
        <f t="shared" si="152"/>
        <v>0</v>
      </c>
      <c r="N1484" s="212">
        <f t="shared" si="152"/>
        <v>0</v>
      </c>
      <c r="O1484" s="212">
        <f t="shared" si="152"/>
        <v>0</v>
      </c>
      <c r="P1484" s="155">
        <f t="shared" si="152"/>
        <v>0</v>
      </c>
      <c r="Q1484" s="407"/>
      <c r="R1484" s="407"/>
    </row>
    <row r="1485" spans="1:18" ht="12.75" x14ac:dyDescent="0.2">
      <c r="A1485" s="152">
        <v>6245000</v>
      </c>
      <c r="B1485" s="73"/>
      <c r="C1485" s="51" t="s">
        <v>973</v>
      </c>
      <c r="D1485" s="89"/>
      <c r="E1485" s="89"/>
      <c r="F1485" s="89"/>
      <c r="G1485" s="89"/>
      <c r="H1485" s="89"/>
      <c r="I1485" s="89"/>
      <c r="J1485" s="212">
        <f t="shared" si="152"/>
        <v>0</v>
      </c>
      <c r="K1485" s="212">
        <f t="shared" si="152"/>
        <v>0</v>
      </c>
      <c r="L1485" s="212">
        <f t="shared" si="152"/>
        <v>0</v>
      </c>
      <c r="M1485" s="212">
        <f t="shared" si="152"/>
        <v>0</v>
      </c>
      <c r="N1485" s="212">
        <f t="shared" si="152"/>
        <v>0</v>
      </c>
      <c r="O1485" s="212">
        <f t="shared" si="152"/>
        <v>0</v>
      </c>
      <c r="P1485" s="155">
        <f t="shared" si="152"/>
        <v>0</v>
      </c>
      <c r="Q1485" s="407"/>
      <c r="R1485" s="407"/>
    </row>
    <row r="1486" spans="1:18" ht="12.75" x14ac:dyDescent="0.2">
      <c r="A1486" s="152">
        <v>6245000</v>
      </c>
      <c r="B1486" s="73"/>
      <c r="C1486" s="51" t="s">
        <v>980</v>
      </c>
      <c r="D1486" s="89"/>
      <c r="E1486" s="89"/>
      <c r="F1486" s="89"/>
      <c r="G1486" s="89"/>
      <c r="H1486" s="89"/>
      <c r="I1486" s="89"/>
      <c r="J1486" s="212">
        <f t="shared" si="152"/>
        <v>0</v>
      </c>
      <c r="K1486" s="212">
        <f t="shared" si="152"/>
        <v>0</v>
      </c>
      <c r="L1486" s="212">
        <f t="shared" si="152"/>
        <v>0</v>
      </c>
      <c r="M1486" s="212">
        <f t="shared" si="152"/>
        <v>0</v>
      </c>
      <c r="N1486" s="212">
        <f t="shared" si="152"/>
        <v>0</v>
      </c>
      <c r="O1486" s="212">
        <f t="shared" si="152"/>
        <v>0</v>
      </c>
      <c r="P1486" s="155">
        <f t="shared" si="152"/>
        <v>0</v>
      </c>
      <c r="Q1486" s="407"/>
      <c r="R1486" s="407"/>
    </row>
    <row r="1487" spans="1:18" ht="12.75" x14ac:dyDescent="0.2">
      <c r="A1487" s="152">
        <v>6245000</v>
      </c>
      <c r="B1487" s="73"/>
      <c r="C1487" s="51" t="s">
        <v>982</v>
      </c>
      <c r="D1487" s="89"/>
      <c r="E1487" s="89"/>
      <c r="F1487" s="89"/>
      <c r="G1487" s="89"/>
      <c r="H1487" s="89"/>
      <c r="I1487" s="89"/>
      <c r="J1487" s="212">
        <f t="shared" si="152"/>
        <v>0</v>
      </c>
      <c r="K1487" s="212">
        <f t="shared" si="152"/>
        <v>0</v>
      </c>
      <c r="L1487" s="212">
        <f t="shared" si="152"/>
        <v>0</v>
      </c>
      <c r="M1487" s="212">
        <f t="shared" si="152"/>
        <v>0</v>
      </c>
      <c r="N1487" s="212">
        <f t="shared" si="152"/>
        <v>0</v>
      </c>
      <c r="O1487" s="212">
        <f t="shared" si="152"/>
        <v>0</v>
      </c>
      <c r="P1487" s="155">
        <f t="shared" si="152"/>
        <v>0</v>
      </c>
      <c r="Q1487" s="407"/>
      <c r="R1487" s="407"/>
    </row>
    <row r="1488" spans="1:18" ht="12.75" x14ac:dyDescent="0.2">
      <c r="A1488" s="152">
        <v>6245000</v>
      </c>
      <c r="B1488" s="73"/>
      <c r="C1488" s="51" t="s">
        <v>46</v>
      </c>
      <c r="D1488" s="89"/>
      <c r="E1488" s="89"/>
      <c r="F1488" s="89"/>
      <c r="G1488" s="89"/>
      <c r="H1488" s="89"/>
      <c r="I1488" s="89"/>
      <c r="J1488" s="212">
        <f t="shared" si="152"/>
        <v>0</v>
      </c>
      <c r="K1488" s="212">
        <f t="shared" si="152"/>
        <v>0</v>
      </c>
      <c r="L1488" s="212">
        <f t="shared" si="152"/>
        <v>0</v>
      </c>
      <c r="M1488" s="212">
        <f t="shared" si="152"/>
        <v>0</v>
      </c>
      <c r="N1488" s="212">
        <f t="shared" si="152"/>
        <v>0</v>
      </c>
      <c r="O1488" s="212">
        <f t="shared" si="152"/>
        <v>0</v>
      </c>
      <c r="P1488" s="155">
        <f t="shared" si="152"/>
        <v>0</v>
      </c>
      <c r="Q1488" s="407"/>
      <c r="R1488" s="407"/>
    </row>
    <row r="1489" spans="1:18" ht="12.75" x14ac:dyDescent="0.2">
      <c r="A1489" s="152">
        <v>6245000</v>
      </c>
      <c r="B1489" s="73"/>
      <c r="C1489" s="51" t="s">
        <v>1019</v>
      </c>
      <c r="D1489" s="89"/>
      <c r="E1489" s="89"/>
      <c r="F1489" s="89"/>
      <c r="G1489" s="89"/>
      <c r="H1489" s="89"/>
      <c r="I1489" s="89"/>
      <c r="J1489" s="212">
        <f t="shared" si="152"/>
        <v>0</v>
      </c>
      <c r="K1489" s="212">
        <f t="shared" si="152"/>
        <v>0</v>
      </c>
      <c r="L1489" s="212">
        <f t="shared" si="152"/>
        <v>0</v>
      </c>
      <c r="M1489" s="212">
        <f t="shared" si="152"/>
        <v>0</v>
      </c>
      <c r="N1489" s="212">
        <f t="shared" si="152"/>
        <v>0</v>
      </c>
      <c r="O1489" s="212">
        <f t="shared" si="152"/>
        <v>0</v>
      </c>
      <c r="P1489" s="155">
        <f t="shared" si="152"/>
        <v>0</v>
      </c>
      <c r="Q1489" s="407"/>
      <c r="R1489" s="407"/>
    </row>
    <row r="1490" spans="1:18" ht="12.75" x14ac:dyDescent="0.2">
      <c r="A1490" s="152">
        <v>6245000</v>
      </c>
      <c r="B1490" s="73"/>
      <c r="C1490" s="51" t="s">
        <v>1050</v>
      </c>
      <c r="D1490" s="89"/>
      <c r="E1490" s="89"/>
      <c r="F1490" s="89"/>
      <c r="G1490" s="89"/>
      <c r="H1490" s="89"/>
      <c r="I1490" s="89"/>
      <c r="J1490" s="212">
        <f t="shared" si="152"/>
        <v>0</v>
      </c>
      <c r="K1490" s="212">
        <f t="shared" si="152"/>
        <v>0</v>
      </c>
      <c r="L1490" s="212">
        <f t="shared" si="152"/>
        <v>0</v>
      </c>
      <c r="M1490" s="212">
        <f t="shared" si="152"/>
        <v>0</v>
      </c>
      <c r="N1490" s="212">
        <f t="shared" si="152"/>
        <v>0</v>
      </c>
      <c r="O1490" s="212">
        <f t="shared" si="152"/>
        <v>0</v>
      </c>
      <c r="P1490" s="155">
        <f t="shared" si="152"/>
        <v>0</v>
      </c>
      <c r="Q1490" s="407"/>
      <c r="R1490" s="407"/>
    </row>
    <row r="1491" spans="1:18" ht="12.75" x14ac:dyDescent="0.2">
      <c r="A1491" s="152">
        <v>6245000</v>
      </c>
      <c r="B1491" s="73"/>
      <c r="C1491" s="51" t="s">
        <v>100</v>
      </c>
      <c r="D1491" s="89"/>
      <c r="E1491" s="89"/>
      <c r="F1491" s="89"/>
      <c r="G1491" s="89"/>
      <c r="H1491" s="89"/>
      <c r="I1491" s="89"/>
      <c r="J1491" s="212">
        <f t="shared" si="152"/>
        <v>0</v>
      </c>
      <c r="K1491" s="212">
        <f t="shared" si="152"/>
        <v>0</v>
      </c>
      <c r="L1491" s="212">
        <f t="shared" si="152"/>
        <v>0</v>
      </c>
      <c r="M1491" s="212">
        <f t="shared" si="152"/>
        <v>0</v>
      </c>
      <c r="N1491" s="212">
        <f t="shared" si="152"/>
        <v>0</v>
      </c>
      <c r="O1491" s="212">
        <f t="shared" si="152"/>
        <v>0</v>
      </c>
      <c r="P1491" s="155">
        <f t="shared" si="152"/>
        <v>0</v>
      </c>
      <c r="Q1491" s="407"/>
      <c r="R1491" s="407"/>
    </row>
    <row r="1492" spans="1:18" ht="12.75" x14ac:dyDescent="0.2">
      <c r="A1492" s="152">
        <v>6245000</v>
      </c>
      <c r="B1492" s="73"/>
      <c r="C1492" s="51" t="s">
        <v>101</v>
      </c>
      <c r="D1492" s="89"/>
      <c r="E1492" s="89"/>
      <c r="F1492" s="89"/>
      <c r="G1492" s="89"/>
      <c r="H1492" s="89"/>
      <c r="I1492" s="89"/>
      <c r="J1492" s="212">
        <f t="shared" si="152"/>
        <v>0</v>
      </c>
      <c r="K1492" s="212">
        <f t="shared" si="152"/>
        <v>0</v>
      </c>
      <c r="L1492" s="212">
        <f t="shared" si="152"/>
        <v>0</v>
      </c>
      <c r="M1492" s="212">
        <f t="shared" si="152"/>
        <v>0</v>
      </c>
      <c r="N1492" s="212">
        <f t="shared" si="152"/>
        <v>0</v>
      </c>
      <c r="O1492" s="212">
        <f t="shared" si="152"/>
        <v>0</v>
      </c>
      <c r="P1492" s="155">
        <f t="shared" si="152"/>
        <v>0</v>
      </c>
      <c r="Q1492" s="407"/>
      <c r="R1492" s="407"/>
    </row>
    <row r="1493" spans="1:18" ht="12.75" x14ac:dyDescent="0.2">
      <c r="A1493" s="152">
        <v>6245000</v>
      </c>
      <c r="B1493" s="73"/>
      <c r="C1493" s="51" t="s">
        <v>1056</v>
      </c>
      <c r="D1493" s="89"/>
      <c r="E1493" s="89"/>
      <c r="F1493" s="89"/>
      <c r="G1493" s="89"/>
      <c r="H1493" s="89"/>
      <c r="I1493" s="89"/>
      <c r="J1493" s="212">
        <f t="shared" ref="J1493:P1502" si="153">SUMIFS(J$26:J$180,$A$26:$A$180,$A1493,$C$26:$C$180,$C1493)</f>
        <v>0</v>
      </c>
      <c r="K1493" s="212">
        <f t="shared" si="153"/>
        <v>0</v>
      </c>
      <c r="L1493" s="212">
        <f t="shared" si="153"/>
        <v>0</v>
      </c>
      <c r="M1493" s="212">
        <f t="shared" si="153"/>
        <v>0</v>
      </c>
      <c r="N1493" s="212">
        <f t="shared" si="153"/>
        <v>0</v>
      </c>
      <c r="O1493" s="212">
        <f t="shared" si="153"/>
        <v>0</v>
      </c>
      <c r="P1493" s="155">
        <f t="shared" si="153"/>
        <v>0</v>
      </c>
      <c r="Q1493" s="407"/>
      <c r="R1493" s="407"/>
    </row>
    <row r="1494" spans="1:18" ht="12.75" x14ac:dyDescent="0.2">
      <c r="A1494" s="152">
        <v>6245000</v>
      </c>
      <c r="B1494" s="73"/>
      <c r="C1494" s="51" t="s">
        <v>1057</v>
      </c>
      <c r="D1494" s="89"/>
      <c r="E1494" s="89"/>
      <c r="F1494" s="89"/>
      <c r="G1494" s="89"/>
      <c r="H1494" s="89"/>
      <c r="I1494" s="89"/>
      <c r="J1494" s="212">
        <f t="shared" si="153"/>
        <v>0</v>
      </c>
      <c r="K1494" s="212">
        <f t="shared" si="153"/>
        <v>0</v>
      </c>
      <c r="L1494" s="212">
        <f t="shared" si="153"/>
        <v>4000</v>
      </c>
      <c r="M1494" s="212">
        <f t="shared" si="153"/>
        <v>0</v>
      </c>
      <c r="N1494" s="212">
        <f t="shared" si="153"/>
        <v>0</v>
      </c>
      <c r="O1494" s="212">
        <f t="shared" si="153"/>
        <v>0</v>
      </c>
      <c r="P1494" s="155">
        <f t="shared" si="153"/>
        <v>4000</v>
      </c>
      <c r="Q1494" s="407"/>
      <c r="R1494" s="407"/>
    </row>
    <row r="1495" spans="1:18" ht="12.75" x14ac:dyDescent="0.2">
      <c r="A1495" s="152">
        <v>6245000</v>
      </c>
      <c r="B1495" s="73"/>
      <c r="C1495" s="51" t="s">
        <v>944</v>
      </c>
      <c r="D1495" s="89"/>
      <c r="E1495" s="89"/>
      <c r="F1495" s="89"/>
      <c r="G1495" s="89"/>
      <c r="H1495" s="89"/>
      <c r="I1495" s="89"/>
      <c r="J1495" s="212">
        <f t="shared" si="153"/>
        <v>0</v>
      </c>
      <c r="K1495" s="212">
        <f t="shared" si="153"/>
        <v>0</v>
      </c>
      <c r="L1495" s="212">
        <f t="shared" si="153"/>
        <v>0</v>
      </c>
      <c r="M1495" s="212">
        <f t="shared" si="153"/>
        <v>0</v>
      </c>
      <c r="N1495" s="212">
        <f t="shared" si="153"/>
        <v>0</v>
      </c>
      <c r="O1495" s="212">
        <f t="shared" si="153"/>
        <v>0</v>
      </c>
      <c r="P1495" s="155">
        <f t="shared" si="153"/>
        <v>0</v>
      </c>
      <c r="Q1495" s="407"/>
      <c r="R1495" s="407"/>
    </row>
    <row r="1496" spans="1:18" ht="12.75" x14ac:dyDescent="0.2">
      <c r="A1496" s="152">
        <v>6245000</v>
      </c>
      <c r="B1496" s="73"/>
      <c r="C1496" s="51" t="s">
        <v>945</v>
      </c>
      <c r="D1496" s="89"/>
      <c r="E1496" s="89"/>
      <c r="F1496" s="89"/>
      <c r="G1496" s="89"/>
      <c r="H1496" s="89"/>
      <c r="I1496" s="89"/>
      <c r="J1496" s="212">
        <f t="shared" si="153"/>
        <v>0</v>
      </c>
      <c r="K1496" s="212">
        <f t="shared" si="153"/>
        <v>0</v>
      </c>
      <c r="L1496" s="212">
        <f t="shared" si="153"/>
        <v>0</v>
      </c>
      <c r="M1496" s="212">
        <f t="shared" si="153"/>
        <v>0</v>
      </c>
      <c r="N1496" s="212">
        <f t="shared" si="153"/>
        <v>0</v>
      </c>
      <c r="O1496" s="212">
        <f t="shared" si="153"/>
        <v>0</v>
      </c>
      <c r="P1496" s="155">
        <f t="shared" si="153"/>
        <v>0</v>
      </c>
      <c r="Q1496" s="407"/>
      <c r="R1496" s="407"/>
    </row>
    <row r="1497" spans="1:18" ht="12.75" x14ac:dyDescent="0.2">
      <c r="A1497" s="152">
        <v>6245000</v>
      </c>
      <c r="B1497" s="73"/>
      <c r="C1497" s="51" t="s">
        <v>965</v>
      </c>
      <c r="D1497" s="89"/>
      <c r="E1497" s="89"/>
      <c r="F1497" s="89"/>
      <c r="G1497" s="89"/>
      <c r="H1497" s="89"/>
      <c r="I1497" s="89"/>
      <c r="J1497" s="212">
        <f t="shared" si="153"/>
        <v>0</v>
      </c>
      <c r="K1497" s="212">
        <f t="shared" si="153"/>
        <v>0</v>
      </c>
      <c r="L1497" s="212">
        <f t="shared" si="153"/>
        <v>0</v>
      </c>
      <c r="M1497" s="212">
        <f t="shared" si="153"/>
        <v>0</v>
      </c>
      <c r="N1497" s="212">
        <f t="shared" si="153"/>
        <v>0</v>
      </c>
      <c r="O1497" s="212">
        <f t="shared" si="153"/>
        <v>0</v>
      </c>
      <c r="P1497" s="155">
        <f t="shared" si="153"/>
        <v>0</v>
      </c>
      <c r="Q1497" s="407"/>
      <c r="R1497" s="407"/>
    </row>
    <row r="1498" spans="1:18" ht="12.75" x14ac:dyDescent="0.2">
      <c r="A1498" s="152">
        <v>6245000</v>
      </c>
      <c r="B1498" s="73"/>
      <c r="C1498" s="51" t="s">
        <v>1011</v>
      </c>
      <c r="D1498" s="89"/>
      <c r="E1498" s="89"/>
      <c r="F1498" s="89"/>
      <c r="G1498" s="89"/>
      <c r="H1498" s="89"/>
      <c r="I1498" s="89"/>
      <c r="J1498" s="212">
        <f t="shared" si="153"/>
        <v>0</v>
      </c>
      <c r="K1498" s="212">
        <f t="shared" si="153"/>
        <v>0</v>
      </c>
      <c r="L1498" s="212">
        <f t="shared" si="153"/>
        <v>0</v>
      </c>
      <c r="M1498" s="212">
        <f t="shared" si="153"/>
        <v>0</v>
      </c>
      <c r="N1498" s="212">
        <f t="shared" si="153"/>
        <v>0</v>
      </c>
      <c r="O1498" s="212">
        <f t="shared" si="153"/>
        <v>0</v>
      </c>
      <c r="P1498" s="155">
        <f t="shared" si="153"/>
        <v>0</v>
      </c>
      <c r="Q1498" s="407"/>
      <c r="R1498" s="407"/>
    </row>
    <row r="1499" spans="1:18" ht="12.75" x14ac:dyDescent="0.2">
      <c r="A1499" s="152">
        <v>6245000</v>
      </c>
      <c r="B1499" s="73"/>
      <c r="C1499" s="51" t="s">
        <v>1010</v>
      </c>
      <c r="D1499" s="89"/>
      <c r="E1499" s="89"/>
      <c r="F1499" s="89"/>
      <c r="G1499" s="89"/>
      <c r="H1499" s="89"/>
      <c r="I1499" s="89"/>
      <c r="J1499" s="212">
        <f t="shared" si="153"/>
        <v>0</v>
      </c>
      <c r="K1499" s="212">
        <f t="shared" si="153"/>
        <v>0</v>
      </c>
      <c r="L1499" s="212">
        <f t="shared" si="153"/>
        <v>0</v>
      </c>
      <c r="M1499" s="212">
        <f t="shared" si="153"/>
        <v>0</v>
      </c>
      <c r="N1499" s="212">
        <f t="shared" si="153"/>
        <v>0</v>
      </c>
      <c r="O1499" s="212">
        <f t="shared" si="153"/>
        <v>0</v>
      </c>
      <c r="P1499" s="155">
        <f t="shared" si="153"/>
        <v>0</v>
      </c>
      <c r="Q1499" s="407"/>
      <c r="R1499" s="407"/>
    </row>
    <row r="1500" spans="1:18" ht="12.75" x14ac:dyDescent="0.2">
      <c r="A1500" s="152">
        <v>6245000</v>
      </c>
      <c r="B1500" s="73"/>
      <c r="C1500" s="51" t="s">
        <v>1013</v>
      </c>
      <c r="D1500" s="89"/>
      <c r="E1500" s="89"/>
      <c r="F1500" s="89"/>
      <c r="G1500" s="89"/>
      <c r="H1500" s="89"/>
      <c r="I1500" s="89"/>
      <c r="J1500" s="212">
        <f t="shared" si="153"/>
        <v>0</v>
      </c>
      <c r="K1500" s="212">
        <f t="shared" si="153"/>
        <v>0</v>
      </c>
      <c r="L1500" s="212">
        <f t="shared" si="153"/>
        <v>0</v>
      </c>
      <c r="M1500" s="212">
        <f t="shared" si="153"/>
        <v>0</v>
      </c>
      <c r="N1500" s="212">
        <f t="shared" si="153"/>
        <v>0</v>
      </c>
      <c r="O1500" s="212">
        <f t="shared" si="153"/>
        <v>0</v>
      </c>
      <c r="P1500" s="155">
        <f t="shared" si="153"/>
        <v>0</v>
      </c>
      <c r="Q1500" s="407"/>
      <c r="R1500" s="407"/>
    </row>
    <row r="1501" spans="1:18" ht="12.75" x14ac:dyDescent="0.2">
      <c r="A1501" s="152">
        <v>6245000</v>
      </c>
      <c r="B1501" s="73"/>
      <c r="C1501" s="51" t="s">
        <v>1012</v>
      </c>
      <c r="D1501" s="89"/>
      <c r="E1501" s="89"/>
      <c r="F1501" s="89"/>
      <c r="G1501" s="89"/>
      <c r="H1501" s="89"/>
      <c r="I1501" s="89"/>
      <c r="J1501" s="212">
        <f t="shared" si="153"/>
        <v>0</v>
      </c>
      <c r="K1501" s="212">
        <f t="shared" si="153"/>
        <v>0</v>
      </c>
      <c r="L1501" s="212">
        <f t="shared" si="153"/>
        <v>0</v>
      </c>
      <c r="M1501" s="212">
        <f t="shared" si="153"/>
        <v>0</v>
      </c>
      <c r="N1501" s="212">
        <f t="shared" si="153"/>
        <v>0</v>
      </c>
      <c r="O1501" s="212">
        <f t="shared" si="153"/>
        <v>0</v>
      </c>
      <c r="P1501" s="155">
        <f t="shared" si="153"/>
        <v>0</v>
      </c>
      <c r="Q1501" s="407"/>
      <c r="R1501" s="407"/>
    </row>
    <row r="1502" spans="1:18" ht="12.75" x14ac:dyDescent="0.2">
      <c r="A1502" s="152">
        <v>6245000</v>
      </c>
      <c r="B1502" s="73"/>
      <c r="C1502" s="51" t="s">
        <v>1052</v>
      </c>
      <c r="D1502" s="89"/>
      <c r="E1502" s="89"/>
      <c r="F1502" s="89"/>
      <c r="G1502" s="89"/>
      <c r="H1502" s="89"/>
      <c r="I1502" s="89"/>
      <c r="J1502" s="212">
        <f t="shared" si="153"/>
        <v>0</v>
      </c>
      <c r="K1502" s="212">
        <f t="shared" si="153"/>
        <v>0</v>
      </c>
      <c r="L1502" s="212">
        <f t="shared" si="153"/>
        <v>0</v>
      </c>
      <c r="M1502" s="212">
        <f t="shared" si="153"/>
        <v>0</v>
      </c>
      <c r="N1502" s="212">
        <f t="shared" si="153"/>
        <v>0</v>
      </c>
      <c r="O1502" s="212">
        <f t="shared" si="153"/>
        <v>0</v>
      </c>
      <c r="P1502" s="155">
        <f t="shared" si="153"/>
        <v>0</v>
      </c>
      <c r="Q1502" s="407"/>
      <c r="R1502" s="407"/>
    </row>
    <row r="1503" spans="1:18" ht="12.75" x14ac:dyDescent="0.2">
      <c r="A1503" s="152">
        <v>6245000</v>
      </c>
      <c r="B1503" s="73"/>
      <c r="C1503" s="51" t="s">
        <v>1053</v>
      </c>
      <c r="D1503" s="89"/>
      <c r="E1503" s="89"/>
      <c r="F1503" s="89"/>
      <c r="G1503" s="89"/>
      <c r="H1503" s="89"/>
      <c r="I1503" s="89"/>
      <c r="J1503" s="212">
        <f t="shared" ref="J1503:P1512" si="154">SUMIFS(J$26:J$180,$A$26:$A$180,$A1503,$C$26:$C$180,$C1503)</f>
        <v>0</v>
      </c>
      <c r="K1503" s="212">
        <f t="shared" si="154"/>
        <v>0</v>
      </c>
      <c r="L1503" s="212">
        <f t="shared" si="154"/>
        <v>0</v>
      </c>
      <c r="M1503" s="212">
        <f t="shared" si="154"/>
        <v>0</v>
      </c>
      <c r="N1503" s="212">
        <f t="shared" si="154"/>
        <v>0</v>
      </c>
      <c r="O1503" s="212">
        <f t="shared" si="154"/>
        <v>0</v>
      </c>
      <c r="P1503" s="155">
        <f t="shared" si="154"/>
        <v>0</v>
      </c>
      <c r="Q1503" s="407"/>
      <c r="R1503" s="407"/>
    </row>
    <row r="1504" spans="1:18" ht="12.75" x14ac:dyDescent="0.2">
      <c r="A1504" s="152">
        <v>6245000</v>
      </c>
      <c r="B1504" s="73"/>
      <c r="C1504" s="51" t="s">
        <v>984</v>
      </c>
      <c r="D1504" s="89"/>
      <c r="E1504" s="89"/>
      <c r="F1504" s="89"/>
      <c r="G1504" s="89"/>
      <c r="H1504" s="89"/>
      <c r="I1504" s="89"/>
      <c r="J1504" s="212">
        <f t="shared" si="154"/>
        <v>0</v>
      </c>
      <c r="K1504" s="212">
        <f t="shared" si="154"/>
        <v>0</v>
      </c>
      <c r="L1504" s="212">
        <f t="shared" si="154"/>
        <v>0</v>
      </c>
      <c r="M1504" s="212">
        <f t="shared" si="154"/>
        <v>0</v>
      </c>
      <c r="N1504" s="212">
        <f t="shared" si="154"/>
        <v>0</v>
      </c>
      <c r="O1504" s="212">
        <f t="shared" si="154"/>
        <v>0</v>
      </c>
      <c r="P1504" s="155">
        <f t="shared" si="154"/>
        <v>0</v>
      </c>
      <c r="Q1504" s="407"/>
      <c r="R1504" s="407"/>
    </row>
    <row r="1505" spans="1:18" ht="12.75" x14ac:dyDescent="0.2">
      <c r="A1505" s="152">
        <v>6245000</v>
      </c>
      <c r="B1505" s="73"/>
      <c r="C1505" s="51" t="s">
        <v>985</v>
      </c>
      <c r="D1505" s="89"/>
      <c r="E1505" s="89"/>
      <c r="F1505" s="89"/>
      <c r="G1505" s="89"/>
      <c r="H1505" s="89"/>
      <c r="I1505" s="89"/>
      <c r="J1505" s="212">
        <f t="shared" si="154"/>
        <v>0</v>
      </c>
      <c r="K1505" s="212">
        <f t="shared" si="154"/>
        <v>0</v>
      </c>
      <c r="L1505" s="212">
        <f t="shared" si="154"/>
        <v>0</v>
      </c>
      <c r="M1505" s="212">
        <f t="shared" si="154"/>
        <v>0</v>
      </c>
      <c r="N1505" s="212">
        <f t="shared" si="154"/>
        <v>0</v>
      </c>
      <c r="O1505" s="212">
        <f t="shared" si="154"/>
        <v>0</v>
      </c>
      <c r="P1505" s="155">
        <f t="shared" si="154"/>
        <v>0</v>
      </c>
      <c r="Q1505" s="407"/>
      <c r="R1505" s="407"/>
    </row>
    <row r="1506" spans="1:18" ht="12.75" x14ac:dyDescent="0.2">
      <c r="A1506" s="152">
        <v>6245000</v>
      </c>
      <c r="B1506" s="73"/>
      <c r="C1506" s="51" t="s">
        <v>1005</v>
      </c>
      <c r="D1506" s="89"/>
      <c r="E1506" s="89"/>
      <c r="F1506" s="89"/>
      <c r="G1506" s="89"/>
      <c r="H1506" s="89"/>
      <c r="I1506" s="89"/>
      <c r="J1506" s="212">
        <f t="shared" si="154"/>
        <v>0</v>
      </c>
      <c r="K1506" s="212">
        <f t="shared" si="154"/>
        <v>0</v>
      </c>
      <c r="L1506" s="212">
        <f t="shared" si="154"/>
        <v>0</v>
      </c>
      <c r="M1506" s="212">
        <f t="shared" si="154"/>
        <v>0</v>
      </c>
      <c r="N1506" s="212">
        <f t="shared" si="154"/>
        <v>0</v>
      </c>
      <c r="O1506" s="212">
        <f t="shared" si="154"/>
        <v>0</v>
      </c>
      <c r="P1506" s="155">
        <f t="shared" si="154"/>
        <v>0</v>
      </c>
      <c r="Q1506" s="407"/>
      <c r="R1506" s="407"/>
    </row>
    <row r="1507" spans="1:18" ht="12.75" x14ac:dyDescent="0.2">
      <c r="A1507" s="152">
        <v>6245000</v>
      </c>
      <c r="B1507" s="73"/>
      <c r="C1507" s="51" t="s">
        <v>1004</v>
      </c>
      <c r="D1507" s="89"/>
      <c r="E1507" s="89"/>
      <c r="F1507" s="89"/>
      <c r="G1507" s="89"/>
      <c r="H1507" s="89"/>
      <c r="I1507" s="89"/>
      <c r="J1507" s="212">
        <f t="shared" si="154"/>
        <v>0</v>
      </c>
      <c r="K1507" s="212">
        <f t="shared" si="154"/>
        <v>0</v>
      </c>
      <c r="L1507" s="212">
        <f t="shared" si="154"/>
        <v>0</v>
      </c>
      <c r="M1507" s="212">
        <f t="shared" si="154"/>
        <v>0</v>
      </c>
      <c r="N1507" s="212">
        <f t="shared" si="154"/>
        <v>0</v>
      </c>
      <c r="O1507" s="212">
        <f t="shared" si="154"/>
        <v>0</v>
      </c>
      <c r="P1507" s="155">
        <f t="shared" si="154"/>
        <v>0</v>
      </c>
      <c r="Q1507" s="407"/>
      <c r="R1507" s="407"/>
    </row>
    <row r="1508" spans="1:18" ht="12.75" x14ac:dyDescent="0.2">
      <c r="A1508" s="152">
        <v>6245000</v>
      </c>
      <c r="B1508" s="73"/>
      <c r="C1508" s="51" t="s">
        <v>1008</v>
      </c>
      <c r="D1508" s="89"/>
      <c r="E1508" s="89"/>
      <c r="F1508" s="89"/>
      <c r="G1508" s="89"/>
      <c r="H1508" s="89"/>
      <c r="I1508" s="89"/>
      <c r="J1508" s="212">
        <f t="shared" si="154"/>
        <v>0</v>
      </c>
      <c r="K1508" s="212">
        <f t="shared" si="154"/>
        <v>0</v>
      </c>
      <c r="L1508" s="212">
        <f t="shared" si="154"/>
        <v>0</v>
      </c>
      <c r="M1508" s="212">
        <f t="shared" si="154"/>
        <v>0</v>
      </c>
      <c r="N1508" s="212">
        <f t="shared" si="154"/>
        <v>0</v>
      </c>
      <c r="O1508" s="212">
        <f t="shared" si="154"/>
        <v>0</v>
      </c>
      <c r="P1508" s="155">
        <f t="shared" si="154"/>
        <v>0</v>
      </c>
      <c r="Q1508" s="407"/>
      <c r="R1508" s="407"/>
    </row>
    <row r="1509" spans="1:18" ht="12.75" x14ac:dyDescent="0.2">
      <c r="A1509" s="152">
        <v>6245000</v>
      </c>
      <c r="B1509" s="73"/>
      <c r="C1509" s="51" t="s">
        <v>1006</v>
      </c>
      <c r="D1509" s="89"/>
      <c r="E1509" s="89"/>
      <c r="F1509" s="89"/>
      <c r="G1509" s="89"/>
      <c r="H1509" s="89"/>
      <c r="I1509" s="89"/>
      <c r="J1509" s="212">
        <f t="shared" si="154"/>
        <v>0</v>
      </c>
      <c r="K1509" s="212">
        <f t="shared" si="154"/>
        <v>0</v>
      </c>
      <c r="L1509" s="212">
        <f t="shared" si="154"/>
        <v>0</v>
      </c>
      <c r="M1509" s="212">
        <f t="shared" si="154"/>
        <v>0</v>
      </c>
      <c r="N1509" s="212">
        <f t="shared" si="154"/>
        <v>0</v>
      </c>
      <c r="O1509" s="212">
        <f t="shared" si="154"/>
        <v>0</v>
      </c>
      <c r="P1509" s="155">
        <f t="shared" si="154"/>
        <v>0</v>
      </c>
      <c r="Q1509" s="407"/>
      <c r="R1509" s="407"/>
    </row>
    <row r="1510" spans="1:18" ht="12.75" x14ac:dyDescent="0.2">
      <c r="A1510" s="152">
        <v>6245000</v>
      </c>
      <c r="B1510" s="73"/>
      <c r="C1510" s="51" t="s">
        <v>1034</v>
      </c>
      <c r="D1510" s="89"/>
      <c r="E1510" s="89"/>
      <c r="F1510" s="89"/>
      <c r="G1510" s="89"/>
      <c r="H1510" s="89"/>
      <c r="I1510" s="89"/>
      <c r="J1510" s="212">
        <f t="shared" si="154"/>
        <v>0</v>
      </c>
      <c r="K1510" s="212">
        <f t="shared" si="154"/>
        <v>0</v>
      </c>
      <c r="L1510" s="212">
        <f t="shared" si="154"/>
        <v>0</v>
      </c>
      <c r="M1510" s="212">
        <f t="shared" si="154"/>
        <v>0</v>
      </c>
      <c r="N1510" s="212">
        <f t="shared" si="154"/>
        <v>0</v>
      </c>
      <c r="O1510" s="212">
        <f t="shared" si="154"/>
        <v>0</v>
      </c>
      <c r="P1510" s="155">
        <f t="shared" si="154"/>
        <v>0</v>
      </c>
      <c r="Q1510" s="407"/>
      <c r="R1510" s="407"/>
    </row>
    <row r="1511" spans="1:18" ht="12.75" x14ac:dyDescent="0.2">
      <c r="A1511" s="152">
        <v>6245000</v>
      </c>
      <c r="B1511" s="73"/>
      <c r="C1511" s="51" t="s">
        <v>1035</v>
      </c>
      <c r="D1511" s="89"/>
      <c r="E1511" s="89"/>
      <c r="F1511" s="89"/>
      <c r="G1511" s="89"/>
      <c r="H1511" s="89"/>
      <c r="I1511" s="89"/>
      <c r="J1511" s="212">
        <f t="shared" si="154"/>
        <v>0</v>
      </c>
      <c r="K1511" s="212">
        <f t="shared" si="154"/>
        <v>0</v>
      </c>
      <c r="L1511" s="212">
        <f t="shared" si="154"/>
        <v>0</v>
      </c>
      <c r="M1511" s="212">
        <f t="shared" si="154"/>
        <v>0</v>
      </c>
      <c r="N1511" s="212">
        <f t="shared" si="154"/>
        <v>0</v>
      </c>
      <c r="O1511" s="212">
        <f t="shared" si="154"/>
        <v>0</v>
      </c>
      <c r="P1511" s="155">
        <f t="shared" si="154"/>
        <v>0</v>
      </c>
      <c r="Q1511" s="407"/>
      <c r="R1511" s="407"/>
    </row>
    <row r="1512" spans="1:18" ht="12.75" x14ac:dyDescent="0.2">
      <c r="A1512" s="152">
        <v>6245000</v>
      </c>
      <c r="B1512" s="73"/>
      <c r="C1512" s="51" t="s">
        <v>922</v>
      </c>
      <c r="D1512" s="89"/>
      <c r="E1512" s="89"/>
      <c r="F1512" s="89"/>
      <c r="G1512" s="89"/>
      <c r="H1512" s="89"/>
      <c r="I1512" s="89"/>
      <c r="J1512" s="212">
        <f t="shared" si="154"/>
        <v>0</v>
      </c>
      <c r="K1512" s="212">
        <f t="shared" si="154"/>
        <v>0</v>
      </c>
      <c r="L1512" s="212">
        <f t="shared" si="154"/>
        <v>0</v>
      </c>
      <c r="M1512" s="212">
        <f t="shared" si="154"/>
        <v>0</v>
      </c>
      <c r="N1512" s="212">
        <f t="shared" si="154"/>
        <v>0</v>
      </c>
      <c r="O1512" s="212">
        <f t="shared" si="154"/>
        <v>0</v>
      </c>
      <c r="P1512" s="155">
        <f t="shared" si="154"/>
        <v>0</v>
      </c>
      <c r="Q1512" s="407"/>
      <c r="R1512" s="407"/>
    </row>
    <row r="1513" spans="1:18" ht="12.75" x14ac:dyDescent="0.2">
      <c r="A1513" s="152">
        <v>6245000</v>
      </c>
      <c r="B1513" s="73"/>
      <c r="C1513" s="51" t="s">
        <v>942</v>
      </c>
      <c r="D1513" s="89"/>
      <c r="E1513" s="89"/>
      <c r="F1513" s="89"/>
      <c r="G1513" s="89"/>
      <c r="H1513" s="89"/>
      <c r="I1513" s="89"/>
      <c r="J1513" s="212">
        <f t="shared" ref="J1513:P1522" si="155">SUMIFS(J$26:J$180,$A$26:$A$180,$A1513,$C$26:$C$180,$C1513)</f>
        <v>0</v>
      </c>
      <c r="K1513" s="212">
        <f t="shared" si="155"/>
        <v>0</v>
      </c>
      <c r="L1513" s="212">
        <f t="shared" si="155"/>
        <v>0</v>
      </c>
      <c r="M1513" s="212">
        <f t="shared" si="155"/>
        <v>0</v>
      </c>
      <c r="N1513" s="212">
        <f t="shared" si="155"/>
        <v>0</v>
      </c>
      <c r="O1513" s="212">
        <f t="shared" si="155"/>
        <v>0</v>
      </c>
      <c r="P1513" s="155">
        <f t="shared" si="155"/>
        <v>0</v>
      </c>
      <c r="Q1513" s="407"/>
      <c r="R1513" s="407"/>
    </row>
    <row r="1514" spans="1:18" ht="12.75" x14ac:dyDescent="0.2">
      <c r="A1514" s="152">
        <v>6245000</v>
      </c>
      <c r="B1514" s="73"/>
      <c r="C1514" s="51" t="s">
        <v>943</v>
      </c>
      <c r="D1514" s="89"/>
      <c r="E1514" s="89"/>
      <c r="F1514" s="89"/>
      <c r="G1514" s="89"/>
      <c r="H1514" s="89"/>
      <c r="I1514" s="89"/>
      <c r="J1514" s="212">
        <f t="shared" si="155"/>
        <v>0</v>
      </c>
      <c r="K1514" s="212">
        <f t="shared" si="155"/>
        <v>0</v>
      </c>
      <c r="L1514" s="212">
        <f t="shared" si="155"/>
        <v>0</v>
      </c>
      <c r="M1514" s="212">
        <f t="shared" si="155"/>
        <v>0</v>
      </c>
      <c r="N1514" s="212">
        <f t="shared" si="155"/>
        <v>0</v>
      </c>
      <c r="O1514" s="212">
        <f t="shared" si="155"/>
        <v>0</v>
      </c>
      <c r="P1514" s="155">
        <f t="shared" si="155"/>
        <v>0</v>
      </c>
      <c r="Q1514" s="407"/>
      <c r="R1514" s="407"/>
    </row>
    <row r="1515" spans="1:18" ht="12.75" x14ac:dyDescent="0.2">
      <c r="A1515" s="152">
        <v>6245000</v>
      </c>
      <c r="B1515" s="73"/>
      <c r="C1515" s="51" t="s">
        <v>938</v>
      </c>
      <c r="D1515" s="89"/>
      <c r="E1515" s="89"/>
      <c r="F1515" s="89"/>
      <c r="G1515" s="89"/>
      <c r="H1515" s="89"/>
      <c r="I1515" s="89"/>
      <c r="J1515" s="212">
        <f t="shared" si="155"/>
        <v>0</v>
      </c>
      <c r="K1515" s="212">
        <f t="shared" si="155"/>
        <v>0</v>
      </c>
      <c r="L1515" s="212">
        <f t="shared" si="155"/>
        <v>0</v>
      </c>
      <c r="M1515" s="212">
        <f t="shared" si="155"/>
        <v>0</v>
      </c>
      <c r="N1515" s="212">
        <f t="shared" si="155"/>
        <v>0</v>
      </c>
      <c r="O1515" s="212">
        <f t="shared" si="155"/>
        <v>0</v>
      </c>
      <c r="P1515" s="155">
        <f t="shared" si="155"/>
        <v>0</v>
      </c>
      <c r="Q1515" s="407"/>
      <c r="R1515" s="407"/>
    </row>
    <row r="1516" spans="1:18" ht="12.75" x14ac:dyDescent="0.2">
      <c r="A1516" s="152">
        <v>6245000</v>
      </c>
      <c r="B1516" s="73"/>
      <c r="C1516" s="51" t="s">
        <v>939</v>
      </c>
      <c r="D1516" s="89"/>
      <c r="E1516" s="89"/>
      <c r="F1516" s="89"/>
      <c r="G1516" s="89"/>
      <c r="H1516" s="89"/>
      <c r="I1516" s="89"/>
      <c r="J1516" s="212">
        <f t="shared" si="155"/>
        <v>0</v>
      </c>
      <c r="K1516" s="212">
        <f t="shared" si="155"/>
        <v>0</v>
      </c>
      <c r="L1516" s="212">
        <f t="shared" si="155"/>
        <v>0</v>
      </c>
      <c r="M1516" s="212">
        <f t="shared" si="155"/>
        <v>0</v>
      </c>
      <c r="N1516" s="212">
        <f t="shared" si="155"/>
        <v>0</v>
      </c>
      <c r="O1516" s="212">
        <f t="shared" si="155"/>
        <v>0</v>
      </c>
      <c r="P1516" s="155">
        <f t="shared" si="155"/>
        <v>0</v>
      </c>
      <c r="Q1516" s="407"/>
      <c r="R1516" s="407"/>
    </row>
    <row r="1517" spans="1:18" ht="12.75" x14ac:dyDescent="0.2">
      <c r="A1517" s="152">
        <v>6245000</v>
      </c>
      <c r="B1517" s="73"/>
      <c r="C1517" s="51" t="s">
        <v>934</v>
      </c>
      <c r="D1517" s="89"/>
      <c r="E1517" s="89"/>
      <c r="F1517" s="89"/>
      <c r="G1517" s="89"/>
      <c r="H1517" s="89"/>
      <c r="I1517" s="89"/>
      <c r="J1517" s="212">
        <f t="shared" si="155"/>
        <v>0</v>
      </c>
      <c r="K1517" s="212">
        <f t="shared" si="155"/>
        <v>0</v>
      </c>
      <c r="L1517" s="212">
        <f t="shared" si="155"/>
        <v>0</v>
      </c>
      <c r="M1517" s="212">
        <f t="shared" si="155"/>
        <v>0</v>
      </c>
      <c r="N1517" s="212">
        <f t="shared" si="155"/>
        <v>0</v>
      </c>
      <c r="O1517" s="212">
        <f t="shared" si="155"/>
        <v>0</v>
      </c>
      <c r="P1517" s="155">
        <f t="shared" si="155"/>
        <v>0</v>
      </c>
      <c r="Q1517" s="407"/>
      <c r="R1517" s="407"/>
    </row>
    <row r="1518" spans="1:18" ht="12.75" x14ac:dyDescent="0.2">
      <c r="A1518" s="152">
        <v>6245000</v>
      </c>
      <c r="B1518" s="73"/>
      <c r="C1518" s="51" t="s">
        <v>935</v>
      </c>
      <c r="D1518" s="89"/>
      <c r="E1518" s="89"/>
      <c r="F1518" s="89"/>
      <c r="G1518" s="89"/>
      <c r="H1518" s="89"/>
      <c r="I1518" s="89"/>
      <c r="J1518" s="212">
        <f t="shared" si="155"/>
        <v>0</v>
      </c>
      <c r="K1518" s="212">
        <f t="shared" si="155"/>
        <v>0</v>
      </c>
      <c r="L1518" s="212">
        <f t="shared" si="155"/>
        <v>0</v>
      </c>
      <c r="M1518" s="212">
        <f t="shared" si="155"/>
        <v>0</v>
      </c>
      <c r="N1518" s="212">
        <f t="shared" si="155"/>
        <v>0</v>
      </c>
      <c r="O1518" s="212">
        <f t="shared" si="155"/>
        <v>0</v>
      </c>
      <c r="P1518" s="155">
        <f t="shared" si="155"/>
        <v>0</v>
      </c>
      <c r="Q1518" s="407"/>
      <c r="R1518" s="407"/>
    </row>
    <row r="1519" spans="1:18" ht="12.75" x14ac:dyDescent="0.2">
      <c r="A1519" s="152">
        <v>6245000</v>
      </c>
      <c r="B1519" s="73"/>
      <c r="C1519" s="51" t="s">
        <v>953</v>
      </c>
      <c r="D1519" s="89"/>
      <c r="E1519" s="89"/>
      <c r="F1519" s="89"/>
      <c r="G1519" s="89"/>
      <c r="H1519" s="89"/>
      <c r="I1519" s="89"/>
      <c r="J1519" s="212">
        <f t="shared" si="155"/>
        <v>0</v>
      </c>
      <c r="K1519" s="212">
        <f t="shared" si="155"/>
        <v>0</v>
      </c>
      <c r="L1519" s="212">
        <f t="shared" si="155"/>
        <v>0</v>
      </c>
      <c r="M1519" s="212">
        <f t="shared" si="155"/>
        <v>0</v>
      </c>
      <c r="N1519" s="212">
        <f t="shared" si="155"/>
        <v>0</v>
      </c>
      <c r="O1519" s="212">
        <f t="shared" si="155"/>
        <v>0</v>
      </c>
      <c r="P1519" s="155">
        <f t="shared" si="155"/>
        <v>0</v>
      </c>
      <c r="Q1519" s="407"/>
      <c r="R1519" s="407"/>
    </row>
    <row r="1520" spans="1:18" ht="12.75" x14ac:dyDescent="0.2">
      <c r="A1520" s="152">
        <v>6245000</v>
      </c>
      <c r="B1520" s="73"/>
      <c r="C1520" s="51" t="s">
        <v>924</v>
      </c>
      <c r="D1520" s="89"/>
      <c r="E1520" s="89"/>
      <c r="F1520" s="89"/>
      <c r="G1520" s="89"/>
      <c r="H1520" s="89"/>
      <c r="I1520" s="89"/>
      <c r="J1520" s="212">
        <f t="shared" si="155"/>
        <v>0</v>
      </c>
      <c r="K1520" s="212">
        <f t="shared" si="155"/>
        <v>0</v>
      </c>
      <c r="L1520" s="212">
        <f t="shared" si="155"/>
        <v>0</v>
      </c>
      <c r="M1520" s="212">
        <f t="shared" si="155"/>
        <v>0</v>
      </c>
      <c r="N1520" s="212">
        <f t="shared" si="155"/>
        <v>0</v>
      </c>
      <c r="O1520" s="212">
        <f t="shared" si="155"/>
        <v>0</v>
      </c>
      <c r="P1520" s="155">
        <f t="shared" si="155"/>
        <v>0</v>
      </c>
      <c r="Q1520" s="407"/>
      <c r="R1520" s="407"/>
    </row>
    <row r="1521" spans="1:18" ht="12.75" x14ac:dyDescent="0.2">
      <c r="A1521" s="152">
        <v>6245000</v>
      </c>
      <c r="B1521" s="73"/>
      <c r="C1521" s="51" t="s">
        <v>927</v>
      </c>
      <c r="D1521" s="89"/>
      <c r="E1521" s="89"/>
      <c r="F1521" s="89"/>
      <c r="G1521" s="89"/>
      <c r="H1521" s="89"/>
      <c r="I1521" s="89"/>
      <c r="J1521" s="212">
        <f t="shared" si="155"/>
        <v>0</v>
      </c>
      <c r="K1521" s="212">
        <f t="shared" si="155"/>
        <v>0</v>
      </c>
      <c r="L1521" s="212">
        <f t="shared" si="155"/>
        <v>0</v>
      </c>
      <c r="M1521" s="212">
        <f t="shared" si="155"/>
        <v>0</v>
      </c>
      <c r="N1521" s="212">
        <f t="shared" si="155"/>
        <v>0</v>
      </c>
      <c r="O1521" s="212">
        <f t="shared" si="155"/>
        <v>0</v>
      </c>
      <c r="P1521" s="155">
        <f t="shared" si="155"/>
        <v>0</v>
      </c>
      <c r="Q1521" s="407"/>
      <c r="R1521" s="407"/>
    </row>
    <row r="1522" spans="1:18" ht="12.75" x14ac:dyDescent="0.2">
      <c r="A1522" s="152">
        <v>6245000</v>
      </c>
      <c r="B1522" s="73"/>
      <c r="C1522" s="51" t="s">
        <v>951</v>
      </c>
      <c r="D1522" s="89"/>
      <c r="E1522" s="89"/>
      <c r="F1522" s="89"/>
      <c r="G1522" s="89"/>
      <c r="H1522" s="89"/>
      <c r="I1522" s="89"/>
      <c r="J1522" s="212">
        <f t="shared" si="155"/>
        <v>0</v>
      </c>
      <c r="K1522" s="212">
        <f t="shared" si="155"/>
        <v>0</v>
      </c>
      <c r="L1522" s="212">
        <f t="shared" si="155"/>
        <v>0</v>
      </c>
      <c r="M1522" s="212">
        <f t="shared" si="155"/>
        <v>0</v>
      </c>
      <c r="N1522" s="212">
        <f t="shared" si="155"/>
        <v>0</v>
      </c>
      <c r="O1522" s="212">
        <f t="shared" si="155"/>
        <v>0</v>
      </c>
      <c r="P1522" s="155">
        <f t="shared" si="155"/>
        <v>0</v>
      </c>
      <c r="Q1522" s="407"/>
      <c r="R1522" s="407"/>
    </row>
    <row r="1523" spans="1:18" ht="12.75" x14ac:dyDescent="0.2">
      <c r="A1523" s="152">
        <v>6245000</v>
      </c>
      <c r="B1523" s="73"/>
      <c r="C1523" s="51" t="s">
        <v>1055</v>
      </c>
      <c r="D1523" s="89"/>
      <c r="E1523" s="89"/>
      <c r="F1523" s="89"/>
      <c r="G1523" s="89"/>
      <c r="H1523" s="89"/>
      <c r="I1523" s="89"/>
      <c r="J1523" s="212">
        <f t="shared" ref="J1523:P1532" si="156">SUMIFS(J$26:J$180,$A$26:$A$180,$A1523,$C$26:$C$180,$C1523)</f>
        <v>0</v>
      </c>
      <c r="K1523" s="212">
        <f t="shared" si="156"/>
        <v>0</v>
      </c>
      <c r="L1523" s="212">
        <f t="shared" si="156"/>
        <v>0</v>
      </c>
      <c r="M1523" s="212">
        <f t="shared" si="156"/>
        <v>0</v>
      </c>
      <c r="N1523" s="212">
        <f t="shared" si="156"/>
        <v>0</v>
      </c>
      <c r="O1523" s="212">
        <f t="shared" si="156"/>
        <v>0</v>
      </c>
      <c r="P1523" s="155">
        <f t="shared" si="156"/>
        <v>0</v>
      </c>
      <c r="Q1523" s="407"/>
      <c r="R1523" s="407"/>
    </row>
    <row r="1524" spans="1:18" ht="12.75" x14ac:dyDescent="0.2">
      <c r="A1524" s="152">
        <v>6245000</v>
      </c>
      <c r="B1524" s="73"/>
      <c r="C1524" s="51" t="s">
        <v>940</v>
      </c>
      <c r="D1524" s="89"/>
      <c r="E1524" s="89"/>
      <c r="F1524" s="89"/>
      <c r="G1524" s="89"/>
      <c r="H1524" s="89"/>
      <c r="I1524" s="89"/>
      <c r="J1524" s="212">
        <f t="shared" si="156"/>
        <v>0</v>
      </c>
      <c r="K1524" s="212">
        <f t="shared" si="156"/>
        <v>0</v>
      </c>
      <c r="L1524" s="212">
        <f t="shared" si="156"/>
        <v>0</v>
      </c>
      <c r="M1524" s="212">
        <f t="shared" si="156"/>
        <v>0</v>
      </c>
      <c r="N1524" s="212">
        <f t="shared" si="156"/>
        <v>0</v>
      </c>
      <c r="O1524" s="212">
        <f t="shared" si="156"/>
        <v>0</v>
      </c>
      <c r="P1524" s="155">
        <f t="shared" si="156"/>
        <v>0</v>
      </c>
      <c r="Q1524" s="407"/>
      <c r="R1524" s="407"/>
    </row>
    <row r="1525" spans="1:18" ht="12.75" x14ac:dyDescent="0.2">
      <c r="A1525" s="152">
        <v>6245000</v>
      </c>
      <c r="B1525" s="73"/>
      <c r="C1525" s="51" t="s">
        <v>941</v>
      </c>
      <c r="D1525" s="89"/>
      <c r="E1525" s="89"/>
      <c r="F1525" s="89"/>
      <c r="G1525" s="89"/>
      <c r="H1525" s="89"/>
      <c r="I1525" s="89"/>
      <c r="J1525" s="212">
        <f t="shared" si="156"/>
        <v>0</v>
      </c>
      <c r="K1525" s="212">
        <f t="shared" si="156"/>
        <v>0</v>
      </c>
      <c r="L1525" s="212">
        <f t="shared" si="156"/>
        <v>0</v>
      </c>
      <c r="M1525" s="212">
        <f t="shared" si="156"/>
        <v>0</v>
      </c>
      <c r="N1525" s="212">
        <f t="shared" si="156"/>
        <v>0</v>
      </c>
      <c r="O1525" s="212">
        <f t="shared" si="156"/>
        <v>0</v>
      </c>
      <c r="P1525" s="155">
        <f t="shared" si="156"/>
        <v>0</v>
      </c>
      <c r="Q1525" s="407"/>
      <c r="R1525" s="407"/>
    </row>
    <row r="1526" spans="1:18" ht="12.75" x14ac:dyDescent="0.2">
      <c r="A1526" s="152">
        <v>6245000</v>
      </c>
      <c r="B1526" s="73"/>
      <c r="C1526" s="51" t="s">
        <v>936</v>
      </c>
      <c r="D1526" s="89"/>
      <c r="E1526" s="89"/>
      <c r="F1526" s="89"/>
      <c r="G1526" s="89"/>
      <c r="H1526" s="89"/>
      <c r="I1526" s="89"/>
      <c r="J1526" s="212">
        <f t="shared" si="156"/>
        <v>0</v>
      </c>
      <c r="K1526" s="212">
        <f t="shared" si="156"/>
        <v>0</v>
      </c>
      <c r="L1526" s="212">
        <f t="shared" si="156"/>
        <v>0</v>
      </c>
      <c r="M1526" s="212">
        <f t="shared" si="156"/>
        <v>0</v>
      </c>
      <c r="N1526" s="212">
        <f t="shared" si="156"/>
        <v>0</v>
      </c>
      <c r="O1526" s="212">
        <f t="shared" si="156"/>
        <v>0</v>
      </c>
      <c r="P1526" s="155">
        <f t="shared" si="156"/>
        <v>0</v>
      </c>
      <c r="Q1526" s="407"/>
      <c r="R1526" s="407"/>
    </row>
    <row r="1527" spans="1:18" ht="12.75" x14ac:dyDescent="0.2">
      <c r="A1527" s="152">
        <v>6245000</v>
      </c>
      <c r="B1527" s="73"/>
      <c r="C1527" s="51" t="s">
        <v>937</v>
      </c>
      <c r="D1527" s="89"/>
      <c r="E1527" s="89"/>
      <c r="F1527" s="89"/>
      <c r="G1527" s="89"/>
      <c r="H1527" s="89"/>
      <c r="I1527" s="89"/>
      <c r="J1527" s="212">
        <f t="shared" si="156"/>
        <v>0</v>
      </c>
      <c r="K1527" s="212">
        <f t="shared" si="156"/>
        <v>0</v>
      </c>
      <c r="L1527" s="212">
        <f t="shared" si="156"/>
        <v>0</v>
      </c>
      <c r="M1527" s="212">
        <f t="shared" si="156"/>
        <v>0</v>
      </c>
      <c r="N1527" s="212">
        <f t="shared" si="156"/>
        <v>0</v>
      </c>
      <c r="O1527" s="212">
        <f t="shared" si="156"/>
        <v>0</v>
      </c>
      <c r="P1527" s="155">
        <f t="shared" si="156"/>
        <v>0</v>
      </c>
      <c r="Q1527" s="407"/>
      <c r="R1527" s="407"/>
    </row>
    <row r="1528" spans="1:18" ht="12.75" x14ac:dyDescent="0.2">
      <c r="A1528" s="152">
        <v>6245000</v>
      </c>
      <c r="B1528" s="73"/>
      <c r="C1528" s="51" t="s">
        <v>932</v>
      </c>
      <c r="D1528" s="89"/>
      <c r="E1528" s="89"/>
      <c r="F1528" s="89"/>
      <c r="G1528" s="89"/>
      <c r="H1528" s="89"/>
      <c r="I1528" s="89"/>
      <c r="J1528" s="212">
        <f t="shared" si="156"/>
        <v>0</v>
      </c>
      <c r="K1528" s="212">
        <f t="shared" si="156"/>
        <v>0</v>
      </c>
      <c r="L1528" s="212">
        <f t="shared" si="156"/>
        <v>0</v>
      </c>
      <c r="M1528" s="212">
        <f t="shared" si="156"/>
        <v>0</v>
      </c>
      <c r="N1528" s="212">
        <f t="shared" si="156"/>
        <v>0</v>
      </c>
      <c r="O1528" s="212">
        <f t="shared" si="156"/>
        <v>0</v>
      </c>
      <c r="P1528" s="155">
        <f t="shared" si="156"/>
        <v>0</v>
      </c>
      <c r="Q1528" s="407"/>
      <c r="R1528" s="407"/>
    </row>
    <row r="1529" spans="1:18" ht="12.75" x14ac:dyDescent="0.2">
      <c r="A1529" s="152">
        <v>6245000</v>
      </c>
      <c r="B1529" s="73"/>
      <c r="C1529" s="51" t="s">
        <v>933</v>
      </c>
      <c r="D1529" s="89"/>
      <c r="E1529" s="89"/>
      <c r="F1529" s="89"/>
      <c r="G1529" s="89"/>
      <c r="H1529" s="89"/>
      <c r="I1529" s="89"/>
      <c r="J1529" s="212">
        <f t="shared" si="156"/>
        <v>0</v>
      </c>
      <c r="K1529" s="212">
        <f t="shared" si="156"/>
        <v>0</v>
      </c>
      <c r="L1529" s="212">
        <f t="shared" si="156"/>
        <v>0</v>
      </c>
      <c r="M1529" s="212">
        <f t="shared" si="156"/>
        <v>0</v>
      </c>
      <c r="N1529" s="212">
        <f t="shared" si="156"/>
        <v>0</v>
      </c>
      <c r="O1529" s="212">
        <f t="shared" si="156"/>
        <v>0</v>
      </c>
      <c r="P1529" s="155">
        <f t="shared" si="156"/>
        <v>0</v>
      </c>
      <c r="Q1529" s="407"/>
      <c r="R1529" s="407"/>
    </row>
    <row r="1530" spans="1:18" ht="12.75" x14ac:dyDescent="0.2">
      <c r="A1530" s="152">
        <v>6245000</v>
      </c>
      <c r="B1530" s="73"/>
      <c r="C1530" s="51" t="s">
        <v>952</v>
      </c>
      <c r="D1530" s="89"/>
      <c r="E1530" s="89"/>
      <c r="F1530" s="89"/>
      <c r="G1530" s="89"/>
      <c r="H1530" s="89"/>
      <c r="I1530" s="89"/>
      <c r="J1530" s="212">
        <f t="shared" si="156"/>
        <v>0</v>
      </c>
      <c r="K1530" s="212">
        <f t="shared" si="156"/>
        <v>0</v>
      </c>
      <c r="L1530" s="212">
        <f t="shared" si="156"/>
        <v>0</v>
      </c>
      <c r="M1530" s="212">
        <f t="shared" si="156"/>
        <v>0</v>
      </c>
      <c r="N1530" s="212">
        <f t="shared" si="156"/>
        <v>0</v>
      </c>
      <c r="O1530" s="212">
        <f t="shared" si="156"/>
        <v>0</v>
      </c>
      <c r="P1530" s="155">
        <f t="shared" si="156"/>
        <v>0</v>
      </c>
      <c r="Q1530" s="407"/>
      <c r="R1530" s="407"/>
    </row>
    <row r="1531" spans="1:18" ht="12.75" x14ac:dyDescent="0.2">
      <c r="A1531" s="152">
        <v>6245000</v>
      </c>
      <c r="B1531" s="73"/>
      <c r="C1531" s="51" t="s">
        <v>923</v>
      </c>
      <c r="D1531" s="89"/>
      <c r="E1531" s="89"/>
      <c r="F1531" s="89"/>
      <c r="G1531" s="89"/>
      <c r="H1531" s="89"/>
      <c r="I1531" s="89"/>
      <c r="J1531" s="212">
        <f t="shared" si="156"/>
        <v>0</v>
      </c>
      <c r="K1531" s="212">
        <f t="shared" si="156"/>
        <v>0</v>
      </c>
      <c r="L1531" s="212">
        <f t="shared" si="156"/>
        <v>0</v>
      </c>
      <c r="M1531" s="212">
        <f t="shared" si="156"/>
        <v>0</v>
      </c>
      <c r="N1531" s="212">
        <f t="shared" si="156"/>
        <v>0</v>
      </c>
      <c r="O1531" s="212">
        <f t="shared" si="156"/>
        <v>0</v>
      </c>
      <c r="P1531" s="155">
        <f t="shared" si="156"/>
        <v>0</v>
      </c>
      <c r="Q1531" s="407"/>
      <c r="R1531" s="407"/>
    </row>
    <row r="1532" spans="1:18" ht="12.75" x14ac:dyDescent="0.2">
      <c r="A1532" s="152">
        <v>6245000</v>
      </c>
      <c r="B1532" s="73"/>
      <c r="C1532" s="51" t="s">
        <v>925</v>
      </c>
      <c r="D1532" s="89"/>
      <c r="E1532" s="89"/>
      <c r="F1532" s="89"/>
      <c r="G1532" s="89"/>
      <c r="H1532" s="89"/>
      <c r="I1532" s="89"/>
      <c r="J1532" s="212">
        <f t="shared" si="156"/>
        <v>0</v>
      </c>
      <c r="K1532" s="212">
        <f t="shared" si="156"/>
        <v>0</v>
      </c>
      <c r="L1532" s="212">
        <f t="shared" si="156"/>
        <v>0</v>
      </c>
      <c r="M1532" s="212">
        <f t="shared" si="156"/>
        <v>0</v>
      </c>
      <c r="N1532" s="212">
        <f t="shared" si="156"/>
        <v>0</v>
      </c>
      <c r="O1532" s="212">
        <f t="shared" si="156"/>
        <v>0</v>
      </c>
      <c r="P1532" s="155">
        <f t="shared" si="156"/>
        <v>0</v>
      </c>
      <c r="Q1532" s="407"/>
      <c r="R1532" s="407"/>
    </row>
    <row r="1533" spans="1:18" ht="12.75" x14ac:dyDescent="0.2">
      <c r="A1533" s="152">
        <v>6245000</v>
      </c>
      <c r="B1533" s="73"/>
      <c r="C1533" s="51" t="s">
        <v>950</v>
      </c>
      <c r="D1533" s="89"/>
      <c r="E1533" s="89"/>
      <c r="F1533" s="89"/>
      <c r="G1533" s="89"/>
      <c r="H1533" s="89"/>
      <c r="I1533" s="89"/>
      <c r="J1533" s="212">
        <f t="shared" ref="J1533:P1542" si="157">SUMIFS(J$26:J$180,$A$26:$A$180,$A1533,$C$26:$C$180,$C1533)</f>
        <v>0</v>
      </c>
      <c r="K1533" s="212">
        <f t="shared" si="157"/>
        <v>0</v>
      </c>
      <c r="L1533" s="212">
        <f t="shared" si="157"/>
        <v>0</v>
      </c>
      <c r="M1533" s="212">
        <f t="shared" si="157"/>
        <v>0</v>
      </c>
      <c r="N1533" s="212">
        <f t="shared" si="157"/>
        <v>0</v>
      </c>
      <c r="O1533" s="212">
        <f t="shared" si="157"/>
        <v>0</v>
      </c>
      <c r="P1533" s="155">
        <f t="shared" si="157"/>
        <v>0</v>
      </c>
      <c r="Q1533" s="407"/>
      <c r="R1533" s="407"/>
    </row>
    <row r="1534" spans="1:18" ht="12.75" x14ac:dyDescent="0.2">
      <c r="A1534" s="152">
        <v>6245000</v>
      </c>
      <c r="B1534" s="73"/>
      <c r="C1534" s="51" t="s">
        <v>1054</v>
      </c>
      <c r="D1534" s="89"/>
      <c r="E1534" s="89"/>
      <c r="F1534" s="89"/>
      <c r="G1534" s="89"/>
      <c r="H1534" s="89"/>
      <c r="I1534" s="89"/>
      <c r="J1534" s="212">
        <f t="shared" si="157"/>
        <v>0</v>
      </c>
      <c r="K1534" s="212">
        <f t="shared" si="157"/>
        <v>0</v>
      </c>
      <c r="L1534" s="212">
        <f t="shared" si="157"/>
        <v>0</v>
      </c>
      <c r="M1534" s="212">
        <f t="shared" si="157"/>
        <v>0</v>
      </c>
      <c r="N1534" s="212">
        <f t="shared" si="157"/>
        <v>0</v>
      </c>
      <c r="O1534" s="212">
        <f t="shared" si="157"/>
        <v>0</v>
      </c>
      <c r="P1534" s="155">
        <f t="shared" si="157"/>
        <v>0</v>
      </c>
      <c r="Q1534" s="407"/>
      <c r="R1534" s="407"/>
    </row>
    <row r="1535" spans="1:18" ht="12.75" x14ac:dyDescent="0.2">
      <c r="A1535" s="152">
        <v>6245000</v>
      </c>
      <c r="B1535" s="73"/>
      <c r="C1535" s="51" t="s">
        <v>921</v>
      </c>
      <c r="D1535" s="89"/>
      <c r="E1535" s="89"/>
      <c r="F1535" s="89"/>
      <c r="G1535" s="89"/>
      <c r="H1535" s="89"/>
      <c r="I1535" s="89"/>
      <c r="J1535" s="212">
        <f t="shared" si="157"/>
        <v>0</v>
      </c>
      <c r="K1535" s="212">
        <f t="shared" si="157"/>
        <v>0</v>
      </c>
      <c r="L1535" s="212">
        <f t="shared" si="157"/>
        <v>0</v>
      </c>
      <c r="M1535" s="212">
        <f t="shared" si="157"/>
        <v>0</v>
      </c>
      <c r="N1535" s="212">
        <f t="shared" si="157"/>
        <v>0</v>
      </c>
      <c r="O1535" s="212">
        <f t="shared" si="157"/>
        <v>0</v>
      </c>
      <c r="P1535" s="155">
        <f t="shared" si="157"/>
        <v>0</v>
      </c>
      <c r="Q1535" s="407"/>
      <c r="R1535" s="407"/>
    </row>
    <row r="1536" spans="1:18" ht="12.75" x14ac:dyDescent="0.2">
      <c r="A1536" s="152">
        <v>6245000</v>
      </c>
      <c r="B1536" s="73"/>
      <c r="C1536" s="51" t="s">
        <v>1022</v>
      </c>
      <c r="D1536" s="89"/>
      <c r="E1536" s="89"/>
      <c r="F1536" s="89"/>
      <c r="G1536" s="89"/>
      <c r="H1536" s="89"/>
      <c r="I1536" s="89"/>
      <c r="J1536" s="212">
        <f t="shared" si="157"/>
        <v>0</v>
      </c>
      <c r="K1536" s="212">
        <f t="shared" si="157"/>
        <v>0</v>
      </c>
      <c r="L1536" s="212">
        <f t="shared" si="157"/>
        <v>0</v>
      </c>
      <c r="M1536" s="212">
        <f t="shared" si="157"/>
        <v>0</v>
      </c>
      <c r="N1536" s="212">
        <f t="shared" si="157"/>
        <v>0</v>
      </c>
      <c r="O1536" s="212">
        <f t="shared" si="157"/>
        <v>0</v>
      </c>
      <c r="P1536" s="155">
        <f t="shared" si="157"/>
        <v>0</v>
      </c>
      <c r="Q1536" s="407"/>
      <c r="R1536" s="407"/>
    </row>
    <row r="1537" spans="1:18" ht="12.75" x14ac:dyDescent="0.2">
      <c r="A1537" s="152">
        <v>6245000</v>
      </c>
      <c r="B1537" s="73"/>
      <c r="C1537" s="51" t="s">
        <v>1023</v>
      </c>
      <c r="D1537" s="89"/>
      <c r="E1537" s="89"/>
      <c r="F1537" s="89"/>
      <c r="G1537" s="89"/>
      <c r="H1537" s="89"/>
      <c r="I1537" s="89"/>
      <c r="J1537" s="212">
        <f t="shared" si="157"/>
        <v>0</v>
      </c>
      <c r="K1537" s="212">
        <f t="shared" si="157"/>
        <v>0</v>
      </c>
      <c r="L1537" s="212">
        <f t="shared" si="157"/>
        <v>0</v>
      </c>
      <c r="M1537" s="212">
        <f t="shared" si="157"/>
        <v>0</v>
      </c>
      <c r="N1537" s="212">
        <f t="shared" si="157"/>
        <v>0</v>
      </c>
      <c r="O1537" s="212">
        <f t="shared" si="157"/>
        <v>0</v>
      </c>
      <c r="P1537" s="155">
        <f t="shared" si="157"/>
        <v>0</v>
      </c>
      <c r="Q1537" s="407"/>
      <c r="R1537" s="407"/>
    </row>
    <row r="1538" spans="1:18" ht="12.75" x14ac:dyDescent="0.2">
      <c r="A1538" s="152">
        <v>6245000</v>
      </c>
      <c r="B1538" s="73"/>
      <c r="C1538" s="51" t="s">
        <v>137</v>
      </c>
      <c r="D1538" s="89"/>
      <c r="E1538" s="89"/>
      <c r="F1538" s="89"/>
      <c r="G1538" s="89"/>
      <c r="H1538" s="89"/>
      <c r="I1538" s="89"/>
      <c r="J1538" s="212">
        <f t="shared" si="157"/>
        <v>0</v>
      </c>
      <c r="K1538" s="212">
        <f t="shared" si="157"/>
        <v>0</v>
      </c>
      <c r="L1538" s="212">
        <f t="shared" si="157"/>
        <v>0</v>
      </c>
      <c r="M1538" s="212">
        <f t="shared" si="157"/>
        <v>0</v>
      </c>
      <c r="N1538" s="212">
        <f t="shared" si="157"/>
        <v>0</v>
      </c>
      <c r="O1538" s="212">
        <f t="shared" si="157"/>
        <v>0</v>
      </c>
      <c r="P1538" s="155">
        <f t="shared" si="157"/>
        <v>0</v>
      </c>
      <c r="Q1538" s="407"/>
      <c r="R1538" s="407"/>
    </row>
    <row r="1539" spans="1:18" ht="12.75" x14ac:dyDescent="0.2">
      <c r="A1539" s="152">
        <v>6245000</v>
      </c>
      <c r="B1539" s="73"/>
      <c r="C1539" s="51" t="s">
        <v>956</v>
      </c>
      <c r="D1539" s="89"/>
      <c r="E1539" s="89"/>
      <c r="F1539" s="89"/>
      <c r="G1539" s="89"/>
      <c r="H1539" s="89"/>
      <c r="I1539" s="89"/>
      <c r="J1539" s="212">
        <f t="shared" si="157"/>
        <v>0</v>
      </c>
      <c r="K1539" s="212">
        <f t="shared" si="157"/>
        <v>0</v>
      </c>
      <c r="L1539" s="212">
        <f t="shared" si="157"/>
        <v>0</v>
      </c>
      <c r="M1539" s="212">
        <f t="shared" si="157"/>
        <v>0</v>
      </c>
      <c r="N1539" s="212">
        <f t="shared" si="157"/>
        <v>0</v>
      </c>
      <c r="O1539" s="212">
        <f t="shared" si="157"/>
        <v>0</v>
      </c>
      <c r="P1539" s="155">
        <f t="shared" si="157"/>
        <v>0</v>
      </c>
      <c r="Q1539" s="407"/>
      <c r="R1539" s="407"/>
    </row>
    <row r="1540" spans="1:18" ht="12.75" x14ac:dyDescent="0.2">
      <c r="A1540" s="152">
        <v>6245000</v>
      </c>
      <c r="B1540" s="73"/>
      <c r="C1540" s="51" t="s">
        <v>1045</v>
      </c>
      <c r="D1540" s="89"/>
      <c r="E1540" s="89"/>
      <c r="F1540" s="89"/>
      <c r="G1540" s="89"/>
      <c r="H1540" s="89"/>
      <c r="I1540" s="89"/>
      <c r="J1540" s="212">
        <f t="shared" si="157"/>
        <v>0</v>
      </c>
      <c r="K1540" s="212">
        <f t="shared" si="157"/>
        <v>0</v>
      </c>
      <c r="L1540" s="212">
        <f t="shared" si="157"/>
        <v>0</v>
      </c>
      <c r="M1540" s="212">
        <f t="shared" si="157"/>
        <v>0</v>
      </c>
      <c r="N1540" s="212">
        <f t="shared" si="157"/>
        <v>0</v>
      </c>
      <c r="O1540" s="212">
        <f t="shared" si="157"/>
        <v>0</v>
      </c>
      <c r="P1540" s="155">
        <f t="shared" si="157"/>
        <v>0</v>
      </c>
      <c r="Q1540" s="407"/>
      <c r="R1540" s="407"/>
    </row>
    <row r="1541" spans="1:18" ht="12.75" x14ac:dyDescent="0.2">
      <c r="A1541" s="152">
        <v>6245000</v>
      </c>
      <c r="B1541" s="73"/>
      <c r="C1541" s="51" t="s">
        <v>1046</v>
      </c>
      <c r="D1541" s="89"/>
      <c r="E1541" s="89"/>
      <c r="F1541" s="89"/>
      <c r="G1541" s="89"/>
      <c r="H1541" s="89"/>
      <c r="I1541" s="89"/>
      <c r="J1541" s="212">
        <f t="shared" si="157"/>
        <v>0</v>
      </c>
      <c r="K1541" s="212">
        <f t="shared" si="157"/>
        <v>0</v>
      </c>
      <c r="L1541" s="212">
        <f t="shared" si="157"/>
        <v>0</v>
      </c>
      <c r="M1541" s="212">
        <f t="shared" si="157"/>
        <v>0</v>
      </c>
      <c r="N1541" s="212">
        <f t="shared" si="157"/>
        <v>0</v>
      </c>
      <c r="O1541" s="212">
        <f t="shared" si="157"/>
        <v>0</v>
      </c>
      <c r="P1541" s="155">
        <f t="shared" si="157"/>
        <v>0</v>
      </c>
      <c r="Q1541" s="407"/>
      <c r="R1541" s="407"/>
    </row>
    <row r="1542" spans="1:18" ht="12.75" x14ac:dyDescent="0.2">
      <c r="A1542" s="152">
        <v>6245000</v>
      </c>
      <c r="B1542" s="73"/>
      <c r="C1542" s="51" t="s">
        <v>1036</v>
      </c>
      <c r="D1542" s="89"/>
      <c r="E1542" s="89"/>
      <c r="F1542" s="89"/>
      <c r="G1542" s="89"/>
      <c r="H1542" s="89"/>
      <c r="I1542" s="89"/>
      <c r="J1542" s="212">
        <f t="shared" si="157"/>
        <v>0</v>
      </c>
      <c r="K1542" s="212">
        <f t="shared" si="157"/>
        <v>0</v>
      </c>
      <c r="L1542" s="212">
        <f t="shared" si="157"/>
        <v>0</v>
      </c>
      <c r="M1542" s="212">
        <f t="shared" si="157"/>
        <v>0</v>
      </c>
      <c r="N1542" s="212">
        <f t="shared" si="157"/>
        <v>0</v>
      </c>
      <c r="O1542" s="212">
        <f t="shared" si="157"/>
        <v>0</v>
      </c>
      <c r="P1542" s="155">
        <f t="shared" si="157"/>
        <v>0</v>
      </c>
      <c r="Q1542" s="407"/>
      <c r="R1542" s="407"/>
    </row>
    <row r="1543" spans="1:18" ht="12.75" x14ac:dyDescent="0.2">
      <c r="A1543" s="152">
        <v>6245000</v>
      </c>
      <c r="B1543" s="73"/>
      <c r="C1543" s="51" t="s">
        <v>1037</v>
      </c>
      <c r="D1543" s="89"/>
      <c r="E1543" s="89"/>
      <c r="F1543" s="89"/>
      <c r="G1543" s="89"/>
      <c r="H1543" s="89"/>
      <c r="I1543" s="89"/>
      <c r="J1543" s="212">
        <f t="shared" ref="J1543:P1552" si="158">SUMIFS(J$26:J$180,$A$26:$A$180,$A1543,$C$26:$C$180,$C1543)</f>
        <v>0</v>
      </c>
      <c r="K1543" s="212">
        <f t="shared" si="158"/>
        <v>0</v>
      </c>
      <c r="L1543" s="212">
        <f t="shared" si="158"/>
        <v>0</v>
      </c>
      <c r="M1543" s="212">
        <f t="shared" si="158"/>
        <v>0</v>
      </c>
      <c r="N1543" s="212">
        <f t="shared" si="158"/>
        <v>0</v>
      </c>
      <c r="O1543" s="212">
        <f t="shared" si="158"/>
        <v>0</v>
      </c>
      <c r="P1543" s="155">
        <f t="shared" si="158"/>
        <v>0</v>
      </c>
      <c r="Q1543" s="407"/>
      <c r="R1543" s="407"/>
    </row>
    <row r="1544" spans="1:18" ht="12.75" x14ac:dyDescent="0.2">
      <c r="A1544" s="152">
        <v>6245000</v>
      </c>
      <c r="B1544" s="73"/>
      <c r="C1544" s="51" t="s">
        <v>990</v>
      </c>
      <c r="D1544" s="89"/>
      <c r="E1544" s="89"/>
      <c r="F1544" s="89"/>
      <c r="G1544" s="89"/>
      <c r="H1544" s="89"/>
      <c r="I1544" s="89"/>
      <c r="J1544" s="212">
        <f t="shared" si="158"/>
        <v>0</v>
      </c>
      <c r="K1544" s="212">
        <f t="shared" si="158"/>
        <v>0</v>
      </c>
      <c r="L1544" s="212">
        <f t="shared" si="158"/>
        <v>0</v>
      </c>
      <c r="M1544" s="212">
        <f t="shared" si="158"/>
        <v>0</v>
      </c>
      <c r="N1544" s="212">
        <f t="shared" si="158"/>
        <v>0</v>
      </c>
      <c r="O1544" s="212">
        <f t="shared" si="158"/>
        <v>0</v>
      </c>
      <c r="P1544" s="155">
        <f t="shared" si="158"/>
        <v>0</v>
      </c>
      <c r="Q1544" s="407"/>
      <c r="R1544" s="407"/>
    </row>
    <row r="1545" spans="1:18" ht="12.75" x14ac:dyDescent="0.2">
      <c r="A1545" s="152">
        <v>6245000</v>
      </c>
      <c r="B1545" s="73"/>
      <c r="C1545" s="51" t="s">
        <v>1040</v>
      </c>
      <c r="D1545" s="89"/>
      <c r="E1545" s="89"/>
      <c r="F1545" s="89"/>
      <c r="G1545" s="89"/>
      <c r="H1545" s="89"/>
      <c r="I1545" s="89"/>
      <c r="J1545" s="212">
        <f t="shared" si="158"/>
        <v>0</v>
      </c>
      <c r="K1545" s="212">
        <f t="shared" si="158"/>
        <v>0</v>
      </c>
      <c r="L1545" s="212">
        <f t="shared" si="158"/>
        <v>0</v>
      </c>
      <c r="M1545" s="212">
        <f t="shared" si="158"/>
        <v>0</v>
      </c>
      <c r="N1545" s="212">
        <f t="shared" si="158"/>
        <v>0</v>
      </c>
      <c r="O1545" s="212">
        <f t="shared" si="158"/>
        <v>0</v>
      </c>
      <c r="P1545" s="155">
        <f t="shared" si="158"/>
        <v>0</v>
      </c>
      <c r="Q1545" s="407"/>
      <c r="R1545" s="407"/>
    </row>
    <row r="1546" spans="1:18" ht="12.75" x14ac:dyDescent="0.2">
      <c r="A1546" s="152">
        <v>6245000</v>
      </c>
      <c r="B1546" s="73"/>
      <c r="C1546" s="51" t="s">
        <v>991</v>
      </c>
      <c r="D1546" s="89"/>
      <c r="E1546" s="89"/>
      <c r="F1546" s="89"/>
      <c r="G1546" s="89"/>
      <c r="H1546" s="89"/>
      <c r="I1546" s="89"/>
      <c r="J1546" s="212">
        <f t="shared" si="158"/>
        <v>0</v>
      </c>
      <c r="K1546" s="212">
        <f t="shared" si="158"/>
        <v>0</v>
      </c>
      <c r="L1546" s="212">
        <f t="shared" si="158"/>
        <v>0</v>
      </c>
      <c r="M1546" s="212">
        <f t="shared" si="158"/>
        <v>0</v>
      </c>
      <c r="N1546" s="212">
        <f t="shared" si="158"/>
        <v>0</v>
      </c>
      <c r="O1546" s="212">
        <f t="shared" si="158"/>
        <v>0</v>
      </c>
      <c r="P1546" s="155">
        <f t="shared" si="158"/>
        <v>0</v>
      </c>
      <c r="Q1546" s="407"/>
      <c r="R1546" s="407"/>
    </row>
    <row r="1547" spans="1:18" ht="12.75" x14ac:dyDescent="0.2">
      <c r="A1547" s="152">
        <v>6245000</v>
      </c>
      <c r="B1547" s="73"/>
      <c r="C1547" s="51" t="s">
        <v>959</v>
      </c>
      <c r="D1547" s="89"/>
      <c r="E1547" s="89"/>
      <c r="F1547" s="89"/>
      <c r="G1547" s="89"/>
      <c r="H1547" s="89"/>
      <c r="I1547" s="89"/>
      <c r="J1547" s="212">
        <f t="shared" si="158"/>
        <v>0</v>
      </c>
      <c r="K1547" s="212">
        <f t="shared" si="158"/>
        <v>0</v>
      </c>
      <c r="L1547" s="212">
        <f t="shared" si="158"/>
        <v>0</v>
      </c>
      <c r="M1547" s="212">
        <f t="shared" si="158"/>
        <v>0</v>
      </c>
      <c r="N1547" s="212">
        <f t="shared" si="158"/>
        <v>0</v>
      </c>
      <c r="O1547" s="212">
        <f t="shared" si="158"/>
        <v>0</v>
      </c>
      <c r="P1547" s="155">
        <f t="shared" si="158"/>
        <v>0</v>
      </c>
      <c r="Q1547" s="407"/>
      <c r="R1547" s="407"/>
    </row>
    <row r="1548" spans="1:18" ht="12.75" x14ac:dyDescent="0.2">
      <c r="A1548" s="152">
        <v>6245000</v>
      </c>
      <c r="B1548" s="73"/>
      <c r="C1548" s="51" t="s">
        <v>964</v>
      </c>
      <c r="D1548" s="89"/>
      <c r="E1548" s="89"/>
      <c r="F1548" s="89"/>
      <c r="G1548" s="89"/>
      <c r="H1548" s="89"/>
      <c r="I1548" s="89"/>
      <c r="J1548" s="212">
        <f t="shared" si="158"/>
        <v>0</v>
      </c>
      <c r="K1548" s="212">
        <f t="shared" si="158"/>
        <v>0</v>
      </c>
      <c r="L1548" s="212">
        <f t="shared" si="158"/>
        <v>0</v>
      </c>
      <c r="M1548" s="212">
        <f t="shared" si="158"/>
        <v>0</v>
      </c>
      <c r="N1548" s="212">
        <f t="shared" si="158"/>
        <v>0</v>
      </c>
      <c r="O1548" s="212">
        <f t="shared" si="158"/>
        <v>0</v>
      </c>
      <c r="P1548" s="155">
        <f t="shared" si="158"/>
        <v>0</v>
      </c>
      <c r="Q1548" s="407"/>
      <c r="R1548" s="407"/>
    </row>
    <row r="1549" spans="1:18" ht="12.75" x14ac:dyDescent="0.2">
      <c r="A1549" s="152">
        <v>6245000</v>
      </c>
      <c r="B1549" s="73"/>
      <c r="C1549" s="51" t="s">
        <v>1003</v>
      </c>
      <c r="D1549" s="89"/>
      <c r="E1549" s="89"/>
      <c r="F1549" s="89"/>
      <c r="G1549" s="89"/>
      <c r="H1549" s="89"/>
      <c r="I1549" s="89"/>
      <c r="J1549" s="212">
        <f t="shared" si="158"/>
        <v>0</v>
      </c>
      <c r="K1549" s="212">
        <f t="shared" si="158"/>
        <v>0</v>
      </c>
      <c r="L1549" s="212">
        <f t="shared" si="158"/>
        <v>0</v>
      </c>
      <c r="M1549" s="212">
        <f t="shared" si="158"/>
        <v>0</v>
      </c>
      <c r="N1549" s="212">
        <f t="shared" si="158"/>
        <v>0</v>
      </c>
      <c r="O1549" s="212">
        <f t="shared" si="158"/>
        <v>0</v>
      </c>
      <c r="P1549" s="155">
        <f t="shared" si="158"/>
        <v>0</v>
      </c>
      <c r="Q1549" s="407"/>
      <c r="R1549" s="407"/>
    </row>
    <row r="1550" spans="1:18" ht="12.75" x14ac:dyDescent="0.2">
      <c r="A1550" s="152">
        <v>6245000</v>
      </c>
      <c r="B1550" s="73"/>
      <c r="C1550" s="51" t="s">
        <v>992</v>
      </c>
      <c r="D1550" s="89"/>
      <c r="E1550" s="89"/>
      <c r="F1550" s="89"/>
      <c r="G1550" s="89"/>
      <c r="H1550" s="89"/>
      <c r="I1550" s="89"/>
      <c r="J1550" s="212">
        <f t="shared" si="158"/>
        <v>0</v>
      </c>
      <c r="K1550" s="212">
        <f t="shared" si="158"/>
        <v>0</v>
      </c>
      <c r="L1550" s="212">
        <f t="shared" si="158"/>
        <v>0</v>
      </c>
      <c r="M1550" s="212">
        <f t="shared" si="158"/>
        <v>0</v>
      </c>
      <c r="N1550" s="212">
        <f t="shared" si="158"/>
        <v>0</v>
      </c>
      <c r="O1550" s="212">
        <f t="shared" si="158"/>
        <v>0</v>
      </c>
      <c r="P1550" s="155">
        <f t="shared" si="158"/>
        <v>0</v>
      </c>
      <c r="Q1550" s="407"/>
      <c r="R1550" s="407"/>
    </row>
    <row r="1551" spans="1:18" ht="12.75" x14ac:dyDescent="0.2">
      <c r="A1551" s="152">
        <v>6245000</v>
      </c>
      <c r="B1551" s="73"/>
      <c r="C1551" s="51" t="s">
        <v>994</v>
      </c>
      <c r="D1551" s="89"/>
      <c r="E1551" s="89"/>
      <c r="F1551" s="89"/>
      <c r="G1551" s="89"/>
      <c r="H1551" s="89"/>
      <c r="I1551" s="89"/>
      <c r="J1551" s="212">
        <f t="shared" si="158"/>
        <v>0</v>
      </c>
      <c r="K1551" s="212">
        <f t="shared" si="158"/>
        <v>0</v>
      </c>
      <c r="L1551" s="212">
        <f t="shared" si="158"/>
        <v>0</v>
      </c>
      <c r="M1551" s="212">
        <f t="shared" si="158"/>
        <v>0</v>
      </c>
      <c r="N1551" s="212">
        <f t="shared" si="158"/>
        <v>0</v>
      </c>
      <c r="O1551" s="212">
        <f t="shared" si="158"/>
        <v>0</v>
      </c>
      <c r="P1551" s="155">
        <f t="shared" si="158"/>
        <v>0</v>
      </c>
      <c r="Q1551" s="407"/>
      <c r="R1551" s="407"/>
    </row>
    <row r="1552" spans="1:18" ht="12.75" x14ac:dyDescent="0.2">
      <c r="A1552" s="152">
        <v>6245000</v>
      </c>
      <c r="B1552" s="73"/>
      <c r="C1552" s="51" t="s">
        <v>993</v>
      </c>
      <c r="D1552" s="89"/>
      <c r="E1552" s="89"/>
      <c r="F1552" s="89"/>
      <c r="G1552" s="89"/>
      <c r="H1552" s="89"/>
      <c r="I1552" s="89"/>
      <c r="J1552" s="212">
        <f t="shared" si="158"/>
        <v>0</v>
      </c>
      <c r="K1552" s="212">
        <f t="shared" si="158"/>
        <v>0</v>
      </c>
      <c r="L1552" s="212">
        <f t="shared" si="158"/>
        <v>0</v>
      </c>
      <c r="M1552" s="212">
        <f t="shared" si="158"/>
        <v>0</v>
      </c>
      <c r="N1552" s="212">
        <f t="shared" si="158"/>
        <v>0</v>
      </c>
      <c r="O1552" s="212">
        <f t="shared" si="158"/>
        <v>0</v>
      </c>
      <c r="P1552" s="155">
        <f t="shared" si="158"/>
        <v>0</v>
      </c>
      <c r="Q1552" s="407"/>
      <c r="R1552" s="407"/>
    </row>
    <row r="1553" spans="1:18" ht="12.75" x14ac:dyDescent="0.2">
      <c r="A1553" s="152">
        <v>6245000</v>
      </c>
      <c r="B1553" s="73"/>
      <c r="C1553" s="51" t="s">
        <v>995</v>
      </c>
      <c r="D1553" s="89"/>
      <c r="E1553" s="89"/>
      <c r="F1553" s="89"/>
      <c r="G1553" s="89"/>
      <c r="H1553" s="89"/>
      <c r="I1553" s="89"/>
      <c r="J1553" s="212">
        <f t="shared" ref="J1553:P1562" si="159">SUMIFS(J$26:J$180,$A$26:$A$180,$A1553,$C$26:$C$180,$C1553)</f>
        <v>0</v>
      </c>
      <c r="K1553" s="212">
        <f t="shared" si="159"/>
        <v>0</v>
      </c>
      <c r="L1553" s="212">
        <f t="shared" si="159"/>
        <v>0</v>
      </c>
      <c r="M1553" s="212">
        <f t="shared" si="159"/>
        <v>0</v>
      </c>
      <c r="N1553" s="212">
        <f t="shared" si="159"/>
        <v>0</v>
      </c>
      <c r="O1553" s="212">
        <f t="shared" si="159"/>
        <v>0</v>
      </c>
      <c r="P1553" s="155">
        <f t="shared" si="159"/>
        <v>0</v>
      </c>
      <c r="Q1553" s="407"/>
      <c r="R1553" s="407"/>
    </row>
    <row r="1554" spans="1:18" ht="12.75" x14ac:dyDescent="0.2">
      <c r="A1554" s="152">
        <v>6245000</v>
      </c>
      <c r="B1554" s="73"/>
      <c r="C1554" s="51" t="s">
        <v>1001</v>
      </c>
      <c r="D1554" s="89"/>
      <c r="E1554" s="89"/>
      <c r="F1554" s="89"/>
      <c r="G1554" s="89"/>
      <c r="H1554" s="89"/>
      <c r="I1554" s="89"/>
      <c r="J1554" s="212">
        <f t="shared" si="159"/>
        <v>0</v>
      </c>
      <c r="K1554" s="212">
        <f t="shared" si="159"/>
        <v>0</v>
      </c>
      <c r="L1554" s="212">
        <f t="shared" si="159"/>
        <v>0</v>
      </c>
      <c r="M1554" s="212">
        <f t="shared" si="159"/>
        <v>0</v>
      </c>
      <c r="N1554" s="212">
        <f t="shared" si="159"/>
        <v>0</v>
      </c>
      <c r="O1554" s="212">
        <f t="shared" si="159"/>
        <v>0</v>
      </c>
      <c r="P1554" s="155">
        <f t="shared" si="159"/>
        <v>0</v>
      </c>
      <c r="Q1554" s="407"/>
      <c r="R1554" s="407"/>
    </row>
    <row r="1555" spans="1:18" ht="12.75" x14ac:dyDescent="0.2">
      <c r="A1555" s="152">
        <v>6245000</v>
      </c>
      <c r="B1555" s="73"/>
      <c r="C1555" s="51" t="s">
        <v>978</v>
      </c>
      <c r="D1555" s="89"/>
      <c r="E1555" s="89"/>
      <c r="F1555" s="89"/>
      <c r="G1555" s="89"/>
      <c r="H1555" s="89"/>
      <c r="I1555" s="89"/>
      <c r="J1555" s="212">
        <f t="shared" si="159"/>
        <v>0</v>
      </c>
      <c r="K1555" s="212">
        <f t="shared" si="159"/>
        <v>0</v>
      </c>
      <c r="L1555" s="212">
        <f t="shared" si="159"/>
        <v>0</v>
      </c>
      <c r="M1555" s="212">
        <f t="shared" si="159"/>
        <v>0</v>
      </c>
      <c r="N1555" s="212">
        <f t="shared" si="159"/>
        <v>0</v>
      </c>
      <c r="O1555" s="212">
        <f t="shared" si="159"/>
        <v>0</v>
      </c>
      <c r="P1555" s="155">
        <f t="shared" si="159"/>
        <v>0</v>
      </c>
      <c r="Q1555" s="407"/>
      <c r="R1555" s="407"/>
    </row>
    <row r="1556" spans="1:18" ht="12.75" x14ac:dyDescent="0.2">
      <c r="A1556" s="152">
        <v>6245000</v>
      </c>
      <c r="B1556" s="73"/>
      <c r="C1556" s="51" t="s">
        <v>494</v>
      </c>
      <c r="D1556" s="89"/>
      <c r="E1556" s="89"/>
      <c r="F1556" s="89"/>
      <c r="G1556" s="89"/>
      <c r="H1556" s="89"/>
      <c r="I1556" s="89"/>
      <c r="J1556" s="212">
        <f t="shared" si="159"/>
        <v>0</v>
      </c>
      <c r="K1556" s="212">
        <f t="shared" si="159"/>
        <v>0</v>
      </c>
      <c r="L1556" s="212">
        <f t="shared" si="159"/>
        <v>0</v>
      </c>
      <c r="M1556" s="212">
        <f t="shared" si="159"/>
        <v>0</v>
      </c>
      <c r="N1556" s="212">
        <f t="shared" si="159"/>
        <v>0</v>
      </c>
      <c r="O1556" s="212">
        <f t="shared" si="159"/>
        <v>0</v>
      </c>
      <c r="P1556" s="155">
        <f t="shared" si="159"/>
        <v>0</v>
      </c>
      <c r="Q1556" s="407"/>
      <c r="R1556" s="407"/>
    </row>
    <row r="1557" spans="1:18" ht="12.75" x14ac:dyDescent="0.2">
      <c r="A1557" s="152">
        <v>6245000</v>
      </c>
      <c r="B1557" s="73"/>
      <c r="C1557" s="51" t="s">
        <v>976</v>
      </c>
      <c r="D1557" s="89"/>
      <c r="E1557" s="89"/>
      <c r="F1557" s="89"/>
      <c r="G1557" s="89"/>
      <c r="H1557" s="89"/>
      <c r="I1557" s="89"/>
      <c r="J1557" s="212">
        <f t="shared" si="159"/>
        <v>0</v>
      </c>
      <c r="K1557" s="212">
        <f t="shared" si="159"/>
        <v>0</v>
      </c>
      <c r="L1557" s="212">
        <f t="shared" si="159"/>
        <v>0</v>
      </c>
      <c r="M1557" s="212">
        <f t="shared" si="159"/>
        <v>0</v>
      </c>
      <c r="N1557" s="212">
        <f t="shared" si="159"/>
        <v>0</v>
      </c>
      <c r="O1557" s="212">
        <f t="shared" si="159"/>
        <v>0</v>
      </c>
      <c r="P1557" s="155">
        <f t="shared" si="159"/>
        <v>0</v>
      </c>
      <c r="Q1557" s="407"/>
      <c r="R1557" s="407"/>
    </row>
    <row r="1558" spans="1:18" ht="12.75" x14ac:dyDescent="0.2">
      <c r="A1558" s="152">
        <v>6245000</v>
      </c>
      <c r="B1558" s="73"/>
      <c r="C1558" s="51" t="s">
        <v>1002</v>
      </c>
      <c r="D1558" s="89"/>
      <c r="E1558" s="89"/>
      <c r="F1558" s="89"/>
      <c r="G1558" s="89"/>
      <c r="H1558" s="89"/>
      <c r="I1558" s="89"/>
      <c r="J1558" s="212">
        <f t="shared" si="159"/>
        <v>0</v>
      </c>
      <c r="K1558" s="212">
        <f t="shared" si="159"/>
        <v>0</v>
      </c>
      <c r="L1558" s="212">
        <f t="shared" si="159"/>
        <v>0</v>
      </c>
      <c r="M1558" s="212">
        <f t="shared" si="159"/>
        <v>0</v>
      </c>
      <c r="N1558" s="212">
        <f t="shared" si="159"/>
        <v>0</v>
      </c>
      <c r="O1558" s="212">
        <f t="shared" si="159"/>
        <v>0</v>
      </c>
      <c r="P1558" s="155">
        <f t="shared" si="159"/>
        <v>0</v>
      </c>
      <c r="Q1558" s="407"/>
      <c r="R1558" s="407"/>
    </row>
    <row r="1559" spans="1:18" ht="12.75" x14ac:dyDescent="0.2">
      <c r="A1559" s="152">
        <v>6245000</v>
      </c>
      <c r="B1559" s="73"/>
      <c r="C1559" s="51" t="s">
        <v>1014</v>
      </c>
      <c r="D1559" s="89"/>
      <c r="E1559" s="89"/>
      <c r="F1559" s="89"/>
      <c r="G1559" s="89"/>
      <c r="H1559" s="89"/>
      <c r="I1559" s="89"/>
      <c r="J1559" s="212">
        <f t="shared" si="159"/>
        <v>0</v>
      </c>
      <c r="K1559" s="212">
        <f t="shared" si="159"/>
        <v>0</v>
      </c>
      <c r="L1559" s="212">
        <f t="shared" si="159"/>
        <v>0</v>
      </c>
      <c r="M1559" s="212">
        <f t="shared" si="159"/>
        <v>0</v>
      </c>
      <c r="N1559" s="212">
        <f t="shared" si="159"/>
        <v>0</v>
      </c>
      <c r="O1559" s="212">
        <f t="shared" si="159"/>
        <v>0</v>
      </c>
      <c r="P1559" s="155">
        <f t="shared" si="159"/>
        <v>0</v>
      </c>
      <c r="Q1559" s="407"/>
      <c r="R1559" s="407"/>
    </row>
    <row r="1560" spans="1:18" ht="12.75" x14ac:dyDescent="0.2">
      <c r="A1560" s="152">
        <v>6245000</v>
      </c>
      <c r="B1560" s="73"/>
      <c r="C1560" s="51" t="s">
        <v>998</v>
      </c>
      <c r="D1560" s="89"/>
      <c r="E1560" s="89"/>
      <c r="F1560" s="89"/>
      <c r="G1560" s="89"/>
      <c r="H1560" s="89"/>
      <c r="I1560" s="89"/>
      <c r="J1560" s="212">
        <f t="shared" si="159"/>
        <v>0</v>
      </c>
      <c r="K1560" s="212">
        <f t="shared" si="159"/>
        <v>0</v>
      </c>
      <c r="L1560" s="212">
        <f t="shared" si="159"/>
        <v>0</v>
      </c>
      <c r="M1560" s="212">
        <f t="shared" si="159"/>
        <v>0</v>
      </c>
      <c r="N1560" s="212">
        <f t="shared" si="159"/>
        <v>0</v>
      </c>
      <c r="O1560" s="212">
        <f t="shared" si="159"/>
        <v>0</v>
      </c>
      <c r="P1560" s="155">
        <f t="shared" si="159"/>
        <v>0</v>
      </c>
      <c r="Q1560" s="407"/>
      <c r="R1560" s="407"/>
    </row>
    <row r="1561" spans="1:18" ht="12.75" x14ac:dyDescent="0.2">
      <c r="A1561" s="152">
        <v>6245000</v>
      </c>
      <c r="B1561" s="73"/>
      <c r="C1561" s="51" t="s">
        <v>996</v>
      </c>
      <c r="D1561" s="89"/>
      <c r="E1561" s="89"/>
      <c r="F1561" s="89"/>
      <c r="G1561" s="89"/>
      <c r="H1561" s="89"/>
      <c r="I1561" s="89"/>
      <c r="J1561" s="212">
        <f t="shared" si="159"/>
        <v>0</v>
      </c>
      <c r="K1561" s="212">
        <f t="shared" si="159"/>
        <v>0</v>
      </c>
      <c r="L1561" s="212">
        <f t="shared" si="159"/>
        <v>0</v>
      </c>
      <c r="M1561" s="212">
        <f t="shared" si="159"/>
        <v>0</v>
      </c>
      <c r="N1561" s="212">
        <f t="shared" si="159"/>
        <v>0</v>
      </c>
      <c r="O1561" s="212">
        <f t="shared" si="159"/>
        <v>0</v>
      </c>
      <c r="P1561" s="155">
        <f t="shared" si="159"/>
        <v>0</v>
      </c>
      <c r="Q1561" s="407"/>
      <c r="R1561" s="407"/>
    </row>
    <row r="1562" spans="1:18" ht="12.75" x14ac:dyDescent="0.2">
      <c r="A1562" s="152">
        <v>6245000</v>
      </c>
      <c r="B1562" s="73"/>
      <c r="C1562" s="51" t="s">
        <v>1043</v>
      </c>
      <c r="D1562" s="89"/>
      <c r="E1562" s="89"/>
      <c r="F1562" s="89"/>
      <c r="G1562" s="89"/>
      <c r="H1562" s="89"/>
      <c r="I1562" s="89"/>
      <c r="J1562" s="212">
        <f t="shared" si="159"/>
        <v>0</v>
      </c>
      <c r="K1562" s="212">
        <f t="shared" si="159"/>
        <v>0</v>
      </c>
      <c r="L1562" s="212">
        <f t="shared" si="159"/>
        <v>0</v>
      </c>
      <c r="M1562" s="212">
        <f t="shared" si="159"/>
        <v>0</v>
      </c>
      <c r="N1562" s="212">
        <f t="shared" si="159"/>
        <v>0</v>
      </c>
      <c r="O1562" s="212">
        <f t="shared" si="159"/>
        <v>0</v>
      </c>
      <c r="P1562" s="155">
        <f t="shared" si="159"/>
        <v>0</v>
      </c>
      <c r="Q1562" s="407"/>
      <c r="R1562" s="407"/>
    </row>
    <row r="1563" spans="1:18" ht="12.75" x14ac:dyDescent="0.2">
      <c r="A1563" s="152">
        <v>6245000</v>
      </c>
      <c r="B1563" s="73"/>
      <c r="C1563" s="51" t="s">
        <v>1044</v>
      </c>
      <c r="D1563" s="89"/>
      <c r="E1563" s="89"/>
      <c r="F1563" s="89"/>
      <c r="G1563" s="89"/>
      <c r="H1563" s="89"/>
      <c r="I1563" s="89"/>
      <c r="J1563" s="212">
        <f t="shared" ref="J1563:P1572" si="160">SUMIFS(J$26:J$180,$A$26:$A$180,$A1563,$C$26:$C$180,$C1563)</f>
        <v>0</v>
      </c>
      <c r="K1563" s="212">
        <f t="shared" si="160"/>
        <v>0</v>
      </c>
      <c r="L1563" s="212">
        <f t="shared" si="160"/>
        <v>0</v>
      </c>
      <c r="M1563" s="212">
        <f t="shared" si="160"/>
        <v>0</v>
      </c>
      <c r="N1563" s="212">
        <f t="shared" si="160"/>
        <v>0</v>
      </c>
      <c r="O1563" s="212">
        <f t="shared" si="160"/>
        <v>0</v>
      </c>
      <c r="P1563" s="155">
        <f t="shared" si="160"/>
        <v>0</v>
      </c>
      <c r="Q1563" s="407"/>
      <c r="R1563" s="407"/>
    </row>
    <row r="1564" spans="1:18" ht="12.75" x14ac:dyDescent="0.2">
      <c r="A1564" s="152">
        <v>6245000</v>
      </c>
      <c r="B1564" s="73"/>
      <c r="C1564" s="51" t="s">
        <v>1039</v>
      </c>
      <c r="D1564" s="89"/>
      <c r="E1564" s="89"/>
      <c r="F1564" s="89"/>
      <c r="G1564" s="89"/>
      <c r="H1564" s="89"/>
      <c r="I1564" s="89"/>
      <c r="J1564" s="212">
        <f t="shared" si="160"/>
        <v>0</v>
      </c>
      <c r="K1564" s="212">
        <f t="shared" si="160"/>
        <v>0</v>
      </c>
      <c r="L1564" s="212">
        <f t="shared" si="160"/>
        <v>0</v>
      </c>
      <c r="M1564" s="212">
        <f t="shared" si="160"/>
        <v>0</v>
      </c>
      <c r="N1564" s="212">
        <f t="shared" si="160"/>
        <v>0</v>
      </c>
      <c r="O1564" s="212">
        <f t="shared" si="160"/>
        <v>0</v>
      </c>
      <c r="P1564" s="155">
        <f t="shared" si="160"/>
        <v>0</v>
      </c>
      <c r="Q1564" s="407"/>
      <c r="R1564" s="407"/>
    </row>
    <row r="1565" spans="1:18" ht="12.75" x14ac:dyDescent="0.2">
      <c r="A1565" s="152">
        <v>6245000</v>
      </c>
      <c r="B1565" s="73"/>
      <c r="C1565" s="51" t="s">
        <v>1028</v>
      </c>
      <c r="D1565" s="89"/>
      <c r="E1565" s="89"/>
      <c r="F1565" s="89"/>
      <c r="G1565" s="89"/>
      <c r="H1565" s="89"/>
      <c r="I1565" s="89"/>
      <c r="J1565" s="212">
        <f t="shared" si="160"/>
        <v>0</v>
      </c>
      <c r="K1565" s="212">
        <f t="shared" si="160"/>
        <v>0</v>
      </c>
      <c r="L1565" s="212">
        <f t="shared" si="160"/>
        <v>0</v>
      </c>
      <c r="M1565" s="212">
        <f t="shared" si="160"/>
        <v>0</v>
      </c>
      <c r="N1565" s="212">
        <f t="shared" si="160"/>
        <v>0</v>
      </c>
      <c r="O1565" s="212">
        <f t="shared" si="160"/>
        <v>0</v>
      </c>
      <c r="P1565" s="155">
        <f t="shared" si="160"/>
        <v>0</v>
      </c>
      <c r="Q1565" s="407"/>
      <c r="R1565" s="407"/>
    </row>
    <row r="1566" spans="1:18" ht="12.75" x14ac:dyDescent="0.2">
      <c r="A1566" s="152">
        <v>6245000</v>
      </c>
      <c r="B1566" s="73"/>
      <c r="C1566" s="51" t="s">
        <v>1029</v>
      </c>
      <c r="D1566" s="89"/>
      <c r="E1566" s="89"/>
      <c r="F1566" s="89"/>
      <c r="G1566" s="89"/>
      <c r="H1566" s="89"/>
      <c r="I1566" s="89"/>
      <c r="J1566" s="212">
        <f t="shared" si="160"/>
        <v>0</v>
      </c>
      <c r="K1566" s="212">
        <f t="shared" si="160"/>
        <v>0</v>
      </c>
      <c r="L1566" s="212">
        <f t="shared" si="160"/>
        <v>0</v>
      </c>
      <c r="M1566" s="212">
        <f t="shared" si="160"/>
        <v>0</v>
      </c>
      <c r="N1566" s="212">
        <f t="shared" si="160"/>
        <v>0</v>
      </c>
      <c r="O1566" s="212">
        <f t="shared" si="160"/>
        <v>0</v>
      </c>
      <c r="P1566" s="155">
        <f t="shared" si="160"/>
        <v>0</v>
      </c>
      <c r="Q1566" s="407"/>
      <c r="R1566" s="407"/>
    </row>
    <row r="1567" spans="1:18" ht="12.75" x14ac:dyDescent="0.2">
      <c r="A1567" s="152">
        <v>6245000</v>
      </c>
      <c r="B1567" s="73"/>
      <c r="C1567" s="51" t="s">
        <v>113</v>
      </c>
      <c r="D1567" s="89"/>
      <c r="E1567" s="89"/>
      <c r="F1567" s="89"/>
      <c r="G1567" s="89"/>
      <c r="H1567" s="89"/>
      <c r="I1567" s="89"/>
      <c r="J1567" s="212">
        <f t="shared" si="160"/>
        <v>0</v>
      </c>
      <c r="K1567" s="212">
        <f t="shared" si="160"/>
        <v>0</v>
      </c>
      <c r="L1567" s="212">
        <f t="shared" si="160"/>
        <v>0</v>
      </c>
      <c r="M1567" s="212">
        <f t="shared" si="160"/>
        <v>0</v>
      </c>
      <c r="N1567" s="212">
        <f t="shared" si="160"/>
        <v>0</v>
      </c>
      <c r="O1567" s="212">
        <f t="shared" si="160"/>
        <v>0</v>
      </c>
      <c r="P1567" s="155">
        <f t="shared" si="160"/>
        <v>0</v>
      </c>
      <c r="Q1567" s="407"/>
      <c r="R1567" s="407"/>
    </row>
    <row r="1568" spans="1:18" ht="12.75" x14ac:dyDescent="0.2">
      <c r="A1568" s="152">
        <v>6245000</v>
      </c>
      <c r="B1568" s="73"/>
      <c r="C1568" s="51" t="s">
        <v>1038</v>
      </c>
      <c r="D1568" s="89"/>
      <c r="E1568" s="89"/>
      <c r="F1568" s="89"/>
      <c r="G1568" s="89"/>
      <c r="H1568" s="89"/>
      <c r="I1568" s="89"/>
      <c r="J1568" s="212">
        <f t="shared" si="160"/>
        <v>0</v>
      </c>
      <c r="K1568" s="212">
        <f t="shared" si="160"/>
        <v>0</v>
      </c>
      <c r="L1568" s="212">
        <f t="shared" si="160"/>
        <v>0</v>
      </c>
      <c r="M1568" s="212">
        <f t="shared" si="160"/>
        <v>0</v>
      </c>
      <c r="N1568" s="212">
        <f t="shared" si="160"/>
        <v>0</v>
      </c>
      <c r="O1568" s="212">
        <f t="shared" si="160"/>
        <v>0</v>
      </c>
      <c r="P1568" s="155">
        <f t="shared" si="160"/>
        <v>0</v>
      </c>
      <c r="Q1568" s="407"/>
      <c r="R1568" s="407"/>
    </row>
    <row r="1569" spans="1:18" ht="12.75" x14ac:dyDescent="0.2">
      <c r="A1569" s="152">
        <v>6245000</v>
      </c>
      <c r="B1569" s="73"/>
      <c r="C1569" s="51" t="s">
        <v>1033</v>
      </c>
      <c r="D1569" s="89"/>
      <c r="E1569" s="89"/>
      <c r="F1569" s="89"/>
      <c r="G1569" s="89"/>
      <c r="H1569" s="89"/>
      <c r="I1569" s="89"/>
      <c r="J1569" s="212">
        <f t="shared" si="160"/>
        <v>0</v>
      </c>
      <c r="K1569" s="212">
        <f t="shared" si="160"/>
        <v>0</v>
      </c>
      <c r="L1569" s="212">
        <f t="shared" si="160"/>
        <v>0</v>
      </c>
      <c r="M1569" s="212">
        <f t="shared" si="160"/>
        <v>0</v>
      </c>
      <c r="N1569" s="212">
        <f t="shared" si="160"/>
        <v>0</v>
      </c>
      <c r="O1569" s="212">
        <f t="shared" si="160"/>
        <v>0</v>
      </c>
      <c r="P1569" s="155">
        <f t="shared" si="160"/>
        <v>0</v>
      </c>
      <c r="Q1569" s="407"/>
      <c r="R1569" s="407"/>
    </row>
    <row r="1570" spans="1:18" ht="12.75" x14ac:dyDescent="0.2">
      <c r="A1570" s="152">
        <v>6245000</v>
      </c>
      <c r="B1570" s="73"/>
      <c r="C1570" s="51" t="s">
        <v>1007</v>
      </c>
      <c r="D1570" s="89"/>
      <c r="E1570" s="89"/>
      <c r="F1570" s="89"/>
      <c r="G1570" s="89"/>
      <c r="H1570" s="89"/>
      <c r="I1570" s="89"/>
      <c r="J1570" s="212">
        <f t="shared" si="160"/>
        <v>0</v>
      </c>
      <c r="K1570" s="212">
        <f t="shared" si="160"/>
        <v>0</v>
      </c>
      <c r="L1570" s="212">
        <f t="shared" si="160"/>
        <v>0</v>
      </c>
      <c r="M1570" s="212">
        <f t="shared" si="160"/>
        <v>0</v>
      </c>
      <c r="N1570" s="212">
        <f t="shared" si="160"/>
        <v>0</v>
      </c>
      <c r="O1570" s="212">
        <f t="shared" si="160"/>
        <v>0</v>
      </c>
      <c r="P1570" s="155">
        <f t="shared" si="160"/>
        <v>0</v>
      </c>
      <c r="Q1570" s="407"/>
      <c r="R1570" s="407"/>
    </row>
    <row r="1571" spans="1:18" ht="12.75" x14ac:dyDescent="0.2">
      <c r="A1571" s="152">
        <v>6245000</v>
      </c>
      <c r="B1571" s="73"/>
      <c r="C1571" s="51" t="s">
        <v>969</v>
      </c>
      <c r="D1571" s="89"/>
      <c r="E1571" s="89"/>
      <c r="F1571" s="89"/>
      <c r="G1571" s="89"/>
      <c r="H1571" s="89"/>
      <c r="I1571" s="89"/>
      <c r="J1571" s="212">
        <f t="shared" si="160"/>
        <v>0</v>
      </c>
      <c r="K1571" s="212">
        <f t="shared" si="160"/>
        <v>0</v>
      </c>
      <c r="L1571" s="212">
        <f t="shared" si="160"/>
        <v>0</v>
      </c>
      <c r="M1571" s="212">
        <f t="shared" si="160"/>
        <v>0</v>
      </c>
      <c r="N1571" s="212">
        <f t="shared" si="160"/>
        <v>0</v>
      </c>
      <c r="O1571" s="212">
        <f t="shared" si="160"/>
        <v>0</v>
      </c>
      <c r="P1571" s="155">
        <f t="shared" si="160"/>
        <v>0</v>
      </c>
      <c r="Q1571" s="407"/>
      <c r="R1571" s="407"/>
    </row>
    <row r="1572" spans="1:18" ht="12.75" x14ac:dyDescent="0.2">
      <c r="A1572" s="152">
        <v>6245000</v>
      </c>
      <c r="B1572" s="73"/>
      <c r="C1572" s="51" t="s">
        <v>987</v>
      </c>
      <c r="D1572" s="89"/>
      <c r="E1572" s="89"/>
      <c r="F1572" s="89"/>
      <c r="G1572" s="89"/>
      <c r="H1572" s="89"/>
      <c r="I1572" s="89"/>
      <c r="J1572" s="212">
        <f t="shared" si="160"/>
        <v>0</v>
      </c>
      <c r="K1572" s="212">
        <f t="shared" si="160"/>
        <v>0</v>
      </c>
      <c r="L1572" s="212">
        <f t="shared" si="160"/>
        <v>0</v>
      </c>
      <c r="M1572" s="212">
        <f t="shared" si="160"/>
        <v>0</v>
      </c>
      <c r="N1572" s="212">
        <f t="shared" si="160"/>
        <v>0</v>
      </c>
      <c r="O1572" s="212">
        <f t="shared" si="160"/>
        <v>0</v>
      </c>
      <c r="P1572" s="155">
        <f t="shared" si="160"/>
        <v>0</v>
      </c>
      <c r="Q1572" s="407"/>
      <c r="R1572" s="407"/>
    </row>
    <row r="1573" spans="1:18" ht="12.75" x14ac:dyDescent="0.2">
      <c r="A1573" s="152">
        <v>6245000</v>
      </c>
      <c r="B1573" s="73"/>
      <c r="C1573" s="51" t="s">
        <v>1000</v>
      </c>
      <c r="D1573" s="89"/>
      <c r="E1573" s="89"/>
      <c r="F1573" s="89"/>
      <c r="G1573" s="89"/>
      <c r="H1573" s="89"/>
      <c r="I1573" s="89"/>
      <c r="J1573" s="212">
        <f t="shared" ref="J1573:P1582" si="161">SUMIFS(J$26:J$180,$A$26:$A$180,$A1573,$C$26:$C$180,$C1573)</f>
        <v>0</v>
      </c>
      <c r="K1573" s="212">
        <f t="shared" si="161"/>
        <v>0</v>
      </c>
      <c r="L1573" s="212">
        <f t="shared" si="161"/>
        <v>0</v>
      </c>
      <c r="M1573" s="212">
        <f t="shared" si="161"/>
        <v>0</v>
      </c>
      <c r="N1573" s="212">
        <f t="shared" si="161"/>
        <v>0</v>
      </c>
      <c r="O1573" s="212">
        <f t="shared" si="161"/>
        <v>0</v>
      </c>
      <c r="P1573" s="155">
        <f t="shared" si="161"/>
        <v>0</v>
      </c>
      <c r="Q1573" s="407"/>
      <c r="R1573" s="407"/>
    </row>
    <row r="1574" spans="1:18" ht="12.75" x14ac:dyDescent="0.2">
      <c r="A1574" s="152">
        <v>6245000</v>
      </c>
      <c r="B1574" s="73"/>
      <c r="C1574" s="51" t="s">
        <v>116</v>
      </c>
      <c r="D1574" s="89"/>
      <c r="E1574" s="89"/>
      <c r="F1574" s="89"/>
      <c r="G1574" s="89"/>
      <c r="H1574" s="89"/>
      <c r="I1574" s="89"/>
      <c r="J1574" s="212">
        <f t="shared" si="161"/>
        <v>0</v>
      </c>
      <c r="K1574" s="212">
        <f t="shared" si="161"/>
        <v>0</v>
      </c>
      <c r="L1574" s="212">
        <f t="shared" si="161"/>
        <v>0</v>
      </c>
      <c r="M1574" s="212">
        <f t="shared" si="161"/>
        <v>0</v>
      </c>
      <c r="N1574" s="212">
        <f t="shared" si="161"/>
        <v>0</v>
      </c>
      <c r="O1574" s="212">
        <f t="shared" si="161"/>
        <v>0</v>
      </c>
      <c r="P1574" s="155">
        <f t="shared" si="161"/>
        <v>0</v>
      </c>
      <c r="Q1574" s="407"/>
      <c r="R1574" s="407"/>
    </row>
    <row r="1575" spans="1:18" ht="12.75" x14ac:dyDescent="0.2">
      <c r="A1575" s="152">
        <v>6245000</v>
      </c>
      <c r="B1575" s="73"/>
      <c r="C1575" s="51" t="s">
        <v>114</v>
      </c>
      <c r="D1575" s="89"/>
      <c r="E1575" s="89"/>
      <c r="F1575" s="89"/>
      <c r="G1575" s="89"/>
      <c r="H1575" s="89"/>
      <c r="I1575" s="89"/>
      <c r="J1575" s="212">
        <f t="shared" si="161"/>
        <v>0</v>
      </c>
      <c r="K1575" s="212">
        <f t="shared" si="161"/>
        <v>0</v>
      </c>
      <c r="L1575" s="212">
        <f t="shared" si="161"/>
        <v>0</v>
      </c>
      <c r="M1575" s="212">
        <f t="shared" si="161"/>
        <v>0</v>
      </c>
      <c r="N1575" s="212">
        <f t="shared" si="161"/>
        <v>0</v>
      </c>
      <c r="O1575" s="212">
        <f t="shared" si="161"/>
        <v>0</v>
      </c>
      <c r="P1575" s="155">
        <f t="shared" si="161"/>
        <v>0</v>
      </c>
      <c r="Q1575" s="407"/>
      <c r="R1575" s="407"/>
    </row>
    <row r="1576" spans="1:18" ht="12.75" x14ac:dyDescent="0.2">
      <c r="A1576" s="152">
        <v>6245000</v>
      </c>
      <c r="B1576" s="73"/>
      <c r="C1576" s="51" t="s">
        <v>111</v>
      </c>
      <c r="D1576" s="89"/>
      <c r="E1576" s="89"/>
      <c r="F1576" s="89"/>
      <c r="G1576" s="89"/>
      <c r="H1576" s="89"/>
      <c r="I1576" s="89"/>
      <c r="J1576" s="212">
        <f t="shared" si="161"/>
        <v>0</v>
      </c>
      <c r="K1576" s="212">
        <f t="shared" si="161"/>
        <v>0</v>
      </c>
      <c r="L1576" s="212">
        <f t="shared" si="161"/>
        <v>0</v>
      </c>
      <c r="M1576" s="212">
        <f t="shared" si="161"/>
        <v>0</v>
      </c>
      <c r="N1576" s="212">
        <f t="shared" si="161"/>
        <v>0</v>
      </c>
      <c r="O1576" s="212">
        <f t="shared" si="161"/>
        <v>0</v>
      </c>
      <c r="P1576" s="155">
        <f t="shared" si="161"/>
        <v>0</v>
      </c>
      <c r="Q1576" s="407"/>
      <c r="R1576" s="407"/>
    </row>
    <row r="1577" spans="1:18" ht="12.75" x14ac:dyDescent="0.2">
      <c r="A1577" s="152">
        <v>6245000</v>
      </c>
      <c r="B1577" s="73"/>
      <c r="C1577" s="51" t="s">
        <v>117</v>
      </c>
      <c r="D1577" s="89"/>
      <c r="E1577" s="89"/>
      <c r="F1577" s="89"/>
      <c r="G1577" s="89"/>
      <c r="H1577" s="89"/>
      <c r="I1577" s="89"/>
      <c r="J1577" s="212">
        <f t="shared" si="161"/>
        <v>0</v>
      </c>
      <c r="K1577" s="212">
        <f t="shared" si="161"/>
        <v>0</v>
      </c>
      <c r="L1577" s="212">
        <f t="shared" si="161"/>
        <v>0</v>
      </c>
      <c r="M1577" s="212">
        <f t="shared" si="161"/>
        <v>0</v>
      </c>
      <c r="N1577" s="212">
        <f t="shared" si="161"/>
        <v>0</v>
      </c>
      <c r="O1577" s="212">
        <f t="shared" si="161"/>
        <v>0</v>
      </c>
      <c r="P1577" s="155">
        <f t="shared" si="161"/>
        <v>0</v>
      </c>
      <c r="Q1577" s="407"/>
      <c r="R1577" s="407"/>
    </row>
    <row r="1578" spans="1:18" ht="12.75" x14ac:dyDescent="0.2">
      <c r="A1578" s="152">
        <v>6245000</v>
      </c>
      <c r="B1578" s="73"/>
      <c r="C1578" s="51" t="s">
        <v>112</v>
      </c>
      <c r="D1578" s="89"/>
      <c r="E1578" s="89"/>
      <c r="F1578" s="89"/>
      <c r="G1578" s="89"/>
      <c r="H1578" s="89"/>
      <c r="I1578" s="89"/>
      <c r="J1578" s="212">
        <f t="shared" si="161"/>
        <v>0</v>
      </c>
      <c r="K1578" s="212">
        <f t="shared" si="161"/>
        <v>0</v>
      </c>
      <c r="L1578" s="212">
        <f t="shared" si="161"/>
        <v>0</v>
      </c>
      <c r="M1578" s="212">
        <f t="shared" si="161"/>
        <v>0</v>
      </c>
      <c r="N1578" s="212">
        <f t="shared" si="161"/>
        <v>0</v>
      </c>
      <c r="O1578" s="212">
        <f t="shared" si="161"/>
        <v>0</v>
      </c>
      <c r="P1578" s="155">
        <f t="shared" si="161"/>
        <v>0</v>
      </c>
      <c r="Q1578" s="407"/>
      <c r="R1578" s="407"/>
    </row>
    <row r="1579" spans="1:18" ht="12.75" x14ac:dyDescent="0.2">
      <c r="A1579" s="152">
        <v>6245000</v>
      </c>
      <c r="B1579" s="73"/>
      <c r="C1579" s="51" t="s">
        <v>136</v>
      </c>
      <c r="D1579" s="89"/>
      <c r="E1579" s="89"/>
      <c r="F1579" s="89"/>
      <c r="G1579" s="89"/>
      <c r="H1579" s="89"/>
      <c r="I1579" s="89"/>
      <c r="J1579" s="212">
        <f t="shared" si="161"/>
        <v>0</v>
      </c>
      <c r="K1579" s="212">
        <f t="shared" si="161"/>
        <v>0</v>
      </c>
      <c r="L1579" s="212">
        <f t="shared" si="161"/>
        <v>0</v>
      </c>
      <c r="M1579" s="212">
        <f t="shared" si="161"/>
        <v>0</v>
      </c>
      <c r="N1579" s="212">
        <f t="shared" si="161"/>
        <v>0</v>
      </c>
      <c r="O1579" s="212">
        <f t="shared" si="161"/>
        <v>0</v>
      </c>
      <c r="P1579" s="155">
        <f t="shared" si="161"/>
        <v>0</v>
      </c>
      <c r="Q1579" s="407"/>
      <c r="R1579" s="407"/>
    </row>
    <row r="1580" spans="1:18" ht="12.75" x14ac:dyDescent="0.2">
      <c r="A1580" s="152">
        <v>6245000</v>
      </c>
      <c r="B1580" s="73"/>
      <c r="C1580" s="51" t="s">
        <v>962</v>
      </c>
      <c r="D1580" s="89"/>
      <c r="E1580" s="89"/>
      <c r="F1580" s="89"/>
      <c r="G1580" s="89"/>
      <c r="H1580" s="89"/>
      <c r="I1580" s="89"/>
      <c r="J1580" s="212">
        <f t="shared" si="161"/>
        <v>0</v>
      </c>
      <c r="K1580" s="212">
        <f t="shared" si="161"/>
        <v>0</v>
      </c>
      <c r="L1580" s="212">
        <f t="shared" si="161"/>
        <v>0</v>
      </c>
      <c r="M1580" s="212">
        <f t="shared" si="161"/>
        <v>0</v>
      </c>
      <c r="N1580" s="212">
        <f t="shared" si="161"/>
        <v>0</v>
      </c>
      <c r="O1580" s="212">
        <f t="shared" si="161"/>
        <v>0</v>
      </c>
      <c r="P1580" s="155">
        <f t="shared" si="161"/>
        <v>0</v>
      </c>
      <c r="Q1580" s="407"/>
      <c r="R1580" s="407"/>
    </row>
    <row r="1581" spans="1:18" ht="12.75" x14ac:dyDescent="0.2">
      <c r="A1581" s="152">
        <v>6245000</v>
      </c>
      <c r="B1581" s="73"/>
      <c r="C1581" s="51" t="s">
        <v>115</v>
      </c>
      <c r="D1581" s="89"/>
      <c r="E1581" s="89"/>
      <c r="F1581" s="89"/>
      <c r="G1581" s="89"/>
      <c r="H1581" s="89"/>
      <c r="I1581" s="89"/>
      <c r="J1581" s="212">
        <f t="shared" si="161"/>
        <v>0</v>
      </c>
      <c r="K1581" s="212">
        <f t="shared" si="161"/>
        <v>0</v>
      </c>
      <c r="L1581" s="212">
        <f t="shared" si="161"/>
        <v>0</v>
      </c>
      <c r="M1581" s="212">
        <f t="shared" si="161"/>
        <v>0</v>
      </c>
      <c r="N1581" s="212">
        <f t="shared" si="161"/>
        <v>0</v>
      </c>
      <c r="O1581" s="212">
        <f t="shared" si="161"/>
        <v>0</v>
      </c>
      <c r="P1581" s="155">
        <f t="shared" si="161"/>
        <v>0</v>
      </c>
      <c r="Q1581" s="407"/>
      <c r="R1581" s="407"/>
    </row>
    <row r="1582" spans="1:18" ht="12.75" x14ac:dyDescent="0.2">
      <c r="A1582" s="152">
        <v>6245000</v>
      </c>
      <c r="B1582" s="73"/>
      <c r="C1582" s="51" t="s">
        <v>997</v>
      </c>
      <c r="D1582" s="89"/>
      <c r="E1582" s="89"/>
      <c r="F1582" s="89"/>
      <c r="G1582" s="89"/>
      <c r="H1582" s="89"/>
      <c r="I1582" s="89"/>
      <c r="J1582" s="212">
        <f t="shared" si="161"/>
        <v>0</v>
      </c>
      <c r="K1582" s="212">
        <f t="shared" si="161"/>
        <v>0</v>
      </c>
      <c r="L1582" s="212">
        <f t="shared" si="161"/>
        <v>0</v>
      </c>
      <c r="M1582" s="212">
        <f t="shared" si="161"/>
        <v>0</v>
      </c>
      <c r="N1582" s="212">
        <f t="shared" si="161"/>
        <v>0</v>
      </c>
      <c r="O1582" s="212">
        <f t="shared" si="161"/>
        <v>0</v>
      </c>
      <c r="P1582" s="155">
        <f t="shared" si="161"/>
        <v>0</v>
      </c>
      <c r="Q1582" s="407"/>
      <c r="R1582" s="407"/>
    </row>
    <row r="1583" spans="1:18" ht="12.75" x14ac:dyDescent="0.2">
      <c r="A1583" s="152">
        <v>6245000</v>
      </c>
      <c r="B1583" s="73"/>
      <c r="C1583" s="51" t="s">
        <v>999</v>
      </c>
      <c r="D1583" s="89"/>
      <c r="E1583" s="89"/>
      <c r="F1583" s="89"/>
      <c r="G1583" s="89"/>
      <c r="H1583" s="89"/>
      <c r="I1583" s="89"/>
      <c r="J1583" s="212">
        <f t="shared" ref="J1583:P1592" si="162">SUMIFS(J$26:J$180,$A$26:$A$180,$A1583,$C$26:$C$180,$C1583)</f>
        <v>0</v>
      </c>
      <c r="K1583" s="212">
        <f t="shared" si="162"/>
        <v>0</v>
      </c>
      <c r="L1583" s="212">
        <f t="shared" si="162"/>
        <v>0</v>
      </c>
      <c r="M1583" s="212">
        <f t="shared" si="162"/>
        <v>0</v>
      </c>
      <c r="N1583" s="212">
        <f t="shared" si="162"/>
        <v>0</v>
      </c>
      <c r="O1583" s="212">
        <f t="shared" si="162"/>
        <v>0</v>
      </c>
      <c r="P1583" s="155">
        <f t="shared" si="162"/>
        <v>0</v>
      </c>
      <c r="Q1583" s="407"/>
      <c r="R1583" s="407"/>
    </row>
    <row r="1584" spans="1:18" ht="12.75" x14ac:dyDescent="0.2">
      <c r="A1584" s="152">
        <v>6245000</v>
      </c>
      <c r="B1584" s="73"/>
      <c r="C1584" s="51" t="s">
        <v>1049</v>
      </c>
      <c r="D1584" s="89"/>
      <c r="E1584" s="89"/>
      <c r="F1584" s="89"/>
      <c r="G1584" s="89"/>
      <c r="H1584" s="89"/>
      <c r="I1584" s="89"/>
      <c r="J1584" s="212">
        <f t="shared" si="162"/>
        <v>0</v>
      </c>
      <c r="K1584" s="212">
        <f t="shared" si="162"/>
        <v>0</v>
      </c>
      <c r="L1584" s="212">
        <f t="shared" si="162"/>
        <v>0</v>
      </c>
      <c r="M1584" s="212">
        <f t="shared" si="162"/>
        <v>0</v>
      </c>
      <c r="N1584" s="212">
        <f t="shared" si="162"/>
        <v>0</v>
      </c>
      <c r="O1584" s="212">
        <f t="shared" si="162"/>
        <v>0</v>
      </c>
      <c r="P1584" s="155">
        <f t="shared" si="162"/>
        <v>0</v>
      </c>
      <c r="Q1584" s="407"/>
      <c r="R1584" s="407"/>
    </row>
    <row r="1585" spans="1:18" ht="12.75" x14ac:dyDescent="0.2">
      <c r="A1585" s="152">
        <v>6245000</v>
      </c>
      <c r="B1585" s="73"/>
      <c r="C1585" s="51" t="s">
        <v>96</v>
      </c>
      <c r="D1585" s="89"/>
      <c r="E1585" s="89"/>
      <c r="F1585" s="89"/>
      <c r="G1585" s="89"/>
      <c r="H1585" s="89"/>
      <c r="I1585" s="89"/>
      <c r="J1585" s="212">
        <f t="shared" si="162"/>
        <v>0</v>
      </c>
      <c r="K1585" s="212">
        <f t="shared" si="162"/>
        <v>0</v>
      </c>
      <c r="L1585" s="212">
        <f t="shared" si="162"/>
        <v>0</v>
      </c>
      <c r="M1585" s="212">
        <f t="shared" si="162"/>
        <v>0</v>
      </c>
      <c r="N1585" s="212">
        <f t="shared" si="162"/>
        <v>0</v>
      </c>
      <c r="O1585" s="212">
        <f t="shared" si="162"/>
        <v>0</v>
      </c>
      <c r="P1585" s="155">
        <f t="shared" si="162"/>
        <v>0</v>
      </c>
      <c r="Q1585" s="407"/>
      <c r="R1585" s="407"/>
    </row>
    <row r="1586" spans="1:18" ht="12.75" x14ac:dyDescent="0.2">
      <c r="A1586" s="152">
        <v>6245000</v>
      </c>
      <c r="B1586" s="73"/>
      <c r="C1586" s="51" t="s">
        <v>983</v>
      </c>
      <c r="D1586" s="89"/>
      <c r="E1586" s="89"/>
      <c r="F1586" s="89"/>
      <c r="G1586" s="89"/>
      <c r="H1586" s="89"/>
      <c r="I1586" s="89"/>
      <c r="J1586" s="212">
        <f t="shared" si="162"/>
        <v>0</v>
      </c>
      <c r="K1586" s="212">
        <f t="shared" si="162"/>
        <v>0</v>
      </c>
      <c r="L1586" s="212">
        <f t="shared" si="162"/>
        <v>0</v>
      </c>
      <c r="M1586" s="212">
        <f t="shared" si="162"/>
        <v>0</v>
      </c>
      <c r="N1586" s="212">
        <f t="shared" si="162"/>
        <v>0</v>
      </c>
      <c r="O1586" s="212">
        <f t="shared" si="162"/>
        <v>0</v>
      </c>
      <c r="P1586" s="155">
        <f t="shared" si="162"/>
        <v>0</v>
      </c>
      <c r="Q1586" s="407"/>
      <c r="R1586" s="407"/>
    </row>
    <row r="1587" spans="1:18" ht="12.75" x14ac:dyDescent="0.2">
      <c r="A1587" s="152">
        <v>6245000</v>
      </c>
      <c r="B1587" s="73"/>
      <c r="C1587" s="51" t="s">
        <v>1042</v>
      </c>
      <c r="D1587" s="89"/>
      <c r="E1587" s="89"/>
      <c r="F1587" s="89"/>
      <c r="G1587" s="89"/>
      <c r="H1587" s="89"/>
      <c r="I1587" s="89"/>
      <c r="J1587" s="212">
        <f t="shared" si="162"/>
        <v>0</v>
      </c>
      <c r="K1587" s="212">
        <f t="shared" si="162"/>
        <v>0</v>
      </c>
      <c r="L1587" s="212">
        <f t="shared" si="162"/>
        <v>0</v>
      </c>
      <c r="M1587" s="212">
        <f t="shared" si="162"/>
        <v>0</v>
      </c>
      <c r="N1587" s="212">
        <f t="shared" si="162"/>
        <v>0</v>
      </c>
      <c r="O1587" s="212">
        <f t="shared" si="162"/>
        <v>0</v>
      </c>
      <c r="P1587" s="155">
        <f t="shared" si="162"/>
        <v>0</v>
      </c>
      <c r="Q1587" s="407"/>
      <c r="R1587" s="407"/>
    </row>
    <row r="1588" spans="1:18" ht="12.75" x14ac:dyDescent="0.2">
      <c r="A1588" s="152">
        <v>6245000</v>
      </c>
      <c r="B1588" s="73"/>
      <c r="C1588" s="51" t="s">
        <v>979</v>
      </c>
      <c r="D1588" s="89"/>
      <c r="E1588" s="89"/>
      <c r="F1588" s="89"/>
      <c r="G1588" s="89"/>
      <c r="H1588" s="89"/>
      <c r="I1588" s="89"/>
      <c r="J1588" s="212">
        <f t="shared" si="162"/>
        <v>0</v>
      </c>
      <c r="K1588" s="212">
        <f t="shared" si="162"/>
        <v>0</v>
      </c>
      <c r="L1588" s="212">
        <f t="shared" si="162"/>
        <v>0</v>
      </c>
      <c r="M1588" s="212">
        <f t="shared" si="162"/>
        <v>0</v>
      </c>
      <c r="N1588" s="212">
        <f t="shared" si="162"/>
        <v>0</v>
      </c>
      <c r="O1588" s="212">
        <f t="shared" si="162"/>
        <v>0</v>
      </c>
      <c r="P1588" s="155">
        <f t="shared" si="162"/>
        <v>0</v>
      </c>
      <c r="Q1588" s="407"/>
      <c r="R1588" s="407"/>
    </row>
    <row r="1589" spans="1:18" ht="12.75" x14ac:dyDescent="0.2">
      <c r="A1589" s="152">
        <v>6245000</v>
      </c>
      <c r="B1589" s="73"/>
      <c r="C1589" s="51" t="s">
        <v>47</v>
      </c>
      <c r="D1589" s="89"/>
      <c r="E1589" s="89"/>
      <c r="F1589" s="89"/>
      <c r="G1589" s="89"/>
      <c r="H1589" s="89"/>
      <c r="I1589" s="89"/>
      <c r="J1589" s="212">
        <f t="shared" si="162"/>
        <v>0</v>
      </c>
      <c r="K1589" s="212">
        <f t="shared" si="162"/>
        <v>0</v>
      </c>
      <c r="L1589" s="212">
        <f t="shared" si="162"/>
        <v>0</v>
      </c>
      <c r="M1589" s="212">
        <f t="shared" si="162"/>
        <v>0</v>
      </c>
      <c r="N1589" s="212">
        <f t="shared" si="162"/>
        <v>0</v>
      </c>
      <c r="O1589" s="212">
        <f t="shared" si="162"/>
        <v>0</v>
      </c>
      <c r="P1589" s="155">
        <f t="shared" si="162"/>
        <v>0</v>
      </c>
      <c r="Q1589" s="407"/>
      <c r="R1589" s="407"/>
    </row>
    <row r="1590" spans="1:18" ht="12.75" x14ac:dyDescent="0.2">
      <c r="A1590" s="152">
        <v>6245000</v>
      </c>
      <c r="B1590" s="73"/>
      <c r="C1590" s="51" t="s">
        <v>48</v>
      </c>
      <c r="D1590" s="89"/>
      <c r="E1590" s="89"/>
      <c r="F1590" s="89"/>
      <c r="G1590" s="89"/>
      <c r="H1590" s="89"/>
      <c r="I1590" s="89"/>
      <c r="J1590" s="212">
        <f t="shared" si="162"/>
        <v>0</v>
      </c>
      <c r="K1590" s="212">
        <f t="shared" si="162"/>
        <v>0</v>
      </c>
      <c r="L1590" s="212">
        <f t="shared" si="162"/>
        <v>0</v>
      </c>
      <c r="M1590" s="212">
        <f t="shared" si="162"/>
        <v>0</v>
      </c>
      <c r="N1590" s="212">
        <f t="shared" si="162"/>
        <v>0</v>
      </c>
      <c r="O1590" s="212">
        <f t="shared" si="162"/>
        <v>0</v>
      </c>
      <c r="P1590" s="155">
        <f t="shared" si="162"/>
        <v>0</v>
      </c>
      <c r="Q1590" s="407"/>
      <c r="R1590" s="407"/>
    </row>
    <row r="1591" spans="1:18" ht="12.75" x14ac:dyDescent="0.2">
      <c r="A1591" s="152">
        <v>6245000</v>
      </c>
      <c r="B1591" s="73"/>
      <c r="C1591" s="51" t="s">
        <v>1051</v>
      </c>
      <c r="D1591" s="89"/>
      <c r="E1591" s="89"/>
      <c r="F1591" s="89"/>
      <c r="G1591" s="89"/>
      <c r="H1591" s="89"/>
      <c r="I1591" s="89"/>
      <c r="J1591" s="212">
        <f t="shared" si="162"/>
        <v>0</v>
      </c>
      <c r="K1591" s="212">
        <f t="shared" si="162"/>
        <v>0</v>
      </c>
      <c r="L1591" s="212">
        <f t="shared" si="162"/>
        <v>0</v>
      </c>
      <c r="M1591" s="212">
        <f t="shared" si="162"/>
        <v>0</v>
      </c>
      <c r="N1591" s="212">
        <f t="shared" si="162"/>
        <v>0</v>
      </c>
      <c r="O1591" s="212">
        <f t="shared" si="162"/>
        <v>0</v>
      </c>
      <c r="P1591" s="155">
        <f t="shared" si="162"/>
        <v>0</v>
      </c>
      <c r="Q1591" s="407"/>
      <c r="R1591" s="407"/>
    </row>
    <row r="1592" spans="1:18" ht="12.75" x14ac:dyDescent="0.2">
      <c r="A1592" s="152">
        <v>6245000</v>
      </c>
      <c r="B1592" s="73"/>
      <c r="C1592" s="51" t="s">
        <v>929</v>
      </c>
      <c r="D1592" s="89"/>
      <c r="E1592" s="89"/>
      <c r="F1592" s="89"/>
      <c r="G1592" s="89"/>
      <c r="H1592" s="89"/>
      <c r="I1592" s="89"/>
      <c r="J1592" s="212">
        <f t="shared" si="162"/>
        <v>0</v>
      </c>
      <c r="K1592" s="212">
        <f t="shared" si="162"/>
        <v>0</v>
      </c>
      <c r="L1592" s="212">
        <f t="shared" si="162"/>
        <v>0</v>
      </c>
      <c r="M1592" s="212">
        <f t="shared" si="162"/>
        <v>0</v>
      </c>
      <c r="N1592" s="212">
        <f t="shared" si="162"/>
        <v>0</v>
      </c>
      <c r="O1592" s="212">
        <f t="shared" si="162"/>
        <v>0</v>
      </c>
      <c r="P1592" s="155">
        <f t="shared" si="162"/>
        <v>0</v>
      </c>
      <c r="Q1592" s="407"/>
      <c r="R1592" s="407"/>
    </row>
    <row r="1593" spans="1:18" ht="12.75" x14ac:dyDescent="0.2">
      <c r="A1593" s="152">
        <v>6245000</v>
      </c>
      <c r="B1593" s="73"/>
      <c r="C1593" s="51" t="s">
        <v>970</v>
      </c>
      <c r="D1593" s="89"/>
      <c r="E1593" s="89"/>
      <c r="F1593" s="89"/>
      <c r="G1593" s="89"/>
      <c r="H1593" s="89"/>
      <c r="I1593" s="89"/>
      <c r="J1593" s="212">
        <f t="shared" ref="J1593:P1602" si="163">SUMIFS(J$26:J$180,$A$26:$A$180,$A1593,$C$26:$C$180,$C1593)</f>
        <v>0</v>
      </c>
      <c r="K1593" s="212">
        <f t="shared" si="163"/>
        <v>0</v>
      </c>
      <c r="L1593" s="212">
        <f t="shared" si="163"/>
        <v>0</v>
      </c>
      <c r="M1593" s="212">
        <f t="shared" si="163"/>
        <v>0</v>
      </c>
      <c r="N1593" s="212">
        <f t="shared" si="163"/>
        <v>0</v>
      </c>
      <c r="O1593" s="212">
        <f t="shared" si="163"/>
        <v>0</v>
      </c>
      <c r="P1593" s="155">
        <f t="shared" si="163"/>
        <v>0</v>
      </c>
      <c r="Q1593" s="407"/>
      <c r="R1593" s="407"/>
    </row>
    <row r="1594" spans="1:18" ht="12.75" x14ac:dyDescent="0.2">
      <c r="A1594" s="152">
        <v>6245000</v>
      </c>
      <c r="B1594" s="73"/>
      <c r="C1594" s="51" t="s">
        <v>122</v>
      </c>
      <c r="D1594" s="89"/>
      <c r="E1594" s="89"/>
      <c r="F1594" s="89"/>
      <c r="G1594" s="89"/>
      <c r="H1594" s="89"/>
      <c r="I1594" s="89"/>
      <c r="J1594" s="212">
        <f t="shared" si="163"/>
        <v>0</v>
      </c>
      <c r="K1594" s="212">
        <f t="shared" si="163"/>
        <v>0</v>
      </c>
      <c r="L1594" s="212">
        <f t="shared" si="163"/>
        <v>0</v>
      </c>
      <c r="M1594" s="212">
        <f t="shared" si="163"/>
        <v>0</v>
      </c>
      <c r="N1594" s="212">
        <f t="shared" si="163"/>
        <v>0</v>
      </c>
      <c r="O1594" s="212">
        <f t="shared" si="163"/>
        <v>0</v>
      </c>
      <c r="P1594" s="155">
        <f t="shared" si="163"/>
        <v>0</v>
      </c>
      <c r="Q1594" s="407"/>
      <c r="R1594" s="407"/>
    </row>
    <row r="1595" spans="1:18" ht="12.75" x14ac:dyDescent="0.2">
      <c r="A1595" s="152">
        <v>6245000</v>
      </c>
      <c r="B1595" s="73"/>
      <c r="C1595" s="51" t="s">
        <v>135</v>
      </c>
      <c r="D1595" s="89"/>
      <c r="E1595" s="89"/>
      <c r="F1595" s="89"/>
      <c r="G1595" s="89"/>
      <c r="H1595" s="89"/>
      <c r="I1595" s="89"/>
      <c r="J1595" s="212">
        <f t="shared" si="163"/>
        <v>0</v>
      </c>
      <c r="K1595" s="212">
        <f t="shared" si="163"/>
        <v>0</v>
      </c>
      <c r="L1595" s="212">
        <f t="shared" si="163"/>
        <v>0</v>
      </c>
      <c r="M1595" s="212">
        <f t="shared" si="163"/>
        <v>0</v>
      </c>
      <c r="N1595" s="212">
        <f t="shared" si="163"/>
        <v>0</v>
      </c>
      <c r="O1595" s="212">
        <f t="shared" si="163"/>
        <v>0</v>
      </c>
      <c r="P1595" s="155">
        <f t="shared" si="163"/>
        <v>0</v>
      </c>
      <c r="Q1595" s="407"/>
      <c r="R1595" s="407"/>
    </row>
    <row r="1596" spans="1:18" ht="12.75" x14ac:dyDescent="0.2">
      <c r="A1596" s="152">
        <v>6245000</v>
      </c>
      <c r="B1596" s="73"/>
      <c r="C1596" s="51" t="s">
        <v>123</v>
      </c>
      <c r="D1596" s="89"/>
      <c r="E1596" s="89"/>
      <c r="F1596" s="89"/>
      <c r="G1596" s="89"/>
      <c r="H1596" s="89"/>
      <c r="I1596" s="89"/>
      <c r="J1596" s="212">
        <f t="shared" si="163"/>
        <v>0</v>
      </c>
      <c r="K1596" s="212">
        <f t="shared" si="163"/>
        <v>0</v>
      </c>
      <c r="L1596" s="212">
        <f t="shared" si="163"/>
        <v>0</v>
      </c>
      <c r="M1596" s="212">
        <f t="shared" si="163"/>
        <v>0</v>
      </c>
      <c r="N1596" s="212">
        <f t="shared" si="163"/>
        <v>0</v>
      </c>
      <c r="O1596" s="212">
        <f t="shared" si="163"/>
        <v>0</v>
      </c>
      <c r="P1596" s="155">
        <f t="shared" si="163"/>
        <v>0</v>
      </c>
      <c r="Q1596" s="407"/>
      <c r="R1596" s="407"/>
    </row>
    <row r="1597" spans="1:18" ht="12.75" x14ac:dyDescent="0.2">
      <c r="A1597" s="152">
        <v>6245000</v>
      </c>
      <c r="B1597" s="73"/>
      <c r="C1597" s="51" t="s">
        <v>974</v>
      </c>
      <c r="D1597" s="89"/>
      <c r="E1597" s="89"/>
      <c r="F1597" s="89"/>
      <c r="G1597" s="89"/>
      <c r="H1597" s="89"/>
      <c r="I1597" s="89"/>
      <c r="J1597" s="212">
        <f t="shared" si="163"/>
        <v>0</v>
      </c>
      <c r="K1597" s="212">
        <f t="shared" si="163"/>
        <v>0</v>
      </c>
      <c r="L1597" s="212">
        <f t="shared" si="163"/>
        <v>0</v>
      </c>
      <c r="M1597" s="212">
        <f t="shared" si="163"/>
        <v>0</v>
      </c>
      <c r="N1597" s="212">
        <f t="shared" si="163"/>
        <v>0</v>
      </c>
      <c r="O1597" s="212">
        <f t="shared" si="163"/>
        <v>0</v>
      </c>
      <c r="P1597" s="155">
        <f t="shared" si="163"/>
        <v>0</v>
      </c>
      <c r="Q1597" s="407"/>
      <c r="R1597" s="407"/>
    </row>
    <row r="1598" spans="1:18" ht="12.75" x14ac:dyDescent="0.2">
      <c r="A1598" s="152">
        <v>6245000</v>
      </c>
      <c r="B1598" s="73"/>
      <c r="C1598" s="51" t="s">
        <v>975</v>
      </c>
      <c r="D1598" s="89"/>
      <c r="E1598" s="89"/>
      <c r="F1598" s="89"/>
      <c r="G1598" s="89"/>
      <c r="H1598" s="89"/>
      <c r="I1598" s="89"/>
      <c r="J1598" s="212">
        <f t="shared" si="163"/>
        <v>0</v>
      </c>
      <c r="K1598" s="212">
        <f t="shared" si="163"/>
        <v>0</v>
      </c>
      <c r="L1598" s="212">
        <f t="shared" si="163"/>
        <v>0</v>
      </c>
      <c r="M1598" s="212">
        <f t="shared" si="163"/>
        <v>0</v>
      </c>
      <c r="N1598" s="212">
        <f t="shared" si="163"/>
        <v>0</v>
      </c>
      <c r="O1598" s="212">
        <f t="shared" si="163"/>
        <v>0</v>
      </c>
      <c r="P1598" s="155">
        <f t="shared" si="163"/>
        <v>0</v>
      </c>
      <c r="Q1598" s="407"/>
      <c r="R1598" s="407"/>
    </row>
    <row r="1599" spans="1:18" ht="12.75" x14ac:dyDescent="0.2">
      <c r="A1599" s="152">
        <v>6245000</v>
      </c>
      <c r="B1599" s="73"/>
      <c r="C1599" s="51" t="s">
        <v>126</v>
      </c>
      <c r="D1599" s="89"/>
      <c r="E1599" s="89"/>
      <c r="F1599" s="89"/>
      <c r="G1599" s="89"/>
      <c r="H1599" s="89"/>
      <c r="I1599" s="89"/>
      <c r="J1599" s="212">
        <f t="shared" si="163"/>
        <v>0</v>
      </c>
      <c r="K1599" s="212">
        <f t="shared" si="163"/>
        <v>0</v>
      </c>
      <c r="L1599" s="212">
        <f t="shared" si="163"/>
        <v>0</v>
      </c>
      <c r="M1599" s="212">
        <f t="shared" si="163"/>
        <v>0</v>
      </c>
      <c r="N1599" s="212">
        <f t="shared" si="163"/>
        <v>0</v>
      </c>
      <c r="O1599" s="212">
        <f t="shared" si="163"/>
        <v>0</v>
      </c>
      <c r="P1599" s="155">
        <f t="shared" si="163"/>
        <v>0</v>
      </c>
      <c r="Q1599" s="407"/>
      <c r="R1599" s="407"/>
    </row>
    <row r="1600" spans="1:18" ht="12.75" x14ac:dyDescent="0.2">
      <c r="A1600" s="152">
        <v>6245000</v>
      </c>
      <c r="B1600" s="73"/>
      <c r="C1600" s="51" t="s">
        <v>127</v>
      </c>
      <c r="D1600" s="89"/>
      <c r="E1600" s="89"/>
      <c r="F1600" s="89"/>
      <c r="G1600" s="89"/>
      <c r="H1600" s="89"/>
      <c r="I1600" s="89"/>
      <c r="J1600" s="212">
        <f t="shared" si="163"/>
        <v>0</v>
      </c>
      <c r="K1600" s="212">
        <f t="shared" si="163"/>
        <v>0</v>
      </c>
      <c r="L1600" s="212">
        <f t="shared" si="163"/>
        <v>0</v>
      </c>
      <c r="M1600" s="212">
        <f t="shared" si="163"/>
        <v>0</v>
      </c>
      <c r="N1600" s="212">
        <f t="shared" si="163"/>
        <v>0</v>
      </c>
      <c r="O1600" s="212">
        <f t="shared" si="163"/>
        <v>0</v>
      </c>
      <c r="P1600" s="155">
        <f t="shared" si="163"/>
        <v>0</v>
      </c>
      <c r="Q1600" s="407"/>
      <c r="R1600" s="407"/>
    </row>
    <row r="1601" spans="1:18" ht="12.75" x14ac:dyDescent="0.2">
      <c r="A1601" s="152">
        <v>6245000</v>
      </c>
      <c r="B1601" s="73"/>
      <c r="C1601" s="51" t="s">
        <v>130</v>
      </c>
      <c r="D1601" s="89"/>
      <c r="E1601" s="89"/>
      <c r="F1601" s="89"/>
      <c r="G1601" s="89"/>
      <c r="H1601" s="89"/>
      <c r="I1601" s="89"/>
      <c r="J1601" s="212">
        <f t="shared" si="163"/>
        <v>0</v>
      </c>
      <c r="K1601" s="212">
        <f t="shared" si="163"/>
        <v>0</v>
      </c>
      <c r="L1601" s="212">
        <f t="shared" si="163"/>
        <v>0</v>
      </c>
      <c r="M1601" s="212">
        <f t="shared" si="163"/>
        <v>0</v>
      </c>
      <c r="N1601" s="212">
        <f t="shared" si="163"/>
        <v>0</v>
      </c>
      <c r="O1601" s="212">
        <f t="shared" si="163"/>
        <v>0</v>
      </c>
      <c r="P1601" s="155">
        <f t="shared" si="163"/>
        <v>0</v>
      </c>
      <c r="Q1601" s="407"/>
      <c r="R1601" s="407"/>
    </row>
    <row r="1602" spans="1:18" ht="12.75" x14ac:dyDescent="0.2">
      <c r="A1602" s="152">
        <v>6245000</v>
      </c>
      <c r="B1602" s="73"/>
      <c r="C1602" s="51" t="s">
        <v>125</v>
      </c>
      <c r="D1602" s="89"/>
      <c r="E1602" s="89"/>
      <c r="F1602" s="89"/>
      <c r="G1602" s="89"/>
      <c r="H1602" s="89"/>
      <c r="I1602" s="89"/>
      <c r="J1602" s="212">
        <f t="shared" si="163"/>
        <v>0</v>
      </c>
      <c r="K1602" s="212">
        <f t="shared" si="163"/>
        <v>0</v>
      </c>
      <c r="L1602" s="212">
        <f t="shared" si="163"/>
        <v>0</v>
      </c>
      <c r="M1602" s="212">
        <f t="shared" si="163"/>
        <v>0</v>
      </c>
      <c r="N1602" s="212">
        <f t="shared" si="163"/>
        <v>0</v>
      </c>
      <c r="O1602" s="212">
        <f t="shared" si="163"/>
        <v>0</v>
      </c>
      <c r="P1602" s="155">
        <f t="shared" si="163"/>
        <v>0</v>
      </c>
      <c r="Q1602" s="407"/>
      <c r="R1602" s="407"/>
    </row>
    <row r="1603" spans="1:18" ht="12.75" x14ac:dyDescent="0.2">
      <c r="A1603" s="152">
        <v>6245000</v>
      </c>
      <c r="B1603" s="73"/>
      <c r="C1603" s="51" t="s">
        <v>128</v>
      </c>
      <c r="D1603" s="89"/>
      <c r="E1603" s="89"/>
      <c r="F1603" s="89"/>
      <c r="G1603" s="89"/>
      <c r="H1603" s="89"/>
      <c r="I1603" s="89"/>
      <c r="J1603" s="212">
        <f t="shared" ref="J1603:P1612" si="164">SUMIFS(J$26:J$180,$A$26:$A$180,$A1603,$C$26:$C$180,$C1603)</f>
        <v>0</v>
      </c>
      <c r="K1603" s="212">
        <f t="shared" si="164"/>
        <v>0</v>
      </c>
      <c r="L1603" s="212">
        <f t="shared" si="164"/>
        <v>0</v>
      </c>
      <c r="M1603" s="212">
        <f t="shared" si="164"/>
        <v>0</v>
      </c>
      <c r="N1603" s="212">
        <f t="shared" si="164"/>
        <v>0</v>
      </c>
      <c r="O1603" s="212">
        <f t="shared" si="164"/>
        <v>0</v>
      </c>
      <c r="P1603" s="155">
        <f t="shared" si="164"/>
        <v>0</v>
      </c>
      <c r="Q1603" s="407"/>
      <c r="R1603" s="407"/>
    </row>
    <row r="1604" spans="1:18" ht="12.75" x14ac:dyDescent="0.2">
      <c r="A1604" s="152">
        <v>6245000</v>
      </c>
      <c r="B1604" s="73"/>
      <c r="C1604" s="51" t="s">
        <v>1016</v>
      </c>
      <c r="D1604" s="89"/>
      <c r="E1604" s="89"/>
      <c r="F1604" s="89"/>
      <c r="G1604" s="89"/>
      <c r="H1604" s="89"/>
      <c r="I1604" s="89"/>
      <c r="J1604" s="212">
        <f t="shared" si="164"/>
        <v>0</v>
      </c>
      <c r="K1604" s="212">
        <f t="shared" si="164"/>
        <v>0</v>
      </c>
      <c r="L1604" s="212">
        <f t="shared" si="164"/>
        <v>0</v>
      </c>
      <c r="M1604" s="212">
        <f t="shared" si="164"/>
        <v>0</v>
      </c>
      <c r="N1604" s="212">
        <f t="shared" si="164"/>
        <v>0</v>
      </c>
      <c r="O1604" s="212">
        <f t="shared" si="164"/>
        <v>0</v>
      </c>
      <c r="P1604" s="155">
        <f t="shared" si="164"/>
        <v>0</v>
      </c>
      <c r="Q1604" s="407"/>
      <c r="R1604" s="407"/>
    </row>
    <row r="1605" spans="1:18" ht="12.75" x14ac:dyDescent="0.2">
      <c r="A1605" s="152">
        <v>6245000</v>
      </c>
      <c r="B1605" s="73"/>
      <c r="C1605" s="51" t="s">
        <v>1015</v>
      </c>
      <c r="D1605" s="89"/>
      <c r="E1605" s="89"/>
      <c r="F1605" s="89"/>
      <c r="G1605" s="89"/>
      <c r="H1605" s="89"/>
      <c r="I1605" s="89"/>
      <c r="J1605" s="212">
        <f t="shared" si="164"/>
        <v>0</v>
      </c>
      <c r="K1605" s="212">
        <f t="shared" si="164"/>
        <v>0</v>
      </c>
      <c r="L1605" s="212">
        <f t="shared" si="164"/>
        <v>0</v>
      </c>
      <c r="M1605" s="212">
        <f t="shared" si="164"/>
        <v>0</v>
      </c>
      <c r="N1605" s="212">
        <f t="shared" si="164"/>
        <v>0</v>
      </c>
      <c r="O1605" s="212">
        <f t="shared" si="164"/>
        <v>0</v>
      </c>
      <c r="P1605" s="155">
        <f t="shared" si="164"/>
        <v>0</v>
      </c>
      <c r="Q1605" s="407"/>
      <c r="R1605" s="407"/>
    </row>
    <row r="1606" spans="1:18" ht="12.75" x14ac:dyDescent="0.2">
      <c r="A1606" s="152">
        <v>6245000</v>
      </c>
      <c r="B1606" s="73"/>
      <c r="C1606" s="51" t="s">
        <v>930</v>
      </c>
      <c r="D1606" s="89"/>
      <c r="E1606" s="89"/>
      <c r="F1606" s="89"/>
      <c r="G1606" s="89"/>
      <c r="H1606" s="89"/>
      <c r="I1606" s="89"/>
      <c r="J1606" s="212">
        <f t="shared" si="164"/>
        <v>0</v>
      </c>
      <c r="K1606" s="212">
        <f t="shared" si="164"/>
        <v>0</v>
      </c>
      <c r="L1606" s="212">
        <f t="shared" si="164"/>
        <v>0</v>
      </c>
      <c r="M1606" s="212">
        <f t="shared" si="164"/>
        <v>0</v>
      </c>
      <c r="N1606" s="212">
        <f t="shared" si="164"/>
        <v>0</v>
      </c>
      <c r="O1606" s="212">
        <f t="shared" si="164"/>
        <v>0</v>
      </c>
      <c r="P1606" s="155">
        <f t="shared" si="164"/>
        <v>0</v>
      </c>
      <c r="Q1606" s="407"/>
      <c r="R1606" s="407"/>
    </row>
    <row r="1607" spans="1:18" ht="12.75" x14ac:dyDescent="0.2">
      <c r="A1607" s="152">
        <v>6245000</v>
      </c>
      <c r="B1607" s="73"/>
      <c r="C1607" s="51" t="s">
        <v>931</v>
      </c>
      <c r="D1607" s="89"/>
      <c r="E1607" s="89"/>
      <c r="F1607" s="89"/>
      <c r="G1607" s="89"/>
      <c r="H1607" s="89"/>
      <c r="I1607" s="89"/>
      <c r="J1607" s="212">
        <f t="shared" si="164"/>
        <v>0</v>
      </c>
      <c r="K1607" s="212">
        <f t="shared" si="164"/>
        <v>0</v>
      </c>
      <c r="L1607" s="212">
        <f t="shared" si="164"/>
        <v>0</v>
      </c>
      <c r="M1607" s="212">
        <f t="shared" si="164"/>
        <v>0</v>
      </c>
      <c r="N1607" s="212">
        <f t="shared" si="164"/>
        <v>0</v>
      </c>
      <c r="O1607" s="212">
        <f t="shared" si="164"/>
        <v>0</v>
      </c>
      <c r="P1607" s="155">
        <f t="shared" si="164"/>
        <v>0</v>
      </c>
      <c r="Q1607" s="407"/>
      <c r="R1607" s="407"/>
    </row>
    <row r="1608" spans="1:18" ht="12.75" x14ac:dyDescent="0.2">
      <c r="A1608" s="152">
        <v>6245000</v>
      </c>
      <c r="B1608" s="73"/>
      <c r="C1608" s="51" t="s">
        <v>926</v>
      </c>
      <c r="D1608" s="89"/>
      <c r="E1608" s="89"/>
      <c r="F1608" s="89"/>
      <c r="G1608" s="89"/>
      <c r="H1608" s="89"/>
      <c r="I1608" s="89"/>
      <c r="J1608" s="212">
        <f t="shared" si="164"/>
        <v>0</v>
      </c>
      <c r="K1608" s="212">
        <f t="shared" si="164"/>
        <v>0</v>
      </c>
      <c r="L1608" s="212">
        <f t="shared" si="164"/>
        <v>0</v>
      </c>
      <c r="M1608" s="212">
        <f t="shared" si="164"/>
        <v>0</v>
      </c>
      <c r="N1608" s="212">
        <f t="shared" si="164"/>
        <v>0</v>
      </c>
      <c r="O1608" s="212">
        <f t="shared" si="164"/>
        <v>0</v>
      </c>
      <c r="P1608" s="155">
        <f t="shared" si="164"/>
        <v>0</v>
      </c>
      <c r="Q1608" s="407"/>
      <c r="R1608" s="407"/>
    </row>
    <row r="1609" spans="1:18" ht="12.75" x14ac:dyDescent="0.2">
      <c r="A1609" s="152">
        <v>6245000</v>
      </c>
      <c r="B1609" s="73"/>
      <c r="C1609" s="51" t="s">
        <v>110</v>
      </c>
      <c r="D1609" s="89"/>
      <c r="E1609" s="89"/>
      <c r="F1609" s="89"/>
      <c r="G1609" s="89"/>
      <c r="H1609" s="89"/>
      <c r="I1609" s="89"/>
      <c r="J1609" s="212">
        <f t="shared" si="164"/>
        <v>0</v>
      </c>
      <c r="K1609" s="212">
        <f t="shared" si="164"/>
        <v>0</v>
      </c>
      <c r="L1609" s="212">
        <f t="shared" si="164"/>
        <v>0</v>
      </c>
      <c r="M1609" s="212">
        <f t="shared" si="164"/>
        <v>0</v>
      </c>
      <c r="N1609" s="212">
        <f t="shared" si="164"/>
        <v>0</v>
      </c>
      <c r="O1609" s="212">
        <f t="shared" si="164"/>
        <v>0</v>
      </c>
      <c r="P1609" s="155">
        <f t="shared" si="164"/>
        <v>0</v>
      </c>
      <c r="Q1609" s="407"/>
      <c r="R1609" s="407"/>
    </row>
    <row r="1610" spans="1:18" ht="12.75" x14ac:dyDescent="0.2">
      <c r="A1610" s="152">
        <v>6245000</v>
      </c>
      <c r="B1610" s="73"/>
      <c r="C1610" s="51" t="s">
        <v>133</v>
      </c>
      <c r="D1610" s="89"/>
      <c r="E1610" s="89"/>
      <c r="F1610" s="89"/>
      <c r="G1610" s="89"/>
      <c r="H1610" s="89"/>
      <c r="I1610" s="89"/>
      <c r="J1610" s="212">
        <f t="shared" si="164"/>
        <v>0</v>
      </c>
      <c r="K1610" s="212">
        <f t="shared" si="164"/>
        <v>0</v>
      </c>
      <c r="L1610" s="212">
        <f t="shared" si="164"/>
        <v>0</v>
      </c>
      <c r="M1610" s="212">
        <f t="shared" si="164"/>
        <v>0</v>
      </c>
      <c r="N1610" s="212">
        <f t="shared" si="164"/>
        <v>0</v>
      </c>
      <c r="O1610" s="212">
        <f t="shared" si="164"/>
        <v>0</v>
      </c>
      <c r="P1610" s="155">
        <f t="shared" si="164"/>
        <v>0</v>
      </c>
      <c r="Q1610" s="407"/>
      <c r="R1610" s="407"/>
    </row>
    <row r="1611" spans="1:18" ht="12.75" x14ac:dyDescent="0.2">
      <c r="A1611" s="152">
        <v>6245000</v>
      </c>
      <c r="B1611" s="73"/>
      <c r="C1611" s="51" t="s">
        <v>134</v>
      </c>
      <c r="D1611" s="89"/>
      <c r="E1611" s="89"/>
      <c r="F1611" s="89"/>
      <c r="G1611" s="89"/>
      <c r="H1611" s="89"/>
      <c r="I1611" s="89"/>
      <c r="J1611" s="212">
        <f t="shared" si="164"/>
        <v>0</v>
      </c>
      <c r="K1611" s="212">
        <f t="shared" si="164"/>
        <v>0</v>
      </c>
      <c r="L1611" s="212">
        <f t="shared" si="164"/>
        <v>0</v>
      </c>
      <c r="M1611" s="212">
        <f t="shared" si="164"/>
        <v>0</v>
      </c>
      <c r="N1611" s="212">
        <f t="shared" si="164"/>
        <v>0</v>
      </c>
      <c r="O1611" s="212">
        <f t="shared" si="164"/>
        <v>0</v>
      </c>
      <c r="P1611" s="155">
        <f t="shared" si="164"/>
        <v>0</v>
      </c>
      <c r="Q1611" s="407"/>
      <c r="R1611" s="407"/>
    </row>
    <row r="1612" spans="1:18" ht="12.75" x14ac:dyDescent="0.2">
      <c r="A1612" s="152">
        <v>6245000</v>
      </c>
      <c r="B1612" s="73"/>
      <c r="C1612" s="51" t="s">
        <v>138</v>
      </c>
      <c r="D1612" s="89"/>
      <c r="E1612" s="89"/>
      <c r="F1612" s="89"/>
      <c r="G1612" s="89"/>
      <c r="H1612" s="89"/>
      <c r="I1612" s="89"/>
      <c r="J1612" s="212">
        <f t="shared" si="164"/>
        <v>0</v>
      </c>
      <c r="K1612" s="212">
        <f t="shared" si="164"/>
        <v>0</v>
      </c>
      <c r="L1612" s="212">
        <f t="shared" si="164"/>
        <v>0</v>
      </c>
      <c r="M1612" s="212">
        <f t="shared" si="164"/>
        <v>0</v>
      </c>
      <c r="N1612" s="212">
        <f t="shared" si="164"/>
        <v>0</v>
      </c>
      <c r="O1612" s="212">
        <f t="shared" si="164"/>
        <v>0</v>
      </c>
      <c r="P1612" s="155">
        <f t="shared" si="164"/>
        <v>0</v>
      </c>
      <c r="Q1612" s="407"/>
      <c r="R1612" s="407"/>
    </row>
    <row r="1613" spans="1:18" ht="12.75" x14ac:dyDescent="0.2">
      <c r="A1613" s="152">
        <v>6245000</v>
      </c>
      <c r="B1613" s="73"/>
      <c r="C1613" s="51" t="s">
        <v>106</v>
      </c>
      <c r="D1613" s="89"/>
      <c r="E1613" s="89"/>
      <c r="F1613" s="89"/>
      <c r="G1613" s="89"/>
      <c r="H1613" s="89"/>
      <c r="I1613" s="89"/>
      <c r="J1613" s="212">
        <f t="shared" ref="J1613:P1622" si="165">SUMIFS(J$26:J$180,$A$26:$A$180,$A1613,$C$26:$C$180,$C1613)</f>
        <v>0</v>
      </c>
      <c r="K1613" s="212">
        <f t="shared" si="165"/>
        <v>0</v>
      </c>
      <c r="L1613" s="212">
        <f t="shared" si="165"/>
        <v>0</v>
      </c>
      <c r="M1613" s="212">
        <f t="shared" si="165"/>
        <v>0</v>
      </c>
      <c r="N1613" s="212">
        <f t="shared" si="165"/>
        <v>0</v>
      </c>
      <c r="O1613" s="212">
        <f t="shared" si="165"/>
        <v>0</v>
      </c>
      <c r="P1613" s="155">
        <f t="shared" si="165"/>
        <v>0</v>
      </c>
      <c r="Q1613" s="407"/>
      <c r="R1613" s="407"/>
    </row>
    <row r="1614" spans="1:18" ht="12.75" x14ac:dyDescent="0.2">
      <c r="A1614" s="152">
        <v>6245000</v>
      </c>
      <c r="B1614" s="73"/>
      <c r="C1614" s="51" t="s">
        <v>1024</v>
      </c>
      <c r="D1614" s="89"/>
      <c r="E1614" s="89"/>
      <c r="F1614" s="89"/>
      <c r="G1614" s="89"/>
      <c r="H1614" s="89"/>
      <c r="I1614" s="89"/>
      <c r="J1614" s="212">
        <f t="shared" si="165"/>
        <v>0</v>
      </c>
      <c r="K1614" s="212">
        <f t="shared" si="165"/>
        <v>0</v>
      </c>
      <c r="L1614" s="212">
        <f t="shared" si="165"/>
        <v>0</v>
      </c>
      <c r="M1614" s="212">
        <f t="shared" si="165"/>
        <v>0</v>
      </c>
      <c r="N1614" s="212">
        <f t="shared" si="165"/>
        <v>0</v>
      </c>
      <c r="O1614" s="212">
        <f t="shared" si="165"/>
        <v>0</v>
      </c>
      <c r="P1614" s="155">
        <f t="shared" si="165"/>
        <v>0</v>
      </c>
      <c r="Q1614" s="407"/>
      <c r="R1614" s="407"/>
    </row>
    <row r="1615" spans="1:18" ht="12.75" x14ac:dyDescent="0.2">
      <c r="A1615" s="152">
        <v>6245000</v>
      </c>
      <c r="B1615" s="73"/>
      <c r="C1615" s="51" t="s">
        <v>1025</v>
      </c>
      <c r="D1615" s="89"/>
      <c r="E1615" s="89"/>
      <c r="F1615" s="89"/>
      <c r="G1615" s="89"/>
      <c r="H1615" s="89"/>
      <c r="I1615" s="89"/>
      <c r="J1615" s="212">
        <f t="shared" si="165"/>
        <v>0</v>
      </c>
      <c r="K1615" s="212">
        <f t="shared" si="165"/>
        <v>0</v>
      </c>
      <c r="L1615" s="212">
        <f t="shared" si="165"/>
        <v>0</v>
      </c>
      <c r="M1615" s="212">
        <f t="shared" si="165"/>
        <v>0</v>
      </c>
      <c r="N1615" s="212">
        <f t="shared" si="165"/>
        <v>0</v>
      </c>
      <c r="O1615" s="212">
        <f t="shared" si="165"/>
        <v>0</v>
      </c>
      <c r="P1615" s="155">
        <f t="shared" si="165"/>
        <v>0</v>
      </c>
      <c r="Q1615" s="407"/>
      <c r="R1615" s="407"/>
    </row>
    <row r="1616" spans="1:18" ht="12.75" x14ac:dyDescent="0.2">
      <c r="A1616" s="152">
        <v>6245000</v>
      </c>
      <c r="B1616" s="73"/>
      <c r="C1616" s="51" t="s">
        <v>960</v>
      </c>
      <c r="D1616" s="89"/>
      <c r="E1616" s="89"/>
      <c r="F1616" s="89"/>
      <c r="G1616" s="89"/>
      <c r="H1616" s="89"/>
      <c r="I1616" s="89"/>
      <c r="J1616" s="212">
        <f t="shared" si="165"/>
        <v>0</v>
      </c>
      <c r="K1616" s="212">
        <f t="shared" si="165"/>
        <v>0</v>
      </c>
      <c r="L1616" s="212">
        <f t="shared" si="165"/>
        <v>0</v>
      </c>
      <c r="M1616" s="212">
        <f t="shared" si="165"/>
        <v>0</v>
      </c>
      <c r="N1616" s="212">
        <f t="shared" si="165"/>
        <v>0</v>
      </c>
      <c r="O1616" s="212">
        <f t="shared" si="165"/>
        <v>0</v>
      </c>
      <c r="P1616" s="155">
        <f t="shared" si="165"/>
        <v>0</v>
      </c>
      <c r="Q1616" s="407"/>
      <c r="R1616" s="407"/>
    </row>
    <row r="1617" spans="1:18" ht="12.75" x14ac:dyDescent="0.2">
      <c r="A1617" s="152">
        <v>6245000</v>
      </c>
      <c r="B1617" s="73"/>
      <c r="C1617" s="51" t="s">
        <v>961</v>
      </c>
      <c r="D1617" s="89"/>
      <c r="E1617" s="89"/>
      <c r="F1617" s="89"/>
      <c r="G1617" s="89"/>
      <c r="H1617" s="89"/>
      <c r="I1617" s="89"/>
      <c r="J1617" s="212">
        <f t="shared" si="165"/>
        <v>0</v>
      </c>
      <c r="K1617" s="212">
        <f t="shared" si="165"/>
        <v>0</v>
      </c>
      <c r="L1617" s="212">
        <f t="shared" si="165"/>
        <v>0</v>
      </c>
      <c r="M1617" s="212">
        <f t="shared" si="165"/>
        <v>0</v>
      </c>
      <c r="N1617" s="212">
        <f t="shared" si="165"/>
        <v>0</v>
      </c>
      <c r="O1617" s="212">
        <f t="shared" si="165"/>
        <v>0</v>
      </c>
      <c r="P1617" s="155">
        <f t="shared" si="165"/>
        <v>0</v>
      </c>
      <c r="Q1617" s="407"/>
      <c r="R1617" s="407"/>
    </row>
    <row r="1618" spans="1:18" ht="12.75" x14ac:dyDescent="0.2">
      <c r="A1618" s="152">
        <v>6245000</v>
      </c>
      <c r="B1618" s="73"/>
      <c r="C1618" s="51" t="s">
        <v>948</v>
      </c>
      <c r="D1618" s="89"/>
      <c r="E1618" s="89"/>
      <c r="F1618" s="89"/>
      <c r="G1618" s="89"/>
      <c r="H1618" s="89"/>
      <c r="I1618" s="89"/>
      <c r="J1618" s="212">
        <f t="shared" si="165"/>
        <v>0</v>
      </c>
      <c r="K1618" s="212">
        <f t="shared" si="165"/>
        <v>0</v>
      </c>
      <c r="L1618" s="212">
        <f t="shared" si="165"/>
        <v>0</v>
      </c>
      <c r="M1618" s="212">
        <f t="shared" si="165"/>
        <v>0</v>
      </c>
      <c r="N1618" s="212">
        <f t="shared" si="165"/>
        <v>0</v>
      </c>
      <c r="O1618" s="212">
        <f t="shared" si="165"/>
        <v>0</v>
      </c>
      <c r="P1618" s="155">
        <f t="shared" si="165"/>
        <v>0</v>
      </c>
      <c r="Q1618" s="407"/>
      <c r="R1618" s="407"/>
    </row>
    <row r="1619" spans="1:18" ht="12.75" x14ac:dyDescent="0.2">
      <c r="A1619" s="152">
        <v>6245000</v>
      </c>
      <c r="B1619" s="73"/>
      <c r="C1619" s="51" t="s">
        <v>949</v>
      </c>
      <c r="D1619" s="89"/>
      <c r="E1619" s="89"/>
      <c r="F1619" s="89"/>
      <c r="G1619" s="89"/>
      <c r="H1619" s="89"/>
      <c r="I1619" s="89"/>
      <c r="J1619" s="212">
        <f t="shared" si="165"/>
        <v>0</v>
      </c>
      <c r="K1619" s="212">
        <f t="shared" si="165"/>
        <v>0</v>
      </c>
      <c r="L1619" s="212">
        <f t="shared" si="165"/>
        <v>0</v>
      </c>
      <c r="M1619" s="212">
        <f t="shared" si="165"/>
        <v>0</v>
      </c>
      <c r="N1619" s="212">
        <f t="shared" si="165"/>
        <v>0</v>
      </c>
      <c r="O1619" s="212">
        <f t="shared" si="165"/>
        <v>0</v>
      </c>
      <c r="P1619" s="155">
        <f t="shared" si="165"/>
        <v>0</v>
      </c>
      <c r="Q1619" s="407"/>
      <c r="R1619" s="407"/>
    </row>
    <row r="1620" spans="1:18" ht="12.75" x14ac:dyDescent="0.2">
      <c r="A1620" s="152">
        <v>6245000</v>
      </c>
      <c r="B1620" s="73"/>
      <c r="C1620" s="51" t="s">
        <v>132</v>
      </c>
      <c r="D1620" s="89"/>
      <c r="E1620" s="89"/>
      <c r="F1620" s="89"/>
      <c r="G1620" s="89"/>
      <c r="H1620" s="89"/>
      <c r="I1620" s="89"/>
      <c r="J1620" s="212">
        <f t="shared" si="165"/>
        <v>0</v>
      </c>
      <c r="K1620" s="212">
        <f t="shared" si="165"/>
        <v>0</v>
      </c>
      <c r="L1620" s="212">
        <f t="shared" si="165"/>
        <v>0</v>
      </c>
      <c r="M1620" s="212">
        <f t="shared" si="165"/>
        <v>0</v>
      </c>
      <c r="N1620" s="212">
        <f t="shared" si="165"/>
        <v>0</v>
      </c>
      <c r="O1620" s="212">
        <f t="shared" si="165"/>
        <v>0</v>
      </c>
      <c r="P1620" s="155">
        <f t="shared" si="165"/>
        <v>0</v>
      </c>
      <c r="Q1620" s="407"/>
      <c r="R1620" s="407"/>
    </row>
    <row r="1621" spans="1:18" ht="12.75" x14ac:dyDescent="0.2">
      <c r="A1621" s="152">
        <v>6245000</v>
      </c>
      <c r="B1621" s="73"/>
      <c r="C1621" s="51" t="s">
        <v>121</v>
      </c>
      <c r="D1621" s="89"/>
      <c r="E1621" s="89"/>
      <c r="F1621" s="89"/>
      <c r="G1621" s="89"/>
      <c r="H1621" s="89"/>
      <c r="I1621" s="89"/>
      <c r="J1621" s="212">
        <f t="shared" si="165"/>
        <v>0</v>
      </c>
      <c r="K1621" s="212">
        <f t="shared" si="165"/>
        <v>0</v>
      </c>
      <c r="L1621" s="212">
        <f t="shared" si="165"/>
        <v>0</v>
      </c>
      <c r="M1621" s="212">
        <f t="shared" si="165"/>
        <v>0</v>
      </c>
      <c r="N1621" s="212">
        <f t="shared" si="165"/>
        <v>0</v>
      </c>
      <c r="O1621" s="212">
        <f t="shared" si="165"/>
        <v>0</v>
      </c>
      <c r="P1621" s="155">
        <f t="shared" si="165"/>
        <v>0</v>
      </c>
      <c r="Q1621" s="407"/>
      <c r="R1621" s="407"/>
    </row>
    <row r="1622" spans="1:18" ht="12.75" x14ac:dyDescent="0.2">
      <c r="A1622" s="152">
        <v>6245000</v>
      </c>
      <c r="B1622" s="73"/>
      <c r="C1622" s="51" t="s">
        <v>131</v>
      </c>
      <c r="D1622" s="89"/>
      <c r="E1622" s="89"/>
      <c r="F1622" s="89"/>
      <c r="G1622" s="89"/>
      <c r="H1622" s="89"/>
      <c r="I1622" s="89"/>
      <c r="J1622" s="212">
        <f t="shared" si="165"/>
        <v>0</v>
      </c>
      <c r="K1622" s="212">
        <f t="shared" si="165"/>
        <v>0</v>
      </c>
      <c r="L1622" s="212">
        <f t="shared" si="165"/>
        <v>0</v>
      </c>
      <c r="M1622" s="212">
        <f t="shared" si="165"/>
        <v>0</v>
      </c>
      <c r="N1622" s="212">
        <f t="shared" si="165"/>
        <v>0</v>
      </c>
      <c r="O1622" s="212">
        <f t="shared" si="165"/>
        <v>0</v>
      </c>
      <c r="P1622" s="155">
        <f t="shared" si="165"/>
        <v>0</v>
      </c>
      <c r="Q1622" s="407"/>
      <c r="R1622" s="407"/>
    </row>
    <row r="1623" spans="1:18" ht="12.75" x14ac:dyDescent="0.2">
      <c r="A1623" s="152">
        <v>6245000</v>
      </c>
      <c r="B1623" s="73"/>
      <c r="C1623" s="51" t="s">
        <v>967</v>
      </c>
      <c r="D1623" s="89"/>
      <c r="E1623" s="89"/>
      <c r="F1623" s="89"/>
      <c r="G1623" s="89"/>
      <c r="H1623" s="89"/>
      <c r="I1623" s="89"/>
      <c r="J1623" s="212">
        <f t="shared" ref="J1623:P1632" si="166">SUMIFS(J$26:J$180,$A$26:$A$180,$A1623,$C$26:$C$180,$C1623)</f>
        <v>0</v>
      </c>
      <c r="K1623" s="212">
        <f t="shared" si="166"/>
        <v>0</v>
      </c>
      <c r="L1623" s="212">
        <f t="shared" si="166"/>
        <v>0</v>
      </c>
      <c r="M1623" s="212">
        <f t="shared" si="166"/>
        <v>0</v>
      </c>
      <c r="N1623" s="212">
        <f t="shared" si="166"/>
        <v>0</v>
      </c>
      <c r="O1623" s="212">
        <f t="shared" si="166"/>
        <v>0</v>
      </c>
      <c r="P1623" s="155">
        <f t="shared" si="166"/>
        <v>0</v>
      </c>
      <c r="Q1623" s="407"/>
      <c r="R1623" s="407"/>
    </row>
    <row r="1624" spans="1:18" ht="12.75" x14ac:dyDescent="0.2">
      <c r="A1624" s="152">
        <v>6245000</v>
      </c>
      <c r="B1624" s="73"/>
      <c r="C1624" s="51" t="s">
        <v>118</v>
      </c>
      <c r="D1624" s="89"/>
      <c r="E1624" s="89"/>
      <c r="F1624" s="89"/>
      <c r="G1624" s="89"/>
      <c r="H1624" s="89"/>
      <c r="I1624" s="89"/>
      <c r="J1624" s="212">
        <f t="shared" si="166"/>
        <v>0</v>
      </c>
      <c r="K1624" s="212">
        <f t="shared" si="166"/>
        <v>0</v>
      </c>
      <c r="L1624" s="212">
        <f t="shared" si="166"/>
        <v>0</v>
      </c>
      <c r="M1624" s="212">
        <f t="shared" si="166"/>
        <v>0</v>
      </c>
      <c r="N1624" s="212">
        <f t="shared" si="166"/>
        <v>0</v>
      </c>
      <c r="O1624" s="212">
        <f t="shared" si="166"/>
        <v>0</v>
      </c>
      <c r="P1624" s="155">
        <f t="shared" si="166"/>
        <v>0</v>
      </c>
      <c r="Q1624" s="407"/>
      <c r="R1624" s="407"/>
    </row>
    <row r="1625" spans="1:18" ht="12.75" x14ac:dyDescent="0.2">
      <c r="A1625" s="152">
        <v>6245000</v>
      </c>
      <c r="B1625" s="73"/>
      <c r="C1625" s="51" t="s">
        <v>971</v>
      </c>
      <c r="D1625" s="89"/>
      <c r="E1625" s="89"/>
      <c r="F1625" s="89"/>
      <c r="G1625" s="89"/>
      <c r="H1625" s="89"/>
      <c r="I1625" s="89"/>
      <c r="J1625" s="212">
        <f t="shared" si="166"/>
        <v>0</v>
      </c>
      <c r="K1625" s="212">
        <f t="shared" si="166"/>
        <v>0</v>
      </c>
      <c r="L1625" s="212">
        <f t="shared" si="166"/>
        <v>0</v>
      </c>
      <c r="M1625" s="212">
        <f t="shared" si="166"/>
        <v>0</v>
      </c>
      <c r="N1625" s="212">
        <f t="shared" si="166"/>
        <v>0</v>
      </c>
      <c r="O1625" s="212">
        <f t="shared" si="166"/>
        <v>0</v>
      </c>
      <c r="P1625" s="155">
        <f t="shared" si="166"/>
        <v>0</v>
      </c>
      <c r="Q1625" s="407"/>
      <c r="R1625" s="407"/>
    </row>
    <row r="1626" spans="1:18" ht="12.75" x14ac:dyDescent="0.2">
      <c r="A1626" s="152">
        <v>6245000</v>
      </c>
      <c r="B1626" s="73"/>
      <c r="C1626" s="51" t="s">
        <v>957</v>
      </c>
      <c r="D1626" s="89"/>
      <c r="E1626" s="89"/>
      <c r="F1626" s="89"/>
      <c r="G1626" s="89"/>
      <c r="H1626" s="89"/>
      <c r="I1626" s="89"/>
      <c r="J1626" s="212">
        <f t="shared" si="166"/>
        <v>0</v>
      </c>
      <c r="K1626" s="212">
        <f t="shared" si="166"/>
        <v>0</v>
      </c>
      <c r="L1626" s="212">
        <f t="shared" si="166"/>
        <v>0</v>
      </c>
      <c r="M1626" s="212">
        <f t="shared" si="166"/>
        <v>0</v>
      </c>
      <c r="N1626" s="212">
        <f t="shared" si="166"/>
        <v>0</v>
      </c>
      <c r="O1626" s="212">
        <f t="shared" si="166"/>
        <v>0</v>
      </c>
      <c r="P1626" s="155">
        <f t="shared" si="166"/>
        <v>0</v>
      </c>
      <c r="Q1626" s="407"/>
      <c r="R1626" s="407"/>
    </row>
    <row r="1627" spans="1:18" ht="12.75" x14ac:dyDescent="0.2">
      <c r="A1627" s="152">
        <v>6245000</v>
      </c>
      <c r="B1627" s="73"/>
      <c r="C1627" s="51" t="s">
        <v>97</v>
      </c>
      <c r="D1627" s="89"/>
      <c r="E1627" s="89"/>
      <c r="F1627" s="89"/>
      <c r="G1627" s="89"/>
      <c r="H1627" s="89"/>
      <c r="I1627" s="89"/>
      <c r="J1627" s="212">
        <f t="shared" si="166"/>
        <v>0</v>
      </c>
      <c r="K1627" s="212">
        <f t="shared" si="166"/>
        <v>0</v>
      </c>
      <c r="L1627" s="212">
        <f t="shared" si="166"/>
        <v>0</v>
      </c>
      <c r="M1627" s="212">
        <f t="shared" si="166"/>
        <v>0</v>
      </c>
      <c r="N1627" s="212">
        <f t="shared" si="166"/>
        <v>0</v>
      </c>
      <c r="O1627" s="212">
        <f t="shared" si="166"/>
        <v>0</v>
      </c>
      <c r="P1627" s="155">
        <f t="shared" si="166"/>
        <v>0</v>
      </c>
      <c r="Q1627" s="407"/>
      <c r="R1627" s="407"/>
    </row>
    <row r="1628" spans="1:18" ht="12.75" x14ac:dyDescent="0.2">
      <c r="A1628" s="152">
        <v>6245000</v>
      </c>
      <c r="B1628" s="73"/>
      <c r="C1628" s="51" t="s">
        <v>49</v>
      </c>
      <c r="D1628" s="89"/>
      <c r="E1628" s="89"/>
      <c r="F1628" s="89"/>
      <c r="G1628" s="89"/>
      <c r="H1628" s="89"/>
      <c r="I1628" s="89"/>
      <c r="J1628" s="212">
        <f t="shared" si="166"/>
        <v>0</v>
      </c>
      <c r="K1628" s="212">
        <f t="shared" si="166"/>
        <v>0</v>
      </c>
      <c r="L1628" s="212">
        <f t="shared" si="166"/>
        <v>0</v>
      </c>
      <c r="M1628" s="212">
        <f t="shared" si="166"/>
        <v>0</v>
      </c>
      <c r="N1628" s="212">
        <f t="shared" si="166"/>
        <v>0</v>
      </c>
      <c r="O1628" s="212">
        <f t="shared" si="166"/>
        <v>0</v>
      </c>
      <c r="P1628" s="155">
        <f t="shared" si="166"/>
        <v>0</v>
      </c>
      <c r="Q1628" s="407"/>
      <c r="R1628" s="407"/>
    </row>
    <row r="1629" spans="1:18" ht="12.75" x14ac:dyDescent="0.2">
      <c r="A1629" s="152">
        <v>6245000</v>
      </c>
      <c r="B1629" s="73"/>
      <c r="C1629" s="51" t="s">
        <v>1017</v>
      </c>
      <c r="D1629" s="89"/>
      <c r="E1629" s="89"/>
      <c r="F1629" s="89"/>
      <c r="G1629" s="89"/>
      <c r="H1629" s="89"/>
      <c r="I1629" s="89"/>
      <c r="J1629" s="212">
        <f t="shared" si="166"/>
        <v>0</v>
      </c>
      <c r="K1629" s="212">
        <f t="shared" si="166"/>
        <v>0</v>
      </c>
      <c r="L1629" s="212">
        <f t="shared" si="166"/>
        <v>0</v>
      </c>
      <c r="M1629" s="212">
        <f t="shared" si="166"/>
        <v>0</v>
      </c>
      <c r="N1629" s="212">
        <f t="shared" si="166"/>
        <v>0</v>
      </c>
      <c r="O1629" s="212">
        <f t="shared" si="166"/>
        <v>0</v>
      </c>
      <c r="P1629" s="155">
        <f t="shared" si="166"/>
        <v>0</v>
      </c>
      <c r="Q1629" s="407"/>
      <c r="R1629" s="407"/>
    </row>
    <row r="1630" spans="1:18" ht="12.75" x14ac:dyDescent="0.2">
      <c r="A1630" s="152">
        <v>6245000</v>
      </c>
      <c r="B1630" s="73"/>
      <c r="C1630" s="51" t="s">
        <v>1018</v>
      </c>
      <c r="D1630" s="89"/>
      <c r="E1630" s="89"/>
      <c r="F1630" s="89"/>
      <c r="G1630" s="89"/>
      <c r="H1630" s="89"/>
      <c r="I1630" s="89"/>
      <c r="J1630" s="212">
        <f t="shared" si="166"/>
        <v>0</v>
      </c>
      <c r="K1630" s="212">
        <f t="shared" si="166"/>
        <v>0</v>
      </c>
      <c r="L1630" s="212">
        <f t="shared" si="166"/>
        <v>0</v>
      </c>
      <c r="M1630" s="212">
        <f t="shared" si="166"/>
        <v>0</v>
      </c>
      <c r="N1630" s="212">
        <f t="shared" si="166"/>
        <v>0</v>
      </c>
      <c r="O1630" s="212">
        <f t="shared" si="166"/>
        <v>0</v>
      </c>
      <c r="P1630" s="155">
        <f t="shared" si="166"/>
        <v>0</v>
      </c>
      <c r="Q1630" s="407"/>
      <c r="R1630" s="407"/>
    </row>
    <row r="1631" spans="1:18" ht="12.75" x14ac:dyDescent="0.2">
      <c r="A1631" s="152">
        <v>6245000</v>
      </c>
      <c r="B1631" s="73"/>
      <c r="C1631" s="51" t="s">
        <v>928</v>
      </c>
      <c r="D1631" s="89"/>
      <c r="E1631" s="89"/>
      <c r="F1631" s="89"/>
      <c r="G1631" s="89"/>
      <c r="H1631" s="89"/>
      <c r="I1631" s="89"/>
      <c r="J1631" s="212">
        <f t="shared" si="166"/>
        <v>0</v>
      </c>
      <c r="K1631" s="212">
        <f t="shared" si="166"/>
        <v>0</v>
      </c>
      <c r="L1631" s="212">
        <f t="shared" si="166"/>
        <v>0</v>
      </c>
      <c r="M1631" s="212">
        <f t="shared" si="166"/>
        <v>0</v>
      </c>
      <c r="N1631" s="212">
        <f t="shared" si="166"/>
        <v>0</v>
      </c>
      <c r="O1631" s="212">
        <f t="shared" si="166"/>
        <v>0</v>
      </c>
      <c r="P1631" s="155">
        <f t="shared" si="166"/>
        <v>0</v>
      </c>
      <c r="Q1631" s="407"/>
      <c r="R1631" s="407"/>
    </row>
    <row r="1632" spans="1:18" ht="12.75" x14ac:dyDescent="0.2">
      <c r="A1632" s="152">
        <v>6245000</v>
      </c>
      <c r="B1632" s="73"/>
      <c r="C1632" s="51" t="s">
        <v>946</v>
      </c>
      <c r="D1632" s="89"/>
      <c r="E1632" s="89"/>
      <c r="F1632" s="89"/>
      <c r="G1632" s="89"/>
      <c r="H1632" s="89"/>
      <c r="I1632" s="89"/>
      <c r="J1632" s="212">
        <f t="shared" si="166"/>
        <v>0</v>
      </c>
      <c r="K1632" s="212">
        <f t="shared" si="166"/>
        <v>0</v>
      </c>
      <c r="L1632" s="212">
        <f t="shared" si="166"/>
        <v>0</v>
      </c>
      <c r="M1632" s="212">
        <f t="shared" si="166"/>
        <v>0</v>
      </c>
      <c r="N1632" s="212">
        <f t="shared" si="166"/>
        <v>0</v>
      </c>
      <c r="O1632" s="212">
        <f t="shared" si="166"/>
        <v>0</v>
      </c>
      <c r="P1632" s="155">
        <f t="shared" si="166"/>
        <v>0</v>
      </c>
      <c r="Q1632" s="407"/>
      <c r="R1632" s="407"/>
    </row>
    <row r="1633" spans="1:18" ht="12.75" x14ac:dyDescent="0.2">
      <c r="A1633" s="152">
        <v>6245000</v>
      </c>
      <c r="B1633" s="73"/>
      <c r="C1633" s="51" t="s">
        <v>947</v>
      </c>
      <c r="D1633" s="89"/>
      <c r="E1633" s="89"/>
      <c r="F1633" s="89"/>
      <c r="G1633" s="89"/>
      <c r="H1633" s="89"/>
      <c r="I1633" s="89"/>
      <c r="J1633" s="212">
        <f t="shared" ref="J1633:P1642" si="167">SUMIFS(J$26:J$180,$A$26:$A$180,$A1633,$C$26:$C$180,$C1633)</f>
        <v>0</v>
      </c>
      <c r="K1633" s="212">
        <f t="shared" si="167"/>
        <v>0</v>
      </c>
      <c r="L1633" s="212">
        <f t="shared" si="167"/>
        <v>0</v>
      </c>
      <c r="M1633" s="212">
        <f t="shared" si="167"/>
        <v>0</v>
      </c>
      <c r="N1633" s="212">
        <f t="shared" si="167"/>
        <v>0</v>
      </c>
      <c r="O1633" s="212">
        <f t="shared" si="167"/>
        <v>0</v>
      </c>
      <c r="P1633" s="155">
        <f t="shared" si="167"/>
        <v>0</v>
      </c>
      <c r="Q1633" s="407"/>
      <c r="R1633" s="407"/>
    </row>
    <row r="1634" spans="1:18" ht="12.75" x14ac:dyDescent="0.2">
      <c r="A1634" s="152">
        <v>6245000</v>
      </c>
      <c r="B1634" s="73"/>
      <c r="C1634" s="51" t="s">
        <v>1020</v>
      </c>
      <c r="D1634" s="89"/>
      <c r="E1634" s="89"/>
      <c r="F1634" s="89"/>
      <c r="G1634" s="89"/>
      <c r="H1634" s="89"/>
      <c r="I1634" s="89"/>
      <c r="J1634" s="212">
        <f t="shared" si="167"/>
        <v>0</v>
      </c>
      <c r="K1634" s="212">
        <f t="shared" si="167"/>
        <v>0</v>
      </c>
      <c r="L1634" s="212">
        <f t="shared" si="167"/>
        <v>0</v>
      </c>
      <c r="M1634" s="212">
        <f t="shared" si="167"/>
        <v>0</v>
      </c>
      <c r="N1634" s="212">
        <f t="shared" si="167"/>
        <v>0</v>
      </c>
      <c r="O1634" s="212">
        <f t="shared" si="167"/>
        <v>0</v>
      </c>
      <c r="P1634" s="155">
        <f t="shared" si="167"/>
        <v>0</v>
      </c>
      <c r="Q1634" s="407"/>
      <c r="R1634" s="407"/>
    </row>
    <row r="1635" spans="1:18" ht="12.75" x14ac:dyDescent="0.2">
      <c r="A1635" s="152">
        <v>6245000</v>
      </c>
      <c r="B1635" s="73"/>
      <c r="C1635" s="51" t="s">
        <v>1021</v>
      </c>
      <c r="D1635" s="89"/>
      <c r="E1635" s="89"/>
      <c r="F1635" s="89"/>
      <c r="G1635" s="89"/>
      <c r="H1635" s="89"/>
      <c r="I1635" s="89"/>
      <c r="J1635" s="212">
        <f t="shared" si="167"/>
        <v>0</v>
      </c>
      <c r="K1635" s="212">
        <f t="shared" si="167"/>
        <v>0</v>
      </c>
      <c r="L1635" s="212">
        <f t="shared" si="167"/>
        <v>0</v>
      </c>
      <c r="M1635" s="212">
        <f t="shared" si="167"/>
        <v>0</v>
      </c>
      <c r="N1635" s="212">
        <f t="shared" si="167"/>
        <v>0</v>
      </c>
      <c r="O1635" s="212">
        <f t="shared" si="167"/>
        <v>0</v>
      </c>
      <c r="P1635" s="155">
        <f t="shared" si="167"/>
        <v>0</v>
      </c>
      <c r="Q1635" s="407"/>
      <c r="R1635" s="407"/>
    </row>
    <row r="1636" spans="1:18" ht="12.75" x14ac:dyDescent="0.2">
      <c r="A1636" s="152">
        <v>6245000</v>
      </c>
      <c r="B1636" s="73"/>
      <c r="C1636" s="51" t="s">
        <v>489</v>
      </c>
      <c r="D1636" s="89"/>
      <c r="E1636" s="89"/>
      <c r="F1636" s="89"/>
      <c r="G1636" s="89"/>
      <c r="H1636" s="89"/>
      <c r="I1636" s="89"/>
      <c r="J1636" s="212">
        <f t="shared" si="167"/>
        <v>0</v>
      </c>
      <c r="K1636" s="212">
        <f t="shared" si="167"/>
        <v>0</v>
      </c>
      <c r="L1636" s="212">
        <f t="shared" si="167"/>
        <v>0</v>
      </c>
      <c r="M1636" s="212">
        <f t="shared" si="167"/>
        <v>0</v>
      </c>
      <c r="N1636" s="212">
        <f t="shared" si="167"/>
        <v>0</v>
      </c>
      <c r="O1636" s="212">
        <f t="shared" si="167"/>
        <v>0</v>
      </c>
      <c r="P1636" s="155">
        <f t="shared" si="167"/>
        <v>0</v>
      </c>
      <c r="Q1636" s="407"/>
      <c r="R1636" s="407"/>
    </row>
    <row r="1637" spans="1:18" ht="12.75" x14ac:dyDescent="0.2">
      <c r="A1637" s="152">
        <v>6245000</v>
      </c>
      <c r="B1637" s="73"/>
      <c r="C1637" s="51" t="s">
        <v>968</v>
      </c>
      <c r="D1637" s="89"/>
      <c r="E1637" s="89"/>
      <c r="F1637" s="89"/>
      <c r="G1637" s="89"/>
      <c r="H1637" s="89"/>
      <c r="I1637" s="89"/>
      <c r="J1637" s="212">
        <f t="shared" si="167"/>
        <v>0</v>
      </c>
      <c r="K1637" s="212">
        <f t="shared" si="167"/>
        <v>0</v>
      </c>
      <c r="L1637" s="212">
        <f t="shared" si="167"/>
        <v>0</v>
      </c>
      <c r="M1637" s="212">
        <f t="shared" si="167"/>
        <v>0</v>
      </c>
      <c r="N1637" s="212">
        <f t="shared" si="167"/>
        <v>0</v>
      </c>
      <c r="O1637" s="212">
        <f t="shared" si="167"/>
        <v>0</v>
      </c>
      <c r="P1637" s="155">
        <f t="shared" si="167"/>
        <v>0</v>
      </c>
      <c r="Q1637" s="407"/>
      <c r="R1637" s="407"/>
    </row>
    <row r="1638" spans="1:18" ht="12.75" x14ac:dyDescent="0.2">
      <c r="A1638" s="152">
        <v>6245000</v>
      </c>
      <c r="B1638" s="73"/>
      <c r="C1638" s="51" t="s">
        <v>98</v>
      </c>
      <c r="D1638" s="89"/>
      <c r="E1638" s="89"/>
      <c r="F1638" s="89"/>
      <c r="G1638" s="89"/>
      <c r="H1638" s="89"/>
      <c r="I1638" s="89"/>
      <c r="J1638" s="212">
        <f t="shared" si="167"/>
        <v>0</v>
      </c>
      <c r="K1638" s="212">
        <f t="shared" si="167"/>
        <v>0</v>
      </c>
      <c r="L1638" s="212">
        <f t="shared" si="167"/>
        <v>0</v>
      </c>
      <c r="M1638" s="212">
        <f t="shared" si="167"/>
        <v>0</v>
      </c>
      <c r="N1638" s="212">
        <f t="shared" si="167"/>
        <v>0</v>
      </c>
      <c r="O1638" s="212">
        <f t="shared" si="167"/>
        <v>0</v>
      </c>
      <c r="P1638" s="155">
        <f t="shared" si="167"/>
        <v>0</v>
      </c>
      <c r="Q1638" s="407"/>
      <c r="R1638" s="407"/>
    </row>
    <row r="1639" spans="1:18" ht="12.75" x14ac:dyDescent="0.2">
      <c r="A1639" s="152">
        <v>6245000</v>
      </c>
      <c r="B1639" s="73"/>
      <c r="C1639" s="51" t="s">
        <v>1048</v>
      </c>
      <c r="D1639" s="89"/>
      <c r="E1639" s="89"/>
      <c r="F1639" s="89"/>
      <c r="G1639" s="89"/>
      <c r="H1639" s="89"/>
      <c r="I1639" s="89"/>
      <c r="J1639" s="212">
        <f t="shared" si="167"/>
        <v>0</v>
      </c>
      <c r="K1639" s="212">
        <f t="shared" si="167"/>
        <v>0</v>
      </c>
      <c r="L1639" s="212">
        <f t="shared" si="167"/>
        <v>0</v>
      </c>
      <c r="M1639" s="212">
        <f t="shared" si="167"/>
        <v>0</v>
      </c>
      <c r="N1639" s="212">
        <f t="shared" si="167"/>
        <v>0</v>
      </c>
      <c r="O1639" s="212">
        <f t="shared" si="167"/>
        <v>0</v>
      </c>
      <c r="P1639" s="155">
        <f t="shared" si="167"/>
        <v>0</v>
      </c>
      <c r="Q1639" s="407"/>
      <c r="R1639" s="407"/>
    </row>
    <row r="1640" spans="1:18" ht="12.75" x14ac:dyDescent="0.2">
      <c r="A1640" s="152">
        <v>6245000</v>
      </c>
      <c r="B1640" s="73"/>
      <c r="C1640" s="51" t="s">
        <v>1030</v>
      </c>
      <c r="D1640" s="89"/>
      <c r="E1640" s="89"/>
      <c r="F1640" s="89"/>
      <c r="G1640" s="89"/>
      <c r="H1640" s="89"/>
      <c r="I1640" s="89"/>
      <c r="J1640" s="212">
        <f t="shared" si="167"/>
        <v>0</v>
      </c>
      <c r="K1640" s="212">
        <f t="shared" si="167"/>
        <v>0</v>
      </c>
      <c r="L1640" s="212">
        <f t="shared" si="167"/>
        <v>0</v>
      </c>
      <c r="M1640" s="212">
        <f t="shared" si="167"/>
        <v>0</v>
      </c>
      <c r="N1640" s="212">
        <f t="shared" si="167"/>
        <v>0</v>
      </c>
      <c r="O1640" s="212">
        <f t="shared" si="167"/>
        <v>0</v>
      </c>
      <c r="P1640" s="155">
        <f t="shared" si="167"/>
        <v>0</v>
      </c>
      <c r="Q1640" s="407"/>
      <c r="R1640" s="407"/>
    </row>
    <row r="1641" spans="1:18" ht="12.75" x14ac:dyDescent="0.2">
      <c r="A1641" s="152">
        <v>6245000</v>
      </c>
      <c r="B1641" s="73"/>
      <c r="C1641" s="51" t="s">
        <v>977</v>
      </c>
      <c r="D1641" s="89"/>
      <c r="E1641" s="89"/>
      <c r="F1641" s="89"/>
      <c r="G1641" s="89"/>
      <c r="H1641" s="89"/>
      <c r="I1641" s="89"/>
      <c r="J1641" s="212">
        <f t="shared" si="167"/>
        <v>0</v>
      </c>
      <c r="K1641" s="212">
        <f t="shared" si="167"/>
        <v>0</v>
      </c>
      <c r="L1641" s="212">
        <f t="shared" si="167"/>
        <v>0</v>
      </c>
      <c r="M1641" s="212">
        <f t="shared" si="167"/>
        <v>0</v>
      </c>
      <c r="N1641" s="212">
        <f t="shared" si="167"/>
        <v>0</v>
      </c>
      <c r="O1641" s="212">
        <f t="shared" si="167"/>
        <v>0</v>
      </c>
      <c r="P1641" s="155">
        <f t="shared" si="167"/>
        <v>0</v>
      </c>
      <c r="Q1641" s="407"/>
      <c r="R1641" s="407"/>
    </row>
    <row r="1642" spans="1:18" ht="12.75" x14ac:dyDescent="0.2">
      <c r="A1642" s="152">
        <v>6245000</v>
      </c>
      <c r="B1642" s="73"/>
      <c r="C1642" s="51" t="s">
        <v>99</v>
      </c>
      <c r="D1642" s="89"/>
      <c r="E1642" s="89"/>
      <c r="F1642" s="89"/>
      <c r="G1642" s="89"/>
      <c r="H1642" s="89"/>
      <c r="I1642" s="89"/>
      <c r="J1642" s="212">
        <f t="shared" si="167"/>
        <v>0</v>
      </c>
      <c r="K1642" s="212">
        <f t="shared" si="167"/>
        <v>0</v>
      </c>
      <c r="L1642" s="212">
        <f t="shared" si="167"/>
        <v>0</v>
      </c>
      <c r="M1642" s="212">
        <f t="shared" si="167"/>
        <v>0</v>
      </c>
      <c r="N1642" s="212">
        <f t="shared" si="167"/>
        <v>0</v>
      </c>
      <c r="O1642" s="212">
        <f t="shared" si="167"/>
        <v>0</v>
      </c>
      <c r="P1642" s="155">
        <f t="shared" si="167"/>
        <v>0</v>
      </c>
      <c r="Q1642" s="407"/>
      <c r="R1642" s="407"/>
    </row>
    <row r="1643" spans="1:18" ht="12.75" x14ac:dyDescent="0.2">
      <c r="A1643" s="152">
        <v>6245000</v>
      </c>
      <c r="B1643" s="73"/>
      <c r="C1643" s="51" t="s">
        <v>1047</v>
      </c>
      <c r="D1643" s="89"/>
      <c r="E1643" s="89"/>
      <c r="F1643" s="89"/>
      <c r="G1643" s="89"/>
      <c r="H1643" s="89"/>
      <c r="I1643" s="89"/>
      <c r="J1643" s="212">
        <f t="shared" ref="J1643:P1652" si="168">SUMIFS(J$26:J$180,$A$26:$A$180,$A1643,$C$26:$C$180,$C1643)</f>
        <v>0</v>
      </c>
      <c r="K1643" s="212">
        <f t="shared" si="168"/>
        <v>0</v>
      </c>
      <c r="L1643" s="212">
        <f t="shared" si="168"/>
        <v>0</v>
      </c>
      <c r="M1643" s="212">
        <f t="shared" si="168"/>
        <v>0</v>
      </c>
      <c r="N1643" s="212">
        <f t="shared" si="168"/>
        <v>0</v>
      </c>
      <c r="O1643" s="212">
        <f t="shared" si="168"/>
        <v>0</v>
      </c>
      <c r="P1643" s="155">
        <f t="shared" si="168"/>
        <v>0</v>
      </c>
      <c r="Q1643" s="407"/>
      <c r="R1643" s="407"/>
    </row>
    <row r="1644" spans="1:18" ht="12.75" x14ac:dyDescent="0.2">
      <c r="A1644" s="152">
        <v>6245000</v>
      </c>
      <c r="B1644" s="73"/>
      <c r="C1644" s="51" t="s">
        <v>1041</v>
      </c>
      <c r="D1644" s="89"/>
      <c r="E1644" s="89"/>
      <c r="F1644" s="89"/>
      <c r="G1644" s="89"/>
      <c r="H1644" s="89"/>
      <c r="I1644" s="89"/>
      <c r="J1644" s="212">
        <f t="shared" si="168"/>
        <v>0</v>
      </c>
      <c r="K1644" s="212">
        <f t="shared" si="168"/>
        <v>0</v>
      </c>
      <c r="L1644" s="212">
        <f t="shared" si="168"/>
        <v>0</v>
      </c>
      <c r="M1644" s="212">
        <f t="shared" si="168"/>
        <v>0</v>
      </c>
      <c r="N1644" s="212">
        <f t="shared" si="168"/>
        <v>0</v>
      </c>
      <c r="O1644" s="212">
        <f t="shared" si="168"/>
        <v>0</v>
      </c>
      <c r="P1644" s="155">
        <f t="shared" si="168"/>
        <v>0</v>
      </c>
      <c r="Q1644" s="407"/>
      <c r="R1644" s="407"/>
    </row>
    <row r="1645" spans="1:18" ht="12.75" x14ac:dyDescent="0.2">
      <c r="A1645" s="152">
        <v>6245000</v>
      </c>
      <c r="B1645" s="73"/>
      <c r="C1645" s="51" t="s">
        <v>102</v>
      </c>
      <c r="D1645" s="89"/>
      <c r="E1645" s="89"/>
      <c r="F1645" s="89"/>
      <c r="G1645" s="89"/>
      <c r="H1645" s="89"/>
      <c r="I1645" s="89"/>
      <c r="J1645" s="212">
        <f t="shared" si="168"/>
        <v>0</v>
      </c>
      <c r="K1645" s="212">
        <f t="shared" si="168"/>
        <v>0</v>
      </c>
      <c r="L1645" s="212">
        <f t="shared" si="168"/>
        <v>0</v>
      </c>
      <c r="M1645" s="212">
        <f t="shared" si="168"/>
        <v>0</v>
      </c>
      <c r="N1645" s="212">
        <f t="shared" si="168"/>
        <v>0</v>
      </c>
      <c r="O1645" s="212">
        <f t="shared" si="168"/>
        <v>0</v>
      </c>
      <c r="P1645" s="155">
        <f t="shared" si="168"/>
        <v>0</v>
      </c>
      <c r="Q1645" s="407"/>
      <c r="R1645" s="407"/>
    </row>
    <row r="1646" spans="1:18" ht="12.75" x14ac:dyDescent="0.2">
      <c r="A1646" s="152">
        <v>6245000</v>
      </c>
      <c r="B1646" s="73"/>
      <c r="C1646" s="51" t="s">
        <v>124</v>
      </c>
      <c r="D1646" s="89"/>
      <c r="E1646" s="89"/>
      <c r="F1646" s="89"/>
      <c r="G1646" s="89"/>
      <c r="H1646" s="89"/>
      <c r="I1646" s="89"/>
      <c r="J1646" s="212">
        <f t="shared" si="168"/>
        <v>0</v>
      </c>
      <c r="K1646" s="212">
        <f t="shared" si="168"/>
        <v>0</v>
      </c>
      <c r="L1646" s="212">
        <f t="shared" si="168"/>
        <v>0</v>
      </c>
      <c r="M1646" s="212">
        <f t="shared" si="168"/>
        <v>0</v>
      </c>
      <c r="N1646" s="212">
        <f t="shared" si="168"/>
        <v>0</v>
      </c>
      <c r="O1646" s="212">
        <f t="shared" si="168"/>
        <v>0</v>
      </c>
      <c r="P1646" s="155">
        <f t="shared" si="168"/>
        <v>0</v>
      </c>
      <c r="Q1646" s="407"/>
      <c r="R1646" s="407"/>
    </row>
    <row r="1647" spans="1:18" ht="12.75" x14ac:dyDescent="0.2">
      <c r="A1647" s="152">
        <v>6245000</v>
      </c>
      <c r="B1647" s="73"/>
      <c r="C1647" s="51" t="s">
        <v>103</v>
      </c>
      <c r="D1647" s="89"/>
      <c r="E1647" s="89"/>
      <c r="F1647" s="89"/>
      <c r="G1647" s="89"/>
      <c r="H1647" s="89"/>
      <c r="I1647" s="89"/>
      <c r="J1647" s="212">
        <f t="shared" si="168"/>
        <v>0</v>
      </c>
      <c r="K1647" s="212">
        <f t="shared" si="168"/>
        <v>0</v>
      </c>
      <c r="L1647" s="212">
        <f t="shared" si="168"/>
        <v>0</v>
      </c>
      <c r="M1647" s="212">
        <f t="shared" si="168"/>
        <v>0</v>
      </c>
      <c r="N1647" s="212">
        <f t="shared" si="168"/>
        <v>0</v>
      </c>
      <c r="O1647" s="212">
        <f t="shared" si="168"/>
        <v>0</v>
      </c>
      <c r="P1647" s="155">
        <f t="shared" si="168"/>
        <v>0</v>
      </c>
      <c r="Q1647" s="407"/>
      <c r="R1647" s="407"/>
    </row>
    <row r="1648" spans="1:18" ht="12.75" x14ac:dyDescent="0.2">
      <c r="A1648" s="152">
        <v>6245000</v>
      </c>
      <c r="B1648" s="73"/>
      <c r="C1648" s="51" t="s">
        <v>104</v>
      </c>
      <c r="D1648" s="89"/>
      <c r="E1648" s="89"/>
      <c r="F1648" s="89"/>
      <c r="G1648" s="89"/>
      <c r="H1648" s="89"/>
      <c r="I1648" s="89"/>
      <c r="J1648" s="212">
        <f t="shared" si="168"/>
        <v>0</v>
      </c>
      <c r="K1648" s="212">
        <f t="shared" si="168"/>
        <v>0</v>
      </c>
      <c r="L1648" s="212">
        <f t="shared" si="168"/>
        <v>0</v>
      </c>
      <c r="M1648" s="212">
        <f t="shared" si="168"/>
        <v>0</v>
      </c>
      <c r="N1648" s="212">
        <f t="shared" si="168"/>
        <v>0</v>
      </c>
      <c r="O1648" s="212">
        <f t="shared" si="168"/>
        <v>0</v>
      </c>
      <c r="P1648" s="155">
        <f t="shared" si="168"/>
        <v>0</v>
      </c>
      <c r="Q1648" s="407"/>
      <c r="R1648" s="407"/>
    </row>
    <row r="1649" spans="1:18" ht="12.75" x14ac:dyDescent="0.2">
      <c r="A1649" s="152">
        <v>6245000</v>
      </c>
      <c r="B1649" s="73"/>
      <c r="C1649" s="51" t="s">
        <v>491</v>
      </c>
      <c r="D1649" s="89"/>
      <c r="E1649" s="89"/>
      <c r="F1649" s="89"/>
      <c r="G1649" s="89"/>
      <c r="H1649" s="89"/>
      <c r="I1649" s="89"/>
      <c r="J1649" s="212">
        <f t="shared" si="168"/>
        <v>0</v>
      </c>
      <c r="K1649" s="212">
        <f t="shared" si="168"/>
        <v>0</v>
      </c>
      <c r="L1649" s="212">
        <f t="shared" si="168"/>
        <v>0</v>
      </c>
      <c r="M1649" s="212">
        <f t="shared" si="168"/>
        <v>0</v>
      </c>
      <c r="N1649" s="212">
        <f t="shared" si="168"/>
        <v>0</v>
      </c>
      <c r="O1649" s="212">
        <f t="shared" si="168"/>
        <v>0</v>
      </c>
      <c r="P1649" s="155">
        <f t="shared" si="168"/>
        <v>0</v>
      </c>
      <c r="Q1649" s="407"/>
      <c r="R1649" s="407"/>
    </row>
    <row r="1650" spans="1:18" ht="12.75" x14ac:dyDescent="0.2">
      <c r="A1650" s="152">
        <v>6245000</v>
      </c>
      <c r="B1650" s="73"/>
      <c r="C1650" s="51" t="s">
        <v>105</v>
      </c>
      <c r="D1650" s="89"/>
      <c r="E1650" s="89"/>
      <c r="F1650" s="89"/>
      <c r="G1650" s="89"/>
      <c r="H1650" s="89"/>
      <c r="I1650" s="89"/>
      <c r="J1650" s="212">
        <f t="shared" si="168"/>
        <v>0</v>
      </c>
      <c r="K1650" s="212">
        <f t="shared" si="168"/>
        <v>0</v>
      </c>
      <c r="L1650" s="212">
        <f t="shared" si="168"/>
        <v>0</v>
      </c>
      <c r="M1650" s="212">
        <f t="shared" si="168"/>
        <v>0</v>
      </c>
      <c r="N1650" s="212">
        <f t="shared" si="168"/>
        <v>0</v>
      </c>
      <c r="O1650" s="212">
        <f t="shared" si="168"/>
        <v>0</v>
      </c>
      <c r="P1650" s="155">
        <f t="shared" si="168"/>
        <v>0</v>
      </c>
      <c r="Q1650" s="407"/>
      <c r="R1650" s="407"/>
    </row>
    <row r="1651" spans="1:18" ht="12.75" x14ac:dyDescent="0.2">
      <c r="A1651" s="152">
        <v>6245000</v>
      </c>
      <c r="B1651" s="73"/>
      <c r="C1651" s="51" t="s">
        <v>129</v>
      </c>
      <c r="D1651" s="89"/>
      <c r="E1651" s="89"/>
      <c r="F1651" s="89"/>
      <c r="G1651" s="89"/>
      <c r="H1651" s="89"/>
      <c r="I1651" s="89"/>
      <c r="J1651" s="212">
        <f t="shared" si="168"/>
        <v>0</v>
      </c>
      <c r="K1651" s="212">
        <f t="shared" si="168"/>
        <v>0</v>
      </c>
      <c r="L1651" s="212">
        <f t="shared" si="168"/>
        <v>0</v>
      </c>
      <c r="M1651" s="212">
        <f t="shared" si="168"/>
        <v>0</v>
      </c>
      <c r="N1651" s="212">
        <f t="shared" si="168"/>
        <v>0</v>
      </c>
      <c r="O1651" s="212">
        <f t="shared" si="168"/>
        <v>0</v>
      </c>
      <c r="P1651" s="155">
        <f t="shared" si="168"/>
        <v>0</v>
      </c>
      <c r="Q1651" s="407"/>
      <c r="R1651" s="407"/>
    </row>
    <row r="1652" spans="1:18" ht="12.75" x14ac:dyDescent="0.2">
      <c r="A1652" s="152">
        <v>6245000</v>
      </c>
      <c r="B1652" s="73"/>
      <c r="C1652" s="51" t="s">
        <v>108</v>
      </c>
      <c r="D1652" s="89"/>
      <c r="E1652" s="89"/>
      <c r="F1652" s="89"/>
      <c r="G1652" s="89"/>
      <c r="H1652" s="89"/>
      <c r="I1652" s="89"/>
      <c r="J1652" s="212">
        <f t="shared" si="168"/>
        <v>2000</v>
      </c>
      <c r="K1652" s="212">
        <f t="shared" si="168"/>
        <v>0</v>
      </c>
      <c r="L1652" s="212">
        <f t="shared" si="168"/>
        <v>0</v>
      </c>
      <c r="M1652" s="212">
        <f t="shared" si="168"/>
        <v>0</v>
      </c>
      <c r="N1652" s="212">
        <f t="shared" si="168"/>
        <v>0</v>
      </c>
      <c r="O1652" s="212">
        <f t="shared" si="168"/>
        <v>0</v>
      </c>
      <c r="P1652" s="155">
        <f t="shared" si="168"/>
        <v>2000</v>
      </c>
      <c r="Q1652" s="407"/>
      <c r="R1652" s="407"/>
    </row>
    <row r="1653" spans="1:18" ht="12.75" x14ac:dyDescent="0.2">
      <c r="A1653" s="152">
        <v>6245000</v>
      </c>
      <c r="B1653" s="73"/>
      <c r="C1653" s="51" t="s">
        <v>119</v>
      </c>
      <c r="D1653" s="89"/>
      <c r="E1653" s="89"/>
      <c r="F1653" s="89"/>
      <c r="G1653" s="89"/>
      <c r="H1653" s="89"/>
      <c r="I1653" s="89"/>
      <c r="J1653" s="212">
        <f t="shared" ref="J1653:P1662" si="169">SUMIFS(J$26:J$180,$A$26:$A$180,$A1653,$C$26:$C$180,$C1653)</f>
        <v>0</v>
      </c>
      <c r="K1653" s="212">
        <f t="shared" si="169"/>
        <v>0</v>
      </c>
      <c r="L1653" s="212">
        <f t="shared" si="169"/>
        <v>0</v>
      </c>
      <c r="M1653" s="212">
        <f t="shared" si="169"/>
        <v>0</v>
      </c>
      <c r="N1653" s="212">
        <f t="shared" si="169"/>
        <v>0</v>
      </c>
      <c r="O1653" s="212">
        <f t="shared" si="169"/>
        <v>0</v>
      </c>
      <c r="P1653" s="155">
        <f t="shared" si="169"/>
        <v>0</v>
      </c>
      <c r="Q1653" s="407"/>
      <c r="R1653" s="407"/>
    </row>
    <row r="1654" spans="1:18" ht="12.75" x14ac:dyDescent="0.2">
      <c r="A1654" s="152">
        <v>6245000</v>
      </c>
      <c r="B1654" s="73"/>
      <c r="C1654" s="51" t="s">
        <v>954</v>
      </c>
      <c r="D1654" s="89"/>
      <c r="E1654" s="89"/>
      <c r="F1654" s="89"/>
      <c r="G1654" s="89"/>
      <c r="H1654" s="89"/>
      <c r="I1654" s="89"/>
      <c r="J1654" s="212">
        <f t="shared" si="169"/>
        <v>0</v>
      </c>
      <c r="K1654" s="212">
        <f t="shared" si="169"/>
        <v>0</v>
      </c>
      <c r="L1654" s="212">
        <f t="shared" si="169"/>
        <v>0</v>
      </c>
      <c r="M1654" s="212">
        <f t="shared" si="169"/>
        <v>0</v>
      </c>
      <c r="N1654" s="212">
        <f t="shared" si="169"/>
        <v>0</v>
      </c>
      <c r="O1654" s="212">
        <f t="shared" si="169"/>
        <v>0</v>
      </c>
      <c r="P1654" s="155">
        <f t="shared" si="169"/>
        <v>0</v>
      </c>
      <c r="Q1654" s="407"/>
      <c r="R1654" s="407"/>
    </row>
    <row r="1655" spans="1:18" ht="12.75" x14ac:dyDescent="0.2">
      <c r="A1655" s="152">
        <v>6245000</v>
      </c>
      <c r="B1655" s="73"/>
      <c r="C1655" s="51" t="s">
        <v>1031</v>
      </c>
      <c r="D1655" s="89"/>
      <c r="E1655" s="89"/>
      <c r="F1655" s="89"/>
      <c r="G1655" s="89"/>
      <c r="H1655" s="89"/>
      <c r="I1655" s="89"/>
      <c r="J1655" s="212">
        <f t="shared" si="169"/>
        <v>0</v>
      </c>
      <c r="K1655" s="212">
        <f t="shared" si="169"/>
        <v>0</v>
      </c>
      <c r="L1655" s="212">
        <f t="shared" si="169"/>
        <v>0</v>
      </c>
      <c r="M1655" s="212">
        <f t="shared" si="169"/>
        <v>0</v>
      </c>
      <c r="N1655" s="212">
        <f t="shared" si="169"/>
        <v>0</v>
      </c>
      <c r="O1655" s="212">
        <f t="shared" si="169"/>
        <v>0</v>
      </c>
      <c r="P1655" s="155">
        <f t="shared" si="169"/>
        <v>0</v>
      </c>
      <c r="Q1655" s="407"/>
      <c r="R1655" s="407"/>
    </row>
    <row r="1656" spans="1:18" ht="12.75" x14ac:dyDescent="0.2">
      <c r="A1656" s="152">
        <v>6245000</v>
      </c>
      <c r="B1656" s="73"/>
      <c r="C1656" s="51" t="s">
        <v>1009</v>
      </c>
      <c r="D1656" s="89"/>
      <c r="E1656" s="89"/>
      <c r="F1656" s="89"/>
      <c r="G1656" s="89"/>
      <c r="H1656" s="89"/>
      <c r="I1656" s="89"/>
      <c r="J1656" s="212">
        <f t="shared" si="169"/>
        <v>0</v>
      </c>
      <c r="K1656" s="212">
        <f t="shared" si="169"/>
        <v>0</v>
      </c>
      <c r="L1656" s="212">
        <f t="shared" si="169"/>
        <v>0</v>
      </c>
      <c r="M1656" s="212">
        <f t="shared" si="169"/>
        <v>0</v>
      </c>
      <c r="N1656" s="212">
        <f t="shared" si="169"/>
        <v>0</v>
      </c>
      <c r="O1656" s="212">
        <f t="shared" si="169"/>
        <v>0</v>
      </c>
      <c r="P1656" s="155">
        <f t="shared" si="169"/>
        <v>0</v>
      </c>
      <c r="Q1656" s="407"/>
      <c r="R1656" s="407"/>
    </row>
    <row r="1657" spans="1:18" ht="12.75" x14ac:dyDescent="0.2">
      <c r="A1657" s="152">
        <v>6245000</v>
      </c>
      <c r="B1657" s="73"/>
      <c r="C1657" s="51" t="s">
        <v>107</v>
      </c>
      <c r="D1657" s="89"/>
      <c r="E1657" s="89"/>
      <c r="F1657" s="89"/>
      <c r="G1657" s="89"/>
      <c r="H1657" s="89"/>
      <c r="I1657" s="89"/>
      <c r="J1657" s="212">
        <f t="shared" si="169"/>
        <v>0</v>
      </c>
      <c r="K1657" s="212">
        <f t="shared" si="169"/>
        <v>0</v>
      </c>
      <c r="L1657" s="212">
        <f t="shared" si="169"/>
        <v>0</v>
      </c>
      <c r="M1657" s="212">
        <f t="shared" si="169"/>
        <v>0</v>
      </c>
      <c r="N1657" s="212">
        <f t="shared" si="169"/>
        <v>0</v>
      </c>
      <c r="O1657" s="212">
        <f t="shared" si="169"/>
        <v>0</v>
      </c>
      <c r="P1657" s="155">
        <f t="shared" si="169"/>
        <v>0</v>
      </c>
      <c r="Q1657" s="407"/>
      <c r="R1657" s="407"/>
    </row>
    <row r="1658" spans="1:18" ht="12.75" x14ac:dyDescent="0.2">
      <c r="A1658" s="152">
        <v>6245000</v>
      </c>
      <c r="B1658" s="73"/>
      <c r="C1658" s="51" t="s">
        <v>1026</v>
      </c>
      <c r="D1658" s="89"/>
      <c r="E1658" s="89"/>
      <c r="F1658" s="89"/>
      <c r="G1658" s="89"/>
      <c r="H1658" s="89"/>
      <c r="I1658" s="89"/>
      <c r="J1658" s="212">
        <f t="shared" si="169"/>
        <v>0</v>
      </c>
      <c r="K1658" s="212">
        <f t="shared" si="169"/>
        <v>0</v>
      </c>
      <c r="L1658" s="212">
        <f t="shared" si="169"/>
        <v>0</v>
      </c>
      <c r="M1658" s="212">
        <f t="shared" si="169"/>
        <v>0</v>
      </c>
      <c r="N1658" s="212">
        <f t="shared" si="169"/>
        <v>0</v>
      </c>
      <c r="O1658" s="212">
        <f t="shared" si="169"/>
        <v>0</v>
      </c>
      <c r="P1658" s="155">
        <f t="shared" si="169"/>
        <v>0</v>
      </c>
      <c r="Q1658" s="407"/>
      <c r="R1658" s="407"/>
    </row>
    <row r="1659" spans="1:18" ht="12.75" x14ac:dyDescent="0.2">
      <c r="A1659" s="152">
        <v>6245000</v>
      </c>
      <c r="B1659" s="73"/>
      <c r="C1659" s="51" t="s">
        <v>1027</v>
      </c>
      <c r="D1659" s="89"/>
      <c r="E1659" s="89"/>
      <c r="F1659" s="89"/>
      <c r="G1659" s="89"/>
      <c r="H1659" s="89"/>
      <c r="I1659" s="89"/>
      <c r="J1659" s="212">
        <f t="shared" si="169"/>
        <v>0</v>
      </c>
      <c r="K1659" s="212">
        <f t="shared" si="169"/>
        <v>0</v>
      </c>
      <c r="L1659" s="212">
        <f t="shared" si="169"/>
        <v>0</v>
      </c>
      <c r="M1659" s="212">
        <f t="shared" si="169"/>
        <v>0</v>
      </c>
      <c r="N1659" s="212">
        <f t="shared" si="169"/>
        <v>0</v>
      </c>
      <c r="O1659" s="212">
        <f t="shared" si="169"/>
        <v>0</v>
      </c>
      <c r="P1659" s="155">
        <f t="shared" si="169"/>
        <v>0</v>
      </c>
      <c r="Q1659" s="407"/>
      <c r="R1659" s="407"/>
    </row>
    <row r="1660" spans="1:18" ht="12.75" x14ac:dyDescent="0.2">
      <c r="A1660" s="152">
        <v>6245000</v>
      </c>
      <c r="B1660" s="73"/>
      <c r="C1660" s="51" t="s">
        <v>955</v>
      </c>
      <c r="D1660" s="89"/>
      <c r="E1660" s="89"/>
      <c r="F1660" s="89"/>
      <c r="G1660" s="89"/>
      <c r="H1660" s="89"/>
      <c r="I1660" s="89"/>
      <c r="J1660" s="212">
        <f t="shared" si="169"/>
        <v>0</v>
      </c>
      <c r="K1660" s="212">
        <f t="shared" si="169"/>
        <v>0</v>
      </c>
      <c r="L1660" s="212">
        <f t="shared" si="169"/>
        <v>0</v>
      </c>
      <c r="M1660" s="212">
        <f t="shared" si="169"/>
        <v>0</v>
      </c>
      <c r="N1660" s="212">
        <f t="shared" si="169"/>
        <v>0</v>
      </c>
      <c r="O1660" s="212">
        <f t="shared" si="169"/>
        <v>0</v>
      </c>
      <c r="P1660" s="155">
        <f t="shared" si="169"/>
        <v>0</v>
      </c>
      <c r="Q1660" s="407"/>
      <c r="R1660" s="407"/>
    </row>
    <row r="1661" spans="1:18" ht="12.75" x14ac:dyDescent="0.2">
      <c r="A1661" s="152">
        <v>6245000</v>
      </c>
      <c r="B1661" s="73"/>
      <c r="C1661" s="51" t="s">
        <v>958</v>
      </c>
      <c r="D1661" s="89"/>
      <c r="E1661" s="89"/>
      <c r="F1661" s="89"/>
      <c r="G1661" s="89"/>
      <c r="H1661" s="89"/>
      <c r="I1661" s="89"/>
      <c r="J1661" s="212">
        <f t="shared" si="169"/>
        <v>0</v>
      </c>
      <c r="K1661" s="212">
        <f t="shared" si="169"/>
        <v>0</v>
      </c>
      <c r="L1661" s="212">
        <f t="shared" si="169"/>
        <v>0</v>
      </c>
      <c r="M1661" s="212">
        <f t="shared" si="169"/>
        <v>0</v>
      </c>
      <c r="N1661" s="212">
        <f t="shared" si="169"/>
        <v>0</v>
      </c>
      <c r="O1661" s="212">
        <f t="shared" si="169"/>
        <v>0</v>
      </c>
      <c r="P1661" s="155">
        <f t="shared" si="169"/>
        <v>0</v>
      </c>
      <c r="Q1661" s="407"/>
      <c r="R1661" s="407"/>
    </row>
    <row r="1662" spans="1:18" ht="12.75" x14ac:dyDescent="0.2">
      <c r="A1662" s="152">
        <v>6245000</v>
      </c>
      <c r="B1662" s="73"/>
      <c r="C1662" s="51" t="s">
        <v>1032</v>
      </c>
      <c r="D1662" s="89"/>
      <c r="E1662" s="89"/>
      <c r="F1662" s="89"/>
      <c r="G1662" s="89"/>
      <c r="H1662" s="89"/>
      <c r="I1662" s="89"/>
      <c r="J1662" s="212">
        <f t="shared" si="169"/>
        <v>0</v>
      </c>
      <c r="K1662" s="212">
        <f t="shared" si="169"/>
        <v>0</v>
      </c>
      <c r="L1662" s="212">
        <f t="shared" si="169"/>
        <v>0</v>
      </c>
      <c r="M1662" s="212">
        <f t="shared" si="169"/>
        <v>0</v>
      </c>
      <c r="N1662" s="212">
        <f t="shared" si="169"/>
        <v>0</v>
      </c>
      <c r="O1662" s="212">
        <f t="shared" si="169"/>
        <v>0</v>
      </c>
      <c r="P1662" s="155">
        <f t="shared" si="169"/>
        <v>0</v>
      </c>
      <c r="Q1662" s="407"/>
      <c r="R1662" s="407"/>
    </row>
    <row r="1663" spans="1:18" ht="12.75" x14ac:dyDescent="0.2">
      <c r="A1663" s="152">
        <v>6245000</v>
      </c>
      <c r="B1663" s="73"/>
      <c r="C1663" s="51" t="s">
        <v>109</v>
      </c>
      <c r="D1663" s="89"/>
      <c r="E1663" s="89"/>
      <c r="F1663" s="89"/>
      <c r="G1663" s="89"/>
      <c r="H1663" s="89"/>
      <c r="I1663" s="89"/>
      <c r="J1663" s="212">
        <f t="shared" ref="J1663:P1668" si="170">SUMIFS(J$26:J$180,$A$26:$A$180,$A1663,$C$26:$C$180,$C1663)</f>
        <v>0</v>
      </c>
      <c r="K1663" s="212">
        <f t="shared" si="170"/>
        <v>0</v>
      </c>
      <c r="L1663" s="212">
        <f t="shared" si="170"/>
        <v>0</v>
      </c>
      <c r="M1663" s="212">
        <f t="shared" si="170"/>
        <v>0</v>
      </c>
      <c r="N1663" s="212">
        <f t="shared" si="170"/>
        <v>0</v>
      </c>
      <c r="O1663" s="212">
        <f t="shared" si="170"/>
        <v>0</v>
      </c>
      <c r="P1663" s="155">
        <f t="shared" si="170"/>
        <v>0</v>
      </c>
      <c r="Q1663" s="407"/>
      <c r="R1663" s="407"/>
    </row>
    <row r="1664" spans="1:18" ht="12.75" x14ac:dyDescent="0.2">
      <c r="A1664" s="152">
        <v>6245000</v>
      </c>
      <c r="B1664" s="73"/>
      <c r="C1664" s="51" t="s">
        <v>966</v>
      </c>
      <c r="D1664" s="89"/>
      <c r="E1664" s="89"/>
      <c r="F1664" s="89"/>
      <c r="G1664" s="89"/>
      <c r="H1664" s="89"/>
      <c r="I1664" s="89"/>
      <c r="J1664" s="212">
        <f t="shared" si="170"/>
        <v>0</v>
      </c>
      <c r="K1664" s="212">
        <f t="shared" si="170"/>
        <v>0</v>
      </c>
      <c r="L1664" s="212">
        <f t="shared" si="170"/>
        <v>0</v>
      </c>
      <c r="M1664" s="212">
        <f t="shared" si="170"/>
        <v>0</v>
      </c>
      <c r="N1664" s="212">
        <f t="shared" si="170"/>
        <v>0</v>
      </c>
      <c r="O1664" s="212">
        <f t="shared" si="170"/>
        <v>0</v>
      </c>
      <c r="P1664" s="155">
        <f t="shared" si="170"/>
        <v>0</v>
      </c>
      <c r="Q1664" s="407"/>
      <c r="R1664" s="407"/>
    </row>
    <row r="1665" spans="1:18" ht="12.75" x14ac:dyDescent="0.2">
      <c r="A1665" s="152">
        <v>6245000</v>
      </c>
      <c r="B1665" s="73"/>
      <c r="C1665" s="51" t="s">
        <v>981</v>
      </c>
      <c r="D1665" s="89"/>
      <c r="E1665" s="89"/>
      <c r="F1665" s="89"/>
      <c r="G1665" s="89"/>
      <c r="H1665" s="89"/>
      <c r="I1665" s="89"/>
      <c r="J1665" s="212">
        <f t="shared" si="170"/>
        <v>0</v>
      </c>
      <c r="K1665" s="212">
        <f t="shared" si="170"/>
        <v>0</v>
      </c>
      <c r="L1665" s="212">
        <f t="shared" si="170"/>
        <v>0</v>
      </c>
      <c r="M1665" s="212">
        <f t="shared" si="170"/>
        <v>0</v>
      </c>
      <c r="N1665" s="212">
        <f t="shared" si="170"/>
        <v>0</v>
      </c>
      <c r="O1665" s="212">
        <f t="shared" si="170"/>
        <v>0</v>
      </c>
      <c r="P1665" s="155">
        <f t="shared" si="170"/>
        <v>0</v>
      </c>
      <c r="Q1665" s="407"/>
      <c r="R1665" s="407"/>
    </row>
    <row r="1666" spans="1:18" ht="12.75" x14ac:dyDescent="0.2">
      <c r="A1666" s="152">
        <v>6245000</v>
      </c>
      <c r="B1666" s="73"/>
      <c r="C1666" s="51" t="s">
        <v>963</v>
      </c>
      <c r="D1666" s="89"/>
      <c r="E1666" s="89"/>
      <c r="F1666" s="89"/>
      <c r="G1666" s="89"/>
      <c r="H1666" s="89"/>
      <c r="I1666" s="89"/>
      <c r="J1666" s="212">
        <f t="shared" si="170"/>
        <v>0</v>
      </c>
      <c r="K1666" s="212">
        <f t="shared" si="170"/>
        <v>0</v>
      </c>
      <c r="L1666" s="212">
        <f t="shared" si="170"/>
        <v>0</v>
      </c>
      <c r="M1666" s="212">
        <f t="shared" si="170"/>
        <v>0</v>
      </c>
      <c r="N1666" s="212">
        <f t="shared" si="170"/>
        <v>0</v>
      </c>
      <c r="O1666" s="212">
        <f t="shared" si="170"/>
        <v>0</v>
      </c>
      <c r="P1666" s="155">
        <f t="shared" si="170"/>
        <v>0</v>
      </c>
      <c r="Q1666" s="407"/>
      <c r="R1666" s="407"/>
    </row>
    <row r="1667" spans="1:18" ht="12.75" x14ac:dyDescent="0.2">
      <c r="A1667" s="152">
        <v>6245000</v>
      </c>
      <c r="B1667" s="73"/>
      <c r="C1667" s="51" t="s">
        <v>120</v>
      </c>
      <c r="D1667" s="89"/>
      <c r="E1667" s="89"/>
      <c r="F1667" s="89"/>
      <c r="G1667" s="89"/>
      <c r="H1667" s="89"/>
      <c r="I1667" s="89"/>
      <c r="J1667" s="212">
        <f t="shared" si="170"/>
        <v>0</v>
      </c>
      <c r="K1667" s="212">
        <f t="shared" si="170"/>
        <v>0</v>
      </c>
      <c r="L1667" s="212">
        <f t="shared" si="170"/>
        <v>4000</v>
      </c>
      <c r="M1667" s="212">
        <f t="shared" si="170"/>
        <v>0</v>
      </c>
      <c r="N1667" s="212">
        <f t="shared" si="170"/>
        <v>0</v>
      </c>
      <c r="O1667" s="212">
        <f t="shared" si="170"/>
        <v>0</v>
      </c>
      <c r="P1667" s="155">
        <f t="shared" si="170"/>
        <v>4000</v>
      </c>
      <c r="Q1667" s="407"/>
      <c r="R1667" s="407"/>
    </row>
    <row r="1668" spans="1:18" ht="12.75" x14ac:dyDescent="0.2">
      <c r="A1668" s="152">
        <v>6245000</v>
      </c>
      <c r="B1668" s="73"/>
      <c r="C1668" s="51" t="s">
        <v>989</v>
      </c>
      <c r="D1668" s="89"/>
      <c r="E1668" s="89"/>
      <c r="F1668" s="89"/>
      <c r="G1668" s="89"/>
      <c r="H1668" s="89"/>
      <c r="I1668" s="89"/>
      <c r="J1668" s="212">
        <f t="shared" si="170"/>
        <v>0</v>
      </c>
      <c r="K1668" s="212">
        <f t="shared" si="170"/>
        <v>0</v>
      </c>
      <c r="L1668" s="212">
        <f t="shared" si="170"/>
        <v>0</v>
      </c>
      <c r="M1668" s="212">
        <f t="shared" si="170"/>
        <v>0</v>
      </c>
      <c r="N1668" s="212">
        <f t="shared" si="170"/>
        <v>0</v>
      </c>
      <c r="O1668" s="212">
        <f t="shared" si="170"/>
        <v>0</v>
      </c>
      <c r="P1668" s="155">
        <f t="shared" si="170"/>
        <v>0</v>
      </c>
    </row>
    <row r="1669" spans="1:18" ht="15.75" thickBot="1" x14ac:dyDescent="0.3">
      <c r="A1669" s="235"/>
      <c r="D1669" s="235"/>
      <c r="E1669" s="235"/>
      <c r="F1669" s="235"/>
      <c r="G1669" s="235"/>
      <c r="H1669" s="235"/>
      <c r="I1669" s="235"/>
      <c r="J1669" s="235"/>
      <c r="K1669" s="235"/>
      <c r="L1669" s="235"/>
      <c r="M1669" s="235"/>
      <c r="N1669" s="235"/>
      <c r="O1669" s="235"/>
      <c r="P1669" s="235"/>
    </row>
    <row r="1670" spans="1:18" ht="15.75" thickBot="1" x14ac:dyDescent="0.3">
      <c r="A1670" s="148"/>
      <c r="B1670" s="149"/>
      <c r="C1670" s="149"/>
      <c r="D1670" s="148"/>
      <c r="E1670" s="148"/>
      <c r="F1670" s="148"/>
      <c r="G1670" s="148"/>
      <c r="H1670" s="148"/>
      <c r="I1670" s="148"/>
      <c r="J1670" s="160">
        <f t="shared" ref="J1670:P1670" si="171">J181-SUM(J353:J1668)</f>
        <v>0</v>
      </c>
      <c r="K1670" s="160">
        <f t="shared" si="171"/>
        <v>0</v>
      </c>
      <c r="L1670" s="160">
        <f t="shared" si="171"/>
        <v>0</v>
      </c>
      <c r="M1670" s="160">
        <f t="shared" si="171"/>
        <v>0</v>
      </c>
      <c r="N1670" s="160">
        <f t="shared" si="171"/>
        <v>0</v>
      </c>
      <c r="O1670" s="160">
        <f t="shared" si="171"/>
        <v>0</v>
      </c>
      <c r="P1670" s="160">
        <f t="shared" si="171"/>
        <v>0</v>
      </c>
    </row>
  </sheetData>
  <autoFilter ref="A25:P321"/>
  <sortState ref="A55:R329">
    <sortCondition ref="B55:B329"/>
  </sortState>
  <mergeCells count="2">
    <mergeCell ref="F1:L1"/>
    <mergeCell ref="M1:P1"/>
  </mergeCells>
  <dataValidations count="13">
    <dataValidation allowBlank="1" showInputMessage="1" showErrorMessage="1" promptTitle="Contract End Date" prompt="Enter the Contract End Date" sqref="H181"/>
    <dataValidation allowBlank="1" showInputMessage="1" showErrorMessage="1" promptTitle="Contract Start Date" prompt="Enter the Contract Start Date." sqref="G181"/>
    <dataValidation allowBlank="1" showInputMessage="1" showErrorMessage="1" promptTitle="Old Contractor" prompt="Enter the old contractor's name if applicable." sqref="D181"/>
    <dataValidation type="list" allowBlank="1" showInputMessage="1" showErrorMessage="1" errorTitle="Error" error="You must choose Yes or No." promptTitle="Existing Contract" prompt="Yes or No" sqref="I181">
      <formula1>Existing</formula1>
    </dataValidation>
    <dataValidation type="date" errorStyle="warning" allowBlank="1" showInputMessage="1" showErrorMessage="1" errorTitle="Correct Start Date" error="Enter a valid date." promptTitle="Travel Start Date" prompt="Enter a start date for each trip per employee." sqref="H26 G26:G180">
      <formula1>42541</formula1>
      <formula2>42916</formula2>
    </dataValidation>
    <dataValidation type="list" allowBlank="1" showInputMessage="1" showErrorMessage="1" errorTitle="Error" error="You must choose a budget unit from the list." promptTitle="Budget Unit" prompt="Choose the appropriate budget unit. Env Review has been combined with Compliance and Facilities/Fleet has been combined with Operations Admin." sqref="B305 B185 B205 B225 B245 B265 B285 B26:B98 B100:B180">
      <formula1>Budgets</formula1>
    </dataValidation>
    <dataValidation type="list" allowBlank="1" showInputMessage="1" showErrorMessage="1" errorTitle="Error" error="You must choose Yes or No." promptTitle="NCHSA Event" prompt="Yes or No" sqref="I26:I91 I98:I180">
      <formula1>ContractStatus</formula1>
    </dataValidation>
    <dataValidation type="list" allowBlank="1" showInputMessage="1" showErrorMessage="1" errorTitle="Error" error="You must choose Yes or No." promptTitle="NCHSA Event" prompt="Yes or No" sqref="I92:I97">
      <formula1>Existing</formula1>
    </dataValidation>
    <dataValidation type="list" allowBlank="1" showInputMessage="1" showErrorMessage="1" errorTitle="Error" error="You must choose a funding source from the list." promptTitle="Funding Source" prompt="Choose the appropriate funding source." sqref="C26:C180">
      <formula1>Funding</formula1>
    </dataValidation>
    <dataValidation type="list" allowBlank="1" showInputMessage="1" showErrorMessage="1" promptTitle="Employee" prompt="Enter the employee traveling." sqref="D26:D180">
      <formula1>Employees</formula1>
    </dataValidation>
    <dataValidation allowBlank="1" showInputMessage="1" showErrorMessage="1" promptTitle="GL Account" prompt="6210000 - In-state Mtgs &amp; Monitoring_x000a_6212000 - In-state Employee Development_x000a_6215000 - In-state NCSHA_x000a_6220000 - Out-of-state Meetings_x000a_6222000 - Out-of-state Employee Development_x000a_6235000 - Out-of-state NCSHA_x000a_6245000 - Certifications" sqref="A26:A180"/>
    <dataValidation type="date" errorStyle="warning" allowBlank="1" showInputMessage="1" showErrorMessage="1" errorTitle="Valid Date" error="Enter a valid date." promptTitle="Travel End Date" prompt="Enter the date the traveller will return from travel status." sqref="H27:H180">
      <formula1>42546</formula1>
      <formula2>42558</formula2>
    </dataValidation>
    <dataValidation allowBlank="1" showInputMessage="1" showErrorMessage="1" promptTitle="City and State" prompt="Please indicate the City and State of the destination/event." sqref="F26:F180"/>
  </dataValidations>
  <pageMargins left="0.7" right="0.7" top="0.75" bottom="0.75" header="0.3" footer="0.3"/>
  <pageSetup scale="6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317"/>
  <sheetViews>
    <sheetView topLeftCell="B1" zoomScale="87" zoomScaleNormal="87" zoomScaleSheetLayoutView="100" workbookViewId="0">
      <pane xSplit="3" ySplit="28" topLeftCell="E29" activePane="bottomRight" state="frozen"/>
      <selection activeCell="B1" sqref="B1"/>
      <selection pane="topRight" activeCell="E1" sqref="E1"/>
      <selection pane="bottomLeft" activeCell="B29" sqref="B29"/>
      <selection pane="bottomRight" activeCell="D43" sqref="D43"/>
    </sheetView>
  </sheetViews>
  <sheetFormatPr defaultColWidth="12.28515625" defaultRowHeight="15" x14ac:dyDescent="0.25"/>
  <cols>
    <col min="1" max="1" width="12.28515625" style="4"/>
    <col min="2" max="2" width="43.5703125" style="3" customWidth="1"/>
    <col min="3" max="3" width="26.5703125" style="3" customWidth="1"/>
    <col min="4" max="4" width="42.5703125" style="4" customWidth="1"/>
    <col min="5" max="5" width="30.7109375" style="4" customWidth="1"/>
    <col min="6" max="8" width="12.28515625" style="4"/>
    <col min="9" max="13" width="0" style="4" hidden="1" customWidth="1"/>
    <col min="14" max="14" width="19" style="4" customWidth="1"/>
    <col min="15" max="16384" width="12.28515625" style="4"/>
  </cols>
  <sheetData>
    <row r="1" spans="1:18" ht="18.75" x14ac:dyDescent="0.3">
      <c r="B1" s="14" t="s">
        <v>407</v>
      </c>
      <c r="D1" s="3"/>
      <c r="E1" s="3"/>
      <c r="F1" s="3"/>
      <c r="G1" s="3"/>
      <c r="H1" s="3"/>
      <c r="I1" s="3"/>
      <c r="J1" s="3"/>
      <c r="K1" s="3"/>
      <c r="L1" s="3"/>
      <c r="M1" s="3"/>
      <c r="N1" s="3"/>
      <c r="O1" s="3"/>
    </row>
    <row r="2" spans="1:18" ht="19.5" thickBot="1" x14ac:dyDescent="0.35">
      <c r="B2" s="14"/>
      <c r="D2" s="3"/>
      <c r="E2" s="3"/>
      <c r="F2" s="3"/>
      <c r="G2" s="3"/>
      <c r="H2" s="3"/>
      <c r="I2" s="3"/>
      <c r="J2" s="3"/>
      <c r="K2" s="3"/>
      <c r="L2" s="3"/>
      <c r="M2" s="3"/>
      <c r="N2" s="3"/>
      <c r="O2" s="3"/>
      <c r="P2" s="3"/>
      <c r="Q2" s="3"/>
      <c r="R2" s="3"/>
    </row>
    <row r="3" spans="1:18" customFormat="1" ht="15" customHeight="1" x14ac:dyDescent="0.3">
      <c r="A3" s="4"/>
      <c r="B3" s="61" t="str">
        <f>HR!C3</f>
        <v>Total FY 2026 Request</v>
      </c>
      <c r="C3" s="53"/>
      <c r="D3" s="375"/>
      <c r="E3" s="55">
        <f>SUM(E5:E26)</f>
        <v>577306.77</v>
      </c>
      <c r="F3" s="374" t="s">
        <v>486</v>
      </c>
      <c r="G3" s="375"/>
      <c r="H3" s="54"/>
      <c r="I3" s="54"/>
      <c r="J3" s="54"/>
      <c r="K3" s="54"/>
      <c r="L3" s="54"/>
      <c r="M3" s="54"/>
      <c r="N3" s="252">
        <f>SUM(N5:N25)</f>
        <v>577306.77</v>
      </c>
      <c r="O3" s="598">
        <f>N3-O279</f>
        <v>0</v>
      </c>
    </row>
    <row r="4" spans="1:18" s="236" customFormat="1" ht="15" customHeight="1" x14ac:dyDescent="0.3">
      <c r="A4" s="407"/>
      <c r="B4" s="534"/>
      <c r="C4" s="535"/>
      <c r="D4" s="91"/>
      <c r="E4" s="536"/>
      <c r="F4" s="537"/>
      <c r="G4" s="91"/>
      <c r="H4" s="15"/>
      <c r="I4" s="15"/>
      <c r="J4" s="15"/>
      <c r="K4" s="15"/>
      <c r="L4" s="15"/>
      <c r="M4" s="15"/>
      <c r="N4" s="538"/>
    </row>
    <row r="5" spans="1:18" customFormat="1" ht="15" customHeight="1" x14ac:dyDescent="0.25">
      <c r="A5" s="4"/>
      <c r="B5" s="388"/>
      <c r="C5" s="389" t="s">
        <v>259</v>
      </c>
      <c r="D5" s="91"/>
      <c r="E5" s="56">
        <v>0</v>
      </c>
      <c r="F5" s="680" t="s">
        <v>417</v>
      </c>
      <c r="G5" s="349"/>
      <c r="H5" s="103"/>
      <c r="I5" s="103"/>
      <c r="J5" s="103"/>
      <c r="K5" s="103"/>
      <c r="L5" s="103"/>
      <c r="M5" s="103"/>
      <c r="N5" s="668">
        <f t="shared" ref="N5:N25" si="0">O280</f>
        <v>3000</v>
      </c>
    </row>
    <row r="6" spans="1:18" customFormat="1" ht="15" customHeight="1" x14ac:dyDescent="0.25">
      <c r="A6" s="4"/>
      <c r="B6" s="388"/>
      <c r="C6" s="389" t="s">
        <v>22</v>
      </c>
      <c r="D6" s="91"/>
      <c r="E6" s="56">
        <v>0</v>
      </c>
      <c r="F6" s="680" t="s">
        <v>518</v>
      </c>
      <c r="G6" s="349"/>
      <c r="H6" s="103"/>
      <c r="I6" s="103"/>
      <c r="J6" s="103"/>
      <c r="K6" s="103"/>
      <c r="L6" s="103"/>
      <c r="M6" s="103"/>
      <c r="N6" s="668">
        <f t="shared" si="0"/>
        <v>176.77</v>
      </c>
    </row>
    <row r="7" spans="1:18" customFormat="1" ht="15" customHeight="1" x14ac:dyDescent="0.3">
      <c r="A7" s="4"/>
      <c r="B7" s="388"/>
      <c r="C7" s="389" t="s">
        <v>1182</v>
      </c>
      <c r="D7" s="91"/>
      <c r="E7" s="57">
        <v>0</v>
      </c>
      <c r="F7" s="680" t="s">
        <v>413</v>
      </c>
      <c r="G7" s="349"/>
      <c r="H7" s="103"/>
      <c r="I7" s="103"/>
      <c r="J7" s="103"/>
      <c r="K7" s="103"/>
      <c r="L7" s="103"/>
      <c r="M7" s="103"/>
      <c r="N7" s="668">
        <f t="shared" si="0"/>
        <v>10650</v>
      </c>
    </row>
    <row r="8" spans="1:18" customFormat="1" ht="15" customHeight="1" x14ac:dyDescent="0.25">
      <c r="A8" s="4"/>
      <c r="B8" s="388"/>
      <c r="C8" s="389" t="s">
        <v>272</v>
      </c>
      <c r="D8" s="91"/>
      <c r="E8" s="56">
        <v>0</v>
      </c>
      <c r="F8" s="680" t="s">
        <v>422</v>
      </c>
      <c r="G8" s="349"/>
      <c r="H8" s="103"/>
      <c r="I8" s="103"/>
      <c r="J8" s="103"/>
      <c r="K8" s="103"/>
      <c r="L8" s="103"/>
      <c r="M8" s="103"/>
      <c r="N8" s="668">
        <f t="shared" si="0"/>
        <v>7200</v>
      </c>
    </row>
    <row r="9" spans="1:18" customFormat="1" ht="15" customHeight="1" x14ac:dyDescent="0.25">
      <c r="A9" s="4"/>
      <c r="B9" s="388"/>
      <c r="C9" s="389" t="s">
        <v>810</v>
      </c>
      <c r="D9" s="91"/>
      <c r="E9" s="56">
        <f>O279</f>
        <v>577306.77</v>
      </c>
      <c r="F9" s="680" t="s">
        <v>421</v>
      </c>
      <c r="G9" s="349"/>
      <c r="H9" s="103"/>
      <c r="I9" s="103"/>
      <c r="J9" s="103"/>
      <c r="K9" s="103"/>
      <c r="L9" s="103"/>
      <c r="M9" s="103"/>
      <c r="N9" s="668">
        <f t="shared" si="0"/>
        <v>1500</v>
      </c>
    </row>
    <row r="10" spans="1:18" customFormat="1" ht="15" customHeight="1" x14ac:dyDescent="0.25">
      <c r="A10" s="4"/>
      <c r="B10" s="388"/>
      <c r="C10" s="389" t="s">
        <v>23</v>
      </c>
      <c r="D10" s="91"/>
      <c r="E10" s="56">
        <v>0</v>
      </c>
      <c r="F10" s="680" t="s">
        <v>423</v>
      </c>
      <c r="G10" s="349"/>
      <c r="H10" s="103"/>
      <c r="I10" s="103"/>
      <c r="J10" s="103"/>
      <c r="K10" s="103"/>
      <c r="L10" s="103"/>
      <c r="M10" s="103"/>
      <c r="N10" s="668">
        <f t="shared" si="0"/>
        <v>72000</v>
      </c>
    </row>
    <row r="11" spans="1:18" customFormat="1" ht="15" customHeight="1" x14ac:dyDescent="0.25">
      <c r="A11" s="4"/>
      <c r="B11" s="388"/>
      <c r="C11" s="389" t="s">
        <v>920</v>
      </c>
      <c r="D11" s="91"/>
      <c r="E11" s="56">
        <v>0</v>
      </c>
      <c r="F11" s="680" t="s">
        <v>416</v>
      </c>
      <c r="G11" s="349"/>
      <c r="H11" s="103"/>
      <c r="I11" s="103"/>
      <c r="J11" s="103"/>
      <c r="K11" s="103"/>
      <c r="L11" s="103"/>
      <c r="M11" s="103"/>
      <c r="N11" s="668">
        <f t="shared" si="0"/>
        <v>4500</v>
      </c>
    </row>
    <row r="12" spans="1:18" customFormat="1" ht="15" customHeight="1" x14ac:dyDescent="0.25">
      <c r="A12" s="4"/>
      <c r="B12" s="388"/>
      <c r="C12" s="389" t="s">
        <v>24</v>
      </c>
      <c r="D12" s="91"/>
      <c r="E12" s="56">
        <v>0</v>
      </c>
      <c r="F12" s="680" t="s">
        <v>519</v>
      </c>
      <c r="G12" s="349"/>
      <c r="H12" s="103"/>
      <c r="I12" s="103"/>
      <c r="J12" s="103"/>
      <c r="K12" s="103"/>
      <c r="L12" s="103"/>
      <c r="M12" s="103"/>
      <c r="N12" s="668">
        <f t="shared" si="0"/>
        <v>136618</v>
      </c>
    </row>
    <row r="13" spans="1:18" s="236" customFormat="1" ht="15" customHeight="1" x14ac:dyDescent="0.25">
      <c r="A13" s="407"/>
      <c r="B13" s="388"/>
      <c r="C13" s="389" t="s">
        <v>260</v>
      </c>
      <c r="D13" s="91"/>
      <c r="E13" s="56">
        <v>0</v>
      </c>
      <c r="F13" s="680" t="s">
        <v>418</v>
      </c>
      <c r="G13" s="349"/>
      <c r="H13" s="103"/>
      <c r="I13" s="103"/>
      <c r="J13" s="103"/>
      <c r="K13" s="103"/>
      <c r="L13" s="103"/>
      <c r="M13" s="103"/>
      <c r="N13" s="668">
        <f t="shared" si="0"/>
        <v>53112</v>
      </c>
    </row>
    <row r="14" spans="1:18" customFormat="1" ht="15" customHeight="1" x14ac:dyDescent="0.25">
      <c r="A14" s="4"/>
      <c r="B14" s="388"/>
      <c r="C14" s="389" t="s">
        <v>508</v>
      </c>
      <c r="D14" s="91"/>
      <c r="E14" s="56">
        <v>0</v>
      </c>
      <c r="F14" s="680" t="s">
        <v>419</v>
      </c>
      <c r="G14" s="349"/>
      <c r="H14" s="103"/>
      <c r="I14" s="103"/>
      <c r="J14" s="103"/>
      <c r="K14" s="103"/>
      <c r="L14" s="103"/>
      <c r="M14" s="103"/>
      <c r="N14" s="668">
        <f t="shared" si="0"/>
        <v>14000</v>
      </c>
    </row>
    <row r="15" spans="1:18" customFormat="1" ht="15" customHeight="1" x14ac:dyDescent="0.3">
      <c r="A15" s="4"/>
      <c r="B15" s="388"/>
      <c r="C15" s="389" t="s">
        <v>258</v>
      </c>
      <c r="D15" s="91"/>
      <c r="E15" s="57">
        <v>0</v>
      </c>
      <c r="F15" s="680" t="s">
        <v>517</v>
      </c>
      <c r="G15" s="349"/>
      <c r="H15" s="103"/>
      <c r="I15" s="103"/>
      <c r="J15" s="103"/>
      <c r="K15" s="103"/>
      <c r="L15" s="103"/>
      <c r="M15" s="103"/>
      <c r="N15" s="668">
        <f t="shared" si="0"/>
        <v>1750</v>
      </c>
    </row>
    <row r="16" spans="1:18" s="236" customFormat="1" ht="15" customHeight="1" x14ac:dyDescent="0.3">
      <c r="A16" s="407"/>
      <c r="B16" s="388"/>
      <c r="C16" s="389" t="s">
        <v>20</v>
      </c>
      <c r="D16" s="91"/>
      <c r="E16" s="57">
        <v>0</v>
      </c>
      <c r="F16" s="680" t="s">
        <v>420</v>
      </c>
      <c r="G16" s="349"/>
      <c r="H16" s="103"/>
      <c r="I16" s="103"/>
      <c r="J16" s="103"/>
      <c r="K16" s="103"/>
      <c r="L16" s="103"/>
      <c r="M16" s="103"/>
      <c r="N16" s="668">
        <f t="shared" si="0"/>
        <v>1300</v>
      </c>
    </row>
    <row r="17" spans="1:23" customFormat="1" ht="15" customHeight="1" x14ac:dyDescent="0.3">
      <c r="A17" s="4"/>
      <c r="B17" s="388"/>
      <c r="C17" s="389" t="s">
        <v>21</v>
      </c>
      <c r="D17" s="91"/>
      <c r="E17" s="57">
        <v>0</v>
      </c>
      <c r="F17" s="680" t="s">
        <v>520</v>
      </c>
      <c r="G17" s="349"/>
      <c r="H17" s="103"/>
      <c r="I17" s="103"/>
      <c r="J17" s="103"/>
      <c r="K17" s="103"/>
      <c r="L17" s="103"/>
      <c r="M17" s="103"/>
      <c r="N17" s="668">
        <f t="shared" si="0"/>
        <v>15000</v>
      </c>
    </row>
    <row r="18" spans="1:23" customFormat="1" ht="15" customHeight="1" x14ac:dyDescent="0.3">
      <c r="A18" s="4"/>
      <c r="B18" s="388"/>
      <c r="C18" s="389" t="s">
        <v>394</v>
      </c>
      <c r="D18" s="91"/>
      <c r="E18" s="57">
        <v>0</v>
      </c>
      <c r="F18" s="680" t="s">
        <v>521</v>
      </c>
      <c r="G18" s="349"/>
      <c r="H18" s="103"/>
      <c r="I18" s="103"/>
      <c r="J18" s="103"/>
      <c r="K18" s="103"/>
      <c r="L18" s="103"/>
      <c r="M18" s="103"/>
      <c r="N18" s="668">
        <f t="shared" si="0"/>
        <v>15000</v>
      </c>
    </row>
    <row r="19" spans="1:23" customFormat="1" ht="15" customHeight="1" x14ac:dyDescent="0.3">
      <c r="A19" s="4"/>
      <c r="B19" s="388"/>
      <c r="C19" s="389" t="s">
        <v>350</v>
      </c>
      <c r="D19" s="91"/>
      <c r="E19" s="57">
        <v>0</v>
      </c>
      <c r="F19" s="680" t="s">
        <v>414</v>
      </c>
      <c r="G19" s="349"/>
      <c r="H19" s="103"/>
      <c r="I19" s="103"/>
      <c r="J19" s="103"/>
      <c r="K19" s="103"/>
      <c r="L19" s="103"/>
      <c r="M19" s="103"/>
      <c r="N19" s="668">
        <f t="shared" si="0"/>
        <v>4400</v>
      </c>
    </row>
    <row r="20" spans="1:23" customFormat="1" ht="15" customHeight="1" x14ac:dyDescent="0.3">
      <c r="A20" s="4"/>
      <c r="B20" s="388"/>
      <c r="C20" s="389" t="s">
        <v>510</v>
      </c>
      <c r="D20" s="91"/>
      <c r="E20" s="57">
        <v>0</v>
      </c>
      <c r="F20" s="680" t="s">
        <v>522</v>
      </c>
      <c r="G20" s="349"/>
      <c r="H20" s="103"/>
      <c r="I20" s="103"/>
      <c r="J20" s="103"/>
      <c r="K20" s="103"/>
      <c r="L20" s="103"/>
      <c r="M20" s="103"/>
      <c r="N20" s="668">
        <f t="shared" si="0"/>
        <v>35000</v>
      </c>
    </row>
    <row r="21" spans="1:23" customFormat="1" ht="15" customHeight="1" x14ac:dyDescent="0.3">
      <c r="A21" s="4"/>
      <c r="B21" s="388"/>
      <c r="C21" s="389" t="s">
        <v>1471</v>
      </c>
      <c r="D21" s="91"/>
      <c r="E21" s="57">
        <v>0</v>
      </c>
      <c r="F21" s="680" t="s">
        <v>523</v>
      </c>
      <c r="G21" s="349"/>
      <c r="H21" s="103"/>
      <c r="I21" s="103"/>
      <c r="J21" s="103"/>
      <c r="K21" s="103"/>
      <c r="L21" s="103"/>
      <c r="M21" s="103"/>
      <c r="N21" s="668">
        <f t="shared" si="0"/>
        <v>182800</v>
      </c>
    </row>
    <row r="22" spans="1:23" customFormat="1" ht="15" customHeight="1" x14ac:dyDescent="0.3">
      <c r="A22" s="4"/>
      <c r="B22" s="388"/>
      <c r="C22" s="389" t="s">
        <v>811</v>
      </c>
      <c r="D22" s="91"/>
      <c r="E22" s="57">
        <v>0</v>
      </c>
      <c r="F22" s="680" t="s">
        <v>527</v>
      </c>
      <c r="G22" s="349"/>
      <c r="H22" s="103"/>
      <c r="I22" s="103"/>
      <c r="J22" s="103"/>
      <c r="K22" s="103"/>
      <c r="L22" s="103"/>
      <c r="M22" s="103"/>
      <c r="N22" s="668">
        <f t="shared" si="0"/>
        <v>8200</v>
      </c>
    </row>
    <row r="23" spans="1:23" customFormat="1" ht="15" customHeight="1" x14ac:dyDescent="0.3">
      <c r="A23" s="4"/>
      <c r="B23" s="388"/>
      <c r="C23" s="389" t="s">
        <v>1453</v>
      </c>
      <c r="D23" s="91"/>
      <c r="E23" s="57">
        <v>0</v>
      </c>
      <c r="F23" s="680" t="s">
        <v>528</v>
      </c>
      <c r="G23" s="349"/>
      <c r="H23" s="103"/>
      <c r="I23" s="103"/>
      <c r="J23" s="103"/>
      <c r="K23" s="103"/>
      <c r="L23" s="103"/>
      <c r="M23" s="103"/>
      <c r="N23" s="668">
        <f t="shared" si="0"/>
        <v>10000</v>
      </c>
    </row>
    <row r="24" spans="1:23" customFormat="1" ht="15" customHeight="1" x14ac:dyDescent="0.3">
      <c r="A24" s="4"/>
      <c r="B24" s="388"/>
      <c r="C24" s="389" t="s">
        <v>1472</v>
      </c>
      <c r="D24" s="91"/>
      <c r="E24" s="57">
        <v>0</v>
      </c>
      <c r="F24" s="681" t="s">
        <v>415</v>
      </c>
      <c r="G24" s="349"/>
      <c r="H24" s="103"/>
      <c r="I24" s="103"/>
      <c r="J24" s="103"/>
      <c r="K24" s="103"/>
      <c r="L24" s="103"/>
      <c r="M24" s="103"/>
      <c r="N24" s="668">
        <f t="shared" si="0"/>
        <v>1100</v>
      </c>
    </row>
    <row r="25" spans="1:23" customFormat="1" ht="15" customHeight="1" x14ac:dyDescent="0.3">
      <c r="A25" s="4"/>
      <c r="B25" s="388"/>
      <c r="C25" s="389"/>
      <c r="D25" s="91"/>
      <c r="E25" s="57"/>
      <c r="F25" s="682" t="s">
        <v>529</v>
      </c>
      <c r="G25" s="451"/>
      <c r="H25" s="451"/>
      <c r="I25" s="451"/>
      <c r="J25" s="451"/>
      <c r="K25" s="451"/>
      <c r="L25" s="451"/>
      <c r="M25" s="451"/>
      <c r="N25" s="668">
        <f t="shared" si="0"/>
        <v>0</v>
      </c>
    </row>
    <row r="26" spans="1:23" s="236" customFormat="1" ht="15" customHeight="1" thickBot="1" x14ac:dyDescent="0.35">
      <c r="A26" s="407"/>
      <c r="B26" s="390"/>
      <c r="C26" s="391"/>
      <c r="D26" s="376"/>
      <c r="E26" s="60"/>
      <c r="F26" s="58"/>
      <c r="G26" s="376"/>
      <c r="H26" s="59"/>
      <c r="I26" s="59"/>
      <c r="J26" s="59"/>
      <c r="K26" s="59"/>
      <c r="L26" s="59"/>
      <c r="M26" s="59"/>
      <c r="N26" s="231"/>
    </row>
    <row r="27" spans="1:23" ht="15.75" thickBot="1" x14ac:dyDescent="0.3">
      <c r="A27" s="3"/>
      <c r="D27" s="3"/>
      <c r="E27" s="3"/>
      <c r="F27" s="3"/>
      <c r="G27" s="3"/>
      <c r="H27" s="3"/>
      <c r="I27" s="3"/>
      <c r="J27" s="3"/>
      <c r="K27" s="3"/>
      <c r="L27" s="3"/>
      <c r="M27" s="3"/>
      <c r="N27" s="3"/>
      <c r="O27" s="3"/>
      <c r="Q27" s="349"/>
      <c r="R27" s="349"/>
      <c r="S27" s="349"/>
      <c r="T27" s="349"/>
      <c r="U27" s="349"/>
      <c r="V27" s="349"/>
      <c r="W27" s="349"/>
    </row>
    <row r="28" spans="1:23" ht="45.75" thickTop="1" x14ac:dyDescent="0.25">
      <c r="A28" s="5" t="s">
        <v>219</v>
      </c>
      <c r="B28" s="8" t="s">
        <v>189</v>
      </c>
      <c r="C28" s="8" t="s">
        <v>13</v>
      </c>
      <c r="D28" s="6" t="s">
        <v>281</v>
      </c>
      <c r="E28" s="6" t="s">
        <v>256</v>
      </c>
      <c r="F28" s="6" t="s">
        <v>355</v>
      </c>
      <c r="G28" s="6" t="s">
        <v>7</v>
      </c>
      <c r="H28" s="6" t="s">
        <v>257</v>
      </c>
      <c r="I28" s="6" t="s">
        <v>8</v>
      </c>
      <c r="J28" s="6" t="s">
        <v>9</v>
      </c>
      <c r="K28" s="6" t="s">
        <v>10</v>
      </c>
      <c r="L28" s="7" t="s">
        <v>11</v>
      </c>
      <c r="M28" s="6" t="s">
        <v>12</v>
      </c>
      <c r="N28" s="6" t="s">
        <v>1394</v>
      </c>
      <c r="O28" s="8" t="s">
        <v>1594</v>
      </c>
      <c r="P28" s="4" t="s">
        <v>1569</v>
      </c>
      <c r="Q28" s="349"/>
      <c r="R28" s="349"/>
      <c r="S28" s="349"/>
      <c r="T28" s="349"/>
      <c r="U28" s="349"/>
      <c r="V28" s="349"/>
      <c r="W28" s="349"/>
    </row>
    <row r="29" spans="1:23" x14ac:dyDescent="0.25">
      <c r="A29" s="409">
        <f t="shared" ref="A29:A91" si="1">VLOOKUP(D29,BldgExpCodes,2)</f>
        <v>6320020</v>
      </c>
      <c r="B29" s="419" t="s">
        <v>810</v>
      </c>
      <c r="C29" s="419" t="s">
        <v>1019</v>
      </c>
      <c r="D29" s="417" t="s">
        <v>416</v>
      </c>
      <c r="E29" s="419" t="s">
        <v>1726</v>
      </c>
      <c r="F29" s="412" t="s">
        <v>514</v>
      </c>
      <c r="G29" s="413"/>
      <c r="H29" s="414"/>
      <c r="I29" s="256"/>
      <c r="J29" s="256"/>
      <c r="K29" s="256"/>
      <c r="L29" s="415"/>
      <c r="M29" s="415"/>
      <c r="N29" s="418"/>
      <c r="O29" s="418">
        <v>4500</v>
      </c>
      <c r="P29" s="39"/>
      <c r="Q29" s="349"/>
      <c r="R29" s="349"/>
      <c r="S29" s="349"/>
      <c r="T29" s="349"/>
      <c r="U29" s="349"/>
      <c r="V29" s="349"/>
      <c r="W29" s="349"/>
    </row>
    <row r="30" spans="1:23" x14ac:dyDescent="0.25">
      <c r="A30" s="410">
        <f t="shared" si="1"/>
        <v>6320100</v>
      </c>
      <c r="B30" s="419" t="s">
        <v>810</v>
      </c>
      <c r="C30" s="419" t="s">
        <v>1019</v>
      </c>
      <c r="D30" s="417" t="s">
        <v>413</v>
      </c>
      <c r="E30" s="261" t="s">
        <v>1727</v>
      </c>
      <c r="F30" s="412" t="s">
        <v>424</v>
      </c>
      <c r="G30" s="413"/>
      <c r="H30" s="414"/>
      <c r="I30" s="256"/>
      <c r="J30" s="256"/>
      <c r="K30" s="256"/>
      <c r="L30" s="262"/>
      <c r="M30" s="415"/>
      <c r="N30" s="418"/>
      <c r="O30" s="418">
        <v>650</v>
      </c>
      <c r="Q30" s="484"/>
      <c r="R30" s="349"/>
      <c r="S30" s="349"/>
      <c r="T30" s="349"/>
      <c r="U30" s="349"/>
      <c r="V30" s="349"/>
      <c r="W30" s="349"/>
    </row>
    <row r="31" spans="1:23" x14ac:dyDescent="0.25">
      <c r="A31" s="410">
        <f t="shared" si="1"/>
        <v>6320105</v>
      </c>
      <c r="B31" s="419" t="s">
        <v>810</v>
      </c>
      <c r="C31" s="419" t="s">
        <v>1019</v>
      </c>
      <c r="D31" s="417" t="s">
        <v>414</v>
      </c>
      <c r="E31" s="419" t="s">
        <v>1728</v>
      </c>
      <c r="F31" s="412" t="s">
        <v>424</v>
      </c>
      <c r="G31" s="413"/>
      <c r="H31" s="414"/>
      <c r="I31" s="256"/>
      <c r="J31" s="256"/>
      <c r="K31" s="256"/>
      <c r="L31" s="415"/>
      <c r="M31" s="415"/>
      <c r="N31" s="418"/>
      <c r="O31" s="418">
        <v>4400</v>
      </c>
      <c r="Q31" s="484"/>
      <c r="R31" s="349"/>
      <c r="S31" s="349"/>
      <c r="T31" s="349"/>
      <c r="U31" s="349"/>
      <c r="V31" s="349"/>
      <c r="W31" s="349"/>
    </row>
    <row r="32" spans="1:23" x14ac:dyDescent="0.25">
      <c r="A32" s="410">
        <f t="shared" si="1"/>
        <v>6320095</v>
      </c>
      <c r="B32" s="419" t="s">
        <v>810</v>
      </c>
      <c r="C32" s="419" t="s">
        <v>1019</v>
      </c>
      <c r="D32" s="419" t="s">
        <v>518</v>
      </c>
      <c r="E32" s="419" t="s">
        <v>1729</v>
      </c>
      <c r="F32" s="412" t="s">
        <v>424</v>
      </c>
      <c r="G32" s="413"/>
      <c r="H32" s="414"/>
      <c r="I32" s="256"/>
      <c r="J32" s="256"/>
      <c r="K32" s="256"/>
      <c r="L32" s="415"/>
      <c r="M32" s="415"/>
      <c r="N32" s="418"/>
      <c r="O32" s="418">
        <v>176.77</v>
      </c>
      <c r="P32" s="39"/>
      <c r="Q32" s="349"/>
      <c r="R32" s="349"/>
      <c r="S32" s="349"/>
      <c r="T32" s="349"/>
      <c r="U32" s="349"/>
      <c r="V32" s="349"/>
      <c r="W32" s="349"/>
    </row>
    <row r="33" spans="1:23" x14ac:dyDescent="0.25">
      <c r="A33" s="410">
        <f t="shared" si="1"/>
        <v>6320015</v>
      </c>
      <c r="B33" s="419" t="s">
        <v>810</v>
      </c>
      <c r="C33" s="419" t="s">
        <v>1019</v>
      </c>
      <c r="D33" s="419" t="s">
        <v>519</v>
      </c>
      <c r="E33" s="419" t="s">
        <v>1730</v>
      </c>
      <c r="F33" s="412" t="s">
        <v>424</v>
      </c>
      <c r="G33" s="413"/>
      <c r="H33" s="414"/>
      <c r="I33" s="256"/>
      <c r="J33" s="256"/>
      <c r="K33" s="256"/>
      <c r="L33" s="415"/>
      <c r="M33" s="415"/>
      <c r="N33" s="418"/>
      <c r="O33" s="418">
        <v>60000</v>
      </c>
      <c r="Q33" s="484"/>
      <c r="R33" s="349"/>
      <c r="S33" s="349"/>
      <c r="T33" s="349"/>
      <c r="U33" s="349"/>
      <c r="V33" s="349"/>
      <c r="W33" s="349"/>
    </row>
    <row r="34" spans="1:23" x14ac:dyDescent="0.25">
      <c r="A34" s="410">
        <f t="shared" si="1"/>
        <v>6340005</v>
      </c>
      <c r="B34" s="419" t="s">
        <v>810</v>
      </c>
      <c r="C34" s="419" t="s">
        <v>1019</v>
      </c>
      <c r="D34" s="419" t="s">
        <v>523</v>
      </c>
      <c r="E34" s="419" t="s">
        <v>1731</v>
      </c>
      <c r="F34" s="412" t="s">
        <v>424</v>
      </c>
      <c r="G34" s="413"/>
      <c r="H34" s="414"/>
      <c r="I34" s="256"/>
      <c r="J34" s="256"/>
      <c r="K34" s="256"/>
      <c r="L34" s="415"/>
      <c r="M34" s="415"/>
      <c r="N34" s="418"/>
      <c r="O34" s="418">
        <v>4800</v>
      </c>
      <c r="Q34" s="349"/>
      <c r="R34" s="349"/>
      <c r="S34" s="349"/>
      <c r="T34" s="349"/>
      <c r="U34" s="349"/>
      <c r="V34" s="349"/>
      <c r="W34" s="349"/>
    </row>
    <row r="35" spans="1:23" x14ac:dyDescent="0.25">
      <c r="A35" s="410">
        <f t="shared" si="1"/>
        <v>6340005</v>
      </c>
      <c r="B35" s="419" t="s">
        <v>810</v>
      </c>
      <c r="C35" s="419" t="s">
        <v>1019</v>
      </c>
      <c r="D35" s="419" t="s">
        <v>523</v>
      </c>
      <c r="E35" s="255" t="s">
        <v>1732</v>
      </c>
      <c r="F35" s="412" t="s">
        <v>424</v>
      </c>
      <c r="G35" s="413"/>
      <c r="H35" s="414"/>
      <c r="I35" s="256"/>
      <c r="J35" s="256"/>
      <c r="K35" s="256"/>
      <c r="L35" s="257"/>
      <c r="M35" s="415"/>
      <c r="N35" s="418"/>
      <c r="O35" s="418">
        <v>178000</v>
      </c>
      <c r="Q35" s="349"/>
      <c r="R35" s="349"/>
      <c r="S35" s="349"/>
      <c r="T35" s="349"/>
      <c r="U35" s="349"/>
      <c r="V35" s="349"/>
      <c r="W35" s="349"/>
    </row>
    <row r="36" spans="1:23" x14ac:dyDescent="0.25">
      <c r="A36" s="410">
        <f t="shared" si="1"/>
        <v>6320015</v>
      </c>
      <c r="B36" s="419" t="s">
        <v>810</v>
      </c>
      <c r="C36" s="419" t="s">
        <v>1019</v>
      </c>
      <c r="D36" s="417" t="s">
        <v>519</v>
      </c>
      <c r="E36" s="261" t="s">
        <v>1733</v>
      </c>
      <c r="F36" s="412" t="s">
        <v>424</v>
      </c>
      <c r="G36" s="276"/>
      <c r="H36" s="414"/>
      <c r="I36" s="256"/>
      <c r="J36" s="256"/>
      <c r="K36" s="256"/>
      <c r="L36" s="262"/>
      <c r="M36" s="415"/>
      <c r="N36" s="418"/>
      <c r="O36" s="418">
        <v>27468</v>
      </c>
      <c r="Q36" s="349"/>
      <c r="R36" s="349"/>
      <c r="S36" s="349"/>
      <c r="T36" s="349"/>
      <c r="U36" s="349"/>
      <c r="V36" s="349"/>
      <c r="W36" s="349"/>
    </row>
    <row r="37" spans="1:23" x14ac:dyDescent="0.25">
      <c r="A37" s="410">
        <f t="shared" si="1"/>
        <v>6320030</v>
      </c>
      <c r="B37" s="419" t="s">
        <v>810</v>
      </c>
      <c r="C37" s="419" t="s">
        <v>1019</v>
      </c>
      <c r="D37" s="417" t="s">
        <v>419</v>
      </c>
      <c r="E37" s="261" t="s">
        <v>1734</v>
      </c>
      <c r="F37" s="412" t="s">
        <v>424</v>
      </c>
      <c r="G37" s="413"/>
      <c r="H37" s="414"/>
      <c r="I37" s="256"/>
      <c r="J37" s="256"/>
      <c r="K37" s="256"/>
      <c r="L37" s="262"/>
      <c r="M37" s="415"/>
      <c r="N37" s="418"/>
      <c r="O37" s="418">
        <v>14000</v>
      </c>
      <c r="P37" s="407"/>
      <c r="Q37" s="484"/>
      <c r="R37" s="349"/>
      <c r="S37" s="349"/>
      <c r="T37" s="349"/>
      <c r="U37" s="349"/>
      <c r="V37" s="349"/>
      <c r="W37" s="349"/>
    </row>
    <row r="38" spans="1:23" x14ac:dyDescent="0.25">
      <c r="A38" s="410">
        <f t="shared" si="1"/>
        <v>6320025</v>
      </c>
      <c r="B38" s="419" t="s">
        <v>810</v>
      </c>
      <c r="C38" s="419" t="s">
        <v>1019</v>
      </c>
      <c r="D38" s="417" t="s">
        <v>418</v>
      </c>
      <c r="E38" s="261"/>
      <c r="F38" s="412" t="s">
        <v>424</v>
      </c>
      <c r="G38" s="413"/>
      <c r="H38" s="414"/>
      <c r="I38" s="417"/>
      <c r="J38" s="259"/>
      <c r="K38" s="259"/>
      <c r="L38" s="362"/>
      <c r="M38" s="415"/>
      <c r="N38" s="408"/>
      <c r="O38" s="408">
        <v>53112</v>
      </c>
      <c r="P38" s="407"/>
      <c r="Q38" s="484"/>
      <c r="R38" s="349"/>
      <c r="S38" s="349"/>
      <c r="T38" s="349"/>
      <c r="U38" s="349"/>
      <c r="V38" s="349"/>
      <c r="W38" s="349"/>
    </row>
    <row r="39" spans="1:23" x14ac:dyDescent="0.25">
      <c r="A39" s="410">
        <f t="shared" si="1"/>
        <v>6320100</v>
      </c>
      <c r="B39" s="419" t="s">
        <v>810</v>
      </c>
      <c r="C39" s="419" t="s">
        <v>1019</v>
      </c>
      <c r="D39" s="417" t="s">
        <v>413</v>
      </c>
      <c r="E39" s="254" t="s">
        <v>1735</v>
      </c>
      <c r="F39" s="412" t="s">
        <v>424</v>
      </c>
      <c r="G39" s="413"/>
      <c r="H39" s="414"/>
      <c r="I39" s="256"/>
      <c r="J39" s="256"/>
      <c r="K39" s="256"/>
      <c r="L39" s="257"/>
      <c r="M39" s="415"/>
      <c r="N39" s="418"/>
      <c r="O39" s="418">
        <v>10000</v>
      </c>
      <c r="P39" s="39"/>
      <c r="Q39" s="484"/>
      <c r="R39" s="349"/>
      <c r="S39" s="349"/>
      <c r="T39" s="349"/>
      <c r="U39" s="349"/>
      <c r="V39" s="349"/>
      <c r="W39" s="349"/>
    </row>
    <row r="40" spans="1:23" x14ac:dyDescent="0.25">
      <c r="A40" s="410">
        <f t="shared" si="1"/>
        <v>6320050</v>
      </c>
      <c r="B40" s="419" t="s">
        <v>810</v>
      </c>
      <c r="C40" s="419" t="s">
        <v>1019</v>
      </c>
      <c r="D40" s="417" t="s">
        <v>517</v>
      </c>
      <c r="E40" s="254" t="s">
        <v>1736</v>
      </c>
      <c r="F40" s="412" t="s">
        <v>424</v>
      </c>
      <c r="G40" s="413"/>
      <c r="H40" s="414"/>
      <c r="I40" s="256"/>
      <c r="J40" s="256"/>
      <c r="K40" s="256"/>
      <c r="L40" s="257"/>
      <c r="M40" s="415"/>
      <c r="N40" s="418"/>
      <c r="O40" s="418">
        <v>1750</v>
      </c>
      <c r="P40" s="39"/>
      <c r="Q40" s="484"/>
      <c r="R40" s="349"/>
      <c r="S40" s="349"/>
      <c r="T40" s="349"/>
      <c r="U40" s="349"/>
      <c r="V40" s="349"/>
      <c r="W40" s="349"/>
    </row>
    <row r="41" spans="1:23" x14ac:dyDescent="0.25">
      <c r="A41" s="410">
        <f t="shared" si="1"/>
        <v>6320035</v>
      </c>
      <c r="B41" s="419" t="s">
        <v>810</v>
      </c>
      <c r="C41" s="419" t="s">
        <v>1019</v>
      </c>
      <c r="D41" s="417" t="s">
        <v>421</v>
      </c>
      <c r="E41" s="419" t="s">
        <v>1737</v>
      </c>
      <c r="F41" s="275" t="s">
        <v>424</v>
      </c>
      <c r="G41" s="276"/>
      <c r="H41" s="414"/>
      <c r="I41" s="416"/>
      <c r="J41" s="256"/>
      <c r="K41" s="256"/>
      <c r="L41" s="278"/>
      <c r="M41" s="278"/>
      <c r="N41" s="418"/>
      <c r="O41" s="418">
        <v>1500</v>
      </c>
      <c r="P41" s="407"/>
      <c r="Q41" s="484"/>
      <c r="R41" s="349"/>
      <c r="S41" s="349"/>
      <c r="T41" s="349"/>
      <c r="U41" s="349"/>
      <c r="V41" s="349"/>
      <c r="W41" s="349"/>
    </row>
    <row r="42" spans="1:23" x14ac:dyDescent="0.25">
      <c r="A42" s="410">
        <f t="shared" si="1"/>
        <v>6320040</v>
      </c>
      <c r="B42" s="419" t="s">
        <v>810</v>
      </c>
      <c r="C42" s="419" t="s">
        <v>1019</v>
      </c>
      <c r="D42" s="417" t="s">
        <v>422</v>
      </c>
      <c r="E42" s="419" t="s">
        <v>1738</v>
      </c>
      <c r="F42" s="275" t="s">
        <v>424</v>
      </c>
      <c r="G42" s="276"/>
      <c r="H42" s="414"/>
      <c r="I42" s="416"/>
      <c r="J42" s="256"/>
      <c r="K42" s="256"/>
      <c r="L42" s="278"/>
      <c r="M42" s="278"/>
      <c r="N42" s="418"/>
      <c r="O42" s="418">
        <v>7200</v>
      </c>
      <c r="P42" s="407"/>
      <c r="Q42" s="349"/>
      <c r="R42" s="349"/>
      <c r="S42" s="349"/>
      <c r="T42" s="349"/>
      <c r="U42" s="349"/>
      <c r="V42" s="349"/>
      <c r="W42" s="349"/>
    </row>
    <row r="43" spans="1:23" x14ac:dyDescent="0.25">
      <c r="A43" s="410">
        <f t="shared" si="1"/>
        <v>6320065</v>
      </c>
      <c r="B43" s="419" t="s">
        <v>810</v>
      </c>
      <c r="C43" s="419" t="s">
        <v>1019</v>
      </c>
      <c r="D43" s="417" t="s">
        <v>415</v>
      </c>
      <c r="E43" s="419" t="s">
        <v>1739</v>
      </c>
      <c r="F43" s="412" t="s">
        <v>424</v>
      </c>
      <c r="G43" s="413"/>
      <c r="H43" s="414"/>
      <c r="I43" s="256"/>
      <c r="J43" s="256"/>
      <c r="K43" s="256"/>
      <c r="L43" s="415"/>
      <c r="M43" s="415"/>
      <c r="N43" s="418"/>
      <c r="O43" s="418">
        <v>1100</v>
      </c>
      <c r="P43" s="407"/>
      <c r="Q43" s="484"/>
      <c r="R43" s="349"/>
      <c r="S43" s="349"/>
      <c r="T43" s="349"/>
      <c r="U43" s="349"/>
      <c r="V43" s="349"/>
      <c r="W43" s="349"/>
    </row>
    <row r="44" spans="1:23" x14ac:dyDescent="0.25">
      <c r="A44" s="410">
        <f t="shared" si="1"/>
        <v>6340010</v>
      </c>
      <c r="B44" s="419" t="s">
        <v>810</v>
      </c>
      <c r="C44" s="419" t="s">
        <v>1019</v>
      </c>
      <c r="D44" s="417" t="s">
        <v>528</v>
      </c>
      <c r="E44" s="419" t="s">
        <v>1740</v>
      </c>
      <c r="F44" s="412" t="s">
        <v>424</v>
      </c>
      <c r="G44" s="413"/>
      <c r="H44" s="414"/>
      <c r="I44" s="256"/>
      <c r="J44" s="256"/>
      <c r="K44" s="256"/>
      <c r="L44" s="415"/>
      <c r="M44" s="415"/>
      <c r="N44" s="418"/>
      <c r="O44" s="418">
        <v>10000</v>
      </c>
      <c r="P44" s="407"/>
      <c r="Q44" s="349"/>
      <c r="R44" s="349"/>
      <c r="S44" s="349"/>
      <c r="T44" s="349"/>
      <c r="U44" s="349"/>
      <c r="V44" s="349"/>
      <c r="W44" s="349"/>
    </row>
    <row r="45" spans="1:23" s="407" customFormat="1" x14ac:dyDescent="0.25">
      <c r="A45" s="410">
        <f t="shared" si="1"/>
        <v>6340015</v>
      </c>
      <c r="B45" s="419" t="s">
        <v>810</v>
      </c>
      <c r="C45" s="419" t="s">
        <v>1019</v>
      </c>
      <c r="D45" s="419" t="s">
        <v>527</v>
      </c>
      <c r="E45" s="419" t="s">
        <v>1741</v>
      </c>
      <c r="F45" s="412" t="s">
        <v>424</v>
      </c>
      <c r="G45" s="413"/>
      <c r="H45" s="414"/>
      <c r="I45" s="256"/>
      <c r="J45" s="256"/>
      <c r="K45" s="256"/>
      <c r="L45" s="415"/>
      <c r="M45" s="415"/>
      <c r="N45" s="418"/>
      <c r="O45" s="418">
        <v>8200</v>
      </c>
      <c r="P45" s="39"/>
      <c r="Q45" s="484"/>
      <c r="R45" s="349"/>
      <c r="S45" s="349"/>
      <c r="T45" s="349"/>
      <c r="U45" s="349"/>
      <c r="V45" s="349"/>
      <c r="W45" s="349"/>
    </row>
    <row r="46" spans="1:23" x14ac:dyDescent="0.25">
      <c r="A46" s="410">
        <f t="shared" si="1"/>
        <v>6320090</v>
      </c>
      <c r="B46" s="419" t="s">
        <v>810</v>
      </c>
      <c r="C46" s="419" t="s">
        <v>1019</v>
      </c>
      <c r="D46" s="417" t="s">
        <v>522</v>
      </c>
      <c r="E46" s="419" t="s">
        <v>1742</v>
      </c>
      <c r="F46" s="275" t="s">
        <v>424</v>
      </c>
      <c r="G46" s="276"/>
      <c r="H46" s="414"/>
      <c r="I46" s="416"/>
      <c r="J46" s="277"/>
      <c r="K46" s="256"/>
      <c r="L46" s="278"/>
      <c r="M46" s="278"/>
      <c r="N46" s="418"/>
      <c r="O46" s="418">
        <v>17500</v>
      </c>
      <c r="P46" s="407"/>
      <c r="Q46" s="484"/>
      <c r="R46" s="349"/>
      <c r="S46" s="349"/>
      <c r="T46" s="349"/>
      <c r="U46" s="349"/>
      <c r="V46" s="349"/>
      <c r="W46" s="349"/>
    </row>
    <row r="47" spans="1:23" s="407" customFormat="1" x14ac:dyDescent="0.25">
      <c r="A47" s="410">
        <f t="shared" si="1"/>
        <v>6320090</v>
      </c>
      <c r="B47" s="419" t="s">
        <v>810</v>
      </c>
      <c r="C47" s="419" t="s">
        <v>1019</v>
      </c>
      <c r="D47" s="417" t="s">
        <v>522</v>
      </c>
      <c r="E47" s="360" t="s">
        <v>522</v>
      </c>
      <c r="F47" s="275" t="s">
        <v>124</v>
      </c>
      <c r="G47" s="276"/>
      <c r="H47" s="414"/>
      <c r="I47" s="360"/>
      <c r="J47" s="277"/>
      <c r="K47" s="277"/>
      <c r="L47" s="361"/>
      <c r="M47" s="278"/>
      <c r="N47" s="418"/>
      <c r="O47" s="362">
        <v>17500</v>
      </c>
      <c r="Q47" s="349"/>
      <c r="R47" s="349"/>
      <c r="S47" s="349"/>
      <c r="T47" s="349"/>
      <c r="U47" s="349"/>
      <c r="V47" s="349"/>
      <c r="W47" s="349"/>
    </row>
    <row r="48" spans="1:23" x14ac:dyDescent="0.25">
      <c r="A48" s="410">
        <f t="shared" si="1"/>
        <v>6320120</v>
      </c>
      <c r="B48" s="419" t="s">
        <v>810</v>
      </c>
      <c r="C48" s="419" t="s">
        <v>1019</v>
      </c>
      <c r="D48" s="417" t="s">
        <v>417</v>
      </c>
      <c r="E48" s="419" t="s">
        <v>1743</v>
      </c>
      <c r="F48" s="412" t="s">
        <v>424</v>
      </c>
      <c r="G48" s="413"/>
      <c r="H48" s="414"/>
      <c r="I48" s="256"/>
      <c r="J48" s="256"/>
      <c r="K48" s="256"/>
      <c r="L48" s="415"/>
      <c r="M48" s="415"/>
      <c r="N48" s="418"/>
      <c r="O48" s="418">
        <v>3000</v>
      </c>
      <c r="P48" s="407"/>
      <c r="Q48" s="349"/>
      <c r="R48" s="349"/>
      <c r="S48" s="349"/>
      <c r="T48" s="349"/>
      <c r="U48" s="349"/>
      <c r="V48" s="349"/>
      <c r="W48" s="349"/>
    </row>
    <row r="49" spans="1:23" s="407" customFormat="1" x14ac:dyDescent="0.25">
      <c r="A49" s="410">
        <f t="shared" si="1"/>
        <v>6320045</v>
      </c>
      <c r="B49" s="419" t="s">
        <v>810</v>
      </c>
      <c r="C49" s="419" t="s">
        <v>1019</v>
      </c>
      <c r="D49" s="417" t="s">
        <v>423</v>
      </c>
      <c r="E49" s="254"/>
      <c r="F49" s="412" t="s">
        <v>424</v>
      </c>
      <c r="G49" s="413"/>
      <c r="H49" s="414"/>
      <c r="I49" s="256"/>
      <c r="J49" s="256"/>
      <c r="K49" s="256"/>
      <c r="L49" s="415"/>
      <c r="M49" s="415"/>
      <c r="N49" s="418"/>
      <c r="O49" s="418">
        <v>72000</v>
      </c>
      <c r="P49" s="39"/>
      <c r="Q49" s="484"/>
      <c r="R49" s="349"/>
      <c r="S49" s="349"/>
      <c r="T49" s="349"/>
      <c r="U49" s="349"/>
      <c r="V49" s="349"/>
      <c r="W49" s="349"/>
    </row>
    <row r="50" spans="1:23" x14ac:dyDescent="0.25">
      <c r="A50" s="410">
        <f t="shared" si="1"/>
        <v>6320060</v>
      </c>
      <c r="B50" s="419" t="s">
        <v>810</v>
      </c>
      <c r="C50" s="419" t="s">
        <v>1019</v>
      </c>
      <c r="D50" s="417" t="s">
        <v>420</v>
      </c>
      <c r="E50" s="261"/>
      <c r="F50" s="412" t="s">
        <v>424</v>
      </c>
      <c r="G50" s="413"/>
      <c r="H50" s="414"/>
      <c r="I50" s="256"/>
      <c r="J50" s="256"/>
      <c r="K50" s="256"/>
      <c r="L50" s="262"/>
      <c r="M50" s="415"/>
      <c r="N50" s="418"/>
      <c r="O50" s="418">
        <v>1300</v>
      </c>
      <c r="P50" s="407"/>
      <c r="Q50" s="484"/>
      <c r="R50" s="349"/>
      <c r="S50" s="349"/>
      <c r="T50" s="349"/>
      <c r="U50" s="349"/>
      <c r="V50" s="349"/>
      <c r="W50" s="349"/>
    </row>
    <row r="51" spans="1:23" x14ac:dyDescent="0.25">
      <c r="A51" s="410">
        <f t="shared" si="1"/>
        <v>6320080</v>
      </c>
      <c r="B51" s="419" t="s">
        <v>810</v>
      </c>
      <c r="C51" s="419" t="s">
        <v>1019</v>
      </c>
      <c r="D51" s="419" t="s">
        <v>520</v>
      </c>
      <c r="E51" s="419"/>
      <c r="F51" s="412" t="s">
        <v>424</v>
      </c>
      <c r="G51" s="413"/>
      <c r="H51" s="414"/>
      <c r="I51" s="416"/>
      <c r="J51" s="355"/>
      <c r="K51" s="259"/>
      <c r="L51" s="415"/>
      <c r="M51" s="415"/>
      <c r="N51" s="418"/>
      <c r="O51" s="418">
        <v>15000</v>
      </c>
      <c r="P51" s="407"/>
      <c r="Q51" s="484"/>
      <c r="R51" s="349"/>
      <c r="S51" s="349"/>
      <c r="T51" s="349"/>
      <c r="U51" s="349"/>
      <c r="V51" s="349"/>
      <c r="W51" s="349"/>
    </row>
    <row r="52" spans="1:23" x14ac:dyDescent="0.25">
      <c r="A52" s="410">
        <f t="shared" si="1"/>
        <v>6320085</v>
      </c>
      <c r="B52" s="419" t="s">
        <v>810</v>
      </c>
      <c r="C52" s="419" t="s">
        <v>1019</v>
      </c>
      <c r="D52" s="419" t="s">
        <v>521</v>
      </c>
      <c r="E52" s="419"/>
      <c r="F52" s="412" t="s">
        <v>424</v>
      </c>
      <c r="G52" s="413"/>
      <c r="H52" s="414"/>
      <c r="I52" s="416"/>
      <c r="J52" s="355"/>
      <c r="K52" s="259"/>
      <c r="L52" s="415"/>
      <c r="M52" s="415"/>
      <c r="N52" s="418"/>
      <c r="O52" s="418">
        <v>15000</v>
      </c>
      <c r="P52" s="407"/>
      <c r="Q52" s="484"/>
      <c r="R52" s="349"/>
      <c r="S52" s="349"/>
      <c r="T52" s="349"/>
      <c r="U52" s="349"/>
      <c r="V52" s="349"/>
      <c r="W52" s="349"/>
    </row>
    <row r="53" spans="1:23" x14ac:dyDescent="0.25">
      <c r="A53" s="410">
        <f t="shared" si="1"/>
        <v>6320015</v>
      </c>
      <c r="B53" s="419" t="s">
        <v>20</v>
      </c>
      <c r="C53" s="419" t="s">
        <v>1019</v>
      </c>
      <c r="D53" s="417" t="s">
        <v>519</v>
      </c>
      <c r="E53" s="261"/>
      <c r="F53" s="412" t="s">
        <v>516</v>
      </c>
      <c r="G53" s="413"/>
      <c r="H53" s="414"/>
      <c r="I53" s="256"/>
      <c r="J53" s="256"/>
      <c r="K53" s="256"/>
      <c r="L53" s="415"/>
      <c r="M53" s="415"/>
      <c r="N53" s="418"/>
      <c r="O53" s="418">
        <v>49150</v>
      </c>
      <c r="P53" s="407"/>
      <c r="Q53" s="484"/>
      <c r="R53" s="349"/>
      <c r="S53" s="349"/>
      <c r="T53" s="349"/>
      <c r="U53" s="349"/>
      <c r="V53" s="349"/>
      <c r="W53" s="349"/>
    </row>
    <row r="54" spans="1:23" x14ac:dyDescent="0.25">
      <c r="A54" s="410" t="e">
        <f t="shared" si="1"/>
        <v>#N/A</v>
      </c>
      <c r="B54" s="419" t="s">
        <v>810</v>
      </c>
      <c r="C54" s="419" t="s">
        <v>1019</v>
      </c>
      <c r="D54" s="417"/>
      <c r="E54" s="261"/>
      <c r="F54" s="412"/>
      <c r="G54" s="413"/>
      <c r="H54" s="414"/>
      <c r="I54" s="256"/>
      <c r="J54" s="256"/>
      <c r="K54" s="256"/>
      <c r="L54" s="415"/>
      <c r="M54" s="415"/>
      <c r="N54" s="418"/>
      <c r="O54" s="418"/>
      <c r="P54" s="39"/>
      <c r="Q54" s="484"/>
      <c r="R54" s="349"/>
      <c r="S54" s="349"/>
      <c r="T54" s="349"/>
      <c r="U54" s="349"/>
      <c r="V54" s="418"/>
      <c r="W54" s="349"/>
    </row>
    <row r="55" spans="1:23" x14ac:dyDescent="0.25">
      <c r="A55" s="410" t="e">
        <f t="shared" si="1"/>
        <v>#N/A</v>
      </c>
      <c r="B55" s="419" t="s">
        <v>810</v>
      </c>
      <c r="C55" s="419" t="s">
        <v>1019</v>
      </c>
      <c r="D55" s="419"/>
      <c r="E55" s="261"/>
      <c r="F55" s="412"/>
      <c r="G55" s="413"/>
      <c r="H55" s="414"/>
      <c r="I55" s="256"/>
      <c r="J55" s="256"/>
      <c r="K55" s="256"/>
      <c r="L55" s="415"/>
      <c r="M55" s="415"/>
      <c r="N55" s="418"/>
      <c r="O55" s="418"/>
      <c r="P55" s="407"/>
      <c r="Q55" s="349"/>
      <c r="R55" s="349"/>
      <c r="S55" s="349"/>
      <c r="T55" s="349"/>
      <c r="U55" s="349"/>
      <c r="V55" s="349"/>
      <c r="W55" s="349"/>
    </row>
    <row r="56" spans="1:23" s="407" customFormat="1" x14ac:dyDescent="0.25">
      <c r="A56" s="410" t="e">
        <f t="shared" si="1"/>
        <v>#N/A</v>
      </c>
      <c r="B56" s="419" t="s">
        <v>810</v>
      </c>
      <c r="C56" s="419" t="s">
        <v>1019</v>
      </c>
      <c r="D56" s="419"/>
      <c r="E56" s="261"/>
      <c r="F56" s="412"/>
      <c r="G56" s="413"/>
      <c r="H56" s="414"/>
      <c r="I56" s="256"/>
      <c r="J56" s="256"/>
      <c r="K56" s="256"/>
      <c r="L56" s="415"/>
      <c r="M56" s="415"/>
      <c r="N56" s="418"/>
      <c r="O56" s="418"/>
      <c r="P56" s="39"/>
      <c r="Q56" s="349"/>
      <c r="R56" s="349"/>
      <c r="S56" s="349"/>
      <c r="T56" s="349"/>
      <c r="U56" s="349"/>
      <c r="V56" s="349"/>
      <c r="W56" s="349"/>
    </row>
    <row r="57" spans="1:23" x14ac:dyDescent="0.25">
      <c r="A57" s="410" t="e">
        <f t="shared" si="1"/>
        <v>#N/A</v>
      </c>
      <c r="B57" s="419" t="s">
        <v>810</v>
      </c>
      <c r="C57" s="419" t="s">
        <v>1019</v>
      </c>
      <c r="D57" s="419"/>
      <c r="E57" s="419"/>
      <c r="F57" s="412"/>
      <c r="G57" s="413"/>
      <c r="H57" s="414"/>
      <c r="I57" s="256"/>
      <c r="J57" s="256"/>
      <c r="K57" s="256"/>
      <c r="L57" s="415"/>
      <c r="M57" s="415"/>
      <c r="N57" s="418"/>
      <c r="O57" s="418"/>
      <c r="P57" s="407"/>
      <c r="Q57" s="349"/>
      <c r="R57" s="349"/>
      <c r="S57" s="349"/>
      <c r="T57" s="349"/>
      <c r="U57" s="349"/>
      <c r="V57" s="349"/>
      <c r="W57" s="349"/>
    </row>
    <row r="58" spans="1:23" ht="16.5" customHeight="1" x14ac:dyDescent="0.25">
      <c r="A58" s="410" t="e">
        <f t="shared" si="1"/>
        <v>#N/A</v>
      </c>
      <c r="B58" s="419" t="s">
        <v>810</v>
      </c>
      <c r="C58" s="419" t="s">
        <v>1019</v>
      </c>
      <c r="D58" s="419"/>
      <c r="E58" s="419"/>
      <c r="F58" s="412"/>
      <c r="G58" s="413"/>
      <c r="H58" s="414"/>
      <c r="I58" s="256"/>
      <c r="J58" s="256"/>
      <c r="K58" s="256"/>
      <c r="L58" s="415"/>
      <c r="M58" s="415"/>
      <c r="N58" s="418"/>
      <c r="O58" s="418"/>
      <c r="P58" s="39"/>
      <c r="Q58" s="484"/>
      <c r="R58" s="349"/>
      <c r="S58" s="349"/>
      <c r="T58" s="349"/>
      <c r="U58" s="349"/>
      <c r="V58" s="349"/>
      <c r="W58" s="349"/>
    </row>
    <row r="59" spans="1:23" x14ac:dyDescent="0.25">
      <c r="A59" s="410" t="e">
        <f t="shared" si="1"/>
        <v>#N/A</v>
      </c>
      <c r="B59" s="419" t="s">
        <v>810</v>
      </c>
      <c r="C59" s="419" t="s">
        <v>1019</v>
      </c>
      <c r="D59" s="419"/>
      <c r="E59" s="419"/>
      <c r="F59" s="412"/>
      <c r="G59" s="413"/>
      <c r="H59" s="414"/>
      <c r="I59" s="256"/>
      <c r="J59" s="256"/>
      <c r="K59" s="256"/>
      <c r="L59" s="415"/>
      <c r="M59" s="415"/>
      <c r="N59" s="418"/>
      <c r="O59" s="418"/>
      <c r="P59" s="407"/>
      <c r="Q59" s="484"/>
      <c r="R59" s="349"/>
      <c r="S59" s="349"/>
      <c r="T59" s="349"/>
      <c r="U59" s="349"/>
      <c r="V59" s="349"/>
      <c r="W59" s="349"/>
    </row>
    <row r="60" spans="1:23" x14ac:dyDescent="0.25">
      <c r="A60" s="410" t="e">
        <f t="shared" si="1"/>
        <v>#N/A</v>
      </c>
      <c r="B60" s="419" t="s">
        <v>810</v>
      </c>
      <c r="C60" s="419" t="s">
        <v>1019</v>
      </c>
      <c r="D60" s="419"/>
      <c r="E60" s="419"/>
      <c r="F60" s="412"/>
      <c r="G60" s="413"/>
      <c r="H60" s="414"/>
      <c r="I60" s="256"/>
      <c r="J60" s="256"/>
      <c r="K60" s="256"/>
      <c r="L60" s="415"/>
      <c r="M60" s="415"/>
      <c r="N60" s="418"/>
      <c r="O60" s="418"/>
      <c r="P60" s="407"/>
      <c r="Q60" s="484"/>
      <c r="R60" s="349"/>
      <c r="S60" s="349"/>
      <c r="T60" s="349"/>
      <c r="U60" s="349"/>
      <c r="V60" s="349"/>
      <c r="W60" s="349"/>
    </row>
    <row r="61" spans="1:23" x14ac:dyDescent="0.25">
      <c r="A61" s="410" t="e">
        <f t="shared" si="1"/>
        <v>#N/A</v>
      </c>
      <c r="B61" s="419" t="s">
        <v>810</v>
      </c>
      <c r="C61" s="419" t="s">
        <v>1019</v>
      </c>
      <c r="D61" s="419"/>
      <c r="E61" s="419"/>
      <c r="F61" s="412"/>
      <c r="G61" s="413"/>
      <c r="H61" s="414"/>
      <c r="I61" s="256"/>
      <c r="J61" s="256"/>
      <c r="K61" s="256"/>
      <c r="L61" s="415"/>
      <c r="M61" s="415"/>
      <c r="N61" s="418"/>
      <c r="O61" s="418"/>
      <c r="P61" s="407"/>
      <c r="Q61" s="484"/>
      <c r="R61" s="349"/>
      <c r="S61" s="349"/>
      <c r="T61" s="349"/>
      <c r="U61" s="349"/>
      <c r="V61" s="349"/>
      <c r="W61" s="349"/>
    </row>
    <row r="62" spans="1:23" x14ac:dyDescent="0.25">
      <c r="A62" s="410" t="e">
        <f t="shared" si="1"/>
        <v>#N/A</v>
      </c>
      <c r="B62" s="419" t="s">
        <v>810</v>
      </c>
      <c r="C62" s="419" t="s">
        <v>1019</v>
      </c>
      <c r="D62" s="419"/>
      <c r="E62" s="419"/>
      <c r="F62" s="412"/>
      <c r="G62" s="413"/>
      <c r="H62" s="414"/>
      <c r="I62" s="256"/>
      <c r="J62" s="256"/>
      <c r="K62" s="256"/>
      <c r="L62" s="415"/>
      <c r="M62" s="415"/>
      <c r="N62" s="418"/>
      <c r="O62" s="418"/>
      <c r="P62" s="407"/>
      <c r="Q62" s="484"/>
      <c r="R62" s="349"/>
      <c r="S62" s="349"/>
      <c r="T62" s="349"/>
      <c r="U62" s="349"/>
      <c r="V62" s="349"/>
      <c r="W62" s="349"/>
    </row>
    <row r="63" spans="1:23" x14ac:dyDescent="0.25">
      <c r="A63" s="410" t="e">
        <f t="shared" si="1"/>
        <v>#N/A</v>
      </c>
      <c r="B63" s="419" t="s">
        <v>810</v>
      </c>
      <c r="C63" s="419" t="s">
        <v>1019</v>
      </c>
      <c r="D63" s="419"/>
      <c r="E63" s="419"/>
      <c r="F63" s="412"/>
      <c r="G63" s="413"/>
      <c r="H63" s="414"/>
      <c r="I63" s="256"/>
      <c r="J63" s="256"/>
      <c r="K63" s="256"/>
      <c r="L63" s="415"/>
      <c r="M63" s="415"/>
      <c r="N63" s="418"/>
      <c r="O63" s="418"/>
      <c r="P63" s="407"/>
      <c r="Q63" s="484"/>
      <c r="R63" s="349"/>
      <c r="S63" s="349"/>
      <c r="T63" s="349"/>
      <c r="U63" s="349"/>
      <c r="V63" s="349"/>
      <c r="W63" s="349"/>
    </row>
    <row r="64" spans="1:23" x14ac:dyDescent="0.25">
      <c r="A64" s="410" t="e">
        <f t="shared" si="1"/>
        <v>#N/A</v>
      </c>
      <c r="B64" s="419" t="s">
        <v>810</v>
      </c>
      <c r="C64" s="419" t="s">
        <v>1019</v>
      </c>
      <c r="D64" s="419"/>
      <c r="E64" s="261"/>
      <c r="F64" s="412"/>
      <c r="G64" s="413"/>
      <c r="H64" s="414"/>
      <c r="I64" s="256"/>
      <c r="J64" s="256"/>
      <c r="K64" s="256"/>
      <c r="L64" s="415"/>
      <c r="M64" s="415"/>
      <c r="N64" s="418"/>
      <c r="O64" s="418"/>
      <c r="P64" s="407"/>
      <c r="Q64" s="484"/>
      <c r="R64" s="349"/>
      <c r="S64" s="349"/>
      <c r="T64" s="349"/>
      <c r="U64" s="349"/>
      <c r="V64" s="349"/>
      <c r="W64" s="349"/>
    </row>
    <row r="65" spans="1:23" x14ac:dyDescent="0.25">
      <c r="A65" s="410" t="e">
        <f t="shared" si="1"/>
        <v>#N/A</v>
      </c>
      <c r="B65" s="419" t="s">
        <v>810</v>
      </c>
      <c r="C65" s="419" t="s">
        <v>1019</v>
      </c>
      <c r="D65" s="419"/>
      <c r="E65" s="261"/>
      <c r="F65" s="412"/>
      <c r="G65" s="413"/>
      <c r="H65" s="414"/>
      <c r="I65" s="256"/>
      <c r="J65" s="256"/>
      <c r="K65" s="256"/>
      <c r="L65" s="415"/>
      <c r="M65" s="415"/>
      <c r="N65" s="418"/>
      <c r="O65" s="418"/>
      <c r="P65" s="407"/>
      <c r="Q65" s="349"/>
      <c r="R65" s="349"/>
      <c r="S65" s="349"/>
      <c r="T65" s="349"/>
      <c r="U65" s="349"/>
      <c r="V65" s="349"/>
      <c r="W65" s="349"/>
    </row>
    <row r="66" spans="1:23" x14ac:dyDescent="0.25">
      <c r="A66" s="410" t="e">
        <f t="shared" si="1"/>
        <v>#N/A</v>
      </c>
      <c r="B66" s="419" t="s">
        <v>810</v>
      </c>
      <c r="C66" s="419" t="s">
        <v>1019</v>
      </c>
      <c r="D66" s="419"/>
      <c r="E66" s="419"/>
      <c r="F66" s="412"/>
      <c r="G66" s="413"/>
      <c r="H66" s="414"/>
      <c r="I66" s="256"/>
      <c r="J66" s="256"/>
      <c r="K66" s="256"/>
      <c r="L66" s="415"/>
      <c r="M66" s="415"/>
      <c r="N66" s="418"/>
      <c r="O66" s="418"/>
      <c r="P66" s="407"/>
      <c r="Q66" s="349"/>
      <c r="R66" s="349"/>
      <c r="S66" s="349"/>
      <c r="T66" s="349"/>
      <c r="U66" s="349"/>
      <c r="V66" s="349"/>
      <c r="W66" s="349"/>
    </row>
    <row r="67" spans="1:23" x14ac:dyDescent="0.25">
      <c r="A67" s="410" t="e">
        <f t="shared" si="1"/>
        <v>#N/A</v>
      </c>
      <c r="B67" s="419" t="s">
        <v>810</v>
      </c>
      <c r="C67" s="419" t="s">
        <v>1019</v>
      </c>
      <c r="D67" s="419"/>
      <c r="E67" s="526"/>
      <c r="F67" s="412"/>
      <c r="G67" s="413"/>
      <c r="H67" s="414"/>
      <c r="I67" s="256"/>
      <c r="J67" s="256"/>
      <c r="K67" s="256"/>
      <c r="L67" s="257"/>
      <c r="M67" s="415"/>
      <c r="N67" s="418"/>
      <c r="O67" s="418"/>
      <c r="P67" s="407"/>
      <c r="Q67" s="349"/>
      <c r="R67" s="349"/>
      <c r="S67" s="349"/>
      <c r="T67" s="349"/>
      <c r="U67" s="349"/>
      <c r="V67" s="349"/>
      <c r="W67" s="349"/>
    </row>
    <row r="68" spans="1:23" x14ac:dyDescent="0.25">
      <c r="A68" s="410" t="e">
        <f t="shared" si="1"/>
        <v>#N/A</v>
      </c>
      <c r="B68" s="419"/>
      <c r="C68" s="419"/>
      <c r="D68" s="417"/>
      <c r="E68" s="417"/>
      <c r="F68" s="417"/>
      <c r="G68" s="417"/>
      <c r="H68" s="421"/>
      <c r="I68" s="417"/>
      <c r="J68" s="259"/>
      <c r="K68" s="259"/>
      <c r="L68" s="348"/>
      <c r="M68" s="418"/>
      <c r="N68" s="418"/>
      <c r="O68" s="408"/>
      <c r="P68" s="407"/>
      <c r="Q68" s="349"/>
      <c r="R68" s="349"/>
      <c r="S68" s="349"/>
      <c r="T68" s="349"/>
      <c r="U68" s="349"/>
      <c r="V68" s="349"/>
      <c r="W68" s="349"/>
    </row>
    <row r="69" spans="1:23" x14ac:dyDescent="0.25">
      <c r="A69" s="410" t="e">
        <f t="shared" si="1"/>
        <v>#N/A</v>
      </c>
      <c r="B69" s="419"/>
      <c r="C69" s="419"/>
      <c r="D69" s="417"/>
      <c r="E69" s="417"/>
      <c r="F69" s="417"/>
      <c r="G69" s="417"/>
      <c r="H69" s="421"/>
      <c r="I69" s="417"/>
      <c r="J69" s="259"/>
      <c r="K69" s="259"/>
      <c r="L69" s="348"/>
      <c r="M69" s="418"/>
      <c r="N69" s="418"/>
      <c r="O69" s="408"/>
      <c r="P69" s="407"/>
      <c r="Q69" s="349"/>
      <c r="R69" s="349"/>
      <c r="S69" s="349"/>
      <c r="T69" s="349"/>
      <c r="U69" s="349"/>
      <c r="V69" s="349"/>
      <c r="W69" s="349"/>
    </row>
    <row r="70" spans="1:23" x14ac:dyDescent="0.25">
      <c r="A70" s="410" t="e">
        <f t="shared" si="1"/>
        <v>#N/A</v>
      </c>
      <c r="B70" s="419"/>
      <c r="C70" s="419"/>
      <c r="D70" s="417"/>
      <c r="E70" s="417"/>
      <c r="F70" s="417"/>
      <c r="G70" s="417"/>
      <c r="H70" s="421"/>
      <c r="I70" s="417"/>
      <c r="J70" s="259"/>
      <c r="K70" s="259"/>
      <c r="L70" s="348"/>
      <c r="M70" s="418"/>
      <c r="N70" s="418"/>
      <c r="O70" s="408"/>
      <c r="Q70" s="349"/>
      <c r="R70" s="349"/>
      <c r="S70" s="349"/>
      <c r="T70" s="349"/>
      <c r="U70" s="349"/>
      <c r="V70" s="349"/>
      <c r="W70" s="349"/>
    </row>
    <row r="71" spans="1:23" x14ac:dyDescent="0.25">
      <c r="A71" s="274" t="e">
        <f t="shared" si="1"/>
        <v>#N/A</v>
      </c>
      <c r="B71" s="288"/>
      <c r="C71" s="288"/>
      <c r="D71" s="260"/>
      <c r="E71" s="363"/>
      <c r="F71" s="363"/>
      <c r="G71" s="363"/>
      <c r="H71" s="365"/>
      <c r="I71" s="363"/>
      <c r="J71" s="364"/>
      <c r="K71" s="364"/>
      <c r="L71" s="366"/>
      <c r="M71" s="263"/>
      <c r="N71" s="286"/>
      <c r="O71" s="289"/>
      <c r="Q71" s="349"/>
      <c r="R71" s="349"/>
      <c r="S71" s="349"/>
      <c r="T71" s="349"/>
      <c r="U71" s="349"/>
      <c r="V71" s="349"/>
      <c r="W71" s="349"/>
    </row>
    <row r="72" spans="1:23" x14ac:dyDescent="0.25">
      <c r="A72" s="274" t="e">
        <f t="shared" si="1"/>
        <v>#N/A</v>
      </c>
      <c r="B72" s="288"/>
      <c r="C72" s="288"/>
      <c r="D72" s="260"/>
      <c r="E72" s="363"/>
      <c r="F72" s="363"/>
      <c r="G72" s="363"/>
      <c r="H72" s="365"/>
      <c r="I72" s="363"/>
      <c r="J72" s="364"/>
      <c r="K72" s="364"/>
      <c r="L72" s="366"/>
      <c r="M72" s="263"/>
      <c r="N72" s="286"/>
      <c r="O72" s="289"/>
      <c r="Q72" s="349"/>
      <c r="R72" s="349"/>
      <c r="S72" s="349"/>
      <c r="T72" s="349"/>
      <c r="U72" s="349"/>
      <c r="V72" s="349"/>
      <c r="W72" s="349"/>
    </row>
    <row r="73" spans="1:23" x14ac:dyDescent="0.25">
      <c r="A73" s="274" t="e">
        <f t="shared" si="1"/>
        <v>#N/A</v>
      </c>
      <c r="B73" s="288"/>
      <c r="C73" s="288"/>
      <c r="D73" s="260"/>
      <c r="E73" s="363"/>
      <c r="F73" s="363"/>
      <c r="G73" s="363"/>
      <c r="H73" s="365"/>
      <c r="I73" s="363"/>
      <c r="J73" s="364"/>
      <c r="K73" s="364"/>
      <c r="L73" s="366"/>
      <c r="M73" s="263"/>
      <c r="N73" s="286"/>
      <c r="O73" s="289"/>
      <c r="Q73" s="349"/>
      <c r="R73" s="349"/>
      <c r="S73" s="349"/>
      <c r="T73" s="349"/>
      <c r="U73" s="349"/>
      <c r="V73" s="349"/>
      <c r="W73" s="349"/>
    </row>
    <row r="74" spans="1:23" x14ac:dyDescent="0.25">
      <c r="A74" s="274" t="e">
        <f t="shared" si="1"/>
        <v>#N/A</v>
      </c>
      <c r="B74" s="288"/>
      <c r="C74" s="288"/>
      <c r="D74" s="260"/>
      <c r="E74" s="363"/>
      <c r="F74" s="363"/>
      <c r="G74" s="363"/>
      <c r="H74" s="365"/>
      <c r="I74" s="363"/>
      <c r="J74" s="364"/>
      <c r="K74" s="364"/>
      <c r="L74" s="366"/>
      <c r="M74" s="263"/>
      <c r="N74" s="286"/>
      <c r="O74" s="289"/>
      <c r="Q74" s="349"/>
      <c r="R74" s="349"/>
      <c r="S74" s="349"/>
      <c r="T74" s="349"/>
      <c r="U74" s="349"/>
      <c r="V74" s="349"/>
      <c r="W74" s="349"/>
    </row>
    <row r="75" spans="1:23" x14ac:dyDescent="0.25">
      <c r="A75" s="274" t="e">
        <f t="shared" si="1"/>
        <v>#N/A</v>
      </c>
      <c r="B75" s="288"/>
      <c r="C75" s="288"/>
      <c r="D75" s="260"/>
      <c r="E75" s="363"/>
      <c r="F75" s="363"/>
      <c r="G75" s="363"/>
      <c r="H75" s="365"/>
      <c r="I75" s="363"/>
      <c r="J75" s="364"/>
      <c r="K75" s="364"/>
      <c r="L75" s="366"/>
      <c r="M75" s="263"/>
      <c r="N75" s="286"/>
      <c r="O75" s="289"/>
      <c r="Q75" s="349"/>
      <c r="R75" s="349"/>
      <c r="S75" s="349"/>
      <c r="T75" s="349"/>
      <c r="U75" s="349"/>
      <c r="V75" s="349"/>
      <c r="W75" s="349"/>
    </row>
    <row r="76" spans="1:23" x14ac:dyDescent="0.25">
      <c r="A76" s="274" t="e">
        <f t="shared" si="1"/>
        <v>#N/A</v>
      </c>
      <c r="B76" s="288"/>
      <c r="C76" s="288"/>
      <c r="D76" s="260"/>
      <c r="E76" s="363"/>
      <c r="F76" s="363"/>
      <c r="G76" s="363"/>
      <c r="H76" s="365"/>
      <c r="I76" s="363"/>
      <c r="J76" s="364"/>
      <c r="K76" s="364"/>
      <c r="L76" s="366"/>
      <c r="M76" s="263"/>
      <c r="N76" s="286"/>
      <c r="O76" s="289"/>
      <c r="Q76" s="349"/>
      <c r="R76" s="349"/>
      <c r="S76" s="349"/>
      <c r="T76" s="349"/>
      <c r="U76" s="349"/>
      <c r="V76" s="349"/>
      <c r="W76" s="349"/>
    </row>
    <row r="77" spans="1:23" x14ac:dyDescent="0.25">
      <c r="A77" s="274" t="e">
        <f t="shared" si="1"/>
        <v>#N/A</v>
      </c>
      <c r="B77" s="288"/>
      <c r="C77" s="288"/>
      <c r="D77" s="260"/>
      <c r="E77" s="363"/>
      <c r="F77" s="363"/>
      <c r="G77" s="363"/>
      <c r="H77" s="365"/>
      <c r="I77" s="363"/>
      <c r="J77" s="364"/>
      <c r="K77" s="364"/>
      <c r="L77" s="366"/>
      <c r="M77" s="263"/>
      <c r="N77" s="286"/>
      <c r="O77" s="286"/>
      <c r="Q77" s="349"/>
      <c r="R77" s="349"/>
      <c r="S77" s="349"/>
      <c r="T77" s="349"/>
      <c r="U77" s="349"/>
      <c r="V77" s="349"/>
      <c r="W77" s="349"/>
    </row>
    <row r="78" spans="1:23" x14ac:dyDescent="0.25">
      <c r="A78" s="274" t="e">
        <f t="shared" si="1"/>
        <v>#N/A</v>
      </c>
      <c r="B78" s="288"/>
      <c r="C78" s="288"/>
      <c r="D78" s="260"/>
      <c r="E78" s="363"/>
      <c r="F78" s="363"/>
      <c r="G78" s="363"/>
      <c r="H78" s="365"/>
      <c r="I78" s="363"/>
      <c r="J78" s="364"/>
      <c r="K78" s="364"/>
      <c r="L78" s="366"/>
      <c r="M78" s="263"/>
      <c r="N78" s="286"/>
      <c r="O78" s="286"/>
      <c r="Q78" s="349"/>
      <c r="R78" s="349"/>
      <c r="S78" s="349"/>
      <c r="T78" s="349"/>
      <c r="U78" s="349"/>
      <c r="V78" s="349"/>
      <c r="W78" s="349"/>
    </row>
    <row r="79" spans="1:23" x14ac:dyDescent="0.25">
      <c r="A79" s="274" t="e">
        <f t="shared" si="1"/>
        <v>#N/A</v>
      </c>
      <c r="B79" s="288"/>
      <c r="C79" s="288"/>
      <c r="D79" s="260"/>
      <c r="E79" s="363"/>
      <c r="F79" s="363"/>
      <c r="G79" s="363"/>
      <c r="H79" s="365"/>
      <c r="I79" s="363"/>
      <c r="J79" s="364"/>
      <c r="K79" s="364"/>
      <c r="L79" s="366"/>
      <c r="M79" s="263"/>
      <c r="N79" s="286"/>
      <c r="O79" s="286"/>
      <c r="Q79" s="349"/>
      <c r="R79" s="349"/>
      <c r="S79" s="349"/>
      <c r="T79" s="349"/>
      <c r="U79" s="349"/>
      <c r="V79" s="349"/>
      <c r="W79" s="349"/>
    </row>
    <row r="80" spans="1:23" x14ac:dyDescent="0.25">
      <c r="A80" s="274" t="e">
        <f t="shared" si="1"/>
        <v>#N/A</v>
      </c>
      <c r="B80" s="288"/>
      <c r="C80" s="288"/>
      <c r="D80" s="260"/>
      <c r="E80" s="363"/>
      <c r="F80" s="363"/>
      <c r="G80" s="363"/>
      <c r="H80" s="365"/>
      <c r="I80" s="363"/>
      <c r="J80" s="364"/>
      <c r="K80" s="364"/>
      <c r="L80" s="366"/>
      <c r="M80" s="263"/>
      <c r="N80" s="286"/>
      <c r="O80" s="286"/>
      <c r="Q80" s="349"/>
      <c r="R80" s="349"/>
      <c r="S80" s="349"/>
      <c r="T80" s="349"/>
      <c r="U80" s="349"/>
      <c r="V80" s="349"/>
      <c r="W80" s="349"/>
    </row>
    <row r="81" spans="1:23" x14ac:dyDescent="0.25">
      <c r="A81" s="169" t="e">
        <f t="shared" si="1"/>
        <v>#N/A</v>
      </c>
      <c r="B81" s="288"/>
      <c r="C81" s="288"/>
      <c r="D81" s="363"/>
      <c r="E81" s="363"/>
      <c r="F81" s="363"/>
      <c r="G81" s="363"/>
      <c r="H81" s="365"/>
      <c r="I81" s="363"/>
      <c r="J81" s="364"/>
      <c r="K81" s="364"/>
      <c r="L81" s="366"/>
      <c r="M81" s="263"/>
      <c r="N81" s="286"/>
      <c r="O81" s="286"/>
      <c r="Q81" s="349"/>
      <c r="R81" s="349"/>
      <c r="S81" s="349"/>
      <c r="T81" s="349"/>
      <c r="U81" s="349"/>
      <c r="V81" s="349"/>
      <c r="W81" s="349"/>
    </row>
    <row r="82" spans="1:23" x14ac:dyDescent="0.25">
      <c r="A82" s="169" t="e">
        <f t="shared" si="1"/>
        <v>#N/A</v>
      </c>
      <c r="B82" s="288"/>
      <c r="C82" s="288"/>
      <c r="D82" s="367"/>
      <c r="E82" s="367"/>
      <c r="F82" s="367"/>
      <c r="G82" s="367"/>
      <c r="H82" s="368"/>
      <c r="I82" s="367"/>
      <c r="J82" s="369"/>
      <c r="K82" s="369"/>
      <c r="L82" s="370"/>
      <c r="M82" s="371"/>
      <c r="N82" s="286"/>
      <c r="O82" s="286"/>
      <c r="Q82" s="349"/>
      <c r="R82" s="349"/>
      <c r="S82" s="349"/>
      <c r="T82" s="349"/>
      <c r="U82" s="349"/>
      <c r="V82" s="349"/>
      <c r="W82" s="349"/>
    </row>
    <row r="83" spans="1:23" x14ac:dyDescent="0.25">
      <c r="A83" s="169" t="e">
        <f t="shared" si="1"/>
        <v>#N/A</v>
      </c>
      <c r="B83" s="288"/>
      <c r="C83" s="288"/>
      <c r="D83" s="367"/>
      <c r="E83" s="367"/>
      <c r="F83" s="367"/>
      <c r="G83" s="367"/>
      <c r="H83" s="368"/>
      <c r="I83" s="367"/>
      <c r="J83" s="369"/>
      <c r="K83" s="369"/>
      <c r="L83" s="370"/>
      <c r="M83" s="371"/>
      <c r="N83" s="286"/>
      <c r="O83" s="286"/>
      <c r="Q83" s="349"/>
      <c r="R83" s="349"/>
      <c r="S83" s="349"/>
      <c r="T83" s="349"/>
      <c r="U83" s="349"/>
      <c r="V83" s="349"/>
      <c r="W83" s="349"/>
    </row>
    <row r="84" spans="1:23" x14ac:dyDescent="0.25">
      <c r="A84" s="169" t="e">
        <f t="shared" si="1"/>
        <v>#N/A</v>
      </c>
      <c r="B84" s="288"/>
      <c r="C84" s="288"/>
      <c r="D84" s="367"/>
      <c r="E84" s="367"/>
      <c r="F84" s="367"/>
      <c r="G84" s="367"/>
      <c r="H84" s="368"/>
      <c r="I84" s="367"/>
      <c r="J84" s="369"/>
      <c r="K84" s="369"/>
      <c r="L84" s="370"/>
      <c r="M84" s="371"/>
      <c r="N84" s="286"/>
      <c r="O84" s="286"/>
      <c r="Q84" s="349"/>
      <c r="R84" s="349"/>
      <c r="S84" s="349"/>
      <c r="T84" s="349"/>
      <c r="U84" s="349"/>
      <c r="V84" s="349"/>
      <c r="W84" s="349"/>
    </row>
    <row r="85" spans="1:23" x14ac:dyDescent="0.25">
      <c r="A85" s="169" t="e">
        <f t="shared" si="1"/>
        <v>#N/A</v>
      </c>
      <c r="B85" s="288"/>
      <c r="C85" s="288"/>
      <c r="D85" s="367"/>
      <c r="E85" s="367"/>
      <c r="F85" s="367"/>
      <c r="G85" s="367"/>
      <c r="H85" s="368"/>
      <c r="I85" s="367"/>
      <c r="J85" s="369"/>
      <c r="K85" s="369"/>
      <c r="L85" s="370"/>
      <c r="M85" s="371"/>
      <c r="N85" s="286"/>
      <c r="O85" s="286"/>
      <c r="Q85" s="349"/>
      <c r="R85" s="349"/>
      <c r="S85" s="349"/>
      <c r="T85" s="349"/>
      <c r="U85" s="349"/>
      <c r="V85" s="349"/>
      <c r="W85" s="349"/>
    </row>
    <row r="86" spans="1:23" x14ac:dyDescent="0.25">
      <c r="A86" s="169" t="e">
        <f t="shared" si="1"/>
        <v>#N/A</v>
      </c>
      <c r="B86" s="288"/>
      <c r="C86" s="288"/>
      <c r="D86" s="367"/>
      <c r="E86" s="367"/>
      <c r="F86" s="367"/>
      <c r="G86" s="367"/>
      <c r="H86" s="368"/>
      <c r="I86" s="367"/>
      <c r="J86" s="369"/>
      <c r="K86" s="369"/>
      <c r="L86" s="370"/>
      <c r="M86" s="371"/>
      <c r="N86" s="286"/>
      <c r="O86" s="286"/>
      <c r="Q86" s="349"/>
      <c r="R86" s="349"/>
      <c r="S86" s="349"/>
      <c r="T86" s="349"/>
      <c r="U86" s="349"/>
      <c r="V86" s="349"/>
      <c r="W86" s="349"/>
    </row>
    <row r="87" spans="1:23" x14ac:dyDescent="0.25">
      <c r="A87" s="169" t="e">
        <f t="shared" si="1"/>
        <v>#N/A</v>
      </c>
      <c r="B87" s="288"/>
      <c r="C87" s="288"/>
      <c r="D87" s="367"/>
      <c r="E87" s="367"/>
      <c r="F87" s="367"/>
      <c r="G87" s="367"/>
      <c r="H87" s="368"/>
      <c r="I87" s="367"/>
      <c r="J87" s="369"/>
      <c r="K87" s="369"/>
      <c r="L87" s="370"/>
      <c r="M87" s="371"/>
      <c r="N87" s="286"/>
      <c r="O87" s="286"/>
      <c r="Q87" s="349"/>
      <c r="R87" s="349"/>
      <c r="S87" s="349"/>
      <c r="T87" s="349"/>
      <c r="U87" s="349"/>
      <c r="V87" s="349"/>
      <c r="W87" s="349"/>
    </row>
    <row r="88" spans="1:23" x14ac:dyDescent="0.25">
      <c r="A88" s="169" t="e">
        <f t="shared" si="1"/>
        <v>#N/A</v>
      </c>
      <c r="B88" s="288"/>
      <c r="C88" s="288"/>
      <c r="D88" s="367"/>
      <c r="E88" s="367"/>
      <c r="F88" s="367"/>
      <c r="G88" s="367"/>
      <c r="H88" s="368"/>
      <c r="I88" s="367"/>
      <c r="J88" s="369"/>
      <c r="K88" s="369"/>
      <c r="L88" s="370"/>
      <c r="M88" s="371"/>
      <c r="N88" s="286"/>
      <c r="O88" s="286"/>
      <c r="Q88" s="349"/>
      <c r="R88" s="349"/>
      <c r="S88" s="349"/>
      <c r="T88" s="349"/>
      <c r="U88" s="349"/>
      <c r="V88" s="349"/>
      <c r="W88" s="349"/>
    </row>
    <row r="89" spans="1:23" x14ac:dyDescent="0.25">
      <c r="A89" s="169" t="e">
        <f t="shared" si="1"/>
        <v>#N/A</v>
      </c>
      <c r="B89" s="288"/>
      <c r="C89" s="288"/>
      <c r="D89" s="367"/>
      <c r="E89" s="367"/>
      <c r="F89" s="367"/>
      <c r="G89" s="367"/>
      <c r="H89" s="368"/>
      <c r="I89" s="367"/>
      <c r="J89" s="369"/>
      <c r="K89" s="369"/>
      <c r="L89" s="370"/>
      <c r="M89" s="371"/>
      <c r="N89" s="286"/>
      <c r="O89" s="286"/>
      <c r="Q89" s="349"/>
      <c r="R89" s="349"/>
      <c r="S89" s="349"/>
      <c r="T89" s="349"/>
      <c r="U89" s="349"/>
      <c r="V89" s="349"/>
      <c r="W89" s="349"/>
    </row>
    <row r="90" spans="1:23" x14ac:dyDescent="0.25">
      <c r="A90" s="169" t="e">
        <f t="shared" si="1"/>
        <v>#N/A</v>
      </c>
      <c r="B90" s="288"/>
      <c r="C90" s="288"/>
      <c r="D90" s="367"/>
      <c r="E90" s="367"/>
      <c r="F90" s="367"/>
      <c r="G90" s="367"/>
      <c r="H90" s="368"/>
      <c r="I90" s="367"/>
      <c r="J90" s="369"/>
      <c r="K90" s="369"/>
      <c r="L90" s="370"/>
      <c r="M90" s="371"/>
      <c r="N90" s="286"/>
      <c r="O90" s="286"/>
      <c r="Q90" s="349"/>
      <c r="R90" s="349"/>
      <c r="S90" s="349"/>
      <c r="T90" s="349"/>
      <c r="U90" s="349"/>
      <c r="V90" s="349"/>
      <c r="W90" s="349"/>
    </row>
    <row r="91" spans="1:23" x14ac:dyDescent="0.25">
      <c r="A91" s="169" t="e">
        <f t="shared" si="1"/>
        <v>#N/A</v>
      </c>
      <c r="B91" s="288"/>
      <c r="C91" s="288"/>
      <c r="D91" s="367"/>
      <c r="E91" s="367"/>
      <c r="F91" s="367"/>
      <c r="G91" s="367"/>
      <c r="H91" s="368"/>
      <c r="I91" s="367"/>
      <c r="J91" s="369"/>
      <c r="K91" s="369"/>
      <c r="L91" s="370"/>
      <c r="M91" s="371"/>
      <c r="N91" s="286"/>
      <c r="O91" s="286"/>
      <c r="Q91" s="349"/>
      <c r="R91" s="349"/>
      <c r="S91" s="349"/>
      <c r="T91" s="349"/>
      <c r="U91" s="349"/>
      <c r="V91" s="349"/>
      <c r="W91" s="349"/>
    </row>
    <row r="92" spans="1:23" x14ac:dyDescent="0.25">
      <c r="A92" s="169" t="e">
        <f t="shared" ref="A92:A155" si="2">VLOOKUP(D92,BldgExpCodes,2)</f>
        <v>#N/A</v>
      </c>
      <c r="B92" s="288"/>
      <c r="C92" s="288"/>
      <c r="D92" s="367"/>
      <c r="E92" s="367"/>
      <c r="F92" s="367"/>
      <c r="G92" s="367"/>
      <c r="H92" s="368"/>
      <c r="I92" s="367"/>
      <c r="J92" s="369"/>
      <c r="K92" s="369"/>
      <c r="L92" s="370"/>
      <c r="M92" s="371"/>
      <c r="N92" s="286"/>
      <c r="O92" s="286"/>
      <c r="Q92" s="349"/>
      <c r="R92" s="349"/>
      <c r="S92" s="349"/>
      <c r="T92" s="349"/>
      <c r="U92" s="349"/>
      <c r="V92" s="349"/>
      <c r="W92" s="349"/>
    </row>
    <row r="93" spans="1:23" x14ac:dyDescent="0.25">
      <c r="A93" s="169" t="e">
        <f t="shared" si="2"/>
        <v>#N/A</v>
      </c>
      <c r="B93" s="288"/>
      <c r="C93" s="288"/>
      <c r="D93" s="367"/>
      <c r="E93" s="367"/>
      <c r="F93" s="367"/>
      <c r="G93" s="367"/>
      <c r="H93" s="368"/>
      <c r="I93" s="367"/>
      <c r="J93" s="369"/>
      <c r="K93" s="369"/>
      <c r="L93" s="370"/>
      <c r="M93" s="371"/>
      <c r="N93" s="286"/>
      <c r="O93" s="286"/>
      <c r="Q93" s="349"/>
      <c r="R93" s="349"/>
      <c r="S93" s="349"/>
      <c r="T93" s="349"/>
      <c r="U93" s="349"/>
      <c r="V93" s="349"/>
      <c r="W93" s="349"/>
    </row>
    <row r="94" spans="1:23" x14ac:dyDescent="0.25">
      <c r="A94" s="169" t="e">
        <f t="shared" si="2"/>
        <v>#N/A</v>
      </c>
      <c r="B94" s="288"/>
      <c r="C94" s="288"/>
      <c r="D94" s="367"/>
      <c r="E94" s="367"/>
      <c r="F94" s="367"/>
      <c r="G94" s="367"/>
      <c r="H94" s="368"/>
      <c r="I94" s="367"/>
      <c r="J94" s="369"/>
      <c r="K94" s="369"/>
      <c r="L94" s="370"/>
      <c r="M94" s="371"/>
      <c r="N94" s="286"/>
      <c r="O94" s="286"/>
      <c r="Q94" s="349"/>
      <c r="R94" s="349"/>
      <c r="S94" s="349"/>
      <c r="T94" s="349"/>
      <c r="U94" s="349"/>
      <c r="V94" s="349"/>
      <c r="W94" s="349"/>
    </row>
    <row r="95" spans="1:23" x14ac:dyDescent="0.25">
      <c r="A95" s="169" t="e">
        <f t="shared" si="2"/>
        <v>#N/A</v>
      </c>
      <c r="B95" s="288"/>
      <c r="C95" s="288"/>
      <c r="D95" s="367"/>
      <c r="E95" s="367"/>
      <c r="F95" s="367"/>
      <c r="G95" s="367"/>
      <c r="H95" s="368"/>
      <c r="I95" s="367"/>
      <c r="J95" s="369"/>
      <c r="K95" s="369"/>
      <c r="L95" s="370"/>
      <c r="M95" s="371"/>
      <c r="N95" s="286"/>
      <c r="O95" s="286"/>
      <c r="Q95" s="349"/>
      <c r="R95" s="349"/>
      <c r="S95" s="349"/>
      <c r="T95" s="349"/>
      <c r="U95" s="349"/>
      <c r="V95" s="349"/>
      <c r="W95" s="349"/>
    </row>
    <row r="96" spans="1:23" x14ac:dyDescent="0.25">
      <c r="A96" s="169" t="e">
        <f t="shared" si="2"/>
        <v>#N/A</v>
      </c>
      <c r="B96" s="288"/>
      <c r="C96" s="288"/>
      <c r="D96" s="367"/>
      <c r="E96" s="367"/>
      <c r="F96" s="367"/>
      <c r="G96" s="367"/>
      <c r="H96" s="368"/>
      <c r="I96" s="367"/>
      <c r="J96" s="369"/>
      <c r="K96" s="369"/>
      <c r="L96" s="370"/>
      <c r="M96" s="371"/>
      <c r="N96" s="286"/>
      <c r="O96" s="286"/>
      <c r="Q96" s="349"/>
      <c r="R96" s="349"/>
      <c r="S96" s="349"/>
      <c r="T96" s="349"/>
      <c r="U96" s="349"/>
      <c r="V96" s="349"/>
      <c r="W96" s="349"/>
    </row>
    <row r="97" spans="1:23" x14ac:dyDescent="0.25">
      <c r="A97" s="169" t="e">
        <f t="shared" si="2"/>
        <v>#N/A</v>
      </c>
      <c r="B97" s="288"/>
      <c r="C97" s="288"/>
      <c r="D97" s="367"/>
      <c r="E97" s="367"/>
      <c r="F97" s="367"/>
      <c r="G97" s="367"/>
      <c r="H97" s="367"/>
      <c r="I97" s="367"/>
      <c r="J97" s="369"/>
      <c r="K97" s="369"/>
      <c r="L97" s="370"/>
      <c r="M97" s="371"/>
      <c r="N97" s="286"/>
      <c r="O97" s="286"/>
      <c r="Q97" s="349"/>
      <c r="R97" s="349"/>
      <c r="S97" s="349"/>
      <c r="T97" s="349"/>
      <c r="U97" s="349"/>
      <c r="V97" s="349"/>
      <c r="W97" s="349"/>
    </row>
    <row r="98" spans="1:23" x14ac:dyDescent="0.25">
      <c r="A98" s="169" t="e">
        <f t="shared" si="2"/>
        <v>#N/A</v>
      </c>
      <c r="B98" s="288"/>
      <c r="C98" s="288"/>
      <c r="D98" s="367"/>
      <c r="E98" s="367"/>
      <c r="F98" s="367"/>
      <c r="G98" s="367"/>
      <c r="H98" s="367"/>
      <c r="I98" s="367"/>
      <c r="J98" s="369"/>
      <c r="K98" s="369"/>
      <c r="L98" s="370"/>
      <c r="M98" s="371"/>
      <c r="N98" s="286"/>
      <c r="O98" s="286"/>
      <c r="Q98" s="349"/>
      <c r="R98" s="349"/>
      <c r="S98" s="349"/>
      <c r="T98" s="349"/>
      <c r="U98" s="349"/>
      <c r="V98" s="349"/>
      <c r="W98" s="349"/>
    </row>
    <row r="99" spans="1:23" x14ac:dyDescent="0.25">
      <c r="A99" s="274" t="e">
        <f t="shared" si="2"/>
        <v>#N/A</v>
      </c>
      <c r="B99" s="288"/>
      <c r="C99" s="288"/>
      <c r="D99" s="367"/>
      <c r="E99" s="367"/>
      <c r="F99" s="367"/>
      <c r="G99" s="367"/>
      <c r="H99" s="367"/>
      <c r="I99" s="367"/>
      <c r="J99" s="369"/>
      <c r="K99" s="369"/>
      <c r="L99" s="370"/>
      <c r="M99" s="371"/>
      <c r="N99" s="286"/>
      <c r="O99" s="286"/>
      <c r="Q99" s="349"/>
      <c r="R99" s="349"/>
      <c r="S99" s="349"/>
      <c r="T99" s="349"/>
      <c r="U99" s="349"/>
      <c r="V99" s="349"/>
      <c r="W99" s="349"/>
    </row>
    <row r="100" spans="1:23" x14ac:dyDescent="0.25">
      <c r="A100" s="274" t="e">
        <f t="shared" si="2"/>
        <v>#N/A</v>
      </c>
      <c r="B100" s="288"/>
      <c r="C100" s="288"/>
      <c r="D100" s="367"/>
      <c r="E100" s="367"/>
      <c r="F100" s="367"/>
      <c r="G100" s="367"/>
      <c r="H100" s="367"/>
      <c r="I100" s="367"/>
      <c r="J100" s="369"/>
      <c r="K100" s="369"/>
      <c r="L100" s="370"/>
      <c r="M100" s="371"/>
      <c r="N100" s="286"/>
      <c r="O100" s="286"/>
      <c r="Q100" s="349"/>
      <c r="R100" s="349"/>
      <c r="S100" s="349"/>
      <c r="T100" s="349"/>
      <c r="U100" s="349"/>
      <c r="V100" s="349"/>
      <c r="W100" s="349"/>
    </row>
    <row r="101" spans="1:23" x14ac:dyDescent="0.25">
      <c r="A101" s="274" t="e">
        <f t="shared" si="2"/>
        <v>#N/A</v>
      </c>
      <c r="B101" s="288"/>
      <c r="C101" s="288"/>
      <c r="D101" s="367"/>
      <c r="E101" s="367"/>
      <c r="F101" s="367"/>
      <c r="G101" s="367"/>
      <c r="H101" s="367"/>
      <c r="I101" s="367"/>
      <c r="J101" s="369"/>
      <c r="K101" s="369"/>
      <c r="L101" s="370"/>
      <c r="M101" s="371"/>
      <c r="N101" s="286"/>
      <c r="O101" s="286"/>
      <c r="Q101" s="349"/>
      <c r="R101" s="349"/>
      <c r="S101" s="349"/>
      <c r="T101" s="349"/>
      <c r="U101" s="349"/>
      <c r="V101" s="349"/>
      <c r="W101" s="349"/>
    </row>
    <row r="102" spans="1:23" x14ac:dyDescent="0.25">
      <c r="A102" s="274" t="e">
        <f t="shared" si="2"/>
        <v>#N/A</v>
      </c>
      <c r="B102" s="288"/>
      <c r="C102" s="288"/>
      <c r="D102" s="367"/>
      <c r="E102" s="367"/>
      <c r="F102" s="367"/>
      <c r="G102" s="367"/>
      <c r="H102" s="367"/>
      <c r="I102" s="367"/>
      <c r="J102" s="369"/>
      <c r="K102" s="369"/>
      <c r="L102" s="370"/>
      <c r="M102" s="371"/>
      <c r="N102" s="286"/>
      <c r="O102" s="286"/>
      <c r="Q102" s="349"/>
      <c r="R102" s="349"/>
      <c r="S102" s="349"/>
      <c r="T102" s="349"/>
      <c r="U102" s="349"/>
      <c r="V102" s="349"/>
      <c r="W102" s="349"/>
    </row>
    <row r="103" spans="1:23" x14ac:dyDescent="0.25">
      <c r="A103" s="274" t="e">
        <f t="shared" si="2"/>
        <v>#N/A</v>
      </c>
      <c r="B103" s="288"/>
      <c r="C103" s="288"/>
      <c r="D103" s="367"/>
      <c r="E103" s="367"/>
      <c r="F103" s="367"/>
      <c r="G103" s="367"/>
      <c r="H103" s="367"/>
      <c r="I103" s="367"/>
      <c r="J103" s="369"/>
      <c r="K103" s="369"/>
      <c r="L103" s="370"/>
      <c r="M103" s="371"/>
      <c r="N103" s="286"/>
      <c r="O103" s="286"/>
      <c r="Q103" s="349"/>
      <c r="R103" s="349"/>
      <c r="S103" s="349"/>
      <c r="T103" s="349"/>
      <c r="U103" s="349"/>
      <c r="V103" s="349"/>
      <c r="W103" s="349"/>
    </row>
    <row r="104" spans="1:23" x14ac:dyDescent="0.25">
      <c r="A104" s="274" t="e">
        <f t="shared" si="2"/>
        <v>#N/A</v>
      </c>
      <c r="B104" s="288"/>
      <c r="C104" s="288"/>
      <c r="D104" s="367"/>
      <c r="E104" s="367"/>
      <c r="F104" s="367"/>
      <c r="G104" s="367"/>
      <c r="H104" s="367"/>
      <c r="I104" s="367"/>
      <c r="J104" s="369"/>
      <c r="K104" s="369"/>
      <c r="L104" s="370"/>
      <c r="M104" s="371"/>
      <c r="N104" s="286"/>
      <c r="O104" s="286"/>
      <c r="Q104" s="349"/>
      <c r="R104" s="349"/>
      <c r="S104" s="349"/>
      <c r="T104" s="349"/>
      <c r="U104" s="349"/>
      <c r="V104" s="349"/>
      <c r="W104" s="349"/>
    </row>
    <row r="105" spans="1:23" x14ac:dyDescent="0.25">
      <c r="A105" s="274" t="e">
        <f t="shared" si="2"/>
        <v>#N/A</v>
      </c>
      <c r="B105" s="288"/>
      <c r="C105" s="288"/>
      <c r="D105" s="367"/>
      <c r="E105" s="367"/>
      <c r="F105" s="367"/>
      <c r="G105" s="367"/>
      <c r="H105" s="367"/>
      <c r="I105" s="367"/>
      <c r="J105" s="369"/>
      <c r="K105" s="369"/>
      <c r="L105" s="370"/>
      <c r="M105" s="371"/>
      <c r="N105" s="286"/>
      <c r="O105" s="286"/>
      <c r="Q105" s="349"/>
      <c r="R105" s="349"/>
      <c r="S105" s="349"/>
      <c r="T105" s="349"/>
      <c r="U105" s="349"/>
      <c r="V105" s="349"/>
      <c r="W105" s="349"/>
    </row>
    <row r="106" spans="1:23" x14ac:dyDescent="0.25">
      <c r="A106" s="274" t="e">
        <f t="shared" si="2"/>
        <v>#N/A</v>
      </c>
      <c r="B106" s="288"/>
      <c r="C106" s="288"/>
      <c r="D106" s="367"/>
      <c r="E106" s="367"/>
      <c r="F106" s="367"/>
      <c r="G106" s="367"/>
      <c r="H106" s="367"/>
      <c r="I106" s="367"/>
      <c r="J106" s="369"/>
      <c r="K106" s="369"/>
      <c r="L106" s="370"/>
      <c r="M106" s="371"/>
      <c r="N106" s="286"/>
      <c r="O106" s="286"/>
      <c r="Q106" s="349"/>
      <c r="R106" s="349"/>
      <c r="S106" s="349"/>
      <c r="T106" s="349"/>
      <c r="U106" s="349"/>
      <c r="V106" s="349"/>
      <c r="W106" s="349"/>
    </row>
    <row r="107" spans="1:23" x14ac:dyDescent="0.25">
      <c r="A107" s="274" t="e">
        <f t="shared" si="2"/>
        <v>#N/A</v>
      </c>
      <c r="B107" s="288"/>
      <c r="C107" s="288"/>
      <c r="D107" s="367"/>
      <c r="E107" s="367"/>
      <c r="F107" s="367"/>
      <c r="G107" s="367"/>
      <c r="H107" s="367"/>
      <c r="I107" s="372"/>
      <c r="J107" s="369"/>
      <c r="K107" s="369"/>
      <c r="L107" s="370"/>
      <c r="M107" s="371"/>
      <c r="N107" s="286"/>
      <c r="O107" s="286"/>
      <c r="Q107" s="349"/>
      <c r="R107" s="349"/>
      <c r="S107" s="349"/>
      <c r="T107" s="349"/>
      <c r="U107" s="349"/>
      <c r="V107" s="349"/>
      <c r="W107" s="349"/>
    </row>
    <row r="108" spans="1:23" x14ac:dyDescent="0.25">
      <c r="A108" s="274" t="e">
        <f t="shared" si="2"/>
        <v>#N/A</v>
      </c>
      <c r="B108" s="288"/>
      <c r="C108" s="288"/>
      <c r="D108" s="367"/>
      <c r="E108" s="367"/>
      <c r="F108" s="367"/>
      <c r="G108" s="367"/>
      <c r="H108" s="367"/>
      <c r="I108" s="372"/>
      <c r="J108" s="369"/>
      <c r="K108" s="369"/>
      <c r="L108" s="370"/>
      <c r="M108" s="371"/>
      <c r="N108" s="286"/>
      <c r="O108" s="286"/>
      <c r="Q108" s="349"/>
      <c r="R108" s="349"/>
      <c r="S108" s="349"/>
      <c r="T108" s="349"/>
      <c r="U108" s="349"/>
      <c r="V108" s="349"/>
      <c r="W108" s="349"/>
    </row>
    <row r="109" spans="1:23" x14ac:dyDescent="0.25">
      <c r="A109" s="274" t="e">
        <f t="shared" si="2"/>
        <v>#N/A</v>
      </c>
      <c r="B109" s="288"/>
      <c r="C109" s="288"/>
      <c r="D109" s="367"/>
      <c r="E109" s="367"/>
      <c r="F109" s="367"/>
      <c r="G109" s="367"/>
      <c r="H109" s="367"/>
      <c r="I109" s="367"/>
      <c r="J109" s="369"/>
      <c r="K109" s="369"/>
      <c r="L109" s="370"/>
      <c r="M109" s="371"/>
      <c r="N109" s="286"/>
      <c r="O109" s="286"/>
      <c r="Q109" s="349"/>
      <c r="R109" s="349"/>
      <c r="S109" s="349"/>
      <c r="T109" s="349"/>
      <c r="U109" s="349"/>
      <c r="V109" s="349"/>
      <c r="W109" s="349"/>
    </row>
    <row r="110" spans="1:23" x14ac:dyDescent="0.25">
      <c r="A110" s="274" t="e">
        <f t="shared" si="2"/>
        <v>#N/A</v>
      </c>
      <c r="B110" s="288"/>
      <c r="C110" s="288"/>
      <c r="D110" s="367"/>
      <c r="E110" s="367"/>
      <c r="F110" s="367"/>
      <c r="G110" s="367"/>
      <c r="H110" s="367"/>
      <c r="I110" s="367"/>
      <c r="J110" s="369"/>
      <c r="K110" s="369"/>
      <c r="L110" s="370"/>
      <c r="M110" s="371"/>
      <c r="N110" s="286"/>
      <c r="O110" s="286"/>
      <c r="Q110" s="349"/>
      <c r="R110" s="349"/>
      <c r="S110" s="349"/>
      <c r="T110" s="349"/>
      <c r="U110" s="349"/>
      <c r="V110" s="349"/>
      <c r="W110" s="349"/>
    </row>
    <row r="111" spans="1:23" x14ac:dyDescent="0.25">
      <c r="A111" s="274" t="e">
        <f t="shared" si="2"/>
        <v>#N/A</v>
      </c>
      <c r="B111" s="288"/>
      <c r="C111" s="288"/>
      <c r="D111" s="367"/>
      <c r="E111" s="367"/>
      <c r="F111" s="367"/>
      <c r="G111" s="367"/>
      <c r="H111" s="367"/>
      <c r="I111" s="367"/>
      <c r="J111" s="369"/>
      <c r="K111" s="369"/>
      <c r="L111" s="370"/>
      <c r="M111" s="371"/>
      <c r="N111" s="286"/>
      <c r="O111" s="286"/>
      <c r="Q111" s="349"/>
      <c r="R111" s="349"/>
      <c r="S111" s="349"/>
      <c r="T111" s="349"/>
      <c r="U111" s="349"/>
      <c r="V111" s="349"/>
      <c r="W111" s="349"/>
    </row>
    <row r="112" spans="1:23" x14ac:dyDescent="0.25">
      <c r="A112" s="274" t="e">
        <f t="shared" si="2"/>
        <v>#N/A</v>
      </c>
      <c r="B112" s="288"/>
      <c r="C112" s="288"/>
      <c r="D112" s="367"/>
      <c r="E112" s="367"/>
      <c r="F112" s="367"/>
      <c r="G112" s="367"/>
      <c r="H112" s="367"/>
      <c r="I112" s="367"/>
      <c r="J112" s="369"/>
      <c r="K112" s="369"/>
      <c r="L112" s="370"/>
      <c r="M112" s="371"/>
      <c r="N112" s="286"/>
      <c r="O112" s="286"/>
      <c r="Q112" s="349"/>
      <c r="R112" s="349"/>
      <c r="S112" s="349"/>
      <c r="T112" s="349"/>
      <c r="U112" s="349"/>
      <c r="V112" s="349"/>
      <c r="W112" s="349"/>
    </row>
    <row r="113" spans="1:23" x14ac:dyDescent="0.25">
      <c r="A113" s="274" t="e">
        <f t="shared" si="2"/>
        <v>#N/A</v>
      </c>
      <c r="B113" s="288"/>
      <c r="C113" s="288"/>
      <c r="D113" s="367"/>
      <c r="E113" s="367"/>
      <c r="F113" s="367"/>
      <c r="G113" s="367"/>
      <c r="H113" s="367"/>
      <c r="I113" s="367"/>
      <c r="J113" s="369"/>
      <c r="K113" s="369"/>
      <c r="L113" s="370"/>
      <c r="M113" s="371"/>
      <c r="N113" s="286"/>
      <c r="O113" s="286"/>
      <c r="Q113" s="349"/>
      <c r="R113" s="349"/>
      <c r="S113" s="349"/>
      <c r="T113" s="349"/>
      <c r="U113" s="349"/>
      <c r="V113" s="349"/>
      <c r="W113" s="349"/>
    </row>
    <row r="114" spans="1:23" x14ac:dyDescent="0.25">
      <c r="A114" s="274" t="e">
        <f t="shared" si="2"/>
        <v>#N/A</v>
      </c>
      <c r="B114" s="288"/>
      <c r="C114" s="288"/>
      <c r="D114" s="367"/>
      <c r="E114" s="367"/>
      <c r="F114" s="367"/>
      <c r="G114" s="367"/>
      <c r="H114" s="367"/>
      <c r="I114" s="367"/>
      <c r="J114" s="369"/>
      <c r="K114" s="369"/>
      <c r="L114" s="370"/>
      <c r="M114" s="371"/>
      <c r="N114" s="286"/>
      <c r="O114" s="286"/>
      <c r="Q114" s="349"/>
      <c r="R114" s="349"/>
      <c r="S114" s="349"/>
      <c r="T114" s="349"/>
      <c r="U114" s="349"/>
      <c r="V114" s="349"/>
      <c r="W114" s="349"/>
    </row>
    <row r="115" spans="1:23" x14ac:dyDescent="0.25">
      <c r="A115" s="274" t="e">
        <f t="shared" si="2"/>
        <v>#N/A</v>
      </c>
      <c r="B115" s="288"/>
      <c r="C115" s="288"/>
      <c r="D115" s="367"/>
      <c r="E115" s="367"/>
      <c r="F115" s="367"/>
      <c r="G115" s="367"/>
      <c r="H115" s="367"/>
      <c r="I115" s="367"/>
      <c r="J115" s="369"/>
      <c r="K115" s="369"/>
      <c r="L115" s="370"/>
      <c r="M115" s="371"/>
      <c r="N115" s="286"/>
      <c r="O115" s="286"/>
      <c r="Q115" s="349"/>
      <c r="R115" s="349"/>
      <c r="S115" s="349"/>
      <c r="T115" s="349"/>
      <c r="U115" s="349"/>
      <c r="V115" s="349"/>
      <c r="W115" s="349"/>
    </row>
    <row r="116" spans="1:23" x14ac:dyDescent="0.25">
      <c r="A116" s="274" t="e">
        <f t="shared" si="2"/>
        <v>#N/A</v>
      </c>
      <c r="B116" s="288"/>
      <c r="C116" s="288"/>
      <c r="D116" s="367"/>
      <c r="E116" s="367"/>
      <c r="F116" s="367"/>
      <c r="G116" s="367"/>
      <c r="H116" s="372"/>
      <c r="I116" s="367"/>
      <c r="J116" s="369"/>
      <c r="K116" s="369"/>
      <c r="L116" s="370"/>
      <c r="M116" s="371"/>
      <c r="N116" s="286"/>
      <c r="O116" s="286"/>
      <c r="Q116" s="349"/>
      <c r="R116" s="349"/>
      <c r="S116" s="349"/>
      <c r="T116" s="349"/>
      <c r="U116" s="349"/>
      <c r="V116" s="349"/>
      <c r="W116" s="349"/>
    </row>
    <row r="117" spans="1:23" x14ac:dyDescent="0.25">
      <c r="A117" s="274" t="e">
        <f t="shared" si="2"/>
        <v>#N/A</v>
      </c>
      <c r="B117" s="288"/>
      <c r="C117" s="288"/>
      <c r="D117" s="367"/>
      <c r="E117" s="367"/>
      <c r="F117" s="367"/>
      <c r="G117" s="367"/>
      <c r="H117" s="372"/>
      <c r="I117" s="367"/>
      <c r="J117" s="369"/>
      <c r="K117" s="369"/>
      <c r="L117" s="370"/>
      <c r="M117" s="371"/>
      <c r="N117" s="286"/>
      <c r="O117" s="286"/>
      <c r="Q117" s="349"/>
      <c r="R117" s="349"/>
      <c r="S117" s="349"/>
      <c r="T117" s="349"/>
      <c r="U117" s="349"/>
      <c r="V117" s="349"/>
      <c r="W117" s="349"/>
    </row>
    <row r="118" spans="1:23" x14ac:dyDescent="0.25">
      <c r="A118" s="274" t="e">
        <f t="shared" si="2"/>
        <v>#N/A</v>
      </c>
      <c r="B118" s="288"/>
      <c r="C118" s="288"/>
      <c r="D118" s="367"/>
      <c r="E118" s="367"/>
      <c r="F118" s="367"/>
      <c r="G118" s="367"/>
      <c r="H118" s="372"/>
      <c r="I118" s="367"/>
      <c r="J118" s="369"/>
      <c r="K118" s="369"/>
      <c r="L118" s="370"/>
      <c r="M118" s="371"/>
      <c r="N118" s="286"/>
      <c r="O118" s="286"/>
      <c r="Q118" s="349"/>
      <c r="R118" s="349"/>
      <c r="S118" s="349"/>
      <c r="T118" s="349"/>
      <c r="U118" s="349"/>
      <c r="V118" s="349"/>
      <c r="W118" s="349"/>
    </row>
    <row r="119" spans="1:23" x14ac:dyDescent="0.25">
      <c r="A119" s="274" t="e">
        <f t="shared" si="2"/>
        <v>#N/A</v>
      </c>
      <c r="B119" s="288"/>
      <c r="C119" s="288"/>
      <c r="D119" s="367"/>
      <c r="E119" s="367"/>
      <c r="F119" s="367"/>
      <c r="G119" s="367"/>
      <c r="H119" s="367"/>
      <c r="I119" s="367"/>
      <c r="J119" s="369"/>
      <c r="K119" s="369"/>
      <c r="L119" s="370"/>
      <c r="M119" s="371"/>
      <c r="N119" s="286"/>
      <c r="O119" s="286"/>
      <c r="Q119" s="349"/>
      <c r="R119" s="349"/>
      <c r="S119" s="349"/>
      <c r="T119" s="349"/>
      <c r="U119" s="349"/>
      <c r="V119" s="349"/>
      <c r="W119" s="349"/>
    </row>
    <row r="120" spans="1:23" x14ac:dyDescent="0.25">
      <c r="A120" s="274" t="e">
        <f t="shared" si="2"/>
        <v>#N/A</v>
      </c>
      <c r="B120" s="288"/>
      <c r="C120" s="288"/>
      <c r="D120" s="367"/>
      <c r="E120" s="367"/>
      <c r="F120" s="367"/>
      <c r="G120" s="367"/>
      <c r="H120" s="367"/>
      <c r="I120" s="367"/>
      <c r="J120" s="369"/>
      <c r="K120" s="369"/>
      <c r="L120" s="370"/>
      <c r="M120" s="371"/>
      <c r="N120" s="286"/>
      <c r="O120" s="286"/>
      <c r="Q120" s="349"/>
      <c r="R120" s="349"/>
      <c r="S120" s="349"/>
      <c r="T120" s="349"/>
      <c r="U120" s="349"/>
      <c r="V120" s="349"/>
      <c r="W120" s="349"/>
    </row>
    <row r="121" spans="1:23" x14ac:dyDescent="0.25">
      <c r="A121" s="274" t="e">
        <f t="shared" si="2"/>
        <v>#N/A</v>
      </c>
      <c r="B121" s="288"/>
      <c r="C121" s="288"/>
      <c r="D121" s="367"/>
      <c r="E121" s="367"/>
      <c r="F121" s="367"/>
      <c r="G121" s="367"/>
      <c r="H121" s="367"/>
      <c r="I121" s="367"/>
      <c r="J121" s="369"/>
      <c r="K121" s="369"/>
      <c r="L121" s="370"/>
      <c r="M121" s="371"/>
      <c r="N121" s="286"/>
      <c r="O121" s="286"/>
      <c r="Q121" s="349"/>
      <c r="R121" s="349"/>
      <c r="S121" s="349"/>
      <c r="T121" s="349"/>
      <c r="U121" s="349"/>
      <c r="V121" s="349"/>
      <c r="W121" s="349"/>
    </row>
    <row r="122" spans="1:23" x14ac:dyDescent="0.25">
      <c r="A122" s="274" t="e">
        <f t="shared" si="2"/>
        <v>#N/A</v>
      </c>
      <c r="B122" s="288"/>
      <c r="C122" s="288"/>
      <c r="D122" s="367"/>
      <c r="E122" s="367"/>
      <c r="F122" s="367"/>
      <c r="G122" s="367"/>
      <c r="H122" s="367"/>
      <c r="I122" s="367"/>
      <c r="J122" s="369"/>
      <c r="K122" s="369"/>
      <c r="L122" s="370"/>
      <c r="M122" s="371"/>
      <c r="N122" s="286"/>
      <c r="O122" s="286"/>
      <c r="Q122" s="349"/>
      <c r="R122" s="349"/>
      <c r="S122" s="349"/>
      <c r="T122" s="349"/>
      <c r="U122" s="349"/>
      <c r="V122" s="349"/>
      <c r="W122" s="349"/>
    </row>
    <row r="123" spans="1:23" x14ac:dyDescent="0.25">
      <c r="A123" s="274" t="e">
        <f t="shared" si="2"/>
        <v>#N/A</v>
      </c>
      <c r="B123" s="288"/>
      <c r="C123" s="288"/>
      <c r="D123" s="367"/>
      <c r="E123" s="367"/>
      <c r="F123" s="367"/>
      <c r="G123" s="367"/>
      <c r="H123" s="367"/>
      <c r="I123" s="367"/>
      <c r="J123" s="369"/>
      <c r="K123" s="369"/>
      <c r="L123" s="370"/>
      <c r="M123" s="371"/>
      <c r="N123" s="286"/>
      <c r="O123" s="286"/>
      <c r="Q123" s="349"/>
      <c r="R123" s="349"/>
      <c r="S123" s="349"/>
      <c r="T123" s="349"/>
      <c r="U123" s="349"/>
      <c r="V123" s="349"/>
      <c r="W123" s="349"/>
    </row>
    <row r="124" spans="1:23" x14ac:dyDescent="0.25">
      <c r="A124" s="274" t="e">
        <f t="shared" si="2"/>
        <v>#N/A</v>
      </c>
      <c r="B124" s="288"/>
      <c r="C124" s="288"/>
      <c r="D124" s="367"/>
      <c r="E124" s="367"/>
      <c r="F124" s="367"/>
      <c r="G124" s="367"/>
      <c r="H124" s="367"/>
      <c r="I124" s="367"/>
      <c r="J124" s="369"/>
      <c r="K124" s="369"/>
      <c r="L124" s="370"/>
      <c r="M124" s="371"/>
      <c r="N124" s="286"/>
      <c r="O124" s="286"/>
      <c r="Q124" s="349"/>
      <c r="R124" s="349"/>
      <c r="S124" s="349"/>
      <c r="T124" s="349"/>
      <c r="U124" s="349"/>
      <c r="V124" s="349"/>
      <c r="W124" s="349"/>
    </row>
    <row r="125" spans="1:23" x14ac:dyDescent="0.25">
      <c r="A125" s="274" t="e">
        <f t="shared" si="2"/>
        <v>#N/A</v>
      </c>
      <c r="B125" s="288"/>
      <c r="C125" s="288"/>
      <c r="D125" s="367"/>
      <c r="E125" s="367"/>
      <c r="F125" s="367"/>
      <c r="G125" s="367"/>
      <c r="H125" s="367"/>
      <c r="I125" s="367"/>
      <c r="J125" s="369"/>
      <c r="K125" s="369"/>
      <c r="L125" s="370"/>
      <c r="M125" s="371"/>
      <c r="N125" s="286"/>
      <c r="O125" s="286"/>
      <c r="Q125" s="349"/>
      <c r="R125" s="349"/>
      <c r="S125" s="349"/>
      <c r="T125" s="349"/>
      <c r="U125" s="349"/>
      <c r="V125" s="349"/>
      <c r="W125" s="349"/>
    </row>
    <row r="126" spans="1:23" x14ac:dyDescent="0.25">
      <c r="A126" s="274" t="e">
        <f t="shared" si="2"/>
        <v>#N/A</v>
      </c>
      <c r="B126" s="288"/>
      <c r="C126" s="288"/>
      <c r="D126" s="367"/>
      <c r="E126" s="367"/>
      <c r="F126" s="367"/>
      <c r="G126" s="367"/>
      <c r="H126" s="367"/>
      <c r="I126" s="367"/>
      <c r="J126" s="369"/>
      <c r="K126" s="369"/>
      <c r="L126" s="370"/>
      <c r="M126" s="371"/>
      <c r="N126" s="286"/>
      <c r="O126" s="286"/>
      <c r="Q126" s="349"/>
      <c r="R126" s="349"/>
      <c r="S126" s="349"/>
      <c r="T126" s="349"/>
      <c r="U126" s="349"/>
      <c r="V126" s="349"/>
      <c r="W126" s="349"/>
    </row>
    <row r="127" spans="1:23" x14ac:dyDescent="0.25">
      <c r="A127" s="274" t="e">
        <f t="shared" si="2"/>
        <v>#N/A</v>
      </c>
      <c r="B127" s="288"/>
      <c r="C127" s="288"/>
      <c r="D127" s="367"/>
      <c r="E127" s="367"/>
      <c r="F127" s="367"/>
      <c r="G127" s="367"/>
      <c r="H127" s="367"/>
      <c r="I127" s="367"/>
      <c r="J127" s="369"/>
      <c r="K127" s="369"/>
      <c r="L127" s="370"/>
      <c r="M127" s="371"/>
      <c r="N127" s="286"/>
      <c r="O127" s="286"/>
      <c r="Q127" s="349"/>
      <c r="R127" s="349"/>
      <c r="S127" s="349"/>
      <c r="T127" s="349"/>
      <c r="U127" s="349"/>
      <c r="V127" s="349"/>
      <c r="W127" s="349"/>
    </row>
    <row r="128" spans="1:23" x14ac:dyDescent="0.25">
      <c r="A128" s="274" t="e">
        <f t="shared" si="2"/>
        <v>#N/A</v>
      </c>
      <c r="B128" s="288"/>
      <c r="C128" s="288"/>
      <c r="D128" s="367"/>
      <c r="E128" s="367"/>
      <c r="F128" s="367"/>
      <c r="G128" s="367"/>
      <c r="H128" s="367"/>
      <c r="I128" s="367"/>
      <c r="J128" s="369"/>
      <c r="K128" s="369"/>
      <c r="L128" s="370"/>
      <c r="M128" s="371"/>
      <c r="N128" s="286"/>
      <c r="O128" s="286"/>
      <c r="Q128" s="349"/>
      <c r="R128" s="349"/>
      <c r="S128" s="349"/>
      <c r="T128" s="349"/>
      <c r="U128" s="349"/>
      <c r="V128" s="349"/>
      <c r="W128" s="349"/>
    </row>
    <row r="129" spans="1:23" x14ac:dyDescent="0.25">
      <c r="A129" s="274" t="e">
        <f t="shared" si="2"/>
        <v>#N/A</v>
      </c>
      <c r="B129" s="288"/>
      <c r="C129" s="288"/>
      <c r="D129" s="367"/>
      <c r="E129" s="367"/>
      <c r="F129" s="367"/>
      <c r="G129" s="367"/>
      <c r="H129" s="367"/>
      <c r="I129" s="367"/>
      <c r="J129" s="369"/>
      <c r="K129" s="369"/>
      <c r="L129" s="370"/>
      <c r="M129" s="371"/>
      <c r="N129" s="286"/>
      <c r="O129" s="286"/>
      <c r="Q129" s="349"/>
      <c r="R129" s="349"/>
      <c r="S129" s="349"/>
      <c r="T129" s="349"/>
      <c r="U129" s="349"/>
      <c r="V129" s="349"/>
      <c r="W129" s="349"/>
    </row>
    <row r="130" spans="1:23" x14ac:dyDescent="0.25">
      <c r="A130" s="273" t="e">
        <f t="shared" si="2"/>
        <v>#N/A</v>
      </c>
      <c r="B130" s="288"/>
      <c r="C130" s="288"/>
      <c r="D130" s="26"/>
      <c r="E130" s="26"/>
      <c r="F130" s="26"/>
      <c r="G130" s="26"/>
      <c r="H130" s="26"/>
      <c r="I130" s="26"/>
      <c r="J130" s="373"/>
      <c r="K130" s="373"/>
      <c r="L130" s="371"/>
      <c r="M130" s="371"/>
      <c r="N130" s="40"/>
      <c r="O130" s="40"/>
      <c r="Q130" s="349"/>
      <c r="R130" s="349"/>
      <c r="S130" s="349"/>
      <c r="T130" s="349"/>
      <c r="U130" s="349"/>
      <c r="V130" s="349"/>
      <c r="W130" s="349"/>
    </row>
    <row r="131" spans="1:23" x14ac:dyDescent="0.25">
      <c r="A131" s="273" t="e">
        <f t="shared" si="2"/>
        <v>#N/A</v>
      </c>
      <c r="B131" s="288"/>
      <c r="C131" s="288"/>
      <c r="D131" s="26"/>
      <c r="E131" s="26"/>
      <c r="F131" s="26"/>
      <c r="G131" s="26"/>
      <c r="H131" s="26"/>
      <c r="I131" s="26"/>
      <c r="J131" s="373"/>
      <c r="K131" s="373"/>
      <c r="L131" s="371"/>
      <c r="M131" s="371"/>
      <c r="N131" s="40"/>
      <c r="O131" s="40"/>
      <c r="Q131" s="349"/>
      <c r="R131" s="349"/>
      <c r="S131" s="349"/>
      <c r="T131" s="349"/>
      <c r="U131" s="349"/>
      <c r="V131" s="349"/>
      <c r="W131" s="349"/>
    </row>
    <row r="132" spans="1:23" x14ac:dyDescent="0.25">
      <c r="A132" s="273" t="e">
        <f t="shared" si="2"/>
        <v>#N/A</v>
      </c>
      <c r="B132" s="288"/>
      <c r="C132" s="288"/>
      <c r="D132" s="26"/>
      <c r="E132" s="26"/>
      <c r="F132" s="26"/>
      <c r="G132" s="26"/>
      <c r="H132" s="26"/>
      <c r="I132" s="26"/>
      <c r="J132" s="373"/>
      <c r="K132" s="373"/>
      <c r="L132" s="371"/>
      <c r="M132" s="371"/>
      <c r="N132" s="40"/>
      <c r="O132" s="40"/>
      <c r="Q132" s="349"/>
      <c r="R132" s="349"/>
      <c r="S132" s="349"/>
      <c r="T132" s="349"/>
      <c r="U132" s="349"/>
      <c r="V132" s="349"/>
      <c r="W132" s="349"/>
    </row>
    <row r="133" spans="1:23" x14ac:dyDescent="0.25">
      <c r="A133" s="273" t="e">
        <f t="shared" si="2"/>
        <v>#N/A</v>
      </c>
      <c r="B133" s="288"/>
      <c r="C133" s="288"/>
      <c r="D133" s="26"/>
      <c r="E133" s="26"/>
      <c r="F133" s="26"/>
      <c r="G133" s="26"/>
      <c r="H133" s="26"/>
      <c r="I133" s="26"/>
      <c r="J133" s="373"/>
      <c r="K133" s="373"/>
      <c r="L133" s="371"/>
      <c r="M133" s="371"/>
      <c r="N133" s="40"/>
      <c r="O133" s="40"/>
      <c r="Q133" s="349"/>
      <c r="R133" s="349"/>
      <c r="S133" s="349"/>
      <c r="T133" s="349"/>
      <c r="U133" s="349"/>
      <c r="V133" s="349"/>
      <c r="W133" s="349"/>
    </row>
    <row r="134" spans="1:23" x14ac:dyDescent="0.25">
      <c r="A134" s="273" t="e">
        <f t="shared" si="2"/>
        <v>#N/A</v>
      </c>
      <c r="B134" s="288"/>
      <c r="C134" s="288"/>
      <c r="D134" s="26"/>
      <c r="E134" s="26"/>
      <c r="F134" s="26"/>
      <c r="G134" s="26"/>
      <c r="H134" s="26"/>
      <c r="I134" s="26"/>
      <c r="J134" s="373"/>
      <c r="K134" s="373"/>
      <c r="L134" s="371"/>
      <c r="M134" s="371"/>
      <c r="N134" s="40"/>
      <c r="O134" s="40"/>
      <c r="Q134" s="349"/>
      <c r="R134" s="349"/>
      <c r="S134" s="349"/>
      <c r="T134" s="349"/>
      <c r="U134" s="349"/>
      <c r="V134" s="349"/>
      <c r="W134" s="349"/>
    </row>
    <row r="135" spans="1:23" x14ac:dyDescent="0.25">
      <c r="A135" s="273" t="e">
        <f t="shared" si="2"/>
        <v>#N/A</v>
      </c>
      <c r="B135" s="288"/>
      <c r="C135" s="288"/>
      <c r="D135" s="26"/>
      <c r="E135" s="26"/>
      <c r="F135" s="26"/>
      <c r="G135" s="26"/>
      <c r="H135" s="26"/>
      <c r="I135" s="26"/>
      <c r="J135" s="373"/>
      <c r="K135" s="373"/>
      <c r="L135" s="371"/>
      <c r="M135" s="371"/>
      <c r="N135" s="40"/>
      <c r="O135" s="40"/>
      <c r="Q135" s="349"/>
      <c r="R135" s="349"/>
      <c r="S135" s="349"/>
      <c r="T135" s="349"/>
      <c r="U135" s="349"/>
      <c r="V135" s="349"/>
      <c r="W135" s="349"/>
    </row>
    <row r="136" spans="1:23" x14ac:dyDescent="0.25">
      <c r="A136" s="273" t="e">
        <f t="shared" si="2"/>
        <v>#N/A</v>
      </c>
      <c r="B136" s="288"/>
      <c r="C136" s="288"/>
      <c r="D136" s="26"/>
      <c r="E136" s="26"/>
      <c r="F136" s="26"/>
      <c r="G136" s="26"/>
      <c r="H136" s="26"/>
      <c r="I136" s="26"/>
      <c r="J136" s="373"/>
      <c r="K136" s="373"/>
      <c r="L136" s="371"/>
      <c r="M136" s="371"/>
      <c r="N136" s="40"/>
      <c r="O136" s="40"/>
      <c r="Q136" s="349"/>
      <c r="R136" s="349"/>
      <c r="S136" s="349"/>
      <c r="T136" s="349"/>
      <c r="U136" s="349"/>
      <c r="V136" s="349"/>
      <c r="W136" s="349"/>
    </row>
    <row r="137" spans="1:23" x14ac:dyDescent="0.25">
      <c r="A137" s="273" t="e">
        <f t="shared" si="2"/>
        <v>#N/A</v>
      </c>
      <c r="B137" s="288"/>
      <c r="C137" s="288"/>
      <c r="D137" s="26"/>
      <c r="E137" s="26"/>
      <c r="F137" s="26"/>
      <c r="G137" s="26"/>
      <c r="H137" s="26"/>
      <c r="I137" s="26"/>
      <c r="J137" s="373"/>
      <c r="K137" s="373"/>
      <c r="L137" s="371"/>
      <c r="M137" s="371"/>
      <c r="N137" s="40"/>
      <c r="O137" s="40"/>
      <c r="Q137" s="349"/>
      <c r="R137" s="349"/>
      <c r="S137" s="349"/>
      <c r="T137" s="349"/>
      <c r="U137" s="349"/>
      <c r="V137" s="349"/>
      <c r="W137" s="349"/>
    </row>
    <row r="138" spans="1:23" x14ac:dyDescent="0.25">
      <c r="A138" s="273" t="e">
        <f t="shared" si="2"/>
        <v>#N/A</v>
      </c>
      <c r="B138" s="288"/>
      <c r="C138" s="288"/>
      <c r="D138" s="26"/>
      <c r="E138" s="26"/>
      <c r="F138" s="26"/>
      <c r="G138" s="26"/>
      <c r="H138" s="26"/>
      <c r="I138" s="26"/>
      <c r="J138" s="373"/>
      <c r="K138" s="373"/>
      <c r="L138" s="371"/>
      <c r="M138" s="371"/>
      <c r="N138" s="40"/>
      <c r="O138" s="40"/>
      <c r="Q138" s="349"/>
      <c r="R138" s="349"/>
      <c r="S138" s="349"/>
      <c r="T138" s="349"/>
      <c r="U138" s="349"/>
      <c r="V138" s="349"/>
      <c r="W138" s="349"/>
    </row>
    <row r="139" spans="1:23" x14ac:dyDescent="0.25">
      <c r="A139" s="273" t="e">
        <f t="shared" si="2"/>
        <v>#N/A</v>
      </c>
      <c r="B139" s="288"/>
      <c r="C139" s="288"/>
      <c r="D139" s="26"/>
      <c r="E139" s="26"/>
      <c r="F139" s="26"/>
      <c r="G139" s="26"/>
      <c r="H139" s="26"/>
      <c r="I139" s="26"/>
      <c r="J139" s="373"/>
      <c r="K139" s="373"/>
      <c r="L139" s="371"/>
      <c r="M139" s="371"/>
      <c r="N139" s="40"/>
      <c r="O139" s="40"/>
      <c r="Q139" s="349"/>
      <c r="R139" s="349"/>
      <c r="S139" s="349"/>
      <c r="T139" s="349"/>
      <c r="U139" s="349"/>
      <c r="V139" s="349"/>
      <c r="W139" s="349"/>
    </row>
    <row r="140" spans="1:23" x14ac:dyDescent="0.25">
      <c r="A140" s="273" t="e">
        <f t="shared" si="2"/>
        <v>#N/A</v>
      </c>
      <c r="B140" s="288"/>
      <c r="C140" s="288"/>
      <c r="D140" s="26"/>
      <c r="E140" s="26"/>
      <c r="F140" s="26"/>
      <c r="G140" s="26"/>
      <c r="H140" s="26"/>
      <c r="I140" s="26"/>
      <c r="J140" s="373"/>
      <c r="K140" s="373"/>
      <c r="L140" s="371"/>
      <c r="M140" s="371"/>
      <c r="N140" s="40"/>
      <c r="O140" s="40"/>
      <c r="Q140" s="349"/>
      <c r="R140" s="349"/>
      <c r="S140" s="349"/>
      <c r="T140" s="349"/>
      <c r="U140" s="349"/>
      <c r="V140" s="349"/>
      <c r="W140" s="349"/>
    </row>
    <row r="141" spans="1:23" x14ac:dyDescent="0.25">
      <c r="A141" s="273" t="e">
        <f t="shared" si="2"/>
        <v>#N/A</v>
      </c>
      <c r="B141" s="288"/>
      <c r="C141" s="288"/>
      <c r="D141" s="26"/>
      <c r="E141" s="26"/>
      <c r="F141" s="26"/>
      <c r="G141" s="26"/>
      <c r="H141" s="26"/>
      <c r="I141" s="26"/>
      <c r="J141" s="373"/>
      <c r="K141" s="373"/>
      <c r="L141" s="371"/>
      <c r="M141" s="371"/>
      <c r="N141" s="40"/>
      <c r="O141" s="40"/>
      <c r="Q141" s="349"/>
      <c r="R141" s="349"/>
      <c r="S141" s="349"/>
      <c r="T141" s="349"/>
      <c r="U141" s="349"/>
      <c r="V141" s="349"/>
      <c r="W141" s="349"/>
    </row>
    <row r="142" spans="1:23" x14ac:dyDescent="0.25">
      <c r="A142" s="273" t="e">
        <f t="shared" si="2"/>
        <v>#N/A</v>
      </c>
      <c r="B142" s="288"/>
      <c r="C142" s="288"/>
      <c r="D142" s="26"/>
      <c r="E142" s="26"/>
      <c r="F142" s="26"/>
      <c r="G142" s="26"/>
      <c r="H142" s="26"/>
      <c r="I142" s="26"/>
      <c r="J142" s="373"/>
      <c r="K142" s="373"/>
      <c r="L142" s="371"/>
      <c r="M142" s="371"/>
      <c r="N142" s="40"/>
      <c r="O142" s="40"/>
      <c r="Q142" s="349"/>
      <c r="R142" s="349"/>
      <c r="S142" s="349"/>
      <c r="T142" s="349"/>
      <c r="U142" s="349"/>
      <c r="V142" s="349"/>
      <c r="W142" s="349"/>
    </row>
    <row r="143" spans="1:23" x14ac:dyDescent="0.25">
      <c r="A143" s="273" t="e">
        <f t="shared" si="2"/>
        <v>#N/A</v>
      </c>
      <c r="B143" s="288"/>
      <c r="C143" s="288"/>
      <c r="D143" s="26"/>
      <c r="E143" s="26"/>
      <c r="F143" s="26"/>
      <c r="G143" s="26"/>
      <c r="H143" s="26"/>
      <c r="I143" s="26"/>
      <c r="J143" s="373"/>
      <c r="K143" s="373"/>
      <c r="L143" s="371"/>
      <c r="M143" s="371"/>
      <c r="N143" s="40"/>
      <c r="O143" s="40"/>
      <c r="Q143" s="349"/>
      <c r="R143" s="349"/>
      <c r="S143" s="349"/>
      <c r="T143" s="349"/>
      <c r="U143" s="349"/>
      <c r="V143" s="349"/>
      <c r="W143" s="349"/>
    </row>
    <row r="144" spans="1:23" x14ac:dyDescent="0.25">
      <c r="A144" s="273" t="e">
        <f t="shared" si="2"/>
        <v>#N/A</v>
      </c>
      <c r="B144" s="288"/>
      <c r="C144" s="288"/>
      <c r="D144" s="26"/>
      <c r="E144" s="26"/>
      <c r="F144" s="26"/>
      <c r="G144" s="26"/>
      <c r="H144" s="26"/>
      <c r="I144" s="26"/>
      <c r="J144" s="373"/>
      <c r="K144" s="373"/>
      <c r="L144" s="371"/>
      <c r="M144" s="371"/>
      <c r="N144" s="40"/>
      <c r="O144" s="40"/>
      <c r="Q144" s="349"/>
      <c r="R144" s="349"/>
      <c r="S144" s="349"/>
      <c r="T144" s="349"/>
      <c r="U144" s="349"/>
      <c r="V144" s="349"/>
      <c r="W144" s="349"/>
    </row>
    <row r="145" spans="1:23" x14ac:dyDescent="0.25">
      <c r="A145" s="273" t="e">
        <f t="shared" si="2"/>
        <v>#N/A</v>
      </c>
      <c r="B145" s="288"/>
      <c r="C145" s="288"/>
      <c r="D145" s="26"/>
      <c r="E145" s="26"/>
      <c r="F145" s="26"/>
      <c r="G145" s="26"/>
      <c r="H145" s="26"/>
      <c r="I145" s="26"/>
      <c r="J145" s="373"/>
      <c r="K145" s="373"/>
      <c r="L145" s="371"/>
      <c r="M145" s="371"/>
      <c r="N145" s="40"/>
      <c r="O145" s="40"/>
      <c r="Q145" s="349"/>
      <c r="R145" s="349"/>
      <c r="S145" s="349"/>
      <c r="T145" s="349"/>
      <c r="U145" s="349"/>
      <c r="V145" s="349"/>
      <c r="W145" s="349"/>
    </row>
    <row r="146" spans="1:23" x14ac:dyDescent="0.25">
      <c r="A146" s="273" t="e">
        <f t="shared" si="2"/>
        <v>#N/A</v>
      </c>
      <c r="B146" s="288"/>
      <c r="C146" s="288"/>
      <c r="D146" s="26"/>
      <c r="E146" s="26"/>
      <c r="F146" s="26"/>
      <c r="G146" s="26"/>
      <c r="H146" s="26"/>
      <c r="I146" s="26"/>
      <c r="J146" s="373"/>
      <c r="K146" s="373"/>
      <c r="L146" s="371"/>
      <c r="M146" s="371"/>
      <c r="N146" s="40"/>
      <c r="O146" s="40"/>
      <c r="Q146" s="349"/>
      <c r="R146" s="349"/>
      <c r="S146" s="349"/>
      <c r="T146" s="349"/>
      <c r="U146" s="349"/>
      <c r="V146" s="349"/>
      <c r="W146" s="349"/>
    </row>
    <row r="147" spans="1:23" x14ac:dyDescent="0.25">
      <c r="A147" s="273" t="e">
        <f t="shared" si="2"/>
        <v>#N/A</v>
      </c>
      <c r="B147" s="288"/>
      <c r="C147" s="288"/>
      <c r="D147" s="26"/>
      <c r="E147" s="26"/>
      <c r="F147" s="26"/>
      <c r="G147" s="26"/>
      <c r="H147" s="26"/>
      <c r="I147" s="26"/>
      <c r="J147" s="373"/>
      <c r="K147" s="373"/>
      <c r="L147" s="371"/>
      <c r="M147" s="371"/>
      <c r="N147" s="40"/>
      <c r="O147" s="40"/>
      <c r="Q147" s="349"/>
      <c r="R147" s="349"/>
      <c r="S147" s="349"/>
      <c r="T147" s="349"/>
      <c r="U147" s="349"/>
      <c r="V147" s="349"/>
      <c r="W147" s="349"/>
    </row>
    <row r="148" spans="1:23" x14ac:dyDescent="0.25">
      <c r="A148" s="273" t="e">
        <f t="shared" si="2"/>
        <v>#N/A</v>
      </c>
      <c r="B148" s="288"/>
      <c r="C148" s="288"/>
      <c r="D148" s="26"/>
      <c r="E148" s="26"/>
      <c r="F148" s="26"/>
      <c r="G148" s="26"/>
      <c r="H148" s="26"/>
      <c r="I148" s="26"/>
      <c r="J148" s="373"/>
      <c r="K148" s="373"/>
      <c r="L148" s="371"/>
      <c r="M148" s="371"/>
      <c r="N148" s="40"/>
      <c r="O148" s="40"/>
      <c r="Q148" s="349"/>
      <c r="R148" s="349"/>
      <c r="S148" s="349"/>
      <c r="T148" s="349"/>
      <c r="U148" s="349"/>
      <c r="V148" s="349"/>
      <c r="W148" s="349"/>
    </row>
    <row r="149" spans="1:23" x14ac:dyDescent="0.25">
      <c r="A149" s="273" t="e">
        <f t="shared" si="2"/>
        <v>#N/A</v>
      </c>
      <c r="B149" s="288"/>
      <c r="C149" s="288"/>
      <c r="D149" s="26"/>
      <c r="E149" s="26"/>
      <c r="F149" s="26"/>
      <c r="G149" s="26"/>
      <c r="H149" s="26"/>
      <c r="I149" s="26"/>
      <c r="J149" s="373"/>
      <c r="K149" s="373"/>
      <c r="L149" s="371"/>
      <c r="M149" s="371"/>
      <c r="N149" s="40"/>
      <c r="O149" s="40"/>
      <c r="Q149" s="349"/>
      <c r="R149" s="349"/>
      <c r="S149" s="349"/>
      <c r="T149" s="349"/>
      <c r="U149" s="349"/>
      <c r="V149" s="349"/>
      <c r="W149" s="349"/>
    </row>
    <row r="150" spans="1:23" x14ac:dyDescent="0.25">
      <c r="A150" s="273" t="e">
        <f t="shared" si="2"/>
        <v>#N/A</v>
      </c>
      <c r="B150" s="288"/>
      <c r="C150" s="288"/>
      <c r="D150" s="26"/>
      <c r="E150" s="26"/>
      <c r="F150" s="26"/>
      <c r="G150" s="26"/>
      <c r="H150" s="26"/>
      <c r="I150" s="26"/>
      <c r="J150" s="373"/>
      <c r="K150" s="373"/>
      <c r="L150" s="371"/>
      <c r="M150" s="371"/>
      <c r="N150" s="40"/>
      <c r="O150" s="40"/>
      <c r="Q150" s="349"/>
      <c r="R150" s="349"/>
      <c r="S150" s="349"/>
      <c r="T150" s="349"/>
      <c r="U150" s="349"/>
      <c r="V150" s="349"/>
      <c r="W150" s="349"/>
    </row>
    <row r="151" spans="1:23" x14ac:dyDescent="0.25">
      <c r="A151" s="273" t="e">
        <f t="shared" si="2"/>
        <v>#N/A</v>
      </c>
      <c r="B151" s="288"/>
      <c r="C151" s="288"/>
      <c r="D151" s="26"/>
      <c r="E151" s="26"/>
      <c r="F151" s="26"/>
      <c r="G151" s="26"/>
      <c r="H151" s="26"/>
      <c r="I151" s="26"/>
      <c r="J151" s="373"/>
      <c r="K151" s="373"/>
      <c r="L151" s="371"/>
      <c r="M151" s="371"/>
      <c r="N151" s="40"/>
      <c r="O151" s="40"/>
      <c r="Q151" s="349"/>
      <c r="R151" s="349"/>
      <c r="S151" s="349"/>
      <c r="T151" s="349"/>
      <c r="U151" s="349"/>
      <c r="V151" s="349"/>
      <c r="W151" s="349"/>
    </row>
    <row r="152" spans="1:23" x14ac:dyDescent="0.25">
      <c r="A152" s="273" t="e">
        <f t="shared" si="2"/>
        <v>#N/A</v>
      </c>
      <c r="B152" s="288"/>
      <c r="C152" s="288"/>
      <c r="D152" s="26"/>
      <c r="E152" s="26"/>
      <c r="F152" s="26"/>
      <c r="G152" s="26"/>
      <c r="H152" s="26"/>
      <c r="I152" s="26"/>
      <c r="J152" s="373"/>
      <c r="K152" s="373"/>
      <c r="L152" s="371"/>
      <c r="M152" s="371"/>
      <c r="N152" s="40"/>
      <c r="O152" s="40"/>
      <c r="Q152" s="349"/>
      <c r="R152" s="349"/>
      <c r="S152" s="349"/>
      <c r="T152" s="349"/>
      <c r="U152" s="349"/>
      <c r="V152" s="349"/>
      <c r="W152" s="349"/>
    </row>
    <row r="153" spans="1:23" x14ac:dyDescent="0.25">
      <c r="A153" s="273" t="e">
        <f t="shared" si="2"/>
        <v>#N/A</v>
      </c>
      <c r="B153" s="288"/>
      <c r="C153" s="288"/>
      <c r="D153" s="26"/>
      <c r="E153" s="26"/>
      <c r="F153" s="26"/>
      <c r="G153" s="26"/>
      <c r="H153" s="26"/>
      <c r="I153" s="26"/>
      <c r="J153" s="373"/>
      <c r="K153" s="373"/>
      <c r="L153" s="371"/>
      <c r="M153" s="371"/>
      <c r="N153" s="40"/>
      <c r="O153" s="40"/>
      <c r="Q153" s="349"/>
      <c r="R153" s="349"/>
      <c r="S153" s="349"/>
      <c r="T153" s="349"/>
      <c r="U153" s="349"/>
      <c r="V153" s="349"/>
      <c r="W153" s="349"/>
    </row>
    <row r="154" spans="1:23" x14ac:dyDescent="0.25">
      <c r="A154" s="273" t="e">
        <f t="shared" si="2"/>
        <v>#N/A</v>
      </c>
      <c r="B154" s="288"/>
      <c r="C154" s="288"/>
      <c r="D154" s="26"/>
      <c r="E154" s="26"/>
      <c r="F154" s="26"/>
      <c r="G154" s="26"/>
      <c r="H154" s="26"/>
      <c r="I154" s="26"/>
      <c r="J154" s="373"/>
      <c r="K154" s="373"/>
      <c r="L154" s="371"/>
      <c r="M154" s="371"/>
      <c r="N154" s="40"/>
      <c r="O154" s="40"/>
      <c r="Q154" s="349"/>
      <c r="R154" s="349"/>
      <c r="S154" s="349"/>
      <c r="T154" s="349"/>
      <c r="U154" s="349"/>
      <c r="V154" s="349"/>
      <c r="W154" s="349"/>
    </row>
    <row r="155" spans="1:23" x14ac:dyDescent="0.25">
      <c r="A155" s="273" t="e">
        <f t="shared" si="2"/>
        <v>#N/A</v>
      </c>
      <c r="B155" s="288"/>
      <c r="C155" s="288"/>
      <c r="D155" s="26"/>
      <c r="E155" s="26"/>
      <c r="F155" s="26"/>
      <c r="G155" s="26"/>
      <c r="H155" s="26"/>
      <c r="I155" s="26"/>
      <c r="J155" s="373"/>
      <c r="K155" s="373"/>
      <c r="L155" s="371"/>
      <c r="M155" s="371"/>
      <c r="N155" s="40"/>
      <c r="O155" s="40"/>
      <c r="Q155" s="349"/>
      <c r="R155" s="349"/>
      <c r="S155" s="349"/>
      <c r="T155" s="349"/>
      <c r="U155" s="349"/>
      <c r="V155" s="349"/>
      <c r="W155" s="349"/>
    </row>
    <row r="156" spans="1:23" x14ac:dyDescent="0.25">
      <c r="A156" s="273" t="e">
        <f t="shared" ref="A156:A219" si="3">VLOOKUP(D156,BldgExpCodes,2)</f>
        <v>#N/A</v>
      </c>
      <c r="B156" s="288"/>
      <c r="C156" s="288"/>
      <c r="D156" s="26"/>
      <c r="E156" s="26"/>
      <c r="F156" s="26"/>
      <c r="G156" s="26"/>
      <c r="H156" s="26"/>
      <c r="I156" s="26"/>
      <c r="J156" s="373"/>
      <c r="K156" s="373"/>
      <c r="L156" s="371"/>
      <c r="M156" s="371"/>
      <c r="N156" s="40"/>
      <c r="O156" s="40"/>
      <c r="Q156" s="349"/>
      <c r="R156" s="349"/>
      <c r="S156" s="349"/>
      <c r="T156" s="349"/>
      <c r="U156" s="349"/>
      <c r="V156" s="349"/>
      <c r="W156" s="349"/>
    </row>
    <row r="157" spans="1:23" x14ac:dyDescent="0.25">
      <c r="A157" s="273" t="e">
        <f t="shared" si="3"/>
        <v>#N/A</v>
      </c>
      <c r="B157" s="288"/>
      <c r="C157" s="288"/>
      <c r="D157" s="26"/>
      <c r="E157" s="26"/>
      <c r="F157" s="26"/>
      <c r="G157" s="26"/>
      <c r="H157" s="26"/>
      <c r="I157" s="26"/>
      <c r="J157" s="373"/>
      <c r="K157" s="373"/>
      <c r="L157" s="371"/>
      <c r="M157" s="371"/>
      <c r="N157" s="40"/>
      <c r="O157" s="40"/>
      <c r="Q157" s="349"/>
      <c r="R157" s="349"/>
      <c r="S157" s="349"/>
      <c r="T157" s="349"/>
      <c r="U157" s="349"/>
      <c r="V157" s="349"/>
      <c r="W157" s="349"/>
    </row>
    <row r="158" spans="1:23" x14ac:dyDescent="0.25">
      <c r="A158" s="273" t="e">
        <f t="shared" si="3"/>
        <v>#N/A</v>
      </c>
      <c r="B158" s="288"/>
      <c r="C158" s="288"/>
      <c r="D158" s="26"/>
      <c r="E158" s="26"/>
      <c r="F158" s="26"/>
      <c r="G158" s="26"/>
      <c r="H158" s="26"/>
      <c r="I158" s="26"/>
      <c r="J158" s="373"/>
      <c r="K158" s="373"/>
      <c r="L158" s="371"/>
      <c r="M158" s="371"/>
      <c r="N158" s="40"/>
      <c r="O158" s="40"/>
      <c r="Q158" s="349"/>
      <c r="R158" s="349"/>
      <c r="S158" s="349"/>
      <c r="T158" s="349"/>
      <c r="U158" s="349"/>
      <c r="V158" s="349"/>
      <c r="W158" s="349"/>
    </row>
    <row r="159" spans="1:23" x14ac:dyDescent="0.25">
      <c r="A159" s="273" t="e">
        <f t="shared" si="3"/>
        <v>#N/A</v>
      </c>
      <c r="B159" s="288"/>
      <c r="C159" s="288"/>
      <c r="D159" s="26"/>
      <c r="E159" s="26"/>
      <c r="F159" s="26"/>
      <c r="G159" s="26"/>
      <c r="H159" s="26"/>
      <c r="I159" s="26"/>
      <c r="J159" s="373"/>
      <c r="K159" s="373"/>
      <c r="L159" s="371"/>
      <c r="M159" s="371"/>
      <c r="N159" s="40"/>
      <c r="O159" s="40"/>
      <c r="Q159" s="349"/>
      <c r="R159" s="349"/>
      <c r="S159" s="349"/>
      <c r="T159" s="349"/>
      <c r="U159" s="349"/>
      <c r="V159" s="349"/>
      <c r="W159" s="349"/>
    </row>
    <row r="160" spans="1:23" x14ac:dyDescent="0.25">
      <c r="A160" s="273" t="e">
        <f t="shared" si="3"/>
        <v>#N/A</v>
      </c>
      <c r="B160" s="288"/>
      <c r="C160" s="288"/>
      <c r="D160" s="26"/>
      <c r="E160" s="26"/>
      <c r="F160" s="26"/>
      <c r="G160" s="26"/>
      <c r="H160" s="26"/>
      <c r="I160" s="26"/>
      <c r="J160" s="373"/>
      <c r="K160" s="373"/>
      <c r="L160" s="371"/>
      <c r="M160" s="371"/>
      <c r="N160" s="40"/>
      <c r="O160" s="40"/>
      <c r="Q160" s="349"/>
      <c r="R160" s="349"/>
      <c r="S160" s="349"/>
      <c r="T160" s="349"/>
      <c r="U160" s="349"/>
      <c r="V160" s="349"/>
      <c r="W160" s="349"/>
    </row>
    <row r="161" spans="1:23" x14ac:dyDescent="0.25">
      <c r="A161" s="273" t="e">
        <f t="shared" si="3"/>
        <v>#N/A</v>
      </c>
      <c r="B161" s="288"/>
      <c r="C161" s="288"/>
      <c r="D161" s="26"/>
      <c r="E161" s="26"/>
      <c r="F161" s="26"/>
      <c r="G161" s="26"/>
      <c r="H161" s="26"/>
      <c r="I161" s="26"/>
      <c r="J161" s="373"/>
      <c r="K161" s="373"/>
      <c r="L161" s="371"/>
      <c r="M161" s="371"/>
      <c r="N161" s="40"/>
      <c r="O161" s="40"/>
      <c r="Q161" s="349"/>
      <c r="R161" s="349"/>
      <c r="S161" s="349"/>
      <c r="T161" s="349"/>
      <c r="U161" s="349"/>
      <c r="V161" s="349"/>
      <c r="W161" s="349"/>
    </row>
    <row r="162" spans="1:23" x14ac:dyDescent="0.25">
      <c r="A162" s="273" t="e">
        <f t="shared" si="3"/>
        <v>#N/A</v>
      </c>
      <c r="B162" s="288"/>
      <c r="C162" s="288"/>
      <c r="D162" s="26"/>
      <c r="E162" s="26"/>
      <c r="F162" s="26"/>
      <c r="G162" s="26"/>
      <c r="H162" s="26"/>
      <c r="I162" s="26"/>
      <c r="J162" s="373"/>
      <c r="K162" s="373"/>
      <c r="L162" s="371"/>
      <c r="M162" s="371"/>
      <c r="N162" s="40"/>
      <c r="O162" s="40"/>
      <c r="Q162" s="349"/>
      <c r="R162" s="349"/>
      <c r="S162" s="349"/>
      <c r="T162" s="349"/>
      <c r="U162" s="349"/>
      <c r="V162" s="349"/>
      <c r="W162" s="349"/>
    </row>
    <row r="163" spans="1:23" x14ac:dyDescent="0.25">
      <c r="A163" s="273" t="e">
        <f t="shared" si="3"/>
        <v>#N/A</v>
      </c>
      <c r="B163" s="288"/>
      <c r="C163" s="288"/>
      <c r="D163" s="26"/>
      <c r="E163" s="26"/>
      <c r="F163" s="26"/>
      <c r="G163" s="26"/>
      <c r="H163" s="26"/>
      <c r="I163" s="26"/>
      <c r="J163" s="373"/>
      <c r="K163" s="373"/>
      <c r="L163" s="371"/>
      <c r="M163" s="371"/>
      <c r="N163" s="40"/>
      <c r="O163" s="40"/>
      <c r="Q163" s="349"/>
      <c r="R163" s="349"/>
      <c r="S163" s="349"/>
      <c r="T163" s="349"/>
      <c r="U163" s="349"/>
      <c r="V163" s="349"/>
      <c r="W163" s="349"/>
    </row>
    <row r="164" spans="1:23" x14ac:dyDescent="0.25">
      <c r="A164" s="273" t="e">
        <f t="shared" si="3"/>
        <v>#N/A</v>
      </c>
      <c r="B164" s="288"/>
      <c r="C164" s="288"/>
      <c r="D164" s="26"/>
      <c r="E164" s="26"/>
      <c r="F164" s="26"/>
      <c r="G164" s="26"/>
      <c r="H164" s="26"/>
      <c r="I164" s="26"/>
      <c r="J164" s="373"/>
      <c r="K164" s="373"/>
      <c r="L164" s="371"/>
      <c r="M164" s="371"/>
      <c r="N164" s="40"/>
      <c r="O164" s="40"/>
      <c r="Q164" s="349"/>
      <c r="R164" s="349"/>
      <c r="S164" s="349"/>
      <c r="T164" s="349"/>
      <c r="U164" s="349"/>
      <c r="V164" s="349"/>
      <c r="W164" s="349"/>
    </row>
    <row r="165" spans="1:23" x14ac:dyDescent="0.25">
      <c r="A165" s="273" t="e">
        <f t="shared" si="3"/>
        <v>#N/A</v>
      </c>
      <c r="B165" s="288"/>
      <c r="C165" s="288"/>
      <c r="D165" s="26"/>
      <c r="E165" s="26"/>
      <c r="F165" s="26"/>
      <c r="G165" s="26"/>
      <c r="H165" s="26"/>
      <c r="I165" s="26"/>
      <c r="J165" s="373"/>
      <c r="K165" s="373"/>
      <c r="L165" s="371"/>
      <c r="M165" s="371"/>
      <c r="N165" s="40"/>
      <c r="O165" s="40"/>
      <c r="Q165" s="349"/>
      <c r="R165" s="349"/>
      <c r="S165" s="349"/>
      <c r="T165" s="349"/>
      <c r="U165" s="349"/>
      <c r="V165" s="349"/>
      <c r="W165" s="349"/>
    </row>
    <row r="166" spans="1:23" x14ac:dyDescent="0.25">
      <c r="A166" s="273" t="e">
        <f t="shared" si="3"/>
        <v>#N/A</v>
      </c>
      <c r="B166" s="288"/>
      <c r="C166" s="288"/>
      <c r="D166" s="26"/>
      <c r="E166" s="26"/>
      <c r="F166" s="26"/>
      <c r="G166" s="26"/>
      <c r="H166" s="26"/>
      <c r="I166" s="26"/>
      <c r="J166" s="373"/>
      <c r="K166" s="373"/>
      <c r="L166" s="371"/>
      <c r="M166" s="371"/>
      <c r="N166" s="40"/>
      <c r="O166" s="40"/>
      <c r="Q166" s="349"/>
      <c r="R166" s="349"/>
      <c r="S166" s="349"/>
      <c r="T166" s="349"/>
      <c r="U166" s="349"/>
      <c r="V166" s="349"/>
      <c r="W166" s="349"/>
    </row>
    <row r="167" spans="1:23" x14ac:dyDescent="0.25">
      <c r="A167" s="273" t="e">
        <f t="shared" si="3"/>
        <v>#N/A</v>
      </c>
      <c r="B167" s="288"/>
      <c r="C167" s="288"/>
      <c r="D167" s="26"/>
      <c r="E167" s="26"/>
      <c r="F167" s="26"/>
      <c r="G167" s="26"/>
      <c r="H167" s="26"/>
      <c r="I167" s="26"/>
      <c r="J167" s="373"/>
      <c r="K167" s="373"/>
      <c r="L167" s="371"/>
      <c r="M167" s="371"/>
      <c r="N167" s="40"/>
      <c r="O167" s="40"/>
      <c r="Q167" s="349"/>
      <c r="R167" s="349"/>
      <c r="S167" s="349"/>
      <c r="T167" s="349"/>
      <c r="U167" s="349"/>
      <c r="V167" s="349"/>
      <c r="W167" s="349"/>
    </row>
    <row r="168" spans="1:23" x14ac:dyDescent="0.25">
      <c r="A168" s="273" t="e">
        <f t="shared" si="3"/>
        <v>#N/A</v>
      </c>
      <c r="B168" s="288"/>
      <c r="C168" s="288"/>
      <c r="D168" s="26"/>
      <c r="E168" s="26"/>
      <c r="F168" s="26"/>
      <c r="G168" s="26"/>
      <c r="H168" s="26"/>
      <c r="I168" s="26"/>
      <c r="J168" s="373"/>
      <c r="K168" s="373"/>
      <c r="L168" s="371"/>
      <c r="M168" s="371"/>
      <c r="N168" s="40"/>
      <c r="O168" s="40"/>
      <c r="Q168" s="349"/>
      <c r="R168" s="349"/>
      <c r="S168" s="349"/>
      <c r="T168" s="349"/>
      <c r="U168" s="349"/>
      <c r="V168" s="349"/>
      <c r="W168" s="349"/>
    </row>
    <row r="169" spans="1:23" x14ac:dyDescent="0.25">
      <c r="A169" s="273" t="e">
        <f t="shared" si="3"/>
        <v>#N/A</v>
      </c>
      <c r="B169" s="288"/>
      <c r="C169" s="288"/>
      <c r="D169" s="26"/>
      <c r="E169" s="26"/>
      <c r="F169" s="26"/>
      <c r="G169" s="26"/>
      <c r="H169" s="26"/>
      <c r="I169" s="26"/>
      <c r="J169" s="373"/>
      <c r="K169" s="373"/>
      <c r="L169" s="371"/>
      <c r="M169" s="371"/>
      <c r="N169" s="40"/>
      <c r="O169" s="40"/>
      <c r="Q169" s="349"/>
      <c r="R169" s="349"/>
      <c r="S169" s="349"/>
      <c r="T169" s="349"/>
      <c r="U169" s="349"/>
      <c r="V169" s="349"/>
      <c r="W169" s="349"/>
    </row>
    <row r="170" spans="1:23" x14ac:dyDescent="0.25">
      <c r="A170" s="273" t="e">
        <f t="shared" si="3"/>
        <v>#N/A</v>
      </c>
      <c r="B170" s="288"/>
      <c r="C170" s="288"/>
      <c r="D170" s="26"/>
      <c r="E170" s="26"/>
      <c r="F170" s="26"/>
      <c r="G170" s="26"/>
      <c r="H170" s="26"/>
      <c r="I170" s="26"/>
      <c r="J170" s="373"/>
      <c r="K170" s="373"/>
      <c r="L170" s="371"/>
      <c r="M170" s="371"/>
      <c r="N170" s="40"/>
      <c r="O170" s="40"/>
      <c r="Q170" s="349"/>
      <c r="R170" s="349"/>
      <c r="S170" s="349"/>
      <c r="T170" s="349"/>
      <c r="U170" s="349"/>
      <c r="V170" s="349"/>
      <c r="W170" s="349"/>
    </row>
    <row r="171" spans="1:23" x14ac:dyDescent="0.25">
      <c r="A171" s="273" t="e">
        <f t="shared" si="3"/>
        <v>#N/A</v>
      </c>
      <c r="B171" s="288"/>
      <c r="C171" s="288"/>
      <c r="D171" s="26"/>
      <c r="E171" s="26"/>
      <c r="F171" s="26"/>
      <c r="G171" s="26"/>
      <c r="H171" s="26"/>
      <c r="I171" s="26"/>
      <c r="J171" s="373"/>
      <c r="K171" s="373"/>
      <c r="L171" s="371"/>
      <c r="M171" s="371"/>
      <c r="N171" s="40"/>
      <c r="O171" s="40"/>
      <c r="Q171" s="349"/>
      <c r="R171" s="349"/>
      <c r="S171" s="349"/>
      <c r="T171" s="349"/>
      <c r="U171" s="349"/>
      <c r="V171" s="349"/>
      <c r="W171" s="349"/>
    </row>
    <row r="172" spans="1:23" x14ac:dyDescent="0.25">
      <c r="A172" s="273" t="e">
        <f t="shared" si="3"/>
        <v>#N/A</v>
      </c>
      <c r="B172" s="288"/>
      <c r="C172" s="288"/>
      <c r="D172" s="26"/>
      <c r="E172" s="26"/>
      <c r="F172" s="26"/>
      <c r="G172" s="26"/>
      <c r="H172" s="26"/>
      <c r="I172" s="26"/>
      <c r="J172" s="373"/>
      <c r="K172" s="373"/>
      <c r="L172" s="371"/>
      <c r="M172" s="371"/>
      <c r="N172" s="40"/>
      <c r="O172" s="40"/>
      <c r="Q172" s="349"/>
      <c r="R172" s="349"/>
      <c r="S172" s="349"/>
      <c r="T172" s="349"/>
      <c r="U172" s="349"/>
      <c r="V172" s="349"/>
      <c r="W172" s="349"/>
    </row>
    <row r="173" spans="1:23" x14ac:dyDescent="0.25">
      <c r="A173" s="273" t="e">
        <f t="shared" si="3"/>
        <v>#N/A</v>
      </c>
      <c r="B173" s="288"/>
      <c r="C173" s="288"/>
      <c r="D173" s="26"/>
      <c r="E173" s="26"/>
      <c r="F173" s="26"/>
      <c r="G173" s="26"/>
      <c r="H173" s="26"/>
      <c r="I173" s="26"/>
      <c r="J173" s="373"/>
      <c r="K173" s="373"/>
      <c r="L173" s="371"/>
      <c r="M173" s="371"/>
      <c r="N173" s="40"/>
      <c r="O173" s="40"/>
      <c r="Q173" s="349"/>
      <c r="R173" s="349"/>
      <c r="S173" s="349"/>
      <c r="T173" s="349"/>
      <c r="U173" s="349"/>
      <c r="V173" s="349"/>
      <c r="W173" s="349"/>
    </row>
    <row r="174" spans="1:23" x14ac:dyDescent="0.25">
      <c r="A174" s="273" t="e">
        <f t="shared" si="3"/>
        <v>#N/A</v>
      </c>
      <c r="B174" s="288"/>
      <c r="C174" s="288"/>
      <c r="D174" s="26"/>
      <c r="E174" s="26"/>
      <c r="F174" s="26"/>
      <c r="G174" s="26"/>
      <c r="H174" s="26"/>
      <c r="I174" s="26"/>
      <c r="J174" s="373"/>
      <c r="K174" s="373"/>
      <c r="L174" s="371"/>
      <c r="M174" s="371"/>
      <c r="N174" s="40"/>
      <c r="O174" s="40"/>
      <c r="Q174" s="349"/>
      <c r="R174" s="349"/>
      <c r="S174" s="349"/>
      <c r="T174" s="349"/>
      <c r="U174" s="349"/>
      <c r="V174" s="349"/>
      <c r="W174" s="349"/>
    </row>
    <row r="175" spans="1:23" x14ac:dyDescent="0.25">
      <c r="A175" s="273" t="e">
        <f t="shared" si="3"/>
        <v>#N/A</v>
      </c>
      <c r="B175" s="288"/>
      <c r="C175" s="288"/>
      <c r="D175" s="26"/>
      <c r="E175" s="26"/>
      <c r="F175" s="26"/>
      <c r="G175" s="26"/>
      <c r="H175" s="26"/>
      <c r="I175" s="26"/>
      <c r="J175" s="373"/>
      <c r="K175" s="373"/>
      <c r="L175" s="371"/>
      <c r="M175" s="371"/>
      <c r="N175" s="40"/>
      <c r="O175" s="40"/>
      <c r="Q175" s="349"/>
      <c r="R175" s="349"/>
      <c r="S175" s="349"/>
      <c r="T175" s="349"/>
      <c r="U175" s="349"/>
      <c r="V175" s="349"/>
      <c r="W175" s="349"/>
    </row>
    <row r="176" spans="1:23" x14ac:dyDescent="0.25">
      <c r="A176" s="273" t="e">
        <f t="shared" si="3"/>
        <v>#N/A</v>
      </c>
      <c r="B176" s="288"/>
      <c r="C176" s="288"/>
      <c r="D176" s="26"/>
      <c r="E176" s="26"/>
      <c r="F176" s="26"/>
      <c r="G176" s="26"/>
      <c r="H176" s="26"/>
      <c r="I176" s="26"/>
      <c r="J176" s="373"/>
      <c r="K176" s="373"/>
      <c r="L176" s="371"/>
      <c r="M176" s="371"/>
      <c r="N176" s="40"/>
      <c r="O176" s="40"/>
      <c r="Q176" s="349"/>
      <c r="R176" s="349"/>
      <c r="S176" s="349"/>
      <c r="T176" s="349"/>
      <c r="U176" s="349"/>
      <c r="V176" s="349"/>
      <c r="W176" s="349"/>
    </row>
    <row r="177" spans="1:23" x14ac:dyDescent="0.25">
      <c r="A177" s="273" t="e">
        <f t="shared" si="3"/>
        <v>#N/A</v>
      </c>
      <c r="B177" s="288"/>
      <c r="C177" s="288"/>
      <c r="D177" s="26"/>
      <c r="E177" s="26"/>
      <c r="F177" s="26"/>
      <c r="G177" s="26"/>
      <c r="H177" s="26"/>
      <c r="I177" s="26"/>
      <c r="J177" s="373"/>
      <c r="K177" s="373"/>
      <c r="L177" s="371"/>
      <c r="M177" s="371"/>
      <c r="N177" s="40"/>
      <c r="O177" s="40"/>
      <c r="Q177" s="349"/>
      <c r="R177" s="349"/>
      <c r="S177" s="349"/>
      <c r="T177" s="349"/>
      <c r="U177" s="349"/>
      <c r="V177" s="349"/>
      <c r="W177" s="349"/>
    </row>
    <row r="178" spans="1:23" x14ac:dyDescent="0.25">
      <c r="A178" s="273" t="e">
        <f t="shared" si="3"/>
        <v>#N/A</v>
      </c>
      <c r="B178" s="288"/>
      <c r="C178" s="288"/>
      <c r="D178" s="26"/>
      <c r="E178" s="26"/>
      <c r="F178" s="26"/>
      <c r="G178" s="26"/>
      <c r="H178" s="26"/>
      <c r="I178" s="26"/>
      <c r="J178" s="373"/>
      <c r="K178" s="373"/>
      <c r="L178" s="371"/>
      <c r="M178" s="371"/>
      <c r="N178" s="40"/>
      <c r="O178" s="40"/>
      <c r="Q178" s="349"/>
      <c r="R178" s="349"/>
      <c r="S178" s="349"/>
      <c r="T178" s="349"/>
      <c r="U178" s="349"/>
      <c r="V178" s="349"/>
      <c r="W178" s="349"/>
    </row>
    <row r="179" spans="1:23" x14ac:dyDescent="0.25">
      <c r="A179" s="273" t="e">
        <f t="shared" si="3"/>
        <v>#N/A</v>
      </c>
      <c r="B179" s="288"/>
      <c r="C179" s="288"/>
      <c r="D179" s="26"/>
      <c r="E179" s="26"/>
      <c r="F179" s="26"/>
      <c r="G179" s="26"/>
      <c r="H179" s="26"/>
      <c r="I179" s="26"/>
      <c r="J179" s="373"/>
      <c r="K179" s="373"/>
      <c r="L179" s="371"/>
      <c r="M179" s="371"/>
      <c r="N179" s="40"/>
      <c r="O179" s="40"/>
      <c r="Q179" s="349"/>
      <c r="R179" s="349"/>
      <c r="S179" s="349"/>
      <c r="T179" s="349"/>
      <c r="U179" s="349"/>
      <c r="V179" s="349"/>
      <c r="W179" s="349"/>
    </row>
    <row r="180" spans="1:23" x14ac:dyDescent="0.25">
      <c r="A180" s="273" t="e">
        <f t="shared" si="3"/>
        <v>#N/A</v>
      </c>
      <c r="B180" s="288"/>
      <c r="C180" s="288"/>
      <c r="D180" s="26"/>
      <c r="E180" s="26"/>
      <c r="F180" s="26"/>
      <c r="G180" s="26"/>
      <c r="H180" s="26"/>
      <c r="I180" s="26"/>
      <c r="J180" s="373"/>
      <c r="K180" s="373"/>
      <c r="L180" s="371"/>
      <c r="M180" s="371"/>
      <c r="N180" s="40"/>
      <c r="O180" s="40"/>
      <c r="Q180" s="349"/>
      <c r="R180" s="349"/>
      <c r="S180" s="349"/>
      <c r="T180" s="349"/>
      <c r="U180" s="349"/>
      <c r="V180" s="349"/>
      <c r="W180" s="349"/>
    </row>
    <row r="181" spans="1:23" x14ac:dyDescent="0.25">
      <c r="A181" s="273" t="e">
        <f t="shared" si="3"/>
        <v>#N/A</v>
      </c>
      <c r="B181" s="288"/>
      <c r="C181" s="288"/>
      <c r="D181" s="26"/>
      <c r="E181" s="26"/>
      <c r="F181" s="26"/>
      <c r="G181" s="26"/>
      <c r="H181" s="26"/>
      <c r="I181" s="26"/>
      <c r="J181" s="373"/>
      <c r="K181" s="373"/>
      <c r="L181" s="371"/>
      <c r="M181" s="371"/>
      <c r="N181" s="40"/>
      <c r="O181" s="40"/>
      <c r="Q181" s="349"/>
      <c r="R181" s="349"/>
      <c r="S181" s="349"/>
      <c r="T181" s="349"/>
      <c r="U181" s="349"/>
      <c r="V181" s="349"/>
      <c r="W181" s="349"/>
    </row>
    <row r="182" spans="1:23" x14ac:dyDescent="0.25">
      <c r="A182" s="273" t="e">
        <f t="shared" si="3"/>
        <v>#N/A</v>
      </c>
      <c r="B182" s="288"/>
      <c r="C182" s="288"/>
      <c r="D182" s="26"/>
      <c r="E182" s="26"/>
      <c r="F182" s="26"/>
      <c r="G182" s="26"/>
      <c r="H182" s="26"/>
      <c r="I182" s="26"/>
      <c r="J182" s="373"/>
      <c r="K182" s="373"/>
      <c r="L182" s="371"/>
      <c r="M182" s="371"/>
      <c r="N182" s="40"/>
      <c r="O182" s="40"/>
      <c r="Q182" s="349"/>
      <c r="R182" s="349"/>
      <c r="S182" s="349"/>
      <c r="T182" s="349"/>
      <c r="U182" s="349"/>
      <c r="V182" s="349"/>
      <c r="W182" s="349"/>
    </row>
    <row r="183" spans="1:23" x14ac:dyDescent="0.25">
      <c r="A183" s="273" t="e">
        <f t="shared" si="3"/>
        <v>#N/A</v>
      </c>
      <c r="B183" s="288"/>
      <c r="C183" s="288"/>
      <c r="D183" s="26"/>
      <c r="E183" s="26"/>
      <c r="F183" s="26"/>
      <c r="G183" s="26"/>
      <c r="H183" s="26"/>
      <c r="I183" s="26"/>
      <c r="J183" s="373"/>
      <c r="K183" s="373"/>
      <c r="L183" s="371"/>
      <c r="M183" s="371"/>
      <c r="N183" s="40"/>
      <c r="O183" s="40"/>
      <c r="Q183" s="349"/>
      <c r="R183" s="349"/>
      <c r="S183" s="349"/>
      <c r="T183" s="349"/>
      <c r="U183" s="349"/>
      <c r="V183" s="349"/>
      <c r="W183" s="349"/>
    </row>
    <row r="184" spans="1:23" x14ac:dyDescent="0.25">
      <c r="A184" s="273" t="e">
        <f t="shared" si="3"/>
        <v>#N/A</v>
      </c>
      <c r="B184" s="288"/>
      <c r="C184" s="288"/>
      <c r="D184" s="26"/>
      <c r="E184" s="26"/>
      <c r="F184" s="26"/>
      <c r="G184" s="26"/>
      <c r="H184" s="26"/>
      <c r="I184" s="26"/>
      <c r="J184" s="373"/>
      <c r="K184" s="373"/>
      <c r="L184" s="371"/>
      <c r="M184" s="371"/>
      <c r="N184" s="40"/>
      <c r="O184" s="40"/>
      <c r="Q184" s="349"/>
      <c r="R184" s="349"/>
      <c r="S184" s="349"/>
      <c r="T184" s="349"/>
      <c r="U184" s="349"/>
      <c r="V184" s="349"/>
      <c r="W184" s="349"/>
    </row>
    <row r="185" spans="1:23" x14ac:dyDescent="0.25">
      <c r="A185" s="273" t="e">
        <f t="shared" si="3"/>
        <v>#N/A</v>
      </c>
      <c r="B185" s="288"/>
      <c r="C185" s="288"/>
      <c r="D185" s="26"/>
      <c r="E185" s="26"/>
      <c r="F185" s="26"/>
      <c r="G185" s="26"/>
      <c r="H185" s="26"/>
      <c r="I185" s="26"/>
      <c r="J185" s="373"/>
      <c r="K185" s="373"/>
      <c r="L185" s="371"/>
      <c r="M185" s="371"/>
      <c r="N185" s="40"/>
      <c r="O185" s="40"/>
      <c r="Q185" s="349"/>
      <c r="R185" s="349"/>
      <c r="S185" s="349"/>
      <c r="T185" s="349"/>
      <c r="U185" s="349"/>
      <c r="V185" s="349"/>
      <c r="W185" s="349"/>
    </row>
    <row r="186" spans="1:23" x14ac:dyDescent="0.25">
      <c r="A186" s="273" t="e">
        <f t="shared" si="3"/>
        <v>#N/A</v>
      </c>
      <c r="B186" s="288"/>
      <c r="C186" s="288"/>
      <c r="D186" s="26"/>
      <c r="E186" s="26"/>
      <c r="F186" s="26"/>
      <c r="G186" s="26"/>
      <c r="H186" s="26"/>
      <c r="I186" s="26"/>
      <c r="J186" s="373"/>
      <c r="K186" s="373"/>
      <c r="L186" s="371"/>
      <c r="M186" s="371"/>
      <c r="N186" s="40"/>
      <c r="O186" s="40"/>
      <c r="Q186" s="349"/>
      <c r="R186" s="349"/>
      <c r="S186" s="349"/>
      <c r="T186" s="349"/>
      <c r="U186" s="349"/>
      <c r="V186" s="349"/>
      <c r="W186" s="349"/>
    </row>
    <row r="187" spans="1:23" x14ac:dyDescent="0.25">
      <c r="A187" s="273" t="e">
        <f t="shared" si="3"/>
        <v>#N/A</v>
      </c>
      <c r="B187" s="288"/>
      <c r="C187" s="288"/>
      <c r="D187" s="26"/>
      <c r="E187" s="26"/>
      <c r="F187" s="26"/>
      <c r="G187" s="26"/>
      <c r="H187" s="26"/>
      <c r="I187" s="26"/>
      <c r="J187" s="373"/>
      <c r="K187" s="373"/>
      <c r="L187" s="371"/>
      <c r="M187" s="371"/>
      <c r="N187" s="40"/>
      <c r="O187" s="40"/>
      <c r="Q187" s="349"/>
      <c r="R187" s="349"/>
      <c r="S187" s="349"/>
      <c r="T187" s="349"/>
      <c r="U187" s="349"/>
      <c r="V187" s="349"/>
      <c r="W187" s="349"/>
    </row>
    <row r="188" spans="1:23" x14ac:dyDescent="0.25">
      <c r="A188" s="273" t="e">
        <f t="shared" si="3"/>
        <v>#N/A</v>
      </c>
      <c r="B188" s="288"/>
      <c r="C188" s="288"/>
      <c r="D188" s="26"/>
      <c r="E188" s="26"/>
      <c r="F188" s="26"/>
      <c r="G188" s="26"/>
      <c r="H188" s="26"/>
      <c r="I188" s="26"/>
      <c r="J188" s="373"/>
      <c r="K188" s="373"/>
      <c r="L188" s="371"/>
      <c r="M188" s="371"/>
      <c r="N188" s="40"/>
      <c r="O188" s="40"/>
      <c r="Q188" s="349"/>
      <c r="R188" s="349"/>
      <c r="S188" s="349"/>
      <c r="T188" s="349"/>
      <c r="U188" s="349"/>
      <c r="V188" s="349"/>
      <c r="W188" s="349"/>
    </row>
    <row r="189" spans="1:23" x14ac:dyDescent="0.25">
      <c r="A189" s="273" t="e">
        <f t="shared" si="3"/>
        <v>#N/A</v>
      </c>
      <c r="B189" s="288"/>
      <c r="C189" s="288"/>
      <c r="D189" s="26"/>
      <c r="E189" s="26"/>
      <c r="F189" s="26"/>
      <c r="G189" s="26"/>
      <c r="H189" s="26"/>
      <c r="I189" s="26"/>
      <c r="J189" s="373"/>
      <c r="K189" s="373"/>
      <c r="L189" s="371"/>
      <c r="M189" s="371"/>
      <c r="N189" s="40"/>
      <c r="O189" s="40"/>
      <c r="Q189" s="349"/>
      <c r="R189" s="349"/>
      <c r="S189" s="349"/>
      <c r="T189" s="349"/>
      <c r="U189" s="349"/>
      <c r="V189" s="349"/>
      <c r="W189" s="349"/>
    </row>
    <row r="190" spans="1:23" x14ac:dyDescent="0.25">
      <c r="A190" s="273" t="e">
        <f t="shared" si="3"/>
        <v>#N/A</v>
      </c>
      <c r="B190" s="288"/>
      <c r="C190" s="288"/>
      <c r="D190" s="26"/>
      <c r="E190" s="26"/>
      <c r="F190" s="26"/>
      <c r="G190" s="26"/>
      <c r="H190" s="26"/>
      <c r="I190" s="26"/>
      <c r="J190" s="373"/>
      <c r="K190" s="373"/>
      <c r="L190" s="371"/>
      <c r="M190" s="371"/>
      <c r="N190" s="40"/>
      <c r="O190" s="40"/>
      <c r="Q190" s="349"/>
      <c r="R190" s="349"/>
      <c r="S190" s="349"/>
      <c r="T190" s="349"/>
      <c r="U190" s="349"/>
      <c r="V190" s="349"/>
      <c r="W190" s="349"/>
    </row>
    <row r="191" spans="1:23" x14ac:dyDescent="0.25">
      <c r="A191" s="273" t="e">
        <f t="shared" si="3"/>
        <v>#N/A</v>
      </c>
      <c r="B191" s="288"/>
      <c r="C191" s="288"/>
      <c r="D191" s="26"/>
      <c r="E191" s="26"/>
      <c r="F191" s="26"/>
      <c r="G191" s="26"/>
      <c r="H191" s="26"/>
      <c r="I191" s="26"/>
      <c r="J191" s="373"/>
      <c r="K191" s="373"/>
      <c r="L191" s="371"/>
      <c r="M191" s="371"/>
      <c r="N191" s="40"/>
      <c r="O191" s="40"/>
      <c r="Q191" s="349"/>
      <c r="R191" s="349"/>
      <c r="S191" s="349"/>
      <c r="T191" s="349"/>
      <c r="U191" s="349"/>
      <c r="V191" s="349"/>
      <c r="W191" s="349"/>
    </row>
    <row r="192" spans="1:23" x14ac:dyDescent="0.25">
      <c r="A192" s="273" t="e">
        <f t="shared" si="3"/>
        <v>#N/A</v>
      </c>
      <c r="B192" s="288"/>
      <c r="C192" s="288"/>
      <c r="D192" s="26"/>
      <c r="E192" s="26"/>
      <c r="F192" s="26"/>
      <c r="G192" s="26"/>
      <c r="H192" s="26"/>
      <c r="I192" s="26"/>
      <c r="J192" s="373"/>
      <c r="K192" s="373"/>
      <c r="L192" s="371"/>
      <c r="M192" s="371"/>
      <c r="N192" s="40"/>
      <c r="O192" s="40"/>
      <c r="Q192" s="349"/>
      <c r="R192" s="349"/>
      <c r="S192" s="349"/>
      <c r="T192" s="349"/>
      <c r="U192" s="349"/>
      <c r="V192" s="349"/>
      <c r="W192" s="349"/>
    </row>
    <row r="193" spans="1:23" x14ac:dyDescent="0.25">
      <c r="A193" s="273" t="e">
        <f t="shared" si="3"/>
        <v>#N/A</v>
      </c>
      <c r="B193" s="288"/>
      <c r="C193" s="288"/>
      <c r="D193" s="26"/>
      <c r="E193" s="26"/>
      <c r="F193" s="26"/>
      <c r="G193" s="26"/>
      <c r="H193" s="26"/>
      <c r="I193" s="26"/>
      <c r="J193" s="373"/>
      <c r="K193" s="373"/>
      <c r="L193" s="371"/>
      <c r="M193" s="371"/>
      <c r="N193" s="40"/>
      <c r="O193" s="40"/>
      <c r="Q193" s="349"/>
      <c r="R193" s="349"/>
      <c r="S193" s="349"/>
      <c r="T193" s="349"/>
      <c r="U193" s="349"/>
      <c r="V193" s="349"/>
      <c r="W193" s="349"/>
    </row>
    <row r="194" spans="1:23" x14ac:dyDescent="0.25">
      <c r="A194" s="273" t="e">
        <f t="shared" si="3"/>
        <v>#N/A</v>
      </c>
      <c r="B194" s="288"/>
      <c r="C194" s="288"/>
      <c r="D194" s="26"/>
      <c r="E194" s="26"/>
      <c r="F194" s="26"/>
      <c r="G194" s="26"/>
      <c r="H194" s="26"/>
      <c r="I194" s="26"/>
      <c r="J194" s="373"/>
      <c r="K194" s="373"/>
      <c r="L194" s="371"/>
      <c r="M194" s="371"/>
      <c r="N194" s="40"/>
      <c r="O194" s="40"/>
      <c r="Q194" s="349"/>
      <c r="R194" s="349"/>
      <c r="S194" s="349"/>
      <c r="T194" s="349"/>
      <c r="U194" s="349"/>
      <c r="V194" s="349"/>
      <c r="W194" s="349"/>
    </row>
    <row r="195" spans="1:23" x14ac:dyDescent="0.25">
      <c r="A195" s="273" t="e">
        <f t="shared" si="3"/>
        <v>#N/A</v>
      </c>
      <c r="B195" s="288"/>
      <c r="C195" s="288"/>
      <c r="D195" s="26"/>
      <c r="E195" s="26"/>
      <c r="F195" s="26"/>
      <c r="G195" s="26"/>
      <c r="H195" s="26"/>
      <c r="I195" s="26"/>
      <c r="J195" s="373"/>
      <c r="K195" s="373"/>
      <c r="L195" s="371"/>
      <c r="M195" s="371"/>
      <c r="N195" s="40"/>
      <c r="O195" s="40"/>
      <c r="Q195" s="349"/>
      <c r="R195" s="349"/>
      <c r="S195" s="349"/>
      <c r="T195" s="349"/>
      <c r="U195" s="349"/>
      <c r="V195" s="349"/>
      <c r="W195" s="349"/>
    </row>
    <row r="196" spans="1:23" x14ac:dyDescent="0.25">
      <c r="A196" s="273" t="e">
        <f t="shared" si="3"/>
        <v>#N/A</v>
      </c>
      <c r="B196" s="288"/>
      <c r="C196" s="288"/>
      <c r="D196" s="26"/>
      <c r="E196" s="26"/>
      <c r="F196" s="26"/>
      <c r="G196" s="26"/>
      <c r="H196" s="26"/>
      <c r="I196" s="26"/>
      <c r="J196" s="373"/>
      <c r="K196" s="373"/>
      <c r="L196" s="371"/>
      <c r="M196" s="371"/>
      <c r="N196" s="40"/>
      <c r="O196" s="40"/>
      <c r="Q196" s="349"/>
      <c r="R196" s="349"/>
      <c r="S196" s="349"/>
      <c r="T196" s="349"/>
      <c r="U196" s="349"/>
      <c r="V196" s="349"/>
      <c r="W196" s="349"/>
    </row>
    <row r="197" spans="1:23" x14ac:dyDescent="0.25">
      <c r="A197" s="273" t="e">
        <f t="shared" si="3"/>
        <v>#N/A</v>
      </c>
      <c r="B197" s="288"/>
      <c r="C197" s="288"/>
      <c r="D197" s="26"/>
      <c r="E197" s="26"/>
      <c r="F197" s="26"/>
      <c r="G197" s="26"/>
      <c r="H197" s="26"/>
      <c r="I197" s="26"/>
      <c r="J197" s="373"/>
      <c r="K197" s="373"/>
      <c r="L197" s="371"/>
      <c r="M197" s="371"/>
      <c r="N197" s="40"/>
      <c r="O197" s="40"/>
      <c r="Q197" s="349"/>
      <c r="R197" s="349"/>
      <c r="S197" s="349"/>
      <c r="T197" s="349"/>
      <c r="U197" s="349"/>
      <c r="V197" s="349"/>
      <c r="W197" s="349"/>
    </row>
    <row r="198" spans="1:23" x14ac:dyDescent="0.25">
      <c r="A198" s="273" t="e">
        <f t="shared" si="3"/>
        <v>#N/A</v>
      </c>
      <c r="B198" s="288"/>
      <c r="C198" s="288"/>
      <c r="D198" s="26"/>
      <c r="E198" s="26"/>
      <c r="F198" s="26"/>
      <c r="G198" s="26"/>
      <c r="H198" s="26"/>
      <c r="I198" s="26"/>
      <c r="J198" s="373"/>
      <c r="K198" s="373"/>
      <c r="L198" s="371"/>
      <c r="M198" s="371"/>
      <c r="N198" s="40"/>
      <c r="O198" s="40"/>
      <c r="Q198" s="349"/>
      <c r="R198" s="349"/>
      <c r="S198" s="349"/>
      <c r="T198" s="349"/>
      <c r="U198" s="349"/>
      <c r="V198" s="349"/>
      <c r="W198" s="349"/>
    </row>
    <row r="199" spans="1:23" x14ac:dyDescent="0.25">
      <c r="A199" s="273" t="e">
        <f t="shared" si="3"/>
        <v>#N/A</v>
      </c>
      <c r="B199" s="288"/>
      <c r="C199" s="288"/>
      <c r="D199" s="26"/>
      <c r="E199" s="26"/>
      <c r="F199" s="26"/>
      <c r="G199" s="26"/>
      <c r="H199" s="26"/>
      <c r="I199" s="26"/>
      <c r="J199" s="373"/>
      <c r="K199" s="373"/>
      <c r="L199" s="371"/>
      <c r="M199" s="371"/>
      <c r="N199" s="40"/>
      <c r="O199" s="40"/>
      <c r="Q199" s="349"/>
      <c r="R199" s="349"/>
      <c r="S199" s="349"/>
      <c r="T199" s="349"/>
      <c r="U199" s="349"/>
      <c r="V199" s="349"/>
      <c r="W199" s="349"/>
    </row>
    <row r="200" spans="1:23" x14ac:dyDescent="0.25">
      <c r="A200" s="273" t="e">
        <f t="shared" si="3"/>
        <v>#N/A</v>
      </c>
      <c r="B200" s="288"/>
      <c r="C200" s="288"/>
      <c r="D200" s="26"/>
      <c r="E200" s="26"/>
      <c r="F200" s="26"/>
      <c r="G200" s="26"/>
      <c r="H200" s="26"/>
      <c r="I200" s="26"/>
      <c r="J200" s="373"/>
      <c r="K200" s="373"/>
      <c r="L200" s="371"/>
      <c r="M200" s="371"/>
      <c r="N200" s="40"/>
      <c r="O200" s="40"/>
      <c r="Q200" s="349"/>
      <c r="R200" s="349"/>
      <c r="S200" s="349"/>
      <c r="T200" s="349"/>
      <c r="U200" s="349"/>
      <c r="V200" s="349"/>
      <c r="W200" s="349"/>
    </row>
    <row r="201" spans="1:23" x14ac:dyDescent="0.25">
      <c r="A201" s="273" t="e">
        <f t="shared" si="3"/>
        <v>#N/A</v>
      </c>
      <c r="B201" s="288"/>
      <c r="C201" s="288"/>
      <c r="D201" s="26"/>
      <c r="E201" s="26"/>
      <c r="F201" s="26"/>
      <c r="G201" s="26"/>
      <c r="H201" s="26"/>
      <c r="I201" s="26"/>
      <c r="J201" s="373"/>
      <c r="K201" s="373"/>
      <c r="L201" s="371"/>
      <c r="M201" s="371"/>
      <c r="N201" s="40"/>
      <c r="O201" s="40"/>
      <c r="Q201" s="349"/>
      <c r="R201" s="349"/>
      <c r="S201" s="349"/>
      <c r="T201" s="349"/>
      <c r="U201" s="349"/>
      <c r="V201" s="349"/>
      <c r="W201" s="349"/>
    </row>
    <row r="202" spans="1:23" x14ac:dyDescent="0.25">
      <c r="A202" s="273" t="e">
        <f t="shared" si="3"/>
        <v>#N/A</v>
      </c>
      <c r="B202" s="288"/>
      <c r="C202" s="288"/>
      <c r="D202" s="26"/>
      <c r="E202" s="26"/>
      <c r="F202" s="26"/>
      <c r="G202" s="26"/>
      <c r="H202" s="26"/>
      <c r="I202" s="26"/>
      <c r="J202" s="373"/>
      <c r="K202" s="373"/>
      <c r="L202" s="371"/>
      <c r="M202" s="371"/>
      <c r="N202" s="40"/>
      <c r="O202" s="40"/>
      <c r="Q202" s="349"/>
      <c r="R202" s="349"/>
      <c r="S202" s="349"/>
      <c r="T202" s="349"/>
      <c r="U202" s="349"/>
      <c r="V202" s="349"/>
      <c r="W202" s="349"/>
    </row>
    <row r="203" spans="1:23" x14ac:dyDescent="0.25">
      <c r="A203" s="273" t="e">
        <f t="shared" si="3"/>
        <v>#N/A</v>
      </c>
      <c r="B203" s="288"/>
      <c r="C203" s="288"/>
      <c r="D203" s="26"/>
      <c r="E203" s="26"/>
      <c r="F203" s="26"/>
      <c r="G203" s="26"/>
      <c r="H203" s="26"/>
      <c r="I203" s="26"/>
      <c r="J203" s="373"/>
      <c r="K203" s="373"/>
      <c r="L203" s="371"/>
      <c r="M203" s="371"/>
      <c r="N203" s="40"/>
      <c r="O203" s="40"/>
      <c r="Q203" s="349"/>
      <c r="R203" s="349"/>
      <c r="S203" s="349"/>
      <c r="T203" s="349"/>
      <c r="U203" s="349"/>
      <c r="V203" s="349"/>
      <c r="W203" s="349"/>
    </row>
    <row r="204" spans="1:23" x14ac:dyDescent="0.25">
      <c r="A204" s="273" t="e">
        <f t="shared" si="3"/>
        <v>#N/A</v>
      </c>
      <c r="B204" s="288"/>
      <c r="C204" s="288"/>
      <c r="D204" s="26"/>
      <c r="E204" s="26"/>
      <c r="F204" s="26"/>
      <c r="G204" s="26"/>
      <c r="H204" s="26"/>
      <c r="I204" s="26"/>
      <c r="J204" s="373"/>
      <c r="K204" s="373"/>
      <c r="L204" s="371"/>
      <c r="M204" s="371"/>
      <c r="N204" s="40"/>
      <c r="O204" s="40"/>
      <c r="Q204" s="349"/>
      <c r="R204" s="349"/>
      <c r="S204" s="349"/>
      <c r="T204" s="349"/>
      <c r="U204" s="349"/>
      <c r="V204" s="349"/>
      <c r="W204" s="349"/>
    </row>
    <row r="205" spans="1:23" x14ac:dyDescent="0.25">
      <c r="A205" s="273" t="e">
        <f t="shared" si="3"/>
        <v>#N/A</v>
      </c>
      <c r="B205" s="288"/>
      <c r="C205" s="288"/>
      <c r="D205" s="26"/>
      <c r="E205" s="26"/>
      <c r="F205" s="26"/>
      <c r="G205" s="26"/>
      <c r="H205" s="26"/>
      <c r="I205" s="26"/>
      <c r="J205" s="373"/>
      <c r="K205" s="373"/>
      <c r="L205" s="371"/>
      <c r="M205" s="371"/>
      <c r="N205" s="40"/>
      <c r="O205" s="40"/>
      <c r="Q205" s="349"/>
      <c r="R205" s="349"/>
      <c r="S205" s="349"/>
      <c r="T205" s="349"/>
      <c r="U205" s="349"/>
      <c r="V205" s="349"/>
      <c r="W205" s="349"/>
    </row>
    <row r="206" spans="1:23" x14ac:dyDescent="0.25">
      <c r="A206" s="273" t="e">
        <f t="shared" si="3"/>
        <v>#N/A</v>
      </c>
      <c r="B206" s="288"/>
      <c r="C206" s="288"/>
      <c r="D206" s="26"/>
      <c r="E206" s="26"/>
      <c r="F206" s="26"/>
      <c r="G206" s="26"/>
      <c r="H206" s="26"/>
      <c r="I206" s="26"/>
      <c r="J206" s="373"/>
      <c r="K206" s="373"/>
      <c r="L206" s="371"/>
      <c r="M206" s="371"/>
      <c r="N206" s="40"/>
      <c r="O206" s="40"/>
      <c r="Q206" s="349"/>
      <c r="R206" s="349"/>
      <c r="S206" s="349"/>
      <c r="T206" s="349"/>
      <c r="U206" s="349"/>
      <c r="V206" s="349"/>
      <c r="W206" s="349"/>
    </row>
    <row r="207" spans="1:23" x14ac:dyDescent="0.25">
      <c r="A207" s="273" t="e">
        <f t="shared" si="3"/>
        <v>#N/A</v>
      </c>
      <c r="B207" s="288"/>
      <c r="C207" s="288"/>
      <c r="D207" s="26"/>
      <c r="E207" s="26"/>
      <c r="F207" s="26"/>
      <c r="G207" s="26"/>
      <c r="H207" s="26"/>
      <c r="I207" s="26"/>
      <c r="J207" s="373"/>
      <c r="K207" s="373"/>
      <c r="L207" s="371"/>
      <c r="M207" s="371"/>
      <c r="N207" s="40"/>
      <c r="O207" s="40"/>
      <c r="Q207" s="349"/>
      <c r="R207" s="349"/>
      <c r="S207" s="349"/>
      <c r="T207" s="349"/>
      <c r="U207" s="349"/>
      <c r="V207" s="349"/>
      <c r="W207" s="349"/>
    </row>
    <row r="208" spans="1:23" x14ac:dyDescent="0.25">
      <c r="A208" s="273" t="e">
        <f t="shared" si="3"/>
        <v>#N/A</v>
      </c>
      <c r="B208" s="288"/>
      <c r="C208" s="288"/>
      <c r="D208" s="26"/>
      <c r="E208" s="26"/>
      <c r="F208" s="26"/>
      <c r="G208" s="26"/>
      <c r="H208" s="26"/>
      <c r="I208" s="26"/>
      <c r="J208" s="373"/>
      <c r="K208" s="373"/>
      <c r="L208" s="371"/>
      <c r="M208" s="371"/>
      <c r="N208" s="40"/>
      <c r="O208" s="40"/>
      <c r="Q208" s="349"/>
      <c r="R208" s="349"/>
      <c r="S208" s="349"/>
      <c r="T208" s="349"/>
      <c r="U208" s="349"/>
      <c r="V208" s="349"/>
      <c r="W208" s="349"/>
    </row>
    <row r="209" spans="1:23" x14ac:dyDescent="0.25">
      <c r="A209" s="273" t="e">
        <f t="shared" si="3"/>
        <v>#N/A</v>
      </c>
      <c r="B209" s="288"/>
      <c r="C209" s="288"/>
      <c r="D209" s="26"/>
      <c r="E209" s="26"/>
      <c r="F209" s="26"/>
      <c r="G209" s="26"/>
      <c r="H209" s="26"/>
      <c r="I209" s="26"/>
      <c r="J209" s="373"/>
      <c r="K209" s="373"/>
      <c r="L209" s="371"/>
      <c r="M209" s="371"/>
      <c r="N209" s="40"/>
      <c r="O209" s="40"/>
      <c r="Q209" s="349"/>
      <c r="R209" s="349"/>
      <c r="S209" s="349"/>
      <c r="T209" s="349"/>
      <c r="U209" s="349"/>
      <c r="V209" s="349"/>
      <c r="W209" s="349"/>
    </row>
    <row r="210" spans="1:23" x14ac:dyDescent="0.25">
      <c r="A210" s="273" t="e">
        <f t="shared" si="3"/>
        <v>#N/A</v>
      </c>
      <c r="B210" s="288"/>
      <c r="C210" s="288"/>
      <c r="D210" s="26"/>
      <c r="E210" s="26"/>
      <c r="F210" s="26"/>
      <c r="G210" s="26"/>
      <c r="H210" s="26"/>
      <c r="I210" s="26"/>
      <c r="J210" s="373"/>
      <c r="K210" s="373"/>
      <c r="L210" s="371"/>
      <c r="M210" s="371"/>
      <c r="N210" s="40"/>
      <c r="O210" s="40"/>
      <c r="Q210" s="349"/>
      <c r="R210" s="349"/>
      <c r="S210" s="349"/>
      <c r="T210" s="349"/>
      <c r="U210" s="349"/>
      <c r="V210" s="349"/>
      <c r="W210" s="349"/>
    </row>
    <row r="211" spans="1:23" x14ac:dyDescent="0.25">
      <c r="A211" s="273" t="e">
        <f t="shared" si="3"/>
        <v>#N/A</v>
      </c>
      <c r="B211" s="288"/>
      <c r="C211" s="288"/>
      <c r="D211" s="26"/>
      <c r="E211" s="26"/>
      <c r="F211" s="26"/>
      <c r="G211" s="26"/>
      <c r="H211" s="26"/>
      <c r="I211" s="26"/>
      <c r="J211" s="373"/>
      <c r="K211" s="373"/>
      <c r="L211" s="371"/>
      <c r="M211" s="371"/>
      <c r="N211" s="40"/>
      <c r="O211" s="40"/>
      <c r="Q211" s="349"/>
      <c r="R211" s="349"/>
      <c r="S211" s="349"/>
      <c r="T211" s="349"/>
      <c r="U211" s="349"/>
      <c r="V211" s="349"/>
      <c r="W211" s="349"/>
    </row>
    <row r="212" spans="1:23" x14ac:dyDescent="0.25">
      <c r="A212" s="273" t="e">
        <f t="shared" si="3"/>
        <v>#N/A</v>
      </c>
      <c r="B212" s="288"/>
      <c r="C212" s="288"/>
      <c r="D212" s="26"/>
      <c r="E212" s="26"/>
      <c r="F212" s="26"/>
      <c r="G212" s="26"/>
      <c r="H212" s="26"/>
      <c r="I212" s="26"/>
      <c r="J212" s="373"/>
      <c r="K212" s="373"/>
      <c r="L212" s="371"/>
      <c r="M212" s="371"/>
      <c r="N212" s="40"/>
      <c r="O212" s="40"/>
      <c r="Q212" s="349"/>
      <c r="R212" s="349"/>
      <c r="S212" s="349"/>
      <c r="T212" s="349"/>
      <c r="U212" s="349"/>
      <c r="V212" s="349"/>
      <c r="W212" s="349"/>
    </row>
    <row r="213" spans="1:23" x14ac:dyDescent="0.25">
      <c r="A213" s="273" t="e">
        <f t="shared" si="3"/>
        <v>#N/A</v>
      </c>
      <c r="B213" s="288"/>
      <c r="C213" s="288"/>
      <c r="D213" s="26"/>
      <c r="E213" s="26"/>
      <c r="F213" s="26"/>
      <c r="G213" s="26"/>
      <c r="H213" s="26"/>
      <c r="I213" s="26"/>
      <c r="J213" s="373"/>
      <c r="K213" s="373"/>
      <c r="L213" s="371"/>
      <c r="M213" s="371"/>
      <c r="N213" s="40"/>
      <c r="O213" s="40"/>
      <c r="Q213" s="349"/>
      <c r="R213" s="349"/>
      <c r="S213" s="349"/>
      <c r="T213" s="349"/>
      <c r="U213" s="349"/>
      <c r="V213" s="349"/>
      <c r="W213" s="349"/>
    </row>
    <row r="214" spans="1:23" x14ac:dyDescent="0.25">
      <c r="A214" s="273" t="e">
        <f t="shared" si="3"/>
        <v>#N/A</v>
      </c>
      <c r="B214" s="288"/>
      <c r="C214" s="288"/>
      <c r="D214" s="26"/>
      <c r="E214" s="26"/>
      <c r="F214" s="26"/>
      <c r="G214" s="26"/>
      <c r="H214" s="26"/>
      <c r="I214" s="26"/>
      <c r="J214" s="373"/>
      <c r="K214" s="373"/>
      <c r="L214" s="371"/>
      <c r="M214" s="371"/>
      <c r="N214" s="40"/>
      <c r="O214" s="40"/>
      <c r="Q214" s="349"/>
      <c r="R214" s="349"/>
      <c r="S214" s="349"/>
      <c r="T214" s="349"/>
      <c r="U214" s="349"/>
      <c r="V214" s="349"/>
      <c r="W214" s="349"/>
    </row>
    <row r="215" spans="1:23" x14ac:dyDescent="0.25">
      <c r="A215" s="273" t="e">
        <f t="shared" si="3"/>
        <v>#N/A</v>
      </c>
      <c r="B215" s="288"/>
      <c r="C215" s="288"/>
      <c r="D215" s="26"/>
      <c r="E215" s="26"/>
      <c r="F215" s="26"/>
      <c r="G215" s="26"/>
      <c r="H215" s="26"/>
      <c r="I215" s="26"/>
      <c r="J215" s="373"/>
      <c r="K215" s="373"/>
      <c r="L215" s="371"/>
      <c r="M215" s="371"/>
      <c r="N215" s="40"/>
      <c r="O215" s="40"/>
      <c r="Q215" s="349"/>
      <c r="R215" s="349"/>
      <c r="S215" s="349"/>
      <c r="T215" s="349"/>
      <c r="U215" s="349"/>
      <c r="V215" s="349"/>
      <c r="W215" s="349"/>
    </row>
    <row r="216" spans="1:23" x14ac:dyDescent="0.25">
      <c r="A216" s="273" t="e">
        <f t="shared" si="3"/>
        <v>#N/A</v>
      </c>
      <c r="B216" s="288"/>
      <c r="C216" s="288"/>
      <c r="D216" s="26"/>
      <c r="E216" s="26"/>
      <c r="F216" s="26"/>
      <c r="G216" s="26"/>
      <c r="H216" s="26"/>
      <c r="I216" s="26"/>
      <c r="J216" s="373"/>
      <c r="K216" s="373"/>
      <c r="L216" s="371"/>
      <c r="M216" s="371"/>
      <c r="N216" s="40"/>
      <c r="O216" s="40"/>
      <c r="Q216" s="349"/>
      <c r="R216" s="349"/>
      <c r="S216" s="349"/>
      <c r="T216" s="349"/>
      <c r="U216" s="349"/>
      <c r="V216" s="349"/>
      <c r="W216" s="349"/>
    </row>
    <row r="217" spans="1:23" x14ac:dyDescent="0.25">
      <c r="A217" s="273" t="e">
        <f t="shared" si="3"/>
        <v>#N/A</v>
      </c>
      <c r="B217" s="288"/>
      <c r="C217" s="288"/>
      <c r="D217" s="26"/>
      <c r="E217" s="26"/>
      <c r="F217" s="26"/>
      <c r="G217" s="26"/>
      <c r="H217" s="26"/>
      <c r="I217" s="26"/>
      <c r="J217" s="373"/>
      <c r="K217" s="373"/>
      <c r="L217" s="371"/>
      <c r="M217" s="371"/>
      <c r="N217" s="40"/>
      <c r="O217" s="40"/>
      <c r="Q217" s="349"/>
      <c r="R217" s="349"/>
      <c r="S217" s="349"/>
      <c r="T217" s="349"/>
      <c r="U217" s="349"/>
      <c r="V217" s="349"/>
      <c r="W217" s="349"/>
    </row>
    <row r="218" spans="1:23" x14ac:dyDescent="0.25">
      <c r="A218" s="273" t="e">
        <f t="shared" si="3"/>
        <v>#N/A</v>
      </c>
      <c r="B218" s="288"/>
      <c r="C218" s="288"/>
      <c r="D218" s="26"/>
      <c r="E218" s="26"/>
      <c r="F218" s="26"/>
      <c r="G218" s="26"/>
      <c r="H218" s="26"/>
      <c r="I218" s="26"/>
      <c r="J218" s="373"/>
      <c r="K218" s="373"/>
      <c r="L218" s="371"/>
      <c r="M218" s="371"/>
      <c r="N218" s="40"/>
      <c r="O218" s="40"/>
      <c r="Q218" s="349"/>
      <c r="R218" s="349"/>
      <c r="S218" s="349"/>
      <c r="T218" s="349"/>
      <c r="U218" s="349"/>
      <c r="V218" s="349"/>
      <c r="W218" s="349"/>
    </row>
    <row r="219" spans="1:23" x14ac:dyDescent="0.25">
      <c r="A219" s="273" t="e">
        <f t="shared" si="3"/>
        <v>#N/A</v>
      </c>
      <c r="B219" s="288"/>
      <c r="C219" s="288"/>
      <c r="D219" s="26"/>
      <c r="E219" s="26"/>
      <c r="F219" s="26"/>
      <c r="G219" s="26"/>
      <c r="H219" s="26"/>
      <c r="I219" s="26"/>
      <c r="J219" s="373"/>
      <c r="K219" s="373"/>
      <c r="L219" s="371"/>
      <c r="M219" s="371"/>
      <c r="N219" s="40"/>
      <c r="O219" s="40"/>
      <c r="Q219" s="349"/>
      <c r="R219" s="349"/>
      <c r="S219" s="349"/>
      <c r="T219" s="349"/>
      <c r="U219" s="349"/>
      <c r="V219" s="349"/>
      <c r="W219" s="349"/>
    </row>
    <row r="220" spans="1:23" x14ac:dyDescent="0.25">
      <c r="A220" s="273" t="e">
        <f t="shared" ref="A220:A278" si="4">VLOOKUP(D220,BldgExpCodes,2)</f>
        <v>#N/A</v>
      </c>
      <c r="B220" s="288"/>
      <c r="C220" s="288"/>
      <c r="D220" s="26"/>
      <c r="E220" s="26"/>
      <c r="F220" s="26"/>
      <c r="G220" s="26"/>
      <c r="H220" s="26"/>
      <c r="I220" s="26"/>
      <c r="J220" s="373"/>
      <c r="K220" s="373"/>
      <c r="L220" s="371"/>
      <c r="M220" s="371"/>
      <c r="N220" s="40"/>
      <c r="O220" s="40"/>
      <c r="Q220" s="349"/>
      <c r="R220" s="349"/>
      <c r="S220" s="349"/>
      <c r="T220" s="349"/>
      <c r="U220" s="349"/>
      <c r="V220" s="349"/>
      <c r="W220" s="349"/>
    </row>
    <row r="221" spans="1:23" x14ac:dyDescent="0.25">
      <c r="A221" s="273" t="e">
        <f t="shared" si="4"/>
        <v>#N/A</v>
      </c>
      <c r="B221" s="288"/>
      <c r="C221" s="288"/>
      <c r="D221" s="26"/>
      <c r="E221" s="26"/>
      <c r="F221" s="26"/>
      <c r="G221" s="26"/>
      <c r="H221" s="26"/>
      <c r="I221" s="26"/>
      <c r="J221" s="373"/>
      <c r="K221" s="373"/>
      <c r="L221" s="371"/>
      <c r="M221" s="371"/>
      <c r="N221" s="40"/>
      <c r="O221" s="40"/>
      <c r="Q221" s="349"/>
      <c r="R221" s="349"/>
      <c r="S221" s="349"/>
      <c r="T221" s="349"/>
      <c r="U221" s="349"/>
      <c r="V221" s="349"/>
      <c r="W221" s="349"/>
    </row>
    <row r="222" spans="1:23" x14ac:dyDescent="0.25">
      <c r="A222" s="273" t="e">
        <f t="shared" si="4"/>
        <v>#N/A</v>
      </c>
      <c r="B222" s="288"/>
      <c r="C222" s="288"/>
      <c r="D222" s="26"/>
      <c r="E222" s="26"/>
      <c r="F222" s="26"/>
      <c r="G222" s="26"/>
      <c r="H222" s="26"/>
      <c r="I222" s="26"/>
      <c r="J222" s="373"/>
      <c r="K222" s="373"/>
      <c r="L222" s="371"/>
      <c r="M222" s="371"/>
      <c r="N222" s="40"/>
      <c r="O222" s="40"/>
      <c r="Q222" s="349"/>
      <c r="R222" s="349"/>
      <c r="S222" s="349"/>
      <c r="T222" s="349"/>
      <c r="U222" s="349"/>
      <c r="V222" s="349"/>
      <c r="W222" s="349"/>
    </row>
    <row r="223" spans="1:23" x14ac:dyDescent="0.25">
      <c r="A223" s="273" t="e">
        <f t="shared" si="4"/>
        <v>#N/A</v>
      </c>
      <c r="B223" s="288"/>
      <c r="C223" s="288"/>
      <c r="D223" s="26"/>
      <c r="E223" s="26"/>
      <c r="F223" s="26"/>
      <c r="G223" s="26"/>
      <c r="H223" s="26"/>
      <c r="I223" s="26"/>
      <c r="J223" s="373"/>
      <c r="K223" s="373"/>
      <c r="L223" s="371"/>
      <c r="M223" s="371"/>
      <c r="N223" s="40"/>
      <c r="O223" s="40"/>
      <c r="Q223" s="349"/>
      <c r="R223" s="349"/>
      <c r="S223" s="349"/>
      <c r="T223" s="349"/>
      <c r="U223" s="349"/>
      <c r="V223" s="349"/>
      <c r="W223" s="349"/>
    </row>
    <row r="224" spans="1:23" x14ac:dyDescent="0.25">
      <c r="A224" s="273" t="e">
        <f t="shared" si="4"/>
        <v>#N/A</v>
      </c>
      <c r="B224" s="288"/>
      <c r="C224" s="288"/>
      <c r="D224" s="26"/>
      <c r="E224" s="26"/>
      <c r="F224" s="26"/>
      <c r="G224" s="26"/>
      <c r="H224" s="26"/>
      <c r="I224" s="26"/>
      <c r="J224" s="373"/>
      <c r="K224" s="373"/>
      <c r="L224" s="371"/>
      <c r="M224" s="371"/>
      <c r="N224" s="40"/>
      <c r="O224" s="40"/>
      <c r="Q224" s="349"/>
      <c r="R224" s="349"/>
      <c r="S224" s="349"/>
      <c r="T224" s="349"/>
      <c r="U224" s="349"/>
      <c r="V224" s="349"/>
      <c r="W224" s="349"/>
    </row>
    <row r="225" spans="1:23" x14ac:dyDescent="0.25">
      <c r="A225" s="273" t="e">
        <f t="shared" si="4"/>
        <v>#N/A</v>
      </c>
      <c r="B225" s="288"/>
      <c r="C225" s="288"/>
      <c r="D225" s="26"/>
      <c r="E225" s="26"/>
      <c r="F225" s="26"/>
      <c r="G225" s="26"/>
      <c r="H225" s="26"/>
      <c r="I225" s="26"/>
      <c r="J225" s="373"/>
      <c r="K225" s="373"/>
      <c r="L225" s="371"/>
      <c r="M225" s="371"/>
      <c r="N225" s="40"/>
      <c r="O225" s="40"/>
      <c r="Q225" s="349"/>
      <c r="R225" s="349"/>
      <c r="S225" s="349"/>
      <c r="T225" s="349"/>
      <c r="U225" s="349"/>
      <c r="V225" s="349"/>
      <c r="W225" s="349"/>
    </row>
    <row r="226" spans="1:23" x14ac:dyDescent="0.25">
      <c r="A226" s="273" t="e">
        <f t="shared" si="4"/>
        <v>#N/A</v>
      </c>
      <c r="B226" s="288"/>
      <c r="C226" s="288"/>
      <c r="D226" s="26"/>
      <c r="E226" s="26"/>
      <c r="F226" s="26"/>
      <c r="G226" s="26"/>
      <c r="H226" s="26"/>
      <c r="I226" s="26"/>
      <c r="J226" s="373"/>
      <c r="K226" s="373"/>
      <c r="L226" s="371"/>
      <c r="M226" s="371"/>
      <c r="N226" s="40"/>
      <c r="O226" s="40"/>
      <c r="Q226" s="349"/>
      <c r="R226" s="349"/>
      <c r="S226" s="349"/>
      <c r="T226" s="349"/>
      <c r="U226" s="349"/>
      <c r="V226" s="349"/>
      <c r="W226" s="349"/>
    </row>
    <row r="227" spans="1:23" x14ac:dyDescent="0.25">
      <c r="A227" s="273" t="e">
        <f t="shared" si="4"/>
        <v>#N/A</v>
      </c>
      <c r="B227" s="288"/>
      <c r="C227" s="288"/>
      <c r="D227" s="26"/>
      <c r="E227" s="26"/>
      <c r="F227" s="26"/>
      <c r="G227" s="26"/>
      <c r="H227" s="26"/>
      <c r="I227" s="26"/>
      <c r="J227" s="373"/>
      <c r="K227" s="373"/>
      <c r="L227" s="371"/>
      <c r="M227" s="371"/>
      <c r="N227" s="40"/>
      <c r="O227" s="40"/>
      <c r="Q227" s="349"/>
      <c r="R227" s="349"/>
      <c r="S227" s="349"/>
      <c r="T227" s="349"/>
      <c r="U227" s="349"/>
      <c r="V227" s="349"/>
      <c r="W227" s="349"/>
    </row>
    <row r="228" spans="1:23" x14ac:dyDescent="0.25">
      <c r="A228" s="273" t="e">
        <f t="shared" si="4"/>
        <v>#N/A</v>
      </c>
      <c r="B228" s="288"/>
      <c r="C228" s="288"/>
      <c r="D228" s="26"/>
      <c r="E228" s="26"/>
      <c r="F228" s="26"/>
      <c r="G228" s="26"/>
      <c r="H228" s="26"/>
      <c r="I228" s="26"/>
      <c r="J228" s="373"/>
      <c r="K228" s="373"/>
      <c r="L228" s="371"/>
      <c r="M228" s="371"/>
      <c r="N228" s="40"/>
      <c r="O228" s="40"/>
      <c r="Q228" s="349"/>
      <c r="R228" s="349"/>
      <c r="S228" s="349"/>
      <c r="T228" s="349"/>
      <c r="U228" s="349"/>
      <c r="V228" s="349"/>
      <c r="W228" s="349"/>
    </row>
    <row r="229" spans="1:23" x14ac:dyDescent="0.25">
      <c r="A229" s="273" t="e">
        <f t="shared" si="4"/>
        <v>#N/A</v>
      </c>
      <c r="B229" s="288"/>
      <c r="C229" s="288"/>
      <c r="D229" s="26"/>
      <c r="E229" s="26"/>
      <c r="F229" s="26"/>
      <c r="G229" s="26"/>
      <c r="H229" s="26"/>
      <c r="I229" s="26"/>
      <c r="J229" s="373"/>
      <c r="K229" s="373"/>
      <c r="L229" s="371"/>
      <c r="M229" s="371"/>
      <c r="N229" s="40"/>
      <c r="O229" s="40"/>
      <c r="Q229" s="349"/>
      <c r="R229" s="349"/>
      <c r="S229" s="349"/>
      <c r="T229" s="349"/>
      <c r="U229" s="349"/>
      <c r="V229" s="349"/>
      <c r="W229" s="349"/>
    </row>
    <row r="230" spans="1:23" x14ac:dyDescent="0.25">
      <c r="A230" s="273" t="e">
        <f t="shared" si="4"/>
        <v>#N/A</v>
      </c>
      <c r="B230" s="288"/>
      <c r="C230" s="288"/>
      <c r="D230" s="26"/>
      <c r="E230" s="26"/>
      <c r="F230" s="26"/>
      <c r="G230" s="26"/>
      <c r="H230" s="26"/>
      <c r="I230" s="26"/>
      <c r="J230" s="373"/>
      <c r="K230" s="373"/>
      <c r="L230" s="371"/>
      <c r="M230" s="371"/>
      <c r="N230" s="40"/>
      <c r="O230" s="40"/>
      <c r="Q230" s="349"/>
      <c r="R230" s="349"/>
      <c r="S230" s="349"/>
      <c r="T230" s="349"/>
      <c r="U230" s="349"/>
      <c r="V230" s="349"/>
      <c r="W230" s="349"/>
    </row>
    <row r="231" spans="1:23" x14ac:dyDescent="0.25">
      <c r="A231" s="273" t="e">
        <f t="shared" si="4"/>
        <v>#N/A</v>
      </c>
      <c r="B231" s="288"/>
      <c r="C231" s="288"/>
      <c r="D231" s="26"/>
      <c r="E231" s="26"/>
      <c r="F231" s="26"/>
      <c r="G231" s="26"/>
      <c r="H231" s="26"/>
      <c r="I231" s="26"/>
      <c r="J231" s="373"/>
      <c r="K231" s="373"/>
      <c r="L231" s="371"/>
      <c r="M231" s="371"/>
      <c r="N231" s="40"/>
      <c r="O231" s="40"/>
      <c r="Q231" s="349"/>
      <c r="R231" s="349"/>
      <c r="S231" s="349"/>
      <c r="T231" s="349"/>
      <c r="U231" s="349"/>
      <c r="V231" s="349"/>
      <c r="W231" s="349"/>
    </row>
    <row r="232" spans="1:23" x14ac:dyDescent="0.25">
      <c r="A232" s="273" t="e">
        <f t="shared" si="4"/>
        <v>#N/A</v>
      </c>
      <c r="B232" s="288"/>
      <c r="C232" s="288"/>
      <c r="D232" s="26"/>
      <c r="E232" s="26"/>
      <c r="F232" s="26"/>
      <c r="G232" s="26"/>
      <c r="H232" s="26"/>
      <c r="I232" s="26"/>
      <c r="J232" s="373"/>
      <c r="K232" s="373"/>
      <c r="L232" s="371"/>
      <c r="M232" s="371"/>
      <c r="N232" s="40"/>
      <c r="O232" s="40"/>
      <c r="Q232" s="349"/>
      <c r="R232" s="349"/>
      <c r="S232" s="349"/>
      <c r="T232" s="349"/>
      <c r="U232" s="349"/>
      <c r="V232" s="349"/>
      <c r="W232" s="349"/>
    </row>
    <row r="233" spans="1:23" x14ac:dyDescent="0.25">
      <c r="A233" s="273" t="e">
        <f t="shared" si="4"/>
        <v>#N/A</v>
      </c>
      <c r="B233" s="288"/>
      <c r="C233" s="288"/>
      <c r="D233" s="26"/>
      <c r="E233" s="26"/>
      <c r="F233" s="26"/>
      <c r="G233" s="26"/>
      <c r="H233" s="26"/>
      <c r="I233" s="26"/>
      <c r="J233" s="373"/>
      <c r="K233" s="373"/>
      <c r="L233" s="371"/>
      <c r="M233" s="371"/>
      <c r="N233" s="40"/>
      <c r="O233" s="40"/>
      <c r="Q233" s="349"/>
      <c r="R233" s="349"/>
      <c r="S233" s="349"/>
      <c r="T233" s="349"/>
      <c r="U233" s="349"/>
      <c r="V233" s="349"/>
      <c r="W233" s="349"/>
    </row>
    <row r="234" spans="1:23" x14ac:dyDescent="0.25">
      <c r="A234" s="273" t="e">
        <f t="shared" si="4"/>
        <v>#N/A</v>
      </c>
      <c r="B234" s="288"/>
      <c r="C234" s="288"/>
      <c r="D234" s="26"/>
      <c r="E234" s="26"/>
      <c r="F234" s="26"/>
      <c r="G234" s="26"/>
      <c r="H234" s="26"/>
      <c r="I234" s="26"/>
      <c r="J234" s="373"/>
      <c r="K234" s="373"/>
      <c r="L234" s="371"/>
      <c r="M234" s="371"/>
      <c r="N234" s="40"/>
      <c r="O234" s="40"/>
      <c r="Q234" s="349"/>
      <c r="R234" s="349"/>
      <c r="S234" s="349"/>
      <c r="T234" s="349"/>
      <c r="U234" s="349"/>
      <c r="V234" s="349"/>
      <c r="W234" s="349"/>
    </row>
    <row r="235" spans="1:23" x14ac:dyDescent="0.25">
      <c r="A235" s="273" t="e">
        <f t="shared" si="4"/>
        <v>#N/A</v>
      </c>
      <c r="B235" s="288"/>
      <c r="C235" s="288"/>
      <c r="D235" s="26"/>
      <c r="E235" s="26"/>
      <c r="F235" s="26"/>
      <c r="G235" s="26"/>
      <c r="H235" s="26"/>
      <c r="I235" s="26"/>
      <c r="J235" s="373"/>
      <c r="K235" s="373"/>
      <c r="L235" s="371"/>
      <c r="M235" s="371"/>
      <c r="N235" s="40"/>
      <c r="O235" s="40"/>
      <c r="Q235" s="349"/>
      <c r="R235" s="349"/>
      <c r="S235" s="349"/>
      <c r="T235" s="349"/>
      <c r="U235" s="349"/>
      <c r="V235" s="349"/>
      <c r="W235" s="349"/>
    </row>
    <row r="236" spans="1:23" x14ac:dyDescent="0.25">
      <c r="A236" s="273" t="e">
        <f t="shared" si="4"/>
        <v>#N/A</v>
      </c>
      <c r="B236" s="288"/>
      <c r="C236" s="288"/>
      <c r="D236" s="26"/>
      <c r="E236" s="26"/>
      <c r="F236" s="26"/>
      <c r="G236" s="26"/>
      <c r="H236" s="26"/>
      <c r="I236" s="26"/>
      <c r="J236" s="373"/>
      <c r="K236" s="373"/>
      <c r="L236" s="371"/>
      <c r="M236" s="371"/>
      <c r="N236" s="40"/>
      <c r="O236" s="40"/>
      <c r="Q236" s="349"/>
      <c r="R236" s="349"/>
      <c r="S236" s="349"/>
      <c r="T236" s="349"/>
      <c r="U236" s="349"/>
      <c r="V236" s="349"/>
      <c r="W236" s="349"/>
    </row>
    <row r="237" spans="1:23" x14ac:dyDescent="0.25">
      <c r="A237" s="273" t="e">
        <f t="shared" si="4"/>
        <v>#N/A</v>
      </c>
      <c r="B237" s="288"/>
      <c r="C237" s="288"/>
      <c r="D237" s="26"/>
      <c r="E237" s="26"/>
      <c r="F237" s="26"/>
      <c r="G237" s="26"/>
      <c r="H237" s="26"/>
      <c r="I237" s="26"/>
      <c r="J237" s="373"/>
      <c r="K237" s="373"/>
      <c r="L237" s="371"/>
      <c r="M237" s="371"/>
      <c r="N237" s="40"/>
      <c r="O237" s="40"/>
      <c r="Q237" s="349"/>
      <c r="R237" s="349"/>
      <c r="S237" s="349"/>
      <c r="T237" s="349"/>
      <c r="U237" s="349"/>
      <c r="V237" s="349"/>
      <c r="W237" s="349"/>
    </row>
    <row r="238" spans="1:23" x14ac:dyDescent="0.25">
      <c r="A238" s="273" t="e">
        <f t="shared" si="4"/>
        <v>#N/A</v>
      </c>
      <c r="B238" s="288"/>
      <c r="C238" s="288"/>
      <c r="D238" s="26"/>
      <c r="E238" s="26"/>
      <c r="F238" s="26"/>
      <c r="G238" s="26"/>
      <c r="H238" s="26"/>
      <c r="I238" s="26"/>
      <c r="J238" s="373"/>
      <c r="K238" s="373"/>
      <c r="L238" s="371"/>
      <c r="M238" s="371"/>
      <c r="N238" s="40"/>
      <c r="O238" s="40"/>
      <c r="Q238" s="349"/>
      <c r="R238" s="349"/>
      <c r="S238" s="349"/>
      <c r="T238" s="349"/>
      <c r="U238" s="349"/>
      <c r="V238" s="349"/>
      <c r="W238" s="349"/>
    </row>
    <row r="239" spans="1:23" x14ac:dyDescent="0.25">
      <c r="A239" s="273" t="e">
        <f t="shared" si="4"/>
        <v>#N/A</v>
      </c>
      <c r="B239" s="288"/>
      <c r="C239" s="288"/>
      <c r="D239" s="26"/>
      <c r="E239" s="26"/>
      <c r="F239" s="26"/>
      <c r="G239" s="26"/>
      <c r="H239" s="26"/>
      <c r="I239" s="26"/>
      <c r="J239" s="373"/>
      <c r="K239" s="373"/>
      <c r="L239" s="371"/>
      <c r="M239" s="371"/>
      <c r="N239" s="40"/>
      <c r="O239" s="40"/>
      <c r="Q239" s="349"/>
      <c r="R239" s="349"/>
      <c r="S239" s="349"/>
      <c r="T239" s="349"/>
      <c r="U239" s="349"/>
      <c r="V239" s="349"/>
      <c r="W239" s="349"/>
    </row>
    <row r="240" spans="1:23" x14ac:dyDescent="0.25">
      <c r="A240" s="273" t="e">
        <f t="shared" si="4"/>
        <v>#N/A</v>
      </c>
      <c r="B240" s="288"/>
      <c r="C240" s="288"/>
      <c r="D240" s="26"/>
      <c r="E240" s="26"/>
      <c r="F240" s="26"/>
      <c r="G240" s="26"/>
      <c r="H240" s="26"/>
      <c r="I240" s="26"/>
      <c r="J240" s="373"/>
      <c r="K240" s="373"/>
      <c r="L240" s="371"/>
      <c r="M240" s="371"/>
      <c r="N240" s="40"/>
      <c r="O240" s="40"/>
      <c r="Q240" s="349"/>
      <c r="R240" s="349"/>
      <c r="S240" s="349"/>
      <c r="T240" s="349"/>
      <c r="U240" s="349"/>
      <c r="V240" s="349"/>
      <c r="W240" s="349"/>
    </row>
    <row r="241" spans="1:23" x14ac:dyDescent="0.25">
      <c r="A241" s="273" t="e">
        <f t="shared" si="4"/>
        <v>#N/A</v>
      </c>
      <c r="B241" s="288"/>
      <c r="C241" s="288"/>
      <c r="D241" s="26"/>
      <c r="E241" s="26"/>
      <c r="F241" s="26"/>
      <c r="G241" s="26"/>
      <c r="H241" s="26"/>
      <c r="I241" s="26"/>
      <c r="J241" s="373"/>
      <c r="K241" s="373"/>
      <c r="L241" s="371"/>
      <c r="M241" s="371"/>
      <c r="N241" s="40"/>
      <c r="O241" s="40"/>
      <c r="Q241" s="349"/>
      <c r="R241" s="349"/>
      <c r="S241" s="349"/>
      <c r="T241" s="349"/>
      <c r="U241" s="349"/>
      <c r="V241" s="349"/>
      <c r="W241" s="349"/>
    </row>
    <row r="242" spans="1:23" x14ac:dyDescent="0.25">
      <c r="A242" s="273" t="e">
        <f t="shared" si="4"/>
        <v>#N/A</v>
      </c>
      <c r="B242" s="288"/>
      <c r="C242" s="288"/>
      <c r="D242" s="26"/>
      <c r="E242" s="26"/>
      <c r="F242" s="26"/>
      <c r="G242" s="26"/>
      <c r="H242" s="26"/>
      <c r="I242" s="26"/>
      <c r="J242" s="373"/>
      <c r="K242" s="373"/>
      <c r="L242" s="371"/>
      <c r="M242" s="371"/>
      <c r="N242" s="40"/>
      <c r="O242" s="40"/>
      <c r="Q242" s="349"/>
      <c r="R242" s="349"/>
      <c r="S242" s="349"/>
      <c r="T242" s="349"/>
      <c r="U242" s="349"/>
      <c r="V242" s="349"/>
      <c r="W242" s="349"/>
    </row>
    <row r="243" spans="1:23" x14ac:dyDescent="0.25">
      <c r="A243" s="273" t="e">
        <f t="shared" si="4"/>
        <v>#N/A</v>
      </c>
      <c r="B243" s="288"/>
      <c r="C243" s="288"/>
      <c r="D243" s="26"/>
      <c r="E243" s="26"/>
      <c r="F243" s="26"/>
      <c r="G243" s="26"/>
      <c r="H243" s="26"/>
      <c r="I243" s="26"/>
      <c r="J243" s="373"/>
      <c r="K243" s="373"/>
      <c r="L243" s="371"/>
      <c r="M243" s="371"/>
      <c r="N243" s="40"/>
      <c r="O243" s="40"/>
      <c r="Q243" s="349"/>
      <c r="R243" s="349"/>
      <c r="S243" s="349"/>
      <c r="T243" s="349"/>
      <c r="U243" s="349"/>
      <c r="V243" s="349"/>
      <c r="W243" s="349"/>
    </row>
    <row r="244" spans="1:23" x14ac:dyDescent="0.25">
      <c r="A244" s="273" t="e">
        <f t="shared" si="4"/>
        <v>#N/A</v>
      </c>
      <c r="B244" s="288"/>
      <c r="C244" s="288"/>
      <c r="D244" s="26"/>
      <c r="E244" s="26"/>
      <c r="F244" s="26"/>
      <c r="G244" s="26"/>
      <c r="H244" s="26"/>
      <c r="I244" s="26"/>
      <c r="J244" s="373"/>
      <c r="K244" s="373"/>
      <c r="L244" s="371"/>
      <c r="M244" s="371"/>
      <c r="N244" s="40"/>
      <c r="O244" s="40"/>
      <c r="Q244" s="349"/>
      <c r="R244" s="349"/>
      <c r="S244" s="349"/>
      <c r="T244" s="349"/>
      <c r="U244" s="349"/>
      <c r="V244" s="349"/>
      <c r="W244" s="349"/>
    </row>
    <row r="245" spans="1:23" x14ac:dyDescent="0.25">
      <c r="A245" s="273" t="e">
        <f t="shared" si="4"/>
        <v>#N/A</v>
      </c>
      <c r="B245" s="288"/>
      <c r="C245" s="288"/>
      <c r="D245" s="26"/>
      <c r="E245" s="26"/>
      <c r="F245" s="26"/>
      <c r="G245" s="26"/>
      <c r="H245" s="26"/>
      <c r="I245" s="26"/>
      <c r="J245" s="373"/>
      <c r="K245" s="373"/>
      <c r="L245" s="371"/>
      <c r="M245" s="371"/>
      <c r="N245" s="40"/>
      <c r="O245" s="40"/>
      <c r="Q245" s="349"/>
      <c r="R245" s="349"/>
      <c r="S245" s="349"/>
      <c r="T245" s="349"/>
      <c r="U245" s="349"/>
      <c r="V245" s="349"/>
      <c r="W245" s="349"/>
    </row>
    <row r="246" spans="1:23" x14ac:dyDescent="0.25">
      <c r="A246" s="273" t="e">
        <f t="shared" si="4"/>
        <v>#N/A</v>
      </c>
      <c r="B246" s="288"/>
      <c r="C246" s="288"/>
      <c r="D246" s="26"/>
      <c r="E246" s="26"/>
      <c r="F246" s="26"/>
      <c r="G246" s="26"/>
      <c r="H246" s="26"/>
      <c r="I246" s="26"/>
      <c r="J246" s="373"/>
      <c r="K246" s="373"/>
      <c r="L246" s="371"/>
      <c r="M246" s="371"/>
      <c r="N246" s="40"/>
      <c r="O246" s="40"/>
      <c r="Q246" s="349"/>
      <c r="R246" s="349"/>
      <c r="S246" s="349"/>
      <c r="T246" s="349"/>
      <c r="U246" s="349"/>
      <c r="V246" s="349"/>
      <c r="W246" s="349"/>
    </row>
    <row r="247" spans="1:23" x14ac:dyDescent="0.25">
      <c r="A247" s="273" t="e">
        <f t="shared" si="4"/>
        <v>#N/A</v>
      </c>
      <c r="B247" s="288"/>
      <c r="C247" s="288"/>
      <c r="D247" s="26"/>
      <c r="E247" s="26"/>
      <c r="F247" s="26"/>
      <c r="G247" s="26"/>
      <c r="H247" s="26"/>
      <c r="I247" s="26"/>
      <c r="J247" s="373"/>
      <c r="K247" s="373"/>
      <c r="L247" s="371"/>
      <c r="M247" s="371"/>
      <c r="N247" s="40"/>
      <c r="O247" s="40"/>
      <c r="Q247" s="349"/>
      <c r="R247" s="349"/>
      <c r="S247" s="349"/>
      <c r="T247" s="349"/>
      <c r="U247" s="349"/>
      <c r="V247" s="349"/>
      <c r="W247" s="349"/>
    </row>
    <row r="248" spans="1:23" x14ac:dyDescent="0.25">
      <c r="A248" s="273" t="e">
        <f t="shared" si="4"/>
        <v>#N/A</v>
      </c>
      <c r="B248" s="288"/>
      <c r="C248" s="288"/>
      <c r="D248" s="26"/>
      <c r="E248" s="26"/>
      <c r="F248" s="26"/>
      <c r="G248" s="26"/>
      <c r="H248" s="26"/>
      <c r="I248" s="26"/>
      <c r="J248" s="373"/>
      <c r="K248" s="373"/>
      <c r="L248" s="371"/>
      <c r="M248" s="371"/>
      <c r="N248" s="40"/>
      <c r="O248" s="40"/>
      <c r="Q248" s="349"/>
      <c r="R248" s="349"/>
      <c r="S248" s="349"/>
      <c r="T248" s="349"/>
      <c r="U248" s="349"/>
      <c r="V248" s="349"/>
      <c r="W248" s="349"/>
    </row>
    <row r="249" spans="1:23" x14ac:dyDescent="0.25">
      <c r="A249" s="273" t="e">
        <f t="shared" si="4"/>
        <v>#N/A</v>
      </c>
      <c r="B249" s="288"/>
      <c r="C249" s="288"/>
      <c r="D249" s="26"/>
      <c r="E249" s="26"/>
      <c r="F249" s="26"/>
      <c r="G249" s="26"/>
      <c r="H249" s="26"/>
      <c r="I249" s="26"/>
      <c r="J249" s="373"/>
      <c r="K249" s="373"/>
      <c r="L249" s="371"/>
      <c r="M249" s="371"/>
      <c r="N249" s="40"/>
      <c r="O249" s="40"/>
      <c r="Q249" s="349"/>
      <c r="R249" s="349"/>
      <c r="S249" s="349"/>
      <c r="T249" s="349"/>
      <c r="U249" s="349"/>
      <c r="V249" s="349"/>
      <c r="W249" s="349"/>
    </row>
    <row r="250" spans="1:23" x14ac:dyDescent="0.25">
      <c r="A250" s="273" t="e">
        <f t="shared" si="4"/>
        <v>#N/A</v>
      </c>
      <c r="B250" s="288"/>
      <c r="C250" s="288"/>
      <c r="D250" s="26"/>
      <c r="E250" s="26"/>
      <c r="F250" s="26"/>
      <c r="G250" s="26"/>
      <c r="H250" s="26"/>
      <c r="I250" s="26"/>
      <c r="J250" s="373"/>
      <c r="K250" s="373"/>
      <c r="L250" s="371"/>
      <c r="M250" s="371"/>
      <c r="N250" s="40"/>
      <c r="O250" s="40"/>
      <c r="Q250" s="349"/>
      <c r="R250" s="349"/>
      <c r="S250" s="349"/>
      <c r="T250" s="349"/>
      <c r="U250" s="349"/>
      <c r="V250" s="349"/>
      <c r="W250" s="349"/>
    </row>
    <row r="251" spans="1:23" x14ac:dyDescent="0.25">
      <c r="A251" s="273" t="e">
        <f t="shared" si="4"/>
        <v>#N/A</v>
      </c>
      <c r="B251" s="288"/>
      <c r="C251" s="288"/>
      <c r="D251" s="26"/>
      <c r="E251" s="26"/>
      <c r="F251" s="26"/>
      <c r="G251" s="26"/>
      <c r="H251" s="26"/>
      <c r="I251" s="26"/>
      <c r="J251" s="373"/>
      <c r="K251" s="373"/>
      <c r="L251" s="371"/>
      <c r="M251" s="371"/>
      <c r="N251" s="40"/>
      <c r="O251" s="40"/>
      <c r="Q251" s="349"/>
      <c r="R251" s="349"/>
      <c r="S251" s="349"/>
      <c r="T251" s="349"/>
      <c r="U251" s="349"/>
      <c r="V251" s="349"/>
      <c r="W251" s="349"/>
    </row>
    <row r="252" spans="1:23" x14ac:dyDescent="0.25">
      <c r="A252" s="273" t="e">
        <f t="shared" si="4"/>
        <v>#N/A</v>
      </c>
      <c r="B252" s="288"/>
      <c r="C252" s="288"/>
      <c r="D252" s="26"/>
      <c r="E252" s="26"/>
      <c r="F252" s="26"/>
      <c r="G252" s="26"/>
      <c r="H252" s="26"/>
      <c r="I252" s="26"/>
      <c r="J252" s="373"/>
      <c r="K252" s="373"/>
      <c r="L252" s="371"/>
      <c r="M252" s="371"/>
      <c r="N252" s="40"/>
      <c r="O252" s="40"/>
      <c r="Q252" s="349"/>
      <c r="R252" s="349"/>
      <c r="S252" s="349"/>
      <c r="T252" s="349"/>
      <c r="U252" s="349"/>
      <c r="V252" s="349"/>
      <c r="W252" s="349"/>
    </row>
    <row r="253" spans="1:23" x14ac:dyDescent="0.25">
      <c r="A253" s="273" t="e">
        <f t="shared" si="4"/>
        <v>#N/A</v>
      </c>
      <c r="B253" s="288"/>
      <c r="C253" s="288"/>
      <c r="D253" s="26"/>
      <c r="E253" s="26"/>
      <c r="F253" s="26"/>
      <c r="G253" s="26"/>
      <c r="H253" s="26"/>
      <c r="I253" s="26"/>
      <c r="J253" s="373"/>
      <c r="K253" s="373"/>
      <c r="L253" s="371"/>
      <c r="M253" s="371"/>
      <c r="N253" s="40"/>
      <c r="O253" s="40"/>
      <c r="Q253" s="349"/>
      <c r="R253" s="349"/>
      <c r="S253" s="349"/>
      <c r="T253" s="349"/>
      <c r="U253" s="349"/>
      <c r="V253" s="349"/>
      <c r="W253" s="349"/>
    </row>
    <row r="254" spans="1:23" x14ac:dyDescent="0.25">
      <c r="A254" s="273" t="e">
        <f t="shared" si="4"/>
        <v>#N/A</v>
      </c>
      <c r="B254" s="288"/>
      <c r="C254" s="288"/>
      <c r="D254" s="26"/>
      <c r="E254" s="26"/>
      <c r="F254" s="26"/>
      <c r="G254" s="26"/>
      <c r="H254" s="26"/>
      <c r="I254" s="26"/>
      <c r="J254" s="373"/>
      <c r="K254" s="373"/>
      <c r="L254" s="371"/>
      <c r="M254" s="371"/>
      <c r="N254" s="40"/>
      <c r="O254" s="40"/>
      <c r="Q254" s="349"/>
      <c r="R254" s="349"/>
      <c r="S254" s="349"/>
      <c r="T254" s="349"/>
      <c r="U254" s="349"/>
      <c r="V254" s="349"/>
      <c r="W254" s="349"/>
    </row>
    <row r="255" spans="1:23" x14ac:dyDescent="0.25">
      <c r="A255" s="273" t="e">
        <f t="shared" si="4"/>
        <v>#N/A</v>
      </c>
      <c r="B255" s="288"/>
      <c r="C255" s="288"/>
      <c r="D255" s="26"/>
      <c r="E255" s="26"/>
      <c r="F255" s="26"/>
      <c r="G255" s="26"/>
      <c r="H255" s="26"/>
      <c r="I255" s="26"/>
      <c r="J255" s="373"/>
      <c r="K255" s="373"/>
      <c r="L255" s="371"/>
      <c r="M255" s="371"/>
      <c r="N255" s="40"/>
      <c r="O255" s="40"/>
      <c r="Q255" s="349"/>
      <c r="R255" s="349"/>
      <c r="S255" s="349"/>
      <c r="T255" s="349"/>
      <c r="U255" s="349"/>
      <c r="V255" s="349"/>
      <c r="W255" s="349"/>
    </row>
    <row r="256" spans="1:23" x14ac:dyDescent="0.25">
      <c r="A256" s="273" t="e">
        <f t="shared" si="4"/>
        <v>#N/A</v>
      </c>
      <c r="B256" s="288"/>
      <c r="C256" s="288"/>
      <c r="D256" s="26"/>
      <c r="E256" s="26"/>
      <c r="F256" s="26"/>
      <c r="G256" s="26"/>
      <c r="H256" s="26"/>
      <c r="I256" s="26"/>
      <c r="J256" s="373"/>
      <c r="K256" s="373"/>
      <c r="L256" s="371"/>
      <c r="M256" s="371"/>
      <c r="N256" s="40"/>
      <c r="O256" s="40"/>
      <c r="Q256" s="349"/>
      <c r="R256" s="349"/>
      <c r="S256" s="349"/>
      <c r="T256" s="349"/>
      <c r="U256" s="349"/>
      <c r="V256" s="349"/>
      <c r="W256" s="349"/>
    </row>
    <row r="257" spans="1:23" x14ac:dyDescent="0.25">
      <c r="A257" s="273" t="e">
        <f t="shared" si="4"/>
        <v>#N/A</v>
      </c>
      <c r="B257" s="288"/>
      <c r="C257" s="288"/>
      <c r="D257" s="26"/>
      <c r="E257" s="26"/>
      <c r="F257" s="26"/>
      <c r="G257" s="26"/>
      <c r="H257" s="26"/>
      <c r="I257" s="26"/>
      <c r="J257" s="373"/>
      <c r="K257" s="373"/>
      <c r="L257" s="371"/>
      <c r="M257" s="371"/>
      <c r="N257" s="40"/>
      <c r="O257" s="40"/>
      <c r="Q257" s="349"/>
      <c r="R257" s="349"/>
      <c r="S257" s="349"/>
      <c r="T257" s="349"/>
      <c r="U257" s="349"/>
      <c r="V257" s="349"/>
      <c r="W257" s="349"/>
    </row>
    <row r="258" spans="1:23" x14ac:dyDescent="0.25">
      <c r="A258" s="273" t="e">
        <f t="shared" si="4"/>
        <v>#N/A</v>
      </c>
      <c r="B258" s="288"/>
      <c r="C258" s="288"/>
      <c r="D258" s="26"/>
      <c r="E258" s="26"/>
      <c r="F258" s="26"/>
      <c r="G258" s="26"/>
      <c r="H258" s="26"/>
      <c r="I258" s="26"/>
      <c r="J258" s="373"/>
      <c r="K258" s="373"/>
      <c r="L258" s="371"/>
      <c r="M258" s="371"/>
      <c r="N258" s="40"/>
      <c r="O258" s="40"/>
      <c r="Q258" s="349"/>
      <c r="R258" s="349"/>
      <c r="S258" s="349"/>
      <c r="T258" s="349"/>
      <c r="U258" s="349"/>
      <c r="V258" s="349"/>
      <c r="W258" s="349"/>
    </row>
    <row r="259" spans="1:23" x14ac:dyDescent="0.25">
      <c r="A259" s="273" t="e">
        <f t="shared" si="4"/>
        <v>#N/A</v>
      </c>
      <c r="B259" s="288"/>
      <c r="C259" s="288"/>
      <c r="D259" s="26"/>
      <c r="E259" s="26"/>
      <c r="F259" s="26"/>
      <c r="G259" s="26"/>
      <c r="H259" s="26"/>
      <c r="I259" s="26"/>
      <c r="J259" s="373"/>
      <c r="K259" s="373"/>
      <c r="L259" s="371"/>
      <c r="M259" s="371"/>
      <c r="N259" s="40"/>
      <c r="O259" s="40"/>
      <c r="Q259" s="349"/>
      <c r="R259" s="349"/>
      <c r="S259" s="349"/>
      <c r="T259" s="349"/>
      <c r="U259" s="349"/>
      <c r="V259" s="349"/>
      <c r="W259" s="349"/>
    </row>
    <row r="260" spans="1:23" x14ac:dyDescent="0.25">
      <c r="A260" s="273" t="e">
        <f t="shared" si="4"/>
        <v>#N/A</v>
      </c>
      <c r="B260" s="288"/>
      <c r="C260" s="288"/>
      <c r="D260" s="26"/>
      <c r="E260" s="26"/>
      <c r="F260" s="26"/>
      <c r="G260" s="26"/>
      <c r="H260" s="26"/>
      <c r="I260" s="26"/>
      <c r="J260" s="373"/>
      <c r="K260" s="373"/>
      <c r="L260" s="371"/>
      <c r="M260" s="371"/>
      <c r="N260" s="40"/>
      <c r="O260" s="40"/>
      <c r="Q260" s="349"/>
      <c r="R260" s="349"/>
      <c r="S260" s="349"/>
      <c r="T260" s="349"/>
      <c r="U260" s="349"/>
      <c r="V260" s="349"/>
      <c r="W260" s="349"/>
    </row>
    <row r="261" spans="1:23" x14ac:dyDescent="0.25">
      <c r="A261" s="273" t="e">
        <f t="shared" si="4"/>
        <v>#N/A</v>
      </c>
      <c r="B261" s="288"/>
      <c r="C261" s="288"/>
      <c r="D261" s="26"/>
      <c r="E261" s="26"/>
      <c r="F261" s="26"/>
      <c r="G261" s="26"/>
      <c r="H261" s="26"/>
      <c r="I261" s="26"/>
      <c r="J261" s="373"/>
      <c r="K261" s="373"/>
      <c r="L261" s="371"/>
      <c r="M261" s="371"/>
      <c r="N261" s="40"/>
      <c r="O261" s="40"/>
      <c r="Q261" s="349"/>
      <c r="R261" s="349"/>
      <c r="S261" s="349"/>
      <c r="T261" s="349"/>
      <c r="U261" s="349"/>
      <c r="V261" s="349"/>
      <c r="W261" s="349"/>
    </row>
    <row r="262" spans="1:23" x14ac:dyDescent="0.25">
      <c r="A262" s="273" t="e">
        <f t="shared" si="4"/>
        <v>#N/A</v>
      </c>
      <c r="B262" s="288"/>
      <c r="C262" s="288"/>
      <c r="D262" s="26"/>
      <c r="E262" s="26"/>
      <c r="F262" s="26"/>
      <c r="G262" s="26"/>
      <c r="H262" s="26"/>
      <c r="I262" s="26"/>
      <c r="J262" s="373"/>
      <c r="K262" s="373"/>
      <c r="L262" s="371"/>
      <c r="M262" s="371"/>
      <c r="N262" s="40"/>
      <c r="O262" s="40"/>
      <c r="Q262" s="349"/>
      <c r="R262" s="349"/>
      <c r="S262" s="349"/>
      <c r="T262" s="349"/>
      <c r="U262" s="349"/>
      <c r="V262" s="349"/>
      <c r="W262" s="349"/>
    </row>
    <row r="263" spans="1:23" x14ac:dyDescent="0.25">
      <c r="A263" s="273" t="e">
        <f t="shared" si="4"/>
        <v>#N/A</v>
      </c>
      <c r="B263" s="288"/>
      <c r="C263" s="288"/>
      <c r="D263" s="26"/>
      <c r="E263" s="26"/>
      <c r="F263" s="26"/>
      <c r="G263" s="26"/>
      <c r="H263" s="26"/>
      <c r="I263" s="26"/>
      <c r="J263" s="373"/>
      <c r="K263" s="373"/>
      <c r="L263" s="371"/>
      <c r="M263" s="371"/>
      <c r="N263" s="40"/>
      <c r="O263" s="40"/>
      <c r="Q263" s="349"/>
      <c r="R263" s="349"/>
      <c r="S263" s="349"/>
      <c r="T263" s="349"/>
      <c r="U263" s="349"/>
      <c r="V263" s="349"/>
      <c r="W263" s="349"/>
    </row>
    <row r="264" spans="1:23" x14ac:dyDescent="0.25">
      <c r="A264" s="273" t="e">
        <f t="shared" si="4"/>
        <v>#N/A</v>
      </c>
      <c r="B264" s="288"/>
      <c r="C264" s="288"/>
      <c r="D264" s="26"/>
      <c r="E264" s="26"/>
      <c r="F264" s="26"/>
      <c r="G264" s="26"/>
      <c r="H264" s="26"/>
      <c r="I264" s="26"/>
      <c r="J264" s="373"/>
      <c r="K264" s="373"/>
      <c r="L264" s="371"/>
      <c r="M264" s="371"/>
      <c r="N264" s="40"/>
      <c r="O264" s="40"/>
      <c r="Q264" s="349"/>
      <c r="R264" s="349"/>
      <c r="S264" s="349"/>
      <c r="T264" s="349"/>
      <c r="U264" s="349"/>
      <c r="V264" s="349"/>
      <c r="W264" s="349"/>
    </row>
    <row r="265" spans="1:23" x14ac:dyDescent="0.25">
      <c r="A265" s="273" t="e">
        <f t="shared" si="4"/>
        <v>#N/A</v>
      </c>
      <c r="B265" s="288"/>
      <c r="C265" s="288"/>
      <c r="D265" s="26"/>
      <c r="E265" s="26"/>
      <c r="F265" s="26"/>
      <c r="G265" s="26"/>
      <c r="H265" s="26"/>
      <c r="I265" s="26"/>
      <c r="J265" s="373"/>
      <c r="K265" s="373"/>
      <c r="L265" s="371"/>
      <c r="M265" s="371"/>
      <c r="N265" s="40"/>
      <c r="O265" s="40"/>
      <c r="Q265" s="349"/>
      <c r="R265" s="349"/>
      <c r="S265" s="349"/>
      <c r="T265" s="349"/>
      <c r="U265" s="349"/>
      <c r="V265" s="349"/>
      <c r="W265" s="349"/>
    </row>
    <row r="266" spans="1:23" x14ac:dyDescent="0.25">
      <c r="A266" s="273" t="e">
        <f t="shared" si="4"/>
        <v>#N/A</v>
      </c>
      <c r="B266" s="288"/>
      <c r="C266" s="288"/>
      <c r="D266" s="26"/>
      <c r="E266" s="26"/>
      <c r="F266" s="26"/>
      <c r="G266" s="26"/>
      <c r="H266" s="26"/>
      <c r="I266" s="26"/>
      <c r="J266" s="373"/>
      <c r="K266" s="373"/>
      <c r="L266" s="371"/>
      <c r="M266" s="371"/>
      <c r="N266" s="40"/>
      <c r="O266" s="40"/>
      <c r="Q266" s="349"/>
      <c r="R266" s="349"/>
      <c r="S266" s="349"/>
      <c r="T266" s="349"/>
      <c r="U266" s="349"/>
      <c r="V266" s="349"/>
      <c r="W266" s="349"/>
    </row>
    <row r="267" spans="1:23" x14ac:dyDescent="0.25">
      <c r="A267" s="273" t="e">
        <f t="shared" si="4"/>
        <v>#N/A</v>
      </c>
      <c r="B267" s="288"/>
      <c r="C267" s="288"/>
      <c r="D267" s="26"/>
      <c r="E267" s="26"/>
      <c r="F267" s="26"/>
      <c r="G267" s="26"/>
      <c r="H267" s="26"/>
      <c r="I267" s="26"/>
      <c r="J267" s="373"/>
      <c r="K267" s="373"/>
      <c r="L267" s="371"/>
      <c r="M267" s="371"/>
      <c r="N267" s="40"/>
      <c r="O267" s="40"/>
      <c r="Q267" s="349"/>
      <c r="R267" s="349"/>
      <c r="S267" s="349"/>
      <c r="T267" s="349"/>
      <c r="U267" s="349"/>
      <c r="V267" s="349"/>
      <c r="W267" s="349"/>
    </row>
    <row r="268" spans="1:23" x14ac:dyDescent="0.25">
      <c r="A268" s="273" t="e">
        <f t="shared" si="4"/>
        <v>#N/A</v>
      </c>
      <c r="B268" s="288"/>
      <c r="C268" s="288"/>
      <c r="D268" s="26"/>
      <c r="E268" s="26"/>
      <c r="F268" s="26"/>
      <c r="G268" s="26"/>
      <c r="H268" s="26"/>
      <c r="I268" s="26"/>
      <c r="J268" s="373"/>
      <c r="K268" s="373"/>
      <c r="L268" s="371"/>
      <c r="M268" s="371"/>
      <c r="N268" s="40"/>
      <c r="O268" s="40"/>
      <c r="Q268" s="349"/>
      <c r="R268" s="349"/>
      <c r="S268" s="349"/>
      <c r="T268" s="349"/>
      <c r="U268" s="349"/>
      <c r="V268" s="349"/>
      <c r="W268" s="349"/>
    </row>
    <row r="269" spans="1:23" x14ac:dyDescent="0.25">
      <c r="A269" s="273" t="e">
        <f t="shared" si="4"/>
        <v>#N/A</v>
      </c>
      <c r="B269" s="288"/>
      <c r="C269" s="288"/>
      <c r="D269" s="26"/>
      <c r="E269" s="26"/>
      <c r="F269" s="26"/>
      <c r="G269" s="26"/>
      <c r="H269" s="26"/>
      <c r="I269" s="26"/>
      <c r="J269" s="373"/>
      <c r="K269" s="373"/>
      <c r="L269" s="371"/>
      <c r="M269" s="371"/>
      <c r="N269" s="40"/>
      <c r="O269" s="40"/>
      <c r="Q269" s="349"/>
      <c r="R269" s="349"/>
      <c r="S269" s="349"/>
      <c r="T269" s="349"/>
      <c r="U269" s="349"/>
      <c r="V269" s="349"/>
      <c r="W269" s="349"/>
    </row>
    <row r="270" spans="1:23" x14ac:dyDescent="0.25">
      <c r="A270" s="273" t="e">
        <f t="shared" si="4"/>
        <v>#N/A</v>
      </c>
      <c r="B270" s="288"/>
      <c r="C270" s="288"/>
      <c r="D270" s="26"/>
      <c r="E270" s="26"/>
      <c r="F270" s="26"/>
      <c r="G270" s="26"/>
      <c r="H270" s="26"/>
      <c r="I270" s="26"/>
      <c r="J270" s="373"/>
      <c r="K270" s="373"/>
      <c r="L270" s="371"/>
      <c r="M270" s="371"/>
      <c r="N270" s="40"/>
      <c r="O270" s="40"/>
      <c r="Q270" s="349"/>
      <c r="R270" s="349"/>
      <c r="S270" s="349"/>
      <c r="T270" s="349"/>
      <c r="U270" s="349"/>
      <c r="V270" s="349"/>
      <c r="W270" s="349"/>
    </row>
    <row r="271" spans="1:23" x14ac:dyDescent="0.25">
      <c r="A271" s="273" t="e">
        <f t="shared" si="4"/>
        <v>#N/A</v>
      </c>
      <c r="B271" s="288"/>
      <c r="C271" s="288"/>
      <c r="D271" s="26"/>
      <c r="E271" s="26"/>
      <c r="F271" s="26"/>
      <c r="G271" s="26"/>
      <c r="H271" s="26"/>
      <c r="I271" s="26"/>
      <c r="J271" s="373"/>
      <c r="K271" s="373"/>
      <c r="L271" s="371"/>
      <c r="M271" s="371"/>
      <c r="N271" s="40"/>
      <c r="O271" s="40"/>
      <c r="Q271" s="349"/>
      <c r="R271" s="349"/>
      <c r="S271" s="349"/>
      <c r="T271" s="349"/>
      <c r="U271" s="349"/>
      <c r="V271" s="349"/>
      <c r="W271" s="349"/>
    </row>
    <row r="272" spans="1:23" x14ac:dyDescent="0.25">
      <c r="A272" s="273" t="e">
        <f t="shared" si="4"/>
        <v>#N/A</v>
      </c>
      <c r="B272" s="288"/>
      <c r="C272" s="288"/>
      <c r="D272" s="26"/>
      <c r="E272" s="26"/>
      <c r="F272" s="26"/>
      <c r="G272" s="26"/>
      <c r="H272" s="26"/>
      <c r="I272" s="26"/>
      <c r="J272" s="373"/>
      <c r="K272" s="373"/>
      <c r="L272" s="371"/>
      <c r="M272" s="371"/>
      <c r="N272" s="40"/>
      <c r="O272" s="40"/>
      <c r="Q272" s="349"/>
      <c r="R272" s="349"/>
      <c r="S272" s="349"/>
      <c r="T272" s="349"/>
      <c r="U272" s="349"/>
      <c r="V272" s="349"/>
      <c r="W272" s="349"/>
    </row>
    <row r="273" spans="1:23" x14ac:dyDescent="0.25">
      <c r="A273" s="273" t="e">
        <f t="shared" si="4"/>
        <v>#N/A</v>
      </c>
      <c r="B273" s="288"/>
      <c r="C273" s="288"/>
      <c r="D273" s="26"/>
      <c r="E273" s="26"/>
      <c r="F273" s="26"/>
      <c r="G273" s="26"/>
      <c r="H273" s="26"/>
      <c r="I273" s="26"/>
      <c r="J273" s="373"/>
      <c r="K273" s="373"/>
      <c r="L273" s="371"/>
      <c r="M273" s="371"/>
      <c r="N273" s="40"/>
      <c r="O273" s="40"/>
      <c r="Q273" s="349"/>
      <c r="R273" s="349"/>
      <c r="S273" s="349"/>
      <c r="T273" s="349"/>
      <c r="U273" s="349"/>
      <c r="V273" s="349"/>
      <c r="W273" s="349"/>
    </row>
    <row r="274" spans="1:23" x14ac:dyDescent="0.25">
      <c r="A274" s="273" t="e">
        <f t="shared" si="4"/>
        <v>#N/A</v>
      </c>
      <c r="B274" s="288"/>
      <c r="C274" s="288"/>
      <c r="D274" s="26"/>
      <c r="E274" s="26"/>
      <c r="F274" s="26"/>
      <c r="G274" s="26"/>
      <c r="H274" s="26"/>
      <c r="I274" s="26"/>
      <c r="J274" s="373"/>
      <c r="K274" s="373"/>
      <c r="L274" s="371"/>
      <c r="M274" s="371"/>
      <c r="N274" s="40"/>
      <c r="O274" s="40"/>
      <c r="Q274" s="349"/>
      <c r="R274" s="349"/>
      <c r="S274" s="349"/>
      <c r="T274" s="349"/>
      <c r="U274" s="349"/>
      <c r="V274" s="349"/>
      <c r="W274" s="349"/>
    </row>
    <row r="275" spans="1:23" x14ac:dyDescent="0.25">
      <c r="A275" s="273" t="e">
        <f t="shared" si="4"/>
        <v>#N/A</v>
      </c>
      <c r="B275" s="288"/>
      <c r="C275" s="288"/>
      <c r="D275" s="26"/>
      <c r="E275" s="26"/>
      <c r="F275" s="26"/>
      <c r="G275" s="26"/>
      <c r="H275" s="26"/>
      <c r="I275" s="26"/>
      <c r="J275" s="373"/>
      <c r="K275" s="373"/>
      <c r="L275" s="371"/>
      <c r="M275" s="371"/>
      <c r="N275" s="40"/>
      <c r="O275" s="40"/>
      <c r="Q275" s="349"/>
      <c r="R275" s="349"/>
      <c r="S275" s="349"/>
      <c r="T275" s="349"/>
      <c r="U275" s="349"/>
      <c r="V275" s="349"/>
      <c r="W275" s="349"/>
    </row>
    <row r="276" spans="1:23" x14ac:dyDescent="0.25">
      <c r="A276" s="273" t="e">
        <f t="shared" si="4"/>
        <v>#N/A</v>
      </c>
      <c r="B276" s="288"/>
      <c r="C276" s="288"/>
      <c r="D276" s="26"/>
      <c r="E276" s="26"/>
      <c r="F276" s="26"/>
      <c r="G276" s="26"/>
      <c r="H276" s="26"/>
      <c r="I276" s="26"/>
      <c r="J276" s="373"/>
      <c r="K276" s="373"/>
      <c r="L276" s="371"/>
      <c r="M276" s="371"/>
      <c r="N276" s="40"/>
      <c r="O276" s="40"/>
      <c r="Q276" s="349"/>
      <c r="R276" s="349"/>
      <c r="S276" s="349"/>
      <c r="T276" s="349"/>
      <c r="U276" s="349"/>
      <c r="V276" s="349"/>
      <c r="W276" s="349"/>
    </row>
    <row r="277" spans="1:23" x14ac:dyDescent="0.25">
      <c r="A277" s="273" t="e">
        <f t="shared" si="4"/>
        <v>#N/A</v>
      </c>
      <c r="B277" s="288"/>
      <c r="C277" s="288"/>
      <c r="D277" s="26"/>
      <c r="E277" s="26"/>
      <c r="F277" s="26"/>
      <c r="G277" s="26"/>
      <c r="H277" s="26"/>
      <c r="I277" s="26"/>
      <c r="J277" s="373"/>
      <c r="K277" s="373"/>
      <c r="L277" s="371"/>
      <c r="M277" s="371"/>
      <c r="N277" s="40"/>
      <c r="O277" s="40"/>
      <c r="Q277" s="349"/>
      <c r="R277" s="349"/>
      <c r="S277" s="349"/>
      <c r="T277" s="349"/>
      <c r="U277" s="349"/>
      <c r="V277" s="349"/>
      <c r="W277" s="349"/>
    </row>
    <row r="278" spans="1:23" ht="15.75" thickBot="1" x14ac:dyDescent="0.3">
      <c r="A278" s="273" t="e">
        <f t="shared" si="4"/>
        <v>#N/A</v>
      </c>
      <c r="B278" s="288"/>
      <c r="C278" s="288"/>
      <c r="D278" s="26"/>
      <c r="E278" s="26"/>
      <c r="F278" s="26"/>
      <c r="G278" s="26"/>
      <c r="H278" s="26"/>
      <c r="I278" s="26"/>
      <c r="J278" s="373"/>
      <c r="K278" s="373"/>
      <c r="L278" s="371"/>
      <c r="M278" s="371"/>
      <c r="N278" s="40"/>
      <c r="O278" s="40"/>
      <c r="Q278" s="349"/>
      <c r="R278" s="349"/>
      <c r="S278" s="349"/>
      <c r="T278" s="349"/>
      <c r="U278" s="349"/>
      <c r="V278" s="349"/>
      <c r="W278" s="349"/>
    </row>
    <row r="279" spans="1:23" ht="15.75" thickBot="1" x14ac:dyDescent="0.3">
      <c r="A279" s="74"/>
      <c r="B279" s="75"/>
      <c r="C279" s="75"/>
      <c r="D279" s="76">
        <f>COUNTA(D29:D278)</f>
        <v>25</v>
      </c>
      <c r="E279" s="77"/>
      <c r="F279" s="77"/>
      <c r="G279" s="77"/>
      <c r="H279" s="78"/>
      <c r="I279" s="78"/>
      <c r="J279" s="77"/>
      <c r="K279" s="79">
        <f>SUM(K29:K278)</f>
        <v>0</v>
      </c>
      <c r="L279" s="79">
        <f>SUM(L29:L278)</f>
        <v>0</v>
      </c>
      <c r="M279" s="393">
        <f>SUM(M29:M278)</f>
        <v>0</v>
      </c>
      <c r="N279" s="394">
        <f>SUM(N29:N278)</f>
        <v>0</v>
      </c>
      <c r="O279" s="393">
        <f>SUM(O29:O278)</f>
        <v>577306.77</v>
      </c>
      <c r="P279" s="80">
        <f>SUM(P29:P68)</f>
        <v>0</v>
      </c>
      <c r="Q279" s="90"/>
      <c r="R279" s="90"/>
      <c r="S279" s="349"/>
      <c r="T279" s="349"/>
      <c r="U279" s="349"/>
      <c r="V279" s="349"/>
      <c r="W279" s="349"/>
    </row>
    <row r="280" spans="1:23" x14ac:dyDescent="0.25">
      <c r="A280" s="83"/>
      <c r="B280" s="198" t="s">
        <v>354</v>
      </c>
      <c r="C280" s="85" t="s">
        <v>1019</v>
      </c>
      <c r="D280" s="199" t="s">
        <v>417</v>
      </c>
      <c r="E280" s="86"/>
      <c r="F280" s="86"/>
      <c r="G280" s="86"/>
      <c r="H280" s="86"/>
      <c r="I280" s="86"/>
      <c r="J280" s="86"/>
      <c r="K280" s="86"/>
      <c r="L280" s="196"/>
      <c r="M280" s="196">
        <f t="shared" ref="M280:O300" si="5">SUMIF($D$29:$D$278,$D280,M$29:M$278)</f>
        <v>0</v>
      </c>
      <c r="N280" s="196">
        <f t="shared" si="5"/>
        <v>0</v>
      </c>
      <c r="O280" s="196">
        <f t="shared" si="5"/>
        <v>3000</v>
      </c>
      <c r="P280" s="91"/>
      <c r="Q280" s="451"/>
      <c r="R280" s="451"/>
      <c r="S280" s="349"/>
      <c r="T280" s="349"/>
      <c r="U280" s="349"/>
      <c r="V280" s="349"/>
      <c r="W280" s="349"/>
    </row>
    <row r="281" spans="1:23" x14ac:dyDescent="0.25">
      <c r="A281" s="87"/>
      <c r="B281" s="200" t="s">
        <v>354</v>
      </c>
      <c r="C281" s="88" t="s">
        <v>1019</v>
      </c>
      <c r="D281" s="201" t="s">
        <v>518</v>
      </c>
      <c r="E281" s="89"/>
      <c r="F281" s="89"/>
      <c r="G281" s="89"/>
      <c r="H281" s="89"/>
      <c r="I281" s="89"/>
      <c r="J281" s="89"/>
      <c r="K281" s="89"/>
      <c r="L281" s="197"/>
      <c r="M281" s="197">
        <f t="shared" si="5"/>
        <v>0</v>
      </c>
      <c r="N281" s="197">
        <f t="shared" si="5"/>
        <v>0</v>
      </c>
      <c r="O281" s="197">
        <f t="shared" si="5"/>
        <v>176.77</v>
      </c>
      <c r="P281" s="91"/>
      <c r="Q281" s="451"/>
      <c r="R281" s="451"/>
      <c r="S281" s="349"/>
      <c r="T281" s="349"/>
      <c r="U281" s="349"/>
      <c r="V281" s="349"/>
      <c r="W281" s="349"/>
    </row>
    <row r="282" spans="1:23" x14ac:dyDescent="0.25">
      <c r="A282" s="87"/>
      <c r="B282" s="200" t="s">
        <v>354</v>
      </c>
      <c r="C282" s="88" t="s">
        <v>1019</v>
      </c>
      <c r="D282" s="201" t="s">
        <v>413</v>
      </c>
      <c r="E282" s="89"/>
      <c r="F282" s="89"/>
      <c r="G282" s="89"/>
      <c r="H282" s="89"/>
      <c r="I282" s="89"/>
      <c r="J282" s="89"/>
      <c r="K282" s="89"/>
      <c r="L282" s="197"/>
      <c r="M282" s="197">
        <f t="shared" si="5"/>
        <v>0</v>
      </c>
      <c r="N282" s="197">
        <f t="shared" si="5"/>
        <v>0</v>
      </c>
      <c r="O282" s="197">
        <f t="shared" si="5"/>
        <v>10650</v>
      </c>
      <c r="P282" s="91"/>
      <c r="Q282" s="91"/>
      <c r="R282" s="91"/>
    </row>
    <row r="283" spans="1:23" x14ac:dyDescent="0.25">
      <c r="A283" s="87"/>
      <c r="B283" s="200" t="s">
        <v>354</v>
      </c>
      <c r="C283" s="88" t="s">
        <v>1019</v>
      </c>
      <c r="D283" s="201" t="s">
        <v>422</v>
      </c>
      <c r="E283" s="89"/>
      <c r="F283" s="89"/>
      <c r="G283" s="89"/>
      <c r="H283" s="89"/>
      <c r="I283" s="89"/>
      <c r="J283" s="89"/>
      <c r="K283" s="89"/>
      <c r="L283" s="197"/>
      <c r="M283" s="197">
        <f t="shared" si="5"/>
        <v>0</v>
      </c>
      <c r="N283" s="197">
        <f t="shared" si="5"/>
        <v>0</v>
      </c>
      <c r="O283" s="197">
        <f t="shared" si="5"/>
        <v>7200</v>
      </c>
      <c r="P283" s="91"/>
      <c r="Q283" s="91"/>
      <c r="R283" s="91"/>
    </row>
    <row r="284" spans="1:23" x14ac:dyDescent="0.25">
      <c r="A284" s="87"/>
      <c r="B284" s="200" t="s">
        <v>354</v>
      </c>
      <c r="C284" s="88" t="s">
        <v>1019</v>
      </c>
      <c r="D284" s="201" t="s">
        <v>421</v>
      </c>
      <c r="E284" s="89"/>
      <c r="F284" s="89"/>
      <c r="G284" s="89"/>
      <c r="H284" s="89"/>
      <c r="I284" s="89"/>
      <c r="J284" s="89"/>
      <c r="K284" s="89"/>
      <c r="L284" s="197"/>
      <c r="M284" s="197">
        <f t="shared" si="5"/>
        <v>0</v>
      </c>
      <c r="N284" s="197">
        <f t="shared" si="5"/>
        <v>0</v>
      </c>
      <c r="O284" s="197">
        <f t="shared" si="5"/>
        <v>1500</v>
      </c>
      <c r="P284" s="91"/>
      <c r="Q284" s="91"/>
      <c r="R284" s="91"/>
    </row>
    <row r="285" spans="1:23" x14ac:dyDescent="0.25">
      <c r="A285" s="87"/>
      <c r="B285" s="200" t="s">
        <v>354</v>
      </c>
      <c r="C285" s="88" t="s">
        <v>1019</v>
      </c>
      <c r="D285" s="201" t="s">
        <v>423</v>
      </c>
      <c r="E285" s="89"/>
      <c r="F285" s="89"/>
      <c r="G285" s="89"/>
      <c r="H285" s="89"/>
      <c r="I285" s="89"/>
      <c r="J285" s="89"/>
      <c r="K285" s="89"/>
      <c r="L285" s="197"/>
      <c r="M285" s="197">
        <f t="shared" si="5"/>
        <v>0</v>
      </c>
      <c r="N285" s="197">
        <f t="shared" si="5"/>
        <v>0</v>
      </c>
      <c r="O285" s="197">
        <f t="shared" si="5"/>
        <v>72000</v>
      </c>
      <c r="P285" s="91"/>
      <c r="Q285" s="91"/>
      <c r="R285" s="91"/>
    </row>
    <row r="286" spans="1:23" x14ac:dyDescent="0.25">
      <c r="A286" s="87"/>
      <c r="B286" s="200" t="s">
        <v>354</v>
      </c>
      <c r="C286" s="88" t="s">
        <v>1019</v>
      </c>
      <c r="D286" s="201" t="s">
        <v>416</v>
      </c>
      <c r="E286" s="89"/>
      <c r="F286" s="89"/>
      <c r="G286" s="89"/>
      <c r="H286" s="89"/>
      <c r="I286" s="89"/>
      <c r="J286" s="89"/>
      <c r="K286" s="89"/>
      <c r="L286" s="197"/>
      <c r="M286" s="197">
        <f t="shared" si="5"/>
        <v>0</v>
      </c>
      <c r="N286" s="197">
        <f t="shared" si="5"/>
        <v>0</v>
      </c>
      <c r="O286" s="197">
        <f t="shared" si="5"/>
        <v>4500</v>
      </c>
      <c r="P286" s="91"/>
      <c r="Q286" s="91"/>
      <c r="R286" s="91"/>
    </row>
    <row r="287" spans="1:23" x14ac:dyDescent="0.25">
      <c r="A287" s="87"/>
      <c r="B287" s="200" t="s">
        <v>354</v>
      </c>
      <c r="C287" s="88" t="s">
        <v>1019</v>
      </c>
      <c r="D287" s="201" t="s">
        <v>519</v>
      </c>
      <c r="E287" s="89"/>
      <c r="F287" s="89"/>
      <c r="G287" s="89"/>
      <c r="H287" s="89"/>
      <c r="I287" s="89"/>
      <c r="J287" s="89"/>
      <c r="K287" s="89"/>
      <c r="L287" s="197"/>
      <c r="M287" s="197">
        <f t="shared" si="5"/>
        <v>0</v>
      </c>
      <c r="N287" s="197">
        <f t="shared" si="5"/>
        <v>0</v>
      </c>
      <c r="O287" s="197">
        <f t="shared" si="5"/>
        <v>136618</v>
      </c>
      <c r="P287" s="91"/>
      <c r="Q287" s="91"/>
      <c r="R287" s="91"/>
    </row>
    <row r="288" spans="1:23" x14ac:dyDescent="0.25">
      <c r="A288" s="87"/>
      <c r="B288" s="200" t="s">
        <v>354</v>
      </c>
      <c r="C288" s="88" t="s">
        <v>1019</v>
      </c>
      <c r="D288" s="201" t="s">
        <v>418</v>
      </c>
      <c r="E288" s="89"/>
      <c r="F288" s="89"/>
      <c r="G288" s="89"/>
      <c r="H288" s="89"/>
      <c r="I288" s="89"/>
      <c r="J288" s="89"/>
      <c r="K288" s="89"/>
      <c r="L288" s="197"/>
      <c r="M288" s="197">
        <f t="shared" si="5"/>
        <v>0</v>
      </c>
      <c r="N288" s="197">
        <f t="shared" si="5"/>
        <v>0</v>
      </c>
      <c r="O288" s="197">
        <f t="shared" si="5"/>
        <v>53112</v>
      </c>
      <c r="P288" s="91"/>
      <c r="Q288" s="91"/>
      <c r="R288" s="91"/>
    </row>
    <row r="289" spans="1:18" x14ac:dyDescent="0.25">
      <c r="A289" s="87"/>
      <c r="B289" s="200" t="s">
        <v>354</v>
      </c>
      <c r="C289" s="88" t="s">
        <v>1019</v>
      </c>
      <c r="D289" s="201" t="s">
        <v>419</v>
      </c>
      <c r="E289" s="89"/>
      <c r="F289" s="89"/>
      <c r="G289" s="89"/>
      <c r="H289" s="89"/>
      <c r="I289" s="89"/>
      <c r="J289" s="89"/>
      <c r="K289" s="89"/>
      <c r="L289" s="197"/>
      <c r="M289" s="197">
        <f t="shared" si="5"/>
        <v>0</v>
      </c>
      <c r="N289" s="197">
        <f t="shared" si="5"/>
        <v>0</v>
      </c>
      <c r="O289" s="197">
        <f t="shared" si="5"/>
        <v>14000</v>
      </c>
      <c r="P289" s="91"/>
      <c r="Q289" s="91"/>
      <c r="R289" s="91"/>
    </row>
    <row r="290" spans="1:18" x14ac:dyDescent="0.25">
      <c r="A290" s="87"/>
      <c r="B290" s="200" t="s">
        <v>354</v>
      </c>
      <c r="C290" s="88" t="s">
        <v>1019</v>
      </c>
      <c r="D290" s="201" t="s">
        <v>517</v>
      </c>
      <c r="E290" s="89"/>
      <c r="F290" s="89"/>
      <c r="G290" s="89"/>
      <c r="H290" s="89"/>
      <c r="I290" s="89"/>
      <c r="J290" s="89"/>
      <c r="K290" s="89"/>
      <c r="L290" s="197"/>
      <c r="M290" s="197">
        <f t="shared" si="5"/>
        <v>0</v>
      </c>
      <c r="N290" s="197">
        <f t="shared" si="5"/>
        <v>0</v>
      </c>
      <c r="O290" s="197">
        <f t="shared" si="5"/>
        <v>1750</v>
      </c>
      <c r="P290" s="91"/>
      <c r="Q290" s="91"/>
      <c r="R290" s="91"/>
    </row>
    <row r="291" spans="1:18" x14ac:dyDescent="0.25">
      <c r="A291" s="87"/>
      <c r="B291" s="200" t="s">
        <v>354</v>
      </c>
      <c r="C291" s="88" t="s">
        <v>1019</v>
      </c>
      <c r="D291" s="201" t="s">
        <v>420</v>
      </c>
      <c r="E291" s="89"/>
      <c r="F291" s="89"/>
      <c r="G291" s="89"/>
      <c r="H291" s="89"/>
      <c r="I291" s="89"/>
      <c r="J291" s="89"/>
      <c r="K291" s="89"/>
      <c r="L291" s="197"/>
      <c r="M291" s="197">
        <f t="shared" si="5"/>
        <v>0</v>
      </c>
      <c r="N291" s="197">
        <f t="shared" si="5"/>
        <v>0</v>
      </c>
      <c r="O291" s="197">
        <f t="shared" si="5"/>
        <v>1300</v>
      </c>
      <c r="P291" s="91"/>
      <c r="Q291" s="91"/>
      <c r="R291" s="91"/>
    </row>
    <row r="292" spans="1:18" x14ac:dyDescent="0.25">
      <c r="A292" s="87"/>
      <c r="B292" s="200" t="s">
        <v>354</v>
      </c>
      <c r="C292" s="88" t="s">
        <v>1019</v>
      </c>
      <c r="D292" s="201" t="s">
        <v>520</v>
      </c>
      <c r="E292" s="89"/>
      <c r="F292" s="89"/>
      <c r="G292" s="89"/>
      <c r="H292" s="89"/>
      <c r="I292" s="89"/>
      <c r="J292" s="89"/>
      <c r="K292" s="89"/>
      <c r="L292" s="197"/>
      <c r="M292" s="197">
        <f t="shared" si="5"/>
        <v>0</v>
      </c>
      <c r="N292" s="197">
        <f t="shared" si="5"/>
        <v>0</v>
      </c>
      <c r="O292" s="197">
        <f t="shared" si="5"/>
        <v>15000</v>
      </c>
      <c r="P292" s="91"/>
      <c r="Q292" s="91"/>
      <c r="R292" s="91"/>
    </row>
    <row r="293" spans="1:18" x14ac:dyDescent="0.25">
      <c r="A293" s="87"/>
      <c r="B293" s="200" t="s">
        <v>354</v>
      </c>
      <c r="C293" s="88" t="s">
        <v>1019</v>
      </c>
      <c r="D293" s="201" t="s">
        <v>521</v>
      </c>
      <c r="E293" s="89"/>
      <c r="F293" s="89"/>
      <c r="G293" s="89"/>
      <c r="H293" s="89"/>
      <c r="I293" s="89"/>
      <c r="J293" s="89"/>
      <c r="K293" s="89"/>
      <c r="L293" s="197"/>
      <c r="M293" s="197">
        <f t="shared" si="5"/>
        <v>0</v>
      </c>
      <c r="N293" s="197">
        <f t="shared" si="5"/>
        <v>0</v>
      </c>
      <c r="O293" s="197">
        <f t="shared" si="5"/>
        <v>15000</v>
      </c>
      <c r="P293" s="91"/>
      <c r="Q293" s="91"/>
      <c r="R293" s="91"/>
    </row>
    <row r="294" spans="1:18" x14ac:dyDescent="0.25">
      <c r="A294" s="87"/>
      <c r="B294" s="200" t="s">
        <v>354</v>
      </c>
      <c r="C294" s="88" t="s">
        <v>1019</v>
      </c>
      <c r="D294" s="201" t="s">
        <v>414</v>
      </c>
      <c r="E294" s="89"/>
      <c r="F294" s="89"/>
      <c r="G294" s="89"/>
      <c r="H294" s="89"/>
      <c r="I294" s="89"/>
      <c r="J294" s="89"/>
      <c r="K294" s="89"/>
      <c r="L294" s="197"/>
      <c r="M294" s="197">
        <f t="shared" si="5"/>
        <v>0</v>
      </c>
      <c r="N294" s="197">
        <f t="shared" si="5"/>
        <v>0</v>
      </c>
      <c r="O294" s="197">
        <f t="shared" si="5"/>
        <v>4400</v>
      </c>
      <c r="P294" s="91"/>
      <c r="Q294" s="91"/>
      <c r="R294" s="91"/>
    </row>
    <row r="295" spans="1:18" x14ac:dyDescent="0.25">
      <c r="A295" s="87"/>
      <c r="B295" s="200" t="s">
        <v>354</v>
      </c>
      <c r="C295" s="88" t="s">
        <v>1019</v>
      </c>
      <c r="D295" s="201" t="s">
        <v>522</v>
      </c>
      <c r="E295" s="89"/>
      <c r="F295" s="89"/>
      <c r="G295" s="89"/>
      <c r="H295" s="89"/>
      <c r="I295" s="89"/>
      <c r="J295" s="89"/>
      <c r="K295" s="89"/>
      <c r="L295" s="197"/>
      <c r="M295" s="197">
        <f t="shared" si="5"/>
        <v>0</v>
      </c>
      <c r="N295" s="197">
        <f t="shared" si="5"/>
        <v>0</v>
      </c>
      <c r="O295" s="197">
        <f t="shared" si="5"/>
        <v>35000</v>
      </c>
      <c r="P295" s="91"/>
      <c r="Q295" s="91"/>
      <c r="R295" s="91"/>
    </row>
    <row r="296" spans="1:18" x14ac:dyDescent="0.25">
      <c r="A296" s="87"/>
      <c r="B296" s="200" t="s">
        <v>354</v>
      </c>
      <c r="C296" s="88" t="s">
        <v>1019</v>
      </c>
      <c r="D296" s="201" t="s">
        <v>523</v>
      </c>
      <c r="E296" s="89"/>
      <c r="F296" s="89"/>
      <c r="G296" s="89"/>
      <c r="H296" s="89"/>
      <c r="I296" s="89"/>
      <c r="J296" s="89"/>
      <c r="K296" s="89"/>
      <c r="L296" s="197"/>
      <c r="M296" s="197">
        <f t="shared" si="5"/>
        <v>0</v>
      </c>
      <c r="N296" s="197">
        <f t="shared" si="5"/>
        <v>0</v>
      </c>
      <c r="O296" s="197">
        <f t="shared" si="5"/>
        <v>182800</v>
      </c>
      <c r="P296" s="91"/>
      <c r="Q296" s="91"/>
      <c r="R296" s="91"/>
    </row>
    <row r="297" spans="1:18" x14ac:dyDescent="0.25">
      <c r="A297" s="87"/>
      <c r="B297" s="200" t="s">
        <v>354</v>
      </c>
      <c r="C297" s="88" t="s">
        <v>1019</v>
      </c>
      <c r="D297" s="201" t="s">
        <v>527</v>
      </c>
      <c r="E297" s="89"/>
      <c r="F297" s="89"/>
      <c r="G297" s="89"/>
      <c r="H297" s="89"/>
      <c r="I297" s="89"/>
      <c r="J297" s="89"/>
      <c r="K297" s="89"/>
      <c r="L297" s="197"/>
      <c r="M297" s="197">
        <f t="shared" si="5"/>
        <v>0</v>
      </c>
      <c r="N297" s="197">
        <f t="shared" si="5"/>
        <v>0</v>
      </c>
      <c r="O297" s="197">
        <f t="shared" si="5"/>
        <v>8200</v>
      </c>
      <c r="P297" s="91"/>
      <c r="Q297" s="91"/>
      <c r="R297" s="91"/>
    </row>
    <row r="298" spans="1:18" x14ac:dyDescent="0.25">
      <c r="A298" s="87"/>
      <c r="B298" s="200" t="s">
        <v>354</v>
      </c>
      <c r="C298" s="88" t="s">
        <v>1019</v>
      </c>
      <c r="D298" s="201" t="s">
        <v>528</v>
      </c>
      <c r="E298" s="89"/>
      <c r="F298" s="89"/>
      <c r="G298" s="89"/>
      <c r="H298" s="89"/>
      <c r="I298" s="89"/>
      <c r="J298" s="89"/>
      <c r="K298" s="89"/>
      <c r="L298" s="197"/>
      <c r="M298" s="197">
        <f t="shared" si="5"/>
        <v>0</v>
      </c>
      <c r="N298" s="197">
        <f t="shared" si="5"/>
        <v>0</v>
      </c>
      <c r="O298" s="197">
        <f t="shared" si="5"/>
        <v>10000</v>
      </c>
      <c r="P298" s="91"/>
      <c r="Q298" s="91"/>
      <c r="R298" s="91"/>
    </row>
    <row r="299" spans="1:18" x14ac:dyDescent="0.25">
      <c r="A299" s="87"/>
      <c r="B299" s="200" t="s">
        <v>354</v>
      </c>
      <c r="C299" s="88" t="s">
        <v>1019</v>
      </c>
      <c r="D299" s="201" t="s">
        <v>415</v>
      </c>
      <c r="E299" s="89"/>
      <c r="F299" s="89"/>
      <c r="G299" s="89"/>
      <c r="H299" s="89"/>
      <c r="I299" s="89"/>
      <c r="J299" s="89"/>
      <c r="K299" s="89"/>
      <c r="L299" s="197"/>
      <c r="M299" s="197">
        <f t="shared" si="5"/>
        <v>0</v>
      </c>
      <c r="N299" s="197">
        <f t="shared" si="5"/>
        <v>0</v>
      </c>
      <c r="O299" s="197">
        <f t="shared" si="5"/>
        <v>1100</v>
      </c>
      <c r="P299" s="91"/>
      <c r="Q299" s="91"/>
      <c r="R299" s="91"/>
    </row>
    <row r="300" spans="1:18" x14ac:dyDescent="0.25">
      <c r="A300" s="87"/>
      <c r="B300" s="200" t="s">
        <v>354</v>
      </c>
      <c r="C300" s="88" t="s">
        <v>1019</v>
      </c>
      <c r="D300" s="201" t="s">
        <v>529</v>
      </c>
      <c r="E300" s="89"/>
      <c r="F300" s="89"/>
      <c r="G300" s="89"/>
      <c r="H300" s="89"/>
      <c r="I300" s="89"/>
      <c r="J300" s="89"/>
      <c r="K300" s="89"/>
      <c r="L300" s="197"/>
      <c r="M300" s="197">
        <f t="shared" si="5"/>
        <v>0</v>
      </c>
      <c r="N300" s="197">
        <f t="shared" si="5"/>
        <v>0</v>
      </c>
      <c r="O300" s="197">
        <f t="shared" si="5"/>
        <v>0</v>
      </c>
      <c r="P300" s="91"/>
      <c r="Q300" s="91"/>
      <c r="R300" s="91"/>
    </row>
    <row r="304" spans="1:18" customFormat="1" ht="12.75" x14ac:dyDescent="0.2">
      <c r="A304" s="21" t="s">
        <v>186</v>
      </c>
      <c r="B304" s="21"/>
      <c r="E304" s="21"/>
      <c r="F304" s="21"/>
    </row>
    <row r="305" spans="1:16" customFormat="1" ht="12.75" x14ac:dyDescent="0.2"/>
    <row r="306" spans="1:16" customFormat="1" ht="12.75" x14ac:dyDescent="0.2">
      <c r="A306" s="1" t="s">
        <v>187</v>
      </c>
      <c r="B306" s="1"/>
      <c r="E306" s="1"/>
      <c r="F306" s="1"/>
    </row>
    <row r="307" spans="1:16" customFormat="1" ht="12.75" x14ac:dyDescent="0.2">
      <c r="A307" s="1" t="s">
        <v>188</v>
      </c>
      <c r="B307" s="1"/>
      <c r="E307" s="1"/>
      <c r="F307" s="1"/>
    </row>
    <row r="308" spans="1:16" customFormat="1" ht="12.75" x14ac:dyDescent="0.2"/>
    <row r="309" spans="1:16" customFormat="1" ht="12.75" x14ac:dyDescent="0.2"/>
    <row r="310" spans="1:16" customFormat="1" ht="12.75" x14ac:dyDescent="0.2"/>
    <row r="311" spans="1:16" customFormat="1" ht="12.75" x14ac:dyDescent="0.2"/>
    <row r="312" spans="1:16" customFormat="1" ht="12.75" x14ac:dyDescent="0.2"/>
    <row r="313" spans="1:16" customFormat="1" ht="12.75" x14ac:dyDescent="0.2"/>
    <row r="314" spans="1:16" customFormat="1" ht="12.75" x14ac:dyDescent="0.2">
      <c r="A314" s="21" t="s">
        <v>190</v>
      </c>
      <c r="D314" s="23" t="s">
        <v>191</v>
      </c>
      <c r="G314" s="23" t="s">
        <v>192</v>
      </c>
      <c r="L314" s="23"/>
      <c r="M314" s="23"/>
      <c r="N314" s="23"/>
      <c r="O314" s="23"/>
      <c r="P314" s="23"/>
    </row>
    <row r="315" spans="1:16" customFormat="1" ht="12.75" x14ac:dyDescent="0.2">
      <c r="A315" s="1" t="s">
        <v>187</v>
      </c>
    </row>
    <row r="316" spans="1:16" customFormat="1" ht="12.75" x14ac:dyDescent="0.2">
      <c r="A316" s="1" t="s">
        <v>188</v>
      </c>
    </row>
    <row r="317" spans="1:16" customFormat="1" ht="12.75" x14ac:dyDescent="0.2"/>
  </sheetData>
  <autoFilter ref="A28:W300"/>
  <sortState ref="B29:Q67">
    <sortCondition ref="B29:B67"/>
    <sortCondition ref="D29:D67"/>
    <sortCondition ref="E29:E67"/>
  </sortState>
  <dataValidations count="11">
    <dataValidation allowBlank="1" showInputMessage="1" showErrorMessage="1" promptTitle="Old Contractor" prompt="Enter the old contractor's name if applicable." sqref="D279"/>
    <dataValidation allowBlank="1" showInputMessage="1" showErrorMessage="1" promptTitle="Contract End Date" prompt="Enter the Contract End Date" sqref="I279 K29:K278"/>
    <dataValidation allowBlank="1" showInputMessage="1" showErrorMessage="1" promptTitle="Contract Start Date" prompt="Enter the Contract Start Date." sqref="H279 J29:J278"/>
    <dataValidation type="list" allowBlank="1" showInputMessage="1" showErrorMessage="1" errorTitle="Error" error="You must choose Yes or No." promptTitle="Existing Contract" prompt="Yes or No" sqref="J279">
      <formula1>Existing</formula1>
    </dataValidation>
    <dataValidation allowBlank="1" showInputMessage="1" showErrorMessage="1" promptTitle="Description/Purpose" prompt="Enter a short description and purpose for the service." sqref="E30:E278"/>
    <dataValidation allowBlank="1" showInputMessage="1" showErrorMessage="1" promptTitle="Contractor/Provider" prompt="Enter the old contractor's name if applicable." sqref="H29:H278"/>
    <dataValidation type="list" allowBlank="1" showInputMessage="1" showErrorMessage="1" errorTitle="Error" error="You must choose a funding source from the list." promptTitle="Funding Source" prompt="Choose the appropriate funding source." sqref="C29:C129">
      <formula1>Funding</formula1>
    </dataValidation>
    <dataValidation type="list" allowBlank="1" showInputMessage="1" showErrorMessage="1" errorTitle="Error" error="You must select a choice from the list." promptTitle="Type of Service/Supplies" prompt="Please select the type of building supplies or services from the list." sqref="D29:D278">
      <formula1>BuildingExpenses</formula1>
    </dataValidation>
    <dataValidation type="list" errorStyle="warning" allowBlank="1" showInputMessage="1" showErrorMessage="1" errorTitle="Warning" error="Choose the appropriate option." promptTitle="Existing/State Contract" prompt="Select the most appropriate answer. If there is an existing LHC contract, enter the contract number (see Sharepoint)." sqref="G29:G278">
      <formula1>ContractStatus</formula1>
    </dataValidation>
    <dataValidation type="list" allowBlank="1" showInputMessage="1" showErrorMessage="1" errorTitle="Error" error="You must choose a budget unit from the list." promptTitle="Budget Unit" prompt="Choose the appropriate budget unit. Env Review has been combined with Compliance and Facilities/Fleet has been combined with Operations Admin." sqref="B29:B278">
      <formula1>Budgets</formula1>
    </dataValidation>
    <dataValidation type="list" allowBlank="1" showInputMessage="1" showErrorMessage="1" promptTitle="Location" prompt="Choose the appropriate location for the good or service." sqref="F29:F278">
      <formula1>Location</formula1>
    </dataValidation>
  </dataValidations>
  <printOptions horizontalCentered="1"/>
  <pageMargins left="0.5" right="0.5" top="1" bottom="0.5" header="0.5" footer="0.5"/>
  <pageSetup scale="65"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278"/>
  <sheetViews>
    <sheetView zoomScale="90" zoomScaleNormal="90" zoomScaleSheetLayoutView="100" workbookViewId="0">
      <pane xSplit="4" ySplit="25" topLeftCell="F26" activePane="bottomRight" state="frozen"/>
      <selection pane="topRight" activeCell="E1" sqref="E1"/>
      <selection pane="bottomLeft" activeCell="A26" sqref="A26"/>
      <selection pane="bottomRight" activeCell="H144" sqref="H144"/>
    </sheetView>
  </sheetViews>
  <sheetFormatPr defaultColWidth="9.140625" defaultRowHeight="15" x14ac:dyDescent="0.25"/>
  <cols>
    <col min="1" max="1" width="12.5703125" style="4" customWidth="1"/>
    <col min="2" max="2" width="46" style="3" bestFit="1" customWidth="1"/>
    <col min="3" max="3" width="36" style="3" customWidth="1"/>
    <col min="4" max="4" width="30" style="4" customWidth="1"/>
    <col min="5" max="5" width="42.7109375" style="4" customWidth="1"/>
    <col min="6" max="6" width="23" style="4" bestFit="1" customWidth="1"/>
    <col min="7" max="7" width="21" style="4" customWidth="1"/>
    <col min="8" max="8" width="18.42578125" style="4" customWidth="1"/>
    <col min="9" max="9" width="17.140625" style="4" customWidth="1"/>
    <col min="10" max="10" width="15.85546875" style="4" customWidth="1"/>
    <col min="11" max="11" width="20.28515625" style="4" bestFit="1" customWidth="1"/>
    <col min="12" max="12" width="14.42578125" style="4" customWidth="1"/>
    <col min="13" max="13" width="14.7109375" style="4" customWidth="1"/>
    <col min="14" max="15" width="15.28515625" style="4" customWidth="1"/>
    <col min="16" max="16" width="14.85546875" style="4" customWidth="1"/>
    <col min="17" max="17" width="15.85546875" style="4" customWidth="1"/>
    <col min="18" max="18" width="13.28515625" style="4" bestFit="1" customWidth="1"/>
    <col min="19" max="20" width="9.140625" style="4" customWidth="1"/>
    <col min="21" max="16384" width="9.140625" style="4"/>
  </cols>
  <sheetData>
    <row r="1" spans="1:20" ht="19.5" thickBot="1" x14ac:dyDescent="0.35">
      <c r="B1" s="14" t="s">
        <v>266</v>
      </c>
      <c r="D1" s="3"/>
      <c r="E1" s="3"/>
      <c r="F1" s="3"/>
      <c r="G1" s="3"/>
      <c r="H1" s="3"/>
      <c r="I1" s="3"/>
      <c r="J1" s="3"/>
      <c r="K1" s="3"/>
      <c r="L1" s="3"/>
      <c r="M1" s="3"/>
      <c r="N1" s="3"/>
    </row>
    <row r="2" spans="1:20" ht="48.75" thickBot="1" x14ac:dyDescent="0.35">
      <c r="A2" s="14"/>
      <c r="D2" s="3"/>
      <c r="F2" s="487" t="s">
        <v>548</v>
      </c>
      <c r="G2" s="447" t="s">
        <v>513</v>
      </c>
      <c r="H2" s="447" t="s">
        <v>224</v>
      </c>
      <c r="I2" s="488" t="s">
        <v>497</v>
      </c>
      <c r="J2" s="441" t="s">
        <v>223</v>
      </c>
      <c r="K2" s="447" t="s">
        <v>245</v>
      </c>
      <c r="L2" s="442" t="s">
        <v>369</v>
      </c>
      <c r="M2" s="3"/>
      <c r="N2" s="3"/>
      <c r="O2" s="3"/>
      <c r="P2" s="3"/>
      <c r="Q2" s="3"/>
      <c r="R2" s="3"/>
      <c r="S2" s="3"/>
      <c r="T2" s="3"/>
    </row>
    <row r="3" spans="1:20" customFormat="1" ht="15" customHeight="1" x14ac:dyDescent="0.3">
      <c r="A3" s="4"/>
      <c r="B3" s="533" t="str">
        <f>HR!C3</f>
        <v>Total FY 2026 Request</v>
      </c>
      <c r="C3" s="53"/>
      <c r="D3" s="54"/>
      <c r="E3" s="158">
        <f t="shared" ref="E3:L3" si="0">SUM(E4:E23)</f>
        <v>2530757</v>
      </c>
      <c r="F3" s="686">
        <f t="shared" si="0"/>
        <v>270240</v>
      </c>
      <c r="G3" s="449">
        <f>SUM(G4:G23)</f>
        <v>26850</v>
      </c>
      <c r="H3" s="449">
        <f t="shared" si="0"/>
        <v>2167916.15</v>
      </c>
      <c r="I3" s="489">
        <f t="shared" si="0"/>
        <v>0</v>
      </c>
      <c r="J3" s="448">
        <f t="shared" si="0"/>
        <v>51500</v>
      </c>
      <c r="K3" s="449">
        <f t="shared" si="0"/>
        <v>8250.85</v>
      </c>
      <c r="L3" s="450">
        <f t="shared" si="0"/>
        <v>6000</v>
      </c>
      <c r="M3" s="229">
        <f>E3-N155</f>
        <v>0</v>
      </c>
    </row>
    <row r="4" spans="1:20" customFormat="1" ht="15" customHeight="1" x14ac:dyDescent="0.3">
      <c r="A4" s="4"/>
      <c r="B4" s="672" t="s">
        <v>27</v>
      </c>
      <c r="C4" s="389" t="s">
        <v>19</v>
      </c>
      <c r="D4" s="15"/>
      <c r="E4" s="136">
        <f t="shared" ref="E4:E23" si="1">SUM(F4:L4)</f>
        <v>250917</v>
      </c>
      <c r="F4" s="687">
        <f>N156</f>
        <v>246490</v>
      </c>
      <c r="G4" s="645">
        <f>N176+N216</f>
        <v>0</v>
      </c>
      <c r="H4" s="690">
        <f>N256</f>
        <v>4427</v>
      </c>
      <c r="I4" s="691">
        <f>N196</f>
        <v>0</v>
      </c>
      <c r="J4" s="692">
        <f>N236</f>
        <v>0</v>
      </c>
      <c r="K4" s="690">
        <f>N296+N316</f>
        <v>0</v>
      </c>
      <c r="L4" s="693">
        <f>N336</f>
        <v>0</v>
      </c>
    </row>
    <row r="5" spans="1:20" customFormat="1" ht="15" customHeight="1" x14ac:dyDescent="0.3">
      <c r="A5" s="4"/>
      <c r="B5" s="672" t="s">
        <v>31</v>
      </c>
      <c r="C5" s="389" t="s">
        <v>22</v>
      </c>
      <c r="D5" s="15"/>
      <c r="E5" s="136">
        <f t="shared" si="1"/>
        <v>43000</v>
      </c>
      <c r="F5" s="644">
        <f>N158</f>
        <v>0</v>
      </c>
      <c r="G5" s="688">
        <f>N178+N218</f>
        <v>7000</v>
      </c>
      <c r="H5" s="690">
        <f>N258+N278</f>
        <v>25000</v>
      </c>
      <c r="I5" s="691">
        <f>N198</f>
        <v>0</v>
      </c>
      <c r="J5" s="692">
        <f>N238</f>
        <v>0</v>
      </c>
      <c r="K5" s="690">
        <f>N298+N318</f>
        <v>5000</v>
      </c>
      <c r="L5" s="693">
        <f>N338</f>
        <v>6000</v>
      </c>
    </row>
    <row r="6" spans="1:20" customFormat="1" ht="18.75" x14ac:dyDescent="0.3">
      <c r="A6" s="4"/>
      <c r="B6" s="672" t="s">
        <v>29</v>
      </c>
      <c r="C6" s="389" t="s">
        <v>1182</v>
      </c>
      <c r="D6" s="15"/>
      <c r="E6" s="136">
        <f t="shared" si="1"/>
        <v>50000</v>
      </c>
      <c r="F6" s="644">
        <f>N164</f>
        <v>0</v>
      </c>
      <c r="G6" s="645">
        <f>N184+N224</f>
        <v>0</v>
      </c>
      <c r="H6" s="690">
        <f>N264</f>
        <v>0</v>
      </c>
      <c r="I6" s="691">
        <f>N204</f>
        <v>0</v>
      </c>
      <c r="J6" s="692">
        <f>N244</f>
        <v>50000</v>
      </c>
      <c r="K6" s="690">
        <f>N304+N324</f>
        <v>0</v>
      </c>
      <c r="L6" s="693">
        <f>N344</f>
        <v>0</v>
      </c>
    </row>
    <row r="7" spans="1:20" customFormat="1" ht="18.75" x14ac:dyDescent="0.3">
      <c r="A7" s="4"/>
      <c r="B7" s="672" t="s">
        <v>50</v>
      </c>
      <c r="C7" s="389" t="s">
        <v>272</v>
      </c>
      <c r="D7" s="15"/>
      <c r="E7" s="136">
        <f t="shared" si="1"/>
        <v>121936.35</v>
      </c>
      <c r="F7" s="644">
        <f>N167</f>
        <v>0</v>
      </c>
      <c r="G7" s="688">
        <f>N187+N227</f>
        <v>500</v>
      </c>
      <c r="H7" s="690">
        <f>N267</f>
        <v>119855.35</v>
      </c>
      <c r="I7" s="691">
        <f>N207</f>
        <v>0</v>
      </c>
      <c r="J7" s="692">
        <f>N247</f>
        <v>1500</v>
      </c>
      <c r="K7" s="690">
        <f>N307+N327</f>
        <v>81</v>
      </c>
      <c r="L7" s="693">
        <f>N347</f>
        <v>0</v>
      </c>
    </row>
    <row r="8" spans="1:20" customFormat="1" ht="18.75" x14ac:dyDescent="0.3">
      <c r="A8" s="4"/>
      <c r="B8" s="672" t="s">
        <v>36</v>
      </c>
      <c r="C8" s="389" t="s">
        <v>810</v>
      </c>
      <c r="D8" s="15"/>
      <c r="E8" s="136">
        <f t="shared" si="1"/>
        <v>3000</v>
      </c>
      <c r="F8" s="644">
        <f>N170</f>
        <v>0</v>
      </c>
      <c r="G8" s="645">
        <f>N190+N230</f>
        <v>0</v>
      </c>
      <c r="H8" s="690">
        <f>N270</f>
        <v>800</v>
      </c>
      <c r="I8" s="691">
        <f>N210</f>
        <v>0</v>
      </c>
      <c r="J8" s="692">
        <f>N250</f>
        <v>0</v>
      </c>
      <c r="K8" s="690">
        <f>N310+N330</f>
        <v>2200</v>
      </c>
      <c r="L8" s="693">
        <f>N350</f>
        <v>0</v>
      </c>
    </row>
    <row r="9" spans="1:20" customFormat="1" ht="18.75" x14ac:dyDescent="0.3">
      <c r="A9" s="4"/>
      <c r="B9" s="672" t="s">
        <v>35</v>
      </c>
      <c r="C9" s="389" t="s">
        <v>23</v>
      </c>
      <c r="D9" s="15"/>
      <c r="E9" s="136">
        <f t="shared" si="1"/>
        <v>85000</v>
      </c>
      <c r="F9" s="644">
        <f>N172</f>
        <v>0</v>
      </c>
      <c r="G9" s="645">
        <f>N192+N232</f>
        <v>0</v>
      </c>
      <c r="H9" s="690">
        <f>N272</f>
        <v>85000</v>
      </c>
      <c r="I9" s="691">
        <f>N212</f>
        <v>0</v>
      </c>
      <c r="J9" s="692">
        <f>N252</f>
        <v>0</v>
      </c>
      <c r="K9" s="690">
        <f>N312+N332</f>
        <v>0</v>
      </c>
      <c r="L9" s="693">
        <f>N352</f>
        <v>0</v>
      </c>
    </row>
    <row r="10" spans="1:20" customFormat="1" ht="18.75" x14ac:dyDescent="0.3">
      <c r="A10" s="4"/>
      <c r="B10" s="672" t="s">
        <v>37</v>
      </c>
      <c r="C10" s="389" t="s">
        <v>920</v>
      </c>
      <c r="D10" s="15"/>
      <c r="E10" s="136">
        <f t="shared" si="1"/>
        <v>10000</v>
      </c>
      <c r="F10" s="644">
        <f>N175</f>
        <v>0</v>
      </c>
      <c r="G10" s="645">
        <f>N195+N235</f>
        <v>0</v>
      </c>
      <c r="H10" s="690">
        <f>N275</f>
        <v>10000</v>
      </c>
      <c r="I10" s="691">
        <f>N215</f>
        <v>0</v>
      </c>
      <c r="J10" s="692">
        <f>N252</f>
        <v>0</v>
      </c>
      <c r="K10" s="690">
        <f>N315+N335</f>
        <v>0</v>
      </c>
      <c r="L10" s="693">
        <f>N355</f>
        <v>0</v>
      </c>
    </row>
    <row r="11" spans="1:20" customFormat="1" ht="18.75" x14ac:dyDescent="0.3">
      <c r="A11" s="4"/>
      <c r="B11" s="672" t="s">
        <v>42</v>
      </c>
      <c r="C11" s="389" t="s">
        <v>24</v>
      </c>
      <c r="D11" s="15"/>
      <c r="E11" s="136">
        <f t="shared" si="1"/>
        <v>0</v>
      </c>
      <c r="F11" s="644">
        <f>N159</f>
        <v>0</v>
      </c>
      <c r="G11" s="645">
        <f>N179+N219</f>
        <v>0</v>
      </c>
      <c r="H11" s="690">
        <f>N259</f>
        <v>0</v>
      </c>
      <c r="I11" s="691">
        <f>N199</f>
        <v>0</v>
      </c>
      <c r="J11" s="692">
        <f>N239</f>
        <v>0</v>
      </c>
      <c r="K11" s="690">
        <f>N299+N319</f>
        <v>0</v>
      </c>
      <c r="L11" s="693">
        <f>N339</f>
        <v>0</v>
      </c>
    </row>
    <row r="12" spans="1:20" customFormat="1" ht="18.75" x14ac:dyDescent="0.3">
      <c r="A12" s="4"/>
      <c r="B12" s="672" t="s">
        <v>43</v>
      </c>
      <c r="C12" s="389" t="s">
        <v>260</v>
      </c>
      <c r="D12" s="15"/>
      <c r="E12" s="136">
        <f t="shared" si="1"/>
        <v>325305</v>
      </c>
      <c r="F12" s="644">
        <f>N160</f>
        <v>0</v>
      </c>
      <c r="G12" s="645">
        <f>N180+N220</f>
        <v>0</v>
      </c>
      <c r="H12" s="690">
        <f>N260</f>
        <v>325305</v>
      </c>
      <c r="I12" s="691">
        <f>N200</f>
        <v>0</v>
      </c>
      <c r="J12" s="692">
        <f>N240</f>
        <v>0</v>
      </c>
      <c r="K12" s="690">
        <f>N300+N320</f>
        <v>0</v>
      </c>
      <c r="L12" s="693">
        <f>N340</f>
        <v>0</v>
      </c>
    </row>
    <row r="13" spans="1:20" s="236" customFormat="1" ht="15.75" customHeight="1" x14ac:dyDescent="0.3">
      <c r="A13" s="407"/>
      <c r="B13" s="672" t="s">
        <v>509</v>
      </c>
      <c r="C13" s="389" t="s">
        <v>508</v>
      </c>
      <c r="D13" s="15"/>
      <c r="E13" s="136">
        <f t="shared" si="1"/>
        <v>104000</v>
      </c>
      <c r="F13" s="644">
        <f>N163</f>
        <v>0</v>
      </c>
      <c r="G13" s="645">
        <f>N183+N223</f>
        <v>0</v>
      </c>
      <c r="H13" s="690">
        <f>N263</f>
        <v>104000</v>
      </c>
      <c r="I13" s="691">
        <f>N203</f>
        <v>0</v>
      </c>
      <c r="J13" s="692">
        <f>N243</f>
        <v>0</v>
      </c>
      <c r="K13" s="690">
        <f>N303+N323</f>
        <v>0</v>
      </c>
      <c r="L13" s="693">
        <f>N343</f>
        <v>0</v>
      </c>
    </row>
    <row r="14" spans="1:20" customFormat="1" ht="18.75" x14ac:dyDescent="0.3">
      <c r="A14" s="4"/>
      <c r="B14" s="672" t="s">
        <v>507</v>
      </c>
      <c r="C14" s="389" t="s">
        <v>258</v>
      </c>
      <c r="D14" s="15"/>
      <c r="E14" s="136">
        <f t="shared" si="1"/>
        <v>6000</v>
      </c>
      <c r="F14" s="644">
        <f>N157</f>
        <v>0</v>
      </c>
      <c r="G14" s="645">
        <f>N177+N217</f>
        <v>0</v>
      </c>
      <c r="H14" s="690">
        <f>N257</f>
        <v>6000</v>
      </c>
      <c r="I14" s="691">
        <f>N197</f>
        <v>0</v>
      </c>
      <c r="J14" s="692">
        <f>N237</f>
        <v>0</v>
      </c>
      <c r="K14" s="690">
        <f>N297+N317</f>
        <v>0</v>
      </c>
      <c r="L14" s="693">
        <f>N337</f>
        <v>0</v>
      </c>
    </row>
    <row r="15" spans="1:20" customFormat="1" ht="5.25" customHeight="1" thickBot="1" x14ac:dyDescent="0.35">
      <c r="A15" s="4"/>
      <c r="B15" s="672" t="s">
        <v>28</v>
      </c>
      <c r="C15" s="389" t="s">
        <v>20</v>
      </c>
      <c r="D15" s="15"/>
      <c r="E15" s="136">
        <f t="shared" si="1"/>
        <v>0</v>
      </c>
      <c r="F15" s="644">
        <f>N165</f>
        <v>0</v>
      </c>
      <c r="G15" s="645">
        <f>N185+N225</f>
        <v>0</v>
      </c>
      <c r="H15" s="690">
        <f>N265+N285</f>
        <v>0</v>
      </c>
      <c r="I15" s="691">
        <f>N205</f>
        <v>0</v>
      </c>
      <c r="J15" s="692">
        <f>N245</f>
        <v>0</v>
      </c>
      <c r="K15" s="690">
        <f>N305+N325</f>
        <v>0</v>
      </c>
      <c r="L15" s="693">
        <f>N345</f>
        <v>0</v>
      </c>
    </row>
    <row r="16" spans="1:20" customFormat="1" ht="19.5" hidden="1" thickBot="1" x14ac:dyDescent="0.35">
      <c r="A16" s="4"/>
      <c r="B16" s="672" t="s">
        <v>30</v>
      </c>
      <c r="C16" s="389" t="s">
        <v>21</v>
      </c>
      <c r="D16" s="15"/>
      <c r="E16" s="136">
        <f t="shared" si="1"/>
        <v>20000</v>
      </c>
      <c r="F16" s="644">
        <f>N168</f>
        <v>0</v>
      </c>
      <c r="G16" s="645">
        <f>N188+N228</f>
        <v>0</v>
      </c>
      <c r="H16" s="690">
        <f>N268</f>
        <v>20000</v>
      </c>
      <c r="I16" s="691">
        <f>N208</f>
        <v>0</v>
      </c>
      <c r="J16" s="692">
        <f>N248</f>
        <v>0</v>
      </c>
      <c r="K16" s="690">
        <f>N308+N328</f>
        <v>0</v>
      </c>
      <c r="L16" s="693">
        <f>N348</f>
        <v>0</v>
      </c>
    </row>
    <row r="17" spans="1:15" customFormat="1" ht="19.5" hidden="1" thickBot="1" x14ac:dyDescent="0.35">
      <c r="A17" s="4"/>
      <c r="B17" s="672" t="s">
        <v>38</v>
      </c>
      <c r="C17" s="389" t="s">
        <v>394</v>
      </c>
      <c r="D17" s="15"/>
      <c r="E17" s="136">
        <f t="shared" si="1"/>
        <v>452600.79999999987</v>
      </c>
      <c r="F17" s="644">
        <f>N161</f>
        <v>0</v>
      </c>
      <c r="G17" s="645">
        <f>N181+N221</f>
        <v>0</v>
      </c>
      <c r="H17" s="690">
        <f>N261</f>
        <v>452500.79999999987</v>
      </c>
      <c r="I17" s="691">
        <f>N201</f>
        <v>0</v>
      </c>
      <c r="J17" s="692">
        <f>N241</f>
        <v>0</v>
      </c>
      <c r="K17" s="690">
        <f>N301+N321</f>
        <v>100</v>
      </c>
      <c r="L17" s="693">
        <f>N341</f>
        <v>0</v>
      </c>
    </row>
    <row r="18" spans="1:15" customFormat="1" ht="15" hidden="1" customHeight="1" thickBot="1" x14ac:dyDescent="0.35">
      <c r="A18" s="4"/>
      <c r="B18" s="672" t="s">
        <v>39</v>
      </c>
      <c r="C18" s="389" t="s">
        <v>350</v>
      </c>
      <c r="D18" s="15"/>
      <c r="E18" s="136">
        <f t="shared" si="1"/>
        <v>3000</v>
      </c>
      <c r="F18" s="644">
        <f>N162</f>
        <v>0</v>
      </c>
      <c r="G18" s="645">
        <f>N182+N222</f>
        <v>0</v>
      </c>
      <c r="H18" s="690">
        <f>N262</f>
        <v>3000</v>
      </c>
      <c r="I18" s="691">
        <f>N202</f>
        <v>0</v>
      </c>
      <c r="J18" s="692">
        <f>N242</f>
        <v>0</v>
      </c>
      <c r="K18" s="690">
        <f>N302+N322</f>
        <v>0</v>
      </c>
      <c r="L18" s="693">
        <f>N342</f>
        <v>0</v>
      </c>
    </row>
    <row r="19" spans="1:15" s="236" customFormat="1" ht="19.5" hidden="1" thickBot="1" x14ac:dyDescent="0.35">
      <c r="A19" s="407"/>
      <c r="B19" s="672" t="s">
        <v>1111</v>
      </c>
      <c r="C19" s="389" t="s">
        <v>510</v>
      </c>
      <c r="D19" s="15"/>
      <c r="E19" s="136">
        <f t="shared" si="1"/>
        <v>130430</v>
      </c>
      <c r="F19" s="644">
        <f>N166</f>
        <v>0</v>
      </c>
      <c r="G19" s="645">
        <f>N186+N226</f>
        <v>0</v>
      </c>
      <c r="H19" s="690">
        <f>N266</f>
        <v>130430</v>
      </c>
      <c r="I19" s="691">
        <f>N206</f>
        <v>0</v>
      </c>
      <c r="J19" s="692">
        <f>N246</f>
        <v>0</v>
      </c>
      <c r="K19" s="690">
        <f>N306+N326</f>
        <v>0</v>
      </c>
      <c r="L19" s="693">
        <f>N346</f>
        <v>0</v>
      </c>
    </row>
    <row r="20" spans="1:15" customFormat="1" ht="16.5" hidden="1" customHeight="1" thickBot="1" x14ac:dyDescent="0.35">
      <c r="A20" s="4"/>
      <c r="B20" s="672" t="s">
        <v>33</v>
      </c>
      <c r="C20" s="389" t="s">
        <v>1471</v>
      </c>
      <c r="D20" s="15"/>
      <c r="E20" s="136">
        <f>SUM(F20:L20)</f>
        <v>34722.85</v>
      </c>
      <c r="F20" s="687">
        <f>N169</f>
        <v>23750</v>
      </c>
      <c r="G20" s="688">
        <f>N189+N229</f>
        <v>1000</v>
      </c>
      <c r="H20" s="688">
        <f>N269</f>
        <v>9103</v>
      </c>
      <c r="I20" s="691">
        <f>N209</f>
        <v>0</v>
      </c>
      <c r="J20" s="692">
        <f>N249</f>
        <v>0</v>
      </c>
      <c r="K20" s="688">
        <f>N309+N329</f>
        <v>869.85</v>
      </c>
      <c r="L20" s="693">
        <f>N349</f>
        <v>0</v>
      </c>
    </row>
    <row r="21" spans="1:15" customFormat="1" ht="19.5" hidden="1" thickBot="1" x14ac:dyDescent="0.35">
      <c r="A21" s="4"/>
      <c r="B21" s="672" t="s">
        <v>32</v>
      </c>
      <c r="C21" s="389" t="s">
        <v>811</v>
      </c>
      <c r="D21" s="15"/>
      <c r="E21" s="136">
        <f t="shared" si="1"/>
        <v>11750</v>
      </c>
      <c r="F21" s="644">
        <f>N171</f>
        <v>0</v>
      </c>
      <c r="G21" s="645">
        <f>N191+N231</f>
        <v>0</v>
      </c>
      <c r="H21" s="690">
        <f>N271</f>
        <v>11750</v>
      </c>
      <c r="I21" s="691">
        <f>N211</f>
        <v>0</v>
      </c>
      <c r="J21" s="692">
        <f>N251</f>
        <v>0</v>
      </c>
      <c r="K21" s="690">
        <f>N311+N411</f>
        <v>0</v>
      </c>
      <c r="L21" s="693">
        <f>N351</f>
        <v>0</v>
      </c>
    </row>
    <row r="22" spans="1:15" customFormat="1" ht="19.5" hidden="1" thickBot="1" x14ac:dyDescent="0.35">
      <c r="A22" s="4"/>
      <c r="B22" s="672" t="s">
        <v>41</v>
      </c>
      <c r="C22" s="389" t="s">
        <v>1453</v>
      </c>
      <c r="D22" s="15"/>
      <c r="E22" s="136">
        <f t="shared" si="1"/>
        <v>843350</v>
      </c>
      <c r="F22" s="644">
        <f>N173</f>
        <v>0</v>
      </c>
      <c r="G22" s="645">
        <f>N193+N233</f>
        <v>18350</v>
      </c>
      <c r="H22" s="690">
        <f>N273</f>
        <v>825000</v>
      </c>
      <c r="I22" s="691">
        <f>N213</f>
        <v>0</v>
      </c>
      <c r="J22" s="692">
        <f>N253</f>
        <v>0</v>
      </c>
      <c r="K22" s="690">
        <f>N313+N333</f>
        <v>0</v>
      </c>
      <c r="L22" s="693">
        <f>N353</f>
        <v>0</v>
      </c>
    </row>
    <row r="23" spans="1:15" customFormat="1" ht="17.25" hidden="1" customHeight="1" thickBot="1" x14ac:dyDescent="0.35">
      <c r="A23" s="4"/>
      <c r="B23" s="689" t="s">
        <v>34</v>
      </c>
      <c r="C23" s="391" t="s">
        <v>1472</v>
      </c>
      <c r="D23" s="59"/>
      <c r="E23" s="137">
        <f t="shared" si="1"/>
        <v>35745</v>
      </c>
      <c r="F23" s="646">
        <f>N174</f>
        <v>0</v>
      </c>
      <c r="G23" s="647">
        <f>N194+N234</f>
        <v>0</v>
      </c>
      <c r="H23" s="694">
        <f>N274</f>
        <v>35745</v>
      </c>
      <c r="I23" s="695">
        <f>N214</f>
        <v>0</v>
      </c>
      <c r="J23" s="696">
        <f>N255</f>
        <v>0</v>
      </c>
      <c r="K23" s="694">
        <f>N314+N334</f>
        <v>0</v>
      </c>
      <c r="L23" s="697">
        <f>N354</f>
        <v>0</v>
      </c>
    </row>
    <row r="24" spans="1:15" ht="15.75" hidden="1" thickBot="1" x14ac:dyDescent="0.3">
      <c r="A24" s="3"/>
      <c r="D24" s="3"/>
      <c r="E24" s="3"/>
      <c r="F24" s="3"/>
      <c r="G24" s="133">
        <v>6300000</v>
      </c>
      <c r="H24" s="133">
        <v>6420000</v>
      </c>
      <c r="I24" s="133">
        <v>6300005</v>
      </c>
      <c r="J24" s="133">
        <v>6410000</v>
      </c>
      <c r="K24" s="133">
        <v>6305000</v>
      </c>
      <c r="L24" s="3"/>
      <c r="M24" s="3"/>
      <c r="N24" s="3"/>
    </row>
    <row r="25" spans="1:15" ht="41.25" customHeight="1" thickTop="1" x14ac:dyDescent="0.25">
      <c r="A25" s="5" t="s">
        <v>219</v>
      </c>
      <c r="B25" s="8" t="s">
        <v>189</v>
      </c>
      <c r="C25" s="8" t="s">
        <v>13</v>
      </c>
      <c r="D25" s="6" t="s">
        <v>225</v>
      </c>
      <c r="E25" s="6" t="s">
        <v>256</v>
      </c>
      <c r="F25" s="6" t="s">
        <v>7</v>
      </c>
      <c r="G25" s="6" t="s">
        <v>257</v>
      </c>
      <c r="H25" s="6" t="s">
        <v>386</v>
      </c>
      <c r="I25" s="6" t="s">
        <v>9</v>
      </c>
      <c r="J25" s="6" t="s">
        <v>10</v>
      </c>
      <c r="K25" s="7" t="s">
        <v>11</v>
      </c>
      <c r="L25" s="6" t="s">
        <v>12</v>
      </c>
      <c r="M25" s="6" t="s">
        <v>1394</v>
      </c>
      <c r="N25" s="8" t="s">
        <v>1594</v>
      </c>
      <c r="O25" s="642" t="s">
        <v>1569</v>
      </c>
    </row>
    <row r="26" spans="1:15" x14ac:dyDescent="0.25">
      <c r="A26" s="168">
        <f t="shared" ref="A26:A54" si="2">VLOOKUP(D26,ProfSvcCodes,2)</f>
        <v>6420000</v>
      </c>
      <c r="B26" s="419" t="s">
        <v>19</v>
      </c>
      <c r="C26" s="419" t="s">
        <v>950</v>
      </c>
      <c r="D26" s="417" t="s">
        <v>224</v>
      </c>
      <c r="E26" s="417" t="s">
        <v>1278</v>
      </c>
      <c r="F26" s="417"/>
      <c r="G26" s="417"/>
      <c r="H26" s="417"/>
      <c r="I26" s="259"/>
      <c r="J26" s="259"/>
      <c r="K26" s="420"/>
      <c r="L26" s="408"/>
      <c r="M26" s="408"/>
      <c r="N26" s="408">
        <v>300</v>
      </c>
    </row>
    <row r="27" spans="1:15" x14ac:dyDescent="0.25">
      <c r="A27" s="222">
        <f t="shared" si="2"/>
        <v>6420000</v>
      </c>
      <c r="B27" s="419" t="s">
        <v>19</v>
      </c>
      <c r="C27" s="419" t="s">
        <v>108</v>
      </c>
      <c r="D27" s="417" t="s">
        <v>224</v>
      </c>
      <c r="E27" s="417" t="s">
        <v>1278</v>
      </c>
      <c r="F27" s="417"/>
      <c r="G27" s="417"/>
      <c r="H27" s="417"/>
      <c r="I27" s="259"/>
      <c r="J27" s="259"/>
      <c r="K27" s="348"/>
      <c r="L27" s="418"/>
      <c r="M27" s="418"/>
      <c r="N27" s="418">
        <v>335</v>
      </c>
    </row>
    <row r="28" spans="1:15" x14ac:dyDescent="0.25">
      <c r="A28" s="222">
        <f t="shared" si="2"/>
        <v>6420000</v>
      </c>
      <c r="B28" s="419" t="s">
        <v>19</v>
      </c>
      <c r="C28" s="419" t="s">
        <v>954</v>
      </c>
      <c r="D28" s="417" t="s">
        <v>224</v>
      </c>
      <c r="E28" s="417" t="s">
        <v>1278</v>
      </c>
      <c r="F28" s="417"/>
      <c r="G28" s="417"/>
      <c r="H28" s="421"/>
      <c r="I28" s="259"/>
      <c r="J28" s="259"/>
      <c r="K28" s="348"/>
      <c r="L28" s="418"/>
      <c r="M28" s="418"/>
      <c r="N28" s="418">
        <v>1953</v>
      </c>
    </row>
    <row r="29" spans="1:15" x14ac:dyDescent="0.25">
      <c r="A29" s="222">
        <f t="shared" si="2"/>
        <v>6420000</v>
      </c>
      <c r="B29" s="419" t="s">
        <v>19</v>
      </c>
      <c r="C29" s="419" t="s">
        <v>957</v>
      </c>
      <c r="D29" s="417" t="s">
        <v>224</v>
      </c>
      <c r="E29" s="417" t="s">
        <v>1278</v>
      </c>
      <c r="F29" s="419"/>
      <c r="G29" s="419"/>
      <c r="H29" s="419"/>
      <c r="I29" s="355"/>
      <c r="J29" s="355"/>
      <c r="K29" s="348"/>
      <c r="L29" s="418"/>
      <c r="M29" s="418"/>
      <c r="N29" s="418">
        <v>321</v>
      </c>
    </row>
    <row r="30" spans="1:15" x14ac:dyDescent="0.25">
      <c r="A30" s="409">
        <f t="shared" si="2"/>
        <v>6420000</v>
      </c>
      <c r="B30" s="419" t="s">
        <v>19</v>
      </c>
      <c r="C30" s="419" t="s">
        <v>109</v>
      </c>
      <c r="D30" s="417" t="s">
        <v>224</v>
      </c>
      <c r="E30" s="417" t="s">
        <v>1278</v>
      </c>
      <c r="F30" s="417"/>
      <c r="G30" s="417"/>
      <c r="H30" s="417"/>
      <c r="I30" s="259"/>
      <c r="J30" s="259"/>
      <c r="K30" s="348"/>
      <c r="L30" s="418"/>
      <c r="M30" s="418"/>
      <c r="N30" s="418">
        <v>56</v>
      </c>
    </row>
    <row r="31" spans="1:15" x14ac:dyDescent="0.25">
      <c r="A31" s="409">
        <f t="shared" si="2"/>
        <v>6420000</v>
      </c>
      <c r="B31" s="419" t="s">
        <v>19</v>
      </c>
      <c r="C31" s="419" t="s">
        <v>113</v>
      </c>
      <c r="D31" s="417" t="s">
        <v>224</v>
      </c>
      <c r="E31" s="417" t="s">
        <v>1278</v>
      </c>
      <c r="F31" s="417"/>
      <c r="G31" s="417"/>
      <c r="H31" s="417"/>
      <c r="I31" s="259"/>
      <c r="J31" s="259"/>
      <c r="K31" s="420"/>
      <c r="L31" s="408"/>
      <c r="M31" s="408"/>
      <c r="N31" s="408">
        <v>3</v>
      </c>
    </row>
    <row r="32" spans="1:15" x14ac:dyDescent="0.25">
      <c r="A32" s="409">
        <f t="shared" si="2"/>
        <v>6420000</v>
      </c>
      <c r="B32" s="419" t="s">
        <v>19</v>
      </c>
      <c r="C32" s="419" t="s">
        <v>1049</v>
      </c>
      <c r="D32" s="417" t="s">
        <v>224</v>
      </c>
      <c r="E32" s="417" t="s">
        <v>1278</v>
      </c>
      <c r="F32" s="417"/>
      <c r="G32" s="421"/>
      <c r="H32" s="421"/>
      <c r="I32" s="259"/>
      <c r="J32" s="259"/>
      <c r="K32" s="420"/>
      <c r="L32" s="408"/>
      <c r="M32" s="408"/>
      <c r="N32" s="408">
        <v>14</v>
      </c>
    </row>
    <row r="33" spans="1:17" x14ac:dyDescent="0.25">
      <c r="A33" s="409">
        <f t="shared" si="2"/>
        <v>6420000</v>
      </c>
      <c r="B33" s="419" t="s">
        <v>19</v>
      </c>
      <c r="C33" s="419" t="s">
        <v>995</v>
      </c>
      <c r="D33" s="417" t="s">
        <v>224</v>
      </c>
      <c r="E33" s="417" t="s">
        <v>1278</v>
      </c>
      <c r="F33" s="417"/>
      <c r="G33" s="421"/>
      <c r="H33" s="421"/>
      <c r="I33" s="259"/>
      <c r="J33" s="259"/>
      <c r="K33" s="420"/>
      <c r="L33" s="408"/>
      <c r="M33" s="408"/>
      <c r="N33" s="408">
        <v>300</v>
      </c>
    </row>
    <row r="34" spans="1:17" x14ac:dyDescent="0.25">
      <c r="A34" s="409">
        <f t="shared" si="2"/>
        <v>6420000</v>
      </c>
      <c r="B34" s="419" t="s">
        <v>19</v>
      </c>
      <c r="C34" s="419" t="s">
        <v>1019</v>
      </c>
      <c r="D34" s="417" t="s">
        <v>224</v>
      </c>
      <c r="E34" s="417" t="s">
        <v>1278</v>
      </c>
      <c r="F34" s="419"/>
      <c r="G34" s="419"/>
      <c r="H34" s="419"/>
      <c r="I34" s="355"/>
      <c r="J34" s="355"/>
      <c r="K34" s="408"/>
      <c r="L34" s="408"/>
      <c r="M34" s="408"/>
      <c r="N34" s="408">
        <v>167</v>
      </c>
    </row>
    <row r="35" spans="1:17" x14ac:dyDescent="0.25">
      <c r="A35" s="409">
        <f t="shared" si="2"/>
        <v>6420000</v>
      </c>
      <c r="B35" s="419" t="s">
        <v>19</v>
      </c>
      <c r="C35" s="419" t="s">
        <v>1019</v>
      </c>
      <c r="D35" s="417" t="s">
        <v>224</v>
      </c>
      <c r="E35" s="417" t="s">
        <v>1279</v>
      </c>
      <c r="F35" s="417"/>
      <c r="G35" s="421"/>
      <c r="H35" s="421"/>
      <c r="I35" s="259"/>
      <c r="J35" s="259"/>
      <c r="K35" s="420"/>
      <c r="L35" s="408"/>
      <c r="M35" s="408"/>
      <c r="N35" s="408">
        <v>978</v>
      </c>
    </row>
    <row r="36" spans="1:17" x14ac:dyDescent="0.25">
      <c r="A36" s="409">
        <f t="shared" si="2"/>
        <v>6400000</v>
      </c>
      <c r="B36" s="419" t="s">
        <v>19</v>
      </c>
      <c r="C36" s="419" t="s">
        <v>1019</v>
      </c>
      <c r="D36" s="417" t="s">
        <v>548</v>
      </c>
      <c r="E36" s="417" t="s">
        <v>1280</v>
      </c>
      <c r="F36" s="417"/>
      <c r="G36" s="417"/>
      <c r="H36" s="417"/>
      <c r="I36" s="259"/>
      <c r="J36" s="259"/>
      <c r="K36" s="348"/>
      <c r="L36" s="418"/>
      <c r="M36" s="418"/>
      <c r="N36" s="418">
        <v>167055</v>
      </c>
    </row>
    <row r="37" spans="1:17" x14ac:dyDescent="0.25">
      <c r="A37" s="409">
        <f t="shared" si="2"/>
        <v>6400000</v>
      </c>
      <c r="B37" s="419" t="s">
        <v>19</v>
      </c>
      <c r="C37" s="419" t="s">
        <v>954</v>
      </c>
      <c r="D37" s="417" t="s">
        <v>548</v>
      </c>
      <c r="E37" s="417" t="s">
        <v>1281</v>
      </c>
      <c r="F37" s="417"/>
      <c r="G37" s="417"/>
      <c r="H37" s="417"/>
      <c r="I37" s="259"/>
      <c r="J37" s="259"/>
      <c r="K37" s="348"/>
      <c r="L37" s="418"/>
      <c r="M37" s="418"/>
      <c r="N37" s="418"/>
    </row>
    <row r="38" spans="1:17" x14ac:dyDescent="0.25">
      <c r="A38" s="222">
        <f t="shared" si="2"/>
        <v>6400000</v>
      </c>
      <c r="B38" s="419" t="s">
        <v>19</v>
      </c>
      <c r="C38" s="419" t="s">
        <v>958</v>
      </c>
      <c r="D38" s="417" t="s">
        <v>548</v>
      </c>
      <c r="E38" s="419" t="s">
        <v>1281</v>
      </c>
      <c r="F38" s="419"/>
      <c r="G38" s="419"/>
      <c r="H38" s="419"/>
      <c r="I38" s="355"/>
      <c r="J38" s="355"/>
      <c r="K38" s="348"/>
      <c r="L38" s="418"/>
      <c r="M38" s="418"/>
      <c r="N38" s="418"/>
    </row>
    <row r="39" spans="1:17" x14ac:dyDescent="0.25">
      <c r="A39" s="222">
        <f t="shared" si="2"/>
        <v>6400000</v>
      </c>
      <c r="B39" s="419" t="s">
        <v>19</v>
      </c>
      <c r="C39" s="419" t="s">
        <v>124</v>
      </c>
      <c r="D39" s="417" t="s">
        <v>548</v>
      </c>
      <c r="E39" s="419" t="s">
        <v>1282</v>
      </c>
      <c r="F39" s="419"/>
      <c r="G39" s="419"/>
      <c r="H39" s="419"/>
      <c r="I39" s="355"/>
      <c r="J39" s="355"/>
      <c r="K39" s="348"/>
      <c r="L39" s="418"/>
      <c r="M39" s="418"/>
      <c r="N39" s="418"/>
    </row>
    <row r="40" spans="1:17" x14ac:dyDescent="0.25">
      <c r="A40" s="222">
        <f t="shared" si="2"/>
        <v>6400000</v>
      </c>
      <c r="B40" s="419" t="s">
        <v>19</v>
      </c>
      <c r="C40" s="419" t="s">
        <v>103</v>
      </c>
      <c r="D40" s="417" t="s">
        <v>548</v>
      </c>
      <c r="E40" s="417" t="s">
        <v>1283</v>
      </c>
      <c r="F40" s="417"/>
      <c r="G40" s="417"/>
      <c r="H40" s="417"/>
      <c r="I40" s="259"/>
      <c r="J40" s="259"/>
      <c r="K40" s="348"/>
      <c r="L40" s="418"/>
      <c r="M40" s="418"/>
      <c r="N40" s="418">
        <v>53185</v>
      </c>
    </row>
    <row r="41" spans="1:17" x14ac:dyDescent="0.25">
      <c r="A41" s="287">
        <f t="shared" si="2"/>
        <v>6400000</v>
      </c>
      <c r="B41" s="419" t="s">
        <v>19</v>
      </c>
      <c r="C41" s="419" t="s">
        <v>47</v>
      </c>
      <c r="D41" s="417" t="s">
        <v>548</v>
      </c>
      <c r="E41" s="417" t="s">
        <v>1284</v>
      </c>
      <c r="F41" s="417"/>
      <c r="G41" s="417"/>
      <c r="H41" s="417"/>
      <c r="I41" s="259"/>
      <c r="J41" s="259"/>
      <c r="K41" s="348"/>
      <c r="L41" s="418"/>
      <c r="M41" s="418"/>
      <c r="N41" s="418">
        <v>8750</v>
      </c>
    </row>
    <row r="42" spans="1:17" x14ac:dyDescent="0.25">
      <c r="A42" s="410">
        <f t="shared" si="2"/>
        <v>6400000</v>
      </c>
      <c r="B42" s="419" t="s">
        <v>19</v>
      </c>
      <c r="C42" s="419" t="s">
        <v>48</v>
      </c>
      <c r="D42" s="417" t="s">
        <v>548</v>
      </c>
      <c r="E42" s="417" t="s">
        <v>1285</v>
      </c>
      <c r="F42" s="417"/>
      <c r="G42" s="417"/>
      <c r="H42" s="421"/>
      <c r="I42" s="259"/>
      <c r="J42" s="259"/>
      <c r="K42" s="348"/>
      <c r="L42" s="418"/>
      <c r="M42" s="418"/>
      <c r="N42" s="418">
        <v>8750</v>
      </c>
    </row>
    <row r="43" spans="1:17" x14ac:dyDescent="0.25">
      <c r="A43" s="409">
        <f t="shared" si="2"/>
        <v>6400000</v>
      </c>
      <c r="B43" s="419" t="s">
        <v>19</v>
      </c>
      <c r="C43" s="419" t="s">
        <v>954</v>
      </c>
      <c r="D43" s="417" t="s">
        <v>548</v>
      </c>
      <c r="E43" s="417" t="s">
        <v>1286</v>
      </c>
      <c r="F43" s="417"/>
      <c r="G43" s="421"/>
      <c r="H43" s="421"/>
      <c r="I43" s="259"/>
      <c r="J43" s="259"/>
      <c r="K43" s="348"/>
      <c r="L43" s="418"/>
      <c r="M43" s="418"/>
      <c r="N43" s="418">
        <v>8750</v>
      </c>
    </row>
    <row r="44" spans="1:17" x14ac:dyDescent="0.25">
      <c r="A44" s="409">
        <f t="shared" si="2"/>
        <v>6400000</v>
      </c>
      <c r="B44" s="419" t="s">
        <v>19</v>
      </c>
      <c r="C44" s="419" t="s">
        <v>1044</v>
      </c>
      <c r="D44" s="417" t="s">
        <v>548</v>
      </c>
      <c r="E44" s="417" t="s">
        <v>1286</v>
      </c>
      <c r="F44" s="417"/>
      <c r="G44" s="421"/>
      <c r="H44" s="417"/>
      <c r="I44" s="259"/>
      <c r="J44" s="259"/>
      <c r="K44" s="348"/>
      <c r="L44" s="418"/>
      <c r="M44" s="418"/>
      <c r="N44" s="418"/>
    </row>
    <row r="45" spans="1:17" x14ac:dyDescent="0.25">
      <c r="A45" s="410">
        <f t="shared" si="2"/>
        <v>6420000</v>
      </c>
      <c r="B45" s="419" t="s">
        <v>19</v>
      </c>
      <c r="C45" s="380" t="s">
        <v>1019</v>
      </c>
      <c r="D45" s="417" t="s">
        <v>224</v>
      </c>
      <c r="E45" s="417" t="s">
        <v>1288</v>
      </c>
      <c r="F45" s="417"/>
      <c r="G45" s="421"/>
      <c r="H45" s="417"/>
      <c r="I45" s="259"/>
      <c r="J45" s="259"/>
      <c r="K45" s="348"/>
      <c r="L45" s="418"/>
      <c r="M45" s="418"/>
      <c r="N45" s="418"/>
      <c r="O45" s="407"/>
      <c r="P45" s="407"/>
      <c r="Q45" s="407"/>
    </row>
    <row r="46" spans="1:17" x14ac:dyDescent="0.25">
      <c r="A46" s="410">
        <f t="shared" si="2"/>
        <v>6420000</v>
      </c>
      <c r="B46" s="419" t="s">
        <v>19</v>
      </c>
      <c r="C46" s="419" t="s">
        <v>103</v>
      </c>
      <c r="D46" s="417" t="s">
        <v>224</v>
      </c>
      <c r="E46" s="417" t="s">
        <v>1289</v>
      </c>
      <c r="F46" s="417"/>
      <c r="G46" s="421"/>
      <c r="H46" s="421"/>
      <c r="I46" s="259"/>
      <c r="J46" s="259"/>
      <c r="K46" s="348"/>
      <c r="L46" s="418"/>
      <c r="M46" s="418"/>
      <c r="N46" s="418"/>
      <c r="O46" s="407"/>
      <c r="P46" s="407"/>
      <c r="Q46" s="407"/>
    </row>
    <row r="47" spans="1:17" x14ac:dyDescent="0.25">
      <c r="A47" s="410">
        <f t="shared" si="2"/>
        <v>6420000</v>
      </c>
      <c r="B47" s="419" t="s">
        <v>19</v>
      </c>
      <c r="C47" s="652" t="s">
        <v>1019</v>
      </c>
      <c r="D47" s="419" t="s">
        <v>224</v>
      </c>
      <c r="E47" s="419" t="s">
        <v>1290</v>
      </c>
      <c r="F47" s="419"/>
      <c r="G47" s="419"/>
      <c r="H47" s="419"/>
      <c r="I47" s="355"/>
      <c r="J47" s="355"/>
      <c r="K47" s="348"/>
      <c r="L47" s="418"/>
      <c r="M47" s="418"/>
      <c r="N47" s="418"/>
      <c r="O47" s="407"/>
      <c r="P47" s="407"/>
      <c r="Q47" s="407"/>
    </row>
    <row r="48" spans="1:17" x14ac:dyDescent="0.25">
      <c r="A48" s="409">
        <f t="shared" si="2"/>
        <v>6420000</v>
      </c>
      <c r="B48" s="419" t="s">
        <v>19</v>
      </c>
      <c r="C48" s="419" t="s">
        <v>98</v>
      </c>
      <c r="D48" s="417" t="s">
        <v>224</v>
      </c>
      <c r="E48" s="417" t="s">
        <v>1291</v>
      </c>
      <c r="F48" s="417"/>
      <c r="G48" s="421"/>
      <c r="H48" s="421"/>
      <c r="I48" s="259"/>
      <c r="J48" s="259"/>
      <c r="K48" s="348"/>
      <c r="L48" s="418"/>
      <c r="M48" s="418"/>
      <c r="N48" s="418"/>
      <c r="O48" s="407"/>
      <c r="P48" s="407"/>
      <c r="Q48" s="407"/>
    </row>
    <row r="49" spans="1:17" x14ac:dyDescent="0.25">
      <c r="A49" s="409">
        <f t="shared" si="2"/>
        <v>6420000</v>
      </c>
      <c r="B49" s="419" t="s">
        <v>19</v>
      </c>
      <c r="C49" s="652" t="s">
        <v>1019</v>
      </c>
      <c r="D49" s="417" t="s">
        <v>224</v>
      </c>
      <c r="E49" s="417" t="s">
        <v>1292</v>
      </c>
      <c r="F49" s="417"/>
      <c r="G49" s="421"/>
      <c r="H49" s="421"/>
      <c r="I49" s="259"/>
      <c r="J49" s="259"/>
      <c r="K49" s="348"/>
      <c r="L49" s="418"/>
      <c r="M49" s="418"/>
      <c r="N49" s="418"/>
      <c r="O49" s="407"/>
      <c r="P49" s="407"/>
      <c r="Q49" s="407"/>
    </row>
    <row r="50" spans="1:17" x14ac:dyDescent="0.25">
      <c r="A50" s="409">
        <f t="shared" si="2"/>
        <v>6420000</v>
      </c>
      <c r="B50" s="419" t="s">
        <v>19</v>
      </c>
      <c r="C50" s="652" t="s">
        <v>1019</v>
      </c>
      <c r="D50" s="417" t="s">
        <v>224</v>
      </c>
      <c r="E50" s="417" t="s">
        <v>1293</v>
      </c>
      <c r="F50" s="417" t="s">
        <v>15</v>
      </c>
      <c r="G50" s="421"/>
      <c r="H50" s="421"/>
      <c r="I50" s="259"/>
      <c r="J50" s="259"/>
      <c r="K50" s="348"/>
      <c r="L50" s="418"/>
      <c r="M50" s="418"/>
      <c r="N50" s="418"/>
      <c r="O50" s="39"/>
      <c r="P50" s="407"/>
      <c r="Q50" s="407"/>
    </row>
    <row r="51" spans="1:17" ht="16.5" customHeight="1" x14ac:dyDescent="0.25">
      <c r="A51" s="409">
        <f t="shared" si="2"/>
        <v>6420000</v>
      </c>
      <c r="B51" s="419" t="s">
        <v>18</v>
      </c>
      <c r="C51" s="419" t="s">
        <v>46</v>
      </c>
      <c r="D51" s="357" t="s">
        <v>224</v>
      </c>
      <c r="E51" s="357" t="s">
        <v>1352</v>
      </c>
      <c r="F51" s="357"/>
      <c r="G51" s="357" t="s">
        <v>1783</v>
      </c>
      <c r="H51" s="357"/>
      <c r="I51" s="358"/>
      <c r="J51" s="358"/>
      <c r="K51" s="359"/>
      <c r="L51" s="359"/>
      <c r="M51" s="359"/>
      <c r="N51" s="418">
        <v>1000</v>
      </c>
      <c r="O51" s="407"/>
      <c r="P51" s="407"/>
      <c r="Q51" s="407"/>
    </row>
    <row r="52" spans="1:17" x14ac:dyDescent="0.25">
      <c r="A52" s="409">
        <f t="shared" si="2"/>
        <v>6420000</v>
      </c>
      <c r="B52" s="419" t="s">
        <v>18</v>
      </c>
      <c r="C52" s="419" t="s">
        <v>46</v>
      </c>
      <c r="D52" s="357" t="s">
        <v>224</v>
      </c>
      <c r="E52" s="357" t="s">
        <v>1353</v>
      </c>
      <c r="F52" s="357"/>
      <c r="G52" s="357"/>
      <c r="H52" s="357"/>
      <c r="I52" s="358"/>
      <c r="J52" s="358"/>
      <c r="K52" s="359"/>
      <c r="L52" s="359"/>
      <c r="M52" s="359"/>
      <c r="N52" s="418">
        <v>5000</v>
      </c>
      <c r="O52" s="407"/>
      <c r="P52" s="407"/>
      <c r="Q52" s="407"/>
    </row>
    <row r="53" spans="1:17" x14ac:dyDescent="0.25">
      <c r="A53" s="315">
        <f t="shared" si="2"/>
        <v>6300005</v>
      </c>
      <c r="B53" s="419" t="s">
        <v>22</v>
      </c>
      <c r="C53" s="419" t="s">
        <v>1019</v>
      </c>
      <c r="D53" s="417" t="s">
        <v>513</v>
      </c>
      <c r="E53" s="417" t="s">
        <v>1355</v>
      </c>
      <c r="F53" s="417"/>
      <c r="G53" s="379"/>
      <c r="H53" s="417"/>
      <c r="I53" s="259"/>
      <c r="J53" s="259"/>
      <c r="K53" s="348"/>
      <c r="L53" s="418"/>
      <c r="M53" s="418"/>
      <c r="N53" s="418">
        <v>7000</v>
      </c>
      <c r="O53" s="407"/>
      <c r="P53" s="407"/>
      <c r="Q53" s="407"/>
    </row>
    <row r="54" spans="1:17" x14ac:dyDescent="0.25">
      <c r="A54" s="409">
        <f t="shared" si="2"/>
        <v>6305000</v>
      </c>
      <c r="B54" s="419" t="s">
        <v>22</v>
      </c>
      <c r="C54" s="419" t="s">
        <v>1019</v>
      </c>
      <c r="D54" s="417" t="s">
        <v>245</v>
      </c>
      <c r="E54" s="417" t="s">
        <v>1666</v>
      </c>
      <c r="F54" s="417"/>
      <c r="G54" s="379"/>
      <c r="H54" s="417"/>
      <c r="I54" s="259"/>
      <c r="J54" s="259"/>
      <c r="K54" s="348"/>
      <c r="L54" s="418"/>
      <c r="M54" s="418"/>
      <c r="N54" s="418">
        <v>5000</v>
      </c>
      <c r="O54" s="39"/>
      <c r="P54" s="407"/>
      <c r="Q54" s="407"/>
    </row>
    <row r="55" spans="1:17" x14ac:dyDescent="0.25">
      <c r="A55" s="409">
        <f t="shared" ref="A55:A78" si="3">VLOOKUP(D55,ProfSvcCodes,2)</f>
        <v>6420000</v>
      </c>
      <c r="B55" s="419" t="s">
        <v>22</v>
      </c>
      <c r="C55" s="419" t="s">
        <v>1019</v>
      </c>
      <c r="D55" s="417" t="s">
        <v>224</v>
      </c>
      <c r="E55" s="417" t="s">
        <v>1321</v>
      </c>
      <c r="F55" s="417"/>
      <c r="G55" s="379"/>
      <c r="H55" s="417"/>
      <c r="I55" s="259"/>
      <c r="J55" s="259"/>
      <c r="K55" s="348"/>
      <c r="L55" s="418"/>
      <c r="M55" s="418"/>
      <c r="N55" s="418">
        <v>25000</v>
      </c>
      <c r="O55" s="39"/>
      <c r="P55" s="407"/>
      <c r="Q55" s="407"/>
    </row>
    <row r="56" spans="1:17" x14ac:dyDescent="0.25">
      <c r="A56" s="409">
        <f t="shared" si="3"/>
        <v>6303000</v>
      </c>
      <c r="B56" s="419" t="s">
        <v>22</v>
      </c>
      <c r="C56" s="419" t="s">
        <v>1019</v>
      </c>
      <c r="D56" s="417" t="s">
        <v>369</v>
      </c>
      <c r="E56" s="417" t="s">
        <v>1665</v>
      </c>
      <c r="F56" s="417"/>
      <c r="G56" s="379"/>
      <c r="H56" s="417"/>
      <c r="I56" s="259"/>
      <c r="J56" s="259"/>
      <c r="K56" s="348"/>
      <c r="L56" s="418"/>
      <c r="M56" s="418"/>
      <c r="N56" s="418">
        <v>2500</v>
      </c>
      <c r="O56" s="407"/>
      <c r="P56" s="407"/>
      <c r="Q56" s="407"/>
    </row>
    <row r="57" spans="1:17" x14ac:dyDescent="0.25">
      <c r="A57" s="409">
        <f t="shared" si="3"/>
        <v>6303000</v>
      </c>
      <c r="B57" s="419" t="s">
        <v>22</v>
      </c>
      <c r="C57" s="419" t="s">
        <v>1019</v>
      </c>
      <c r="D57" s="417" t="s">
        <v>369</v>
      </c>
      <c r="E57" s="417" t="s">
        <v>1273</v>
      </c>
      <c r="F57" s="417"/>
      <c r="G57" s="379"/>
      <c r="H57" s="417"/>
      <c r="I57" s="259"/>
      <c r="J57" s="259"/>
      <c r="K57" s="348"/>
      <c r="L57" s="418"/>
      <c r="M57" s="418"/>
      <c r="N57" s="418">
        <v>3500</v>
      </c>
      <c r="O57" s="39"/>
      <c r="P57" s="407"/>
      <c r="Q57" s="407"/>
    </row>
    <row r="58" spans="1:17" x14ac:dyDescent="0.25">
      <c r="A58" s="409">
        <f t="shared" si="3"/>
        <v>6420000</v>
      </c>
      <c r="B58" s="419" t="s">
        <v>24</v>
      </c>
      <c r="C58" s="419" t="s">
        <v>1019</v>
      </c>
      <c r="D58" s="417" t="s">
        <v>224</v>
      </c>
      <c r="E58" s="417" t="s">
        <v>1238</v>
      </c>
      <c r="F58" s="417"/>
      <c r="G58" s="417"/>
      <c r="H58" s="379"/>
      <c r="I58" s="259"/>
      <c r="J58" s="259"/>
      <c r="K58" s="348"/>
      <c r="L58" s="418"/>
      <c r="M58" s="418"/>
      <c r="N58" s="418"/>
      <c r="O58" s="407"/>
      <c r="P58" s="407"/>
      <c r="Q58" s="407"/>
    </row>
    <row r="59" spans="1:17" x14ac:dyDescent="0.25">
      <c r="A59" s="409">
        <f t="shared" si="3"/>
        <v>6420000</v>
      </c>
      <c r="B59" s="419" t="s">
        <v>25</v>
      </c>
      <c r="C59" s="419" t="s">
        <v>973</v>
      </c>
      <c r="D59" s="357" t="s">
        <v>224</v>
      </c>
      <c r="E59" s="357" t="s">
        <v>1346</v>
      </c>
      <c r="F59" s="357"/>
      <c r="G59" s="357"/>
      <c r="H59" s="357"/>
      <c r="I59" s="358"/>
      <c r="J59" s="358"/>
      <c r="K59" s="359"/>
      <c r="L59" s="359"/>
      <c r="M59" s="359"/>
      <c r="N59" s="418">
        <v>325305</v>
      </c>
      <c r="O59" s="407"/>
      <c r="P59" s="407"/>
      <c r="Q59" s="407"/>
    </row>
    <row r="60" spans="1:17" x14ac:dyDescent="0.25">
      <c r="A60" s="409">
        <f t="shared" si="3"/>
        <v>6305000</v>
      </c>
      <c r="B60" s="419" t="s">
        <v>394</v>
      </c>
      <c r="C60" s="419" t="s">
        <v>939</v>
      </c>
      <c r="D60" s="357" t="s">
        <v>245</v>
      </c>
      <c r="E60" s="357" t="s">
        <v>1252</v>
      </c>
      <c r="F60" s="357"/>
      <c r="G60" s="357"/>
      <c r="H60" s="357"/>
      <c r="I60" s="358"/>
      <c r="J60" s="358"/>
      <c r="K60" s="359"/>
      <c r="L60" s="359"/>
      <c r="M60" s="359"/>
      <c r="N60" s="418"/>
      <c r="O60" s="407"/>
      <c r="P60" s="407"/>
      <c r="Q60" s="407"/>
    </row>
    <row r="61" spans="1:17" x14ac:dyDescent="0.25">
      <c r="A61" s="409">
        <f t="shared" si="3"/>
        <v>6305000</v>
      </c>
      <c r="B61" s="419" t="s">
        <v>394</v>
      </c>
      <c r="C61" s="419" t="s">
        <v>937</v>
      </c>
      <c r="D61" s="357" t="s">
        <v>245</v>
      </c>
      <c r="E61" s="357" t="s">
        <v>1252</v>
      </c>
      <c r="F61" s="357"/>
      <c r="G61" s="357"/>
      <c r="H61" s="357"/>
      <c r="I61" s="358"/>
      <c r="J61" s="358"/>
      <c r="K61" s="359"/>
      <c r="L61" s="359"/>
      <c r="M61" s="359"/>
      <c r="N61" s="418"/>
      <c r="O61" s="407"/>
      <c r="P61" s="407"/>
      <c r="Q61" s="407"/>
    </row>
    <row r="62" spans="1:17" x14ac:dyDescent="0.25">
      <c r="A62" s="409">
        <f t="shared" si="3"/>
        <v>6420000</v>
      </c>
      <c r="B62" s="419" t="s">
        <v>394</v>
      </c>
      <c r="C62" s="419" t="s">
        <v>939</v>
      </c>
      <c r="D62" s="357" t="s">
        <v>224</v>
      </c>
      <c r="E62" s="357" t="s">
        <v>1345</v>
      </c>
      <c r="F62" s="357"/>
      <c r="G62" s="357"/>
      <c r="H62" s="357"/>
      <c r="I62" s="358"/>
      <c r="J62" s="358"/>
      <c r="K62" s="359"/>
      <c r="L62" s="359"/>
      <c r="M62" s="359"/>
      <c r="N62" s="418">
        <v>10000</v>
      </c>
      <c r="O62" s="407"/>
      <c r="P62" s="407"/>
      <c r="Q62" s="407"/>
    </row>
    <row r="63" spans="1:17" x14ac:dyDescent="0.25">
      <c r="A63" s="409">
        <f t="shared" si="3"/>
        <v>6420000</v>
      </c>
      <c r="B63" s="419" t="s">
        <v>394</v>
      </c>
      <c r="C63" s="419" t="s">
        <v>936</v>
      </c>
      <c r="D63" s="357" t="s">
        <v>224</v>
      </c>
      <c r="E63" s="357" t="s">
        <v>1345</v>
      </c>
      <c r="F63" s="357"/>
      <c r="G63" s="357"/>
      <c r="H63" s="357"/>
      <c r="I63" s="358"/>
      <c r="J63" s="358"/>
      <c r="K63" s="359"/>
      <c r="L63" s="359"/>
      <c r="M63" s="359"/>
      <c r="N63" s="418">
        <v>10000</v>
      </c>
      <c r="O63" s="407"/>
      <c r="P63" s="407"/>
      <c r="Q63" s="407"/>
    </row>
    <row r="64" spans="1:17" s="407" customFormat="1" x14ac:dyDescent="0.25">
      <c r="A64" s="409">
        <f t="shared" si="3"/>
        <v>6420000</v>
      </c>
      <c r="B64" s="419" t="s">
        <v>394</v>
      </c>
      <c r="C64" s="419" t="s">
        <v>939</v>
      </c>
      <c r="D64" s="357" t="s">
        <v>224</v>
      </c>
      <c r="E64" s="357" t="s">
        <v>1722</v>
      </c>
      <c r="F64" s="357"/>
      <c r="G64" s="357"/>
      <c r="H64" s="357"/>
      <c r="I64" s="358"/>
      <c r="J64" s="358"/>
      <c r="K64" s="359"/>
      <c r="L64" s="359"/>
      <c r="M64" s="359"/>
      <c r="N64" s="418">
        <v>75000</v>
      </c>
    </row>
    <row r="65" spans="1:17" s="407" customFormat="1" x14ac:dyDescent="0.25">
      <c r="A65" s="409">
        <f t="shared" si="3"/>
        <v>6420000</v>
      </c>
      <c r="B65" s="419" t="s">
        <v>394</v>
      </c>
      <c r="C65" s="419" t="s">
        <v>936</v>
      </c>
      <c r="D65" s="357" t="s">
        <v>224</v>
      </c>
      <c r="E65" s="357" t="s">
        <v>1722</v>
      </c>
      <c r="F65" s="357"/>
      <c r="G65" s="357"/>
      <c r="H65" s="357"/>
      <c r="I65" s="358"/>
      <c r="J65" s="358"/>
      <c r="K65" s="359"/>
      <c r="L65" s="359"/>
      <c r="M65" s="359"/>
      <c r="N65" s="418">
        <v>75000</v>
      </c>
    </row>
    <row r="66" spans="1:17" x14ac:dyDescent="0.25">
      <c r="A66" s="410">
        <f t="shared" si="3"/>
        <v>6420000</v>
      </c>
      <c r="B66" s="419" t="s">
        <v>394</v>
      </c>
      <c r="C66" s="419" t="s">
        <v>939</v>
      </c>
      <c r="D66" s="357" t="s">
        <v>224</v>
      </c>
      <c r="E66" s="357" t="s">
        <v>1723</v>
      </c>
      <c r="F66" s="357"/>
      <c r="G66" s="357"/>
      <c r="H66" s="357"/>
      <c r="I66" s="358"/>
      <c r="J66" s="358"/>
      <c r="K66" s="359"/>
      <c r="L66" s="359"/>
      <c r="M66" s="359"/>
      <c r="N66" s="418">
        <v>37500</v>
      </c>
      <c r="O66" s="407"/>
      <c r="P66" s="407"/>
      <c r="Q66" s="407"/>
    </row>
    <row r="67" spans="1:17" x14ac:dyDescent="0.25">
      <c r="A67" s="410">
        <f t="shared" si="3"/>
        <v>6420000</v>
      </c>
      <c r="B67" s="419" t="s">
        <v>394</v>
      </c>
      <c r="C67" s="419" t="s">
        <v>936</v>
      </c>
      <c r="D67" s="357" t="s">
        <v>224</v>
      </c>
      <c r="E67" s="357" t="s">
        <v>1723</v>
      </c>
      <c r="F67" s="357"/>
      <c r="G67" s="357"/>
      <c r="H67" s="357"/>
      <c r="I67" s="358"/>
      <c r="J67" s="358"/>
      <c r="K67" s="359"/>
      <c r="L67" s="359"/>
      <c r="M67" s="359"/>
      <c r="N67" s="418">
        <v>37500</v>
      </c>
      <c r="O67" s="407"/>
      <c r="P67" s="407"/>
      <c r="Q67" s="407"/>
    </row>
    <row r="68" spans="1:17" x14ac:dyDescent="0.25">
      <c r="A68" s="410">
        <f t="shared" si="3"/>
        <v>6420000</v>
      </c>
      <c r="B68" s="419" t="s">
        <v>394</v>
      </c>
      <c r="C68" s="419" t="s">
        <v>939</v>
      </c>
      <c r="D68" s="357" t="s">
        <v>224</v>
      </c>
      <c r="E68" s="357" t="s">
        <v>1723</v>
      </c>
      <c r="F68" s="357"/>
      <c r="G68" s="357"/>
      <c r="H68" s="357"/>
      <c r="I68" s="358"/>
      <c r="J68" s="358"/>
      <c r="K68" s="359"/>
      <c r="L68" s="359"/>
      <c r="M68" s="359"/>
      <c r="N68" s="418">
        <v>37500</v>
      </c>
      <c r="O68" s="407"/>
      <c r="P68" s="407"/>
      <c r="Q68" s="407"/>
    </row>
    <row r="69" spans="1:17" x14ac:dyDescent="0.25">
      <c r="A69" s="410">
        <f t="shared" si="3"/>
        <v>6420000</v>
      </c>
      <c r="B69" s="419" t="s">
        <v>394</v>
      </c>
      <c r="C69" s="419" t="s">
        <v>936</v>
      </c>
      <c r="D69" s="357" t="s">
        <v>224</v>
      </c>
      <c r="E69" s="357" t="s">
        <v>1723</v>
      </c>
      <c r="F69" s="357"/>
      <c r="G69" s="357"/>
      <c r="H69" s="357"/>
      <c r="I69" s="358"/>
      <c r="J69" s="358"/>
      <c r="K69" s="359"/>
      <c r="L69" s="359"/>
      <c r="M69" s="359"/>
      <c r="N69" s="418">
        <v>37500</v>
      </c>
      <c r="O69" s="407"/>
      <c r="P69" s="407"/>
      <c r="Q69" s="407"/>
    </row>
    <row r="70" spans="1:17" s="407" customFormat="1" x14ac:dyDescent="0.25">
      <c r="A70" s="410">
        <f t="shared" si="3"/>
        <v>6305000</v>
      </c>
      <c r="B70" s="419" t="s">
        <v>394</v>
      </c>
      <c r="C70" s="419" t="s">
        <v>939</v>
      </c>
      <c r="D70" s="357" t="s">
        <v>1724</v>
      </c>
      <c r="E70" s="357"/>
      <c r="F70" s="357"/>
      <c r="G70" s="357"/>
      <c r="H70" s="357"/>
      <c r="I70" s="358"/>
      <c r="J70" s="358"/>
      <c r="K70" s="359"/>
      <c r="L70" s="359"/>
      <c r="M70" s="359"/>
      <c r="N70" s="418">
        <v>50</v>
      </c>
    </row>
    <row r="71" spans="1:17" s="407" customFormat="1" x14ac:dyDescent="0.25">
      <c r="A71" s="410">
        <f t="shared" si="3"/>
        <v>6305000</v>
      </c>
      <c r="B71" s="419" t="s">
        <v>394</v>
      </c>
      <c r="C71" s="419" t="s">
        <v>937</v>
      </c>
      <c r="D71" s="357" t="s">
        <v>245</v>
      </c>
      <c r="E71" s="357"/>
      <c r="F71" s="357"/>
      <c r="G71" s="357"/>
      <c r="H71" s="357"/>
      <c r="I71" s="358"/>
      <c r="J71" s="358"/>
      <c r="K71" s="359"/>
      <c r="L71" s="359"/>
      <c r="M71" s="359"/>
      <c r="N71" s="418">
        <v>50</v>
      </c>
    </row>
    <row r="72" spans="1:17" s="407" customFormat="1" x14ac:dyDescent="0.25">
      <c r="A72" s="410">
        <f t="shared" si="3"/>
        <v>6420000</v>
      </c>
      <c r="B72" s="419" t="s">
        <v>394</v>
      </c>
      <c r="C72" s="419" t="s">
        <v>985</v>
      </c>
      <c r="D72" s="357" t="s">
        <v>224</v>
      </c>
      <c r="E72" s="357"/>
      <c r="F72" s="357"/>
      <c r="G72" s="357"/>
      <c r="H72" s="357"/>
      <c r="I72" s="358"/>
      <c r="J72" s="358"/>
      <c r="K72" s="359"/>
      <c r="L72" s="359"/>
      <c r="M72" s="359"/>
      <c r="N72" s="418">
        <v>26500.16</v>
      </c>
    </row>
    <row r="73" spans="1:17" s="407" customFormat="1" x14ac:dyDescent="0.25">
      <c r="A73" s="410">
        <f t="shared" si="3"/>
        <v>6420000</v>
      </c>
      <c r="B73" s="419" t="s">
        <v>394</v>
      </c>
      <c r="C73" s="419" t="s">
        <v>1010</v>
      </c>
      <c r="D73" s="357" t="s">
        <v>224</v>
      </c>
      <c r="E73" s="357"/>
      <c r="F73" s="357"/>
      <c r="G73" s="357"/>
      <c r="H73" s="357"/>
      <c r="I73" s="358"/>
      <c r="J73" s="358"/>
      <c r="K73" s="359"/>
      <c r="L73" s="359"/>
      <c r="M73" s="359"/>
      <c r="N73" s="418">
        <v>26500.16</v>
      </c>
    </row>
    <row r="74" spans="1:17" s="407" customFormat="1" x14ac:dyDescent="0.25">
      <c r="A74" s="410">
        <f t="shared" si="3"/>
        <v>6420000</v>
      </c>
      <c r="B74" s="419" t="s">
        <v>394</v>
      </c>
      <c r="C74" s="419" t="s">
        <v>1053</v>
      </c>
      <c r="D74" s="357" t="s">
        <v>224</v>
      </c>
      <c r="E74" s="357"/>
      <c r="F74" s="357"/>
      <c r="G74" s="357"/>
      <c r="H74" s="357"/>
      <c r="I74" s="358"/>
      <c r="J74" s="358"/>
      <c r="K74" s="359"/>
      <c r="L74" s="359"/>
      <c r="M74" s="359"/>
      <c r="N74" s="418">
        <v>26500.16</v>
      </c>
    </row>
    <row r="75" spans="1:17" s="407" customFormat="1" x14ac:dyDescent="0.25">
      <c r="A75" s="410">
        <f t="shared" si="3"/>
        <v>6420000</v>
      </c>
      <c r="B75" s="419" t="s">
        <v>394</v>
      </c>
      <c r="C75" s="419" t="s">
        <v>939</v>
      </c>
      <c r="D75" s="357" t="s">
        <v>224</v>
      </c>
      <c r="E75" s="357"/>
      <c r="F75" s="357"/>
      <c r="G75" s="357"/>
      <c r="H75" s="357"/>
      <c r="I75" s="358"/>
      <c r="J75" s="358"/>
      <c r="K75" s="359"/>
      <c r="L75" s="359"/>
      <c r="M75" s="359"/>
      <c r="N75" s="418">
        <v>26500.16</v>
      </c>
    </row>
    <row r="76" spans="1:17" s="407" customFormat="1" x14ac:dyDescent="0.25">
      <c r="A76" s="410">
        <f t="shared" si="3"/>
        <v>6420000</v>
      </c>
      <c r="B76" s="419" t="s">
        <v>394</v>
      </c>
      <c r="C76" s="419" t="s">
        <v>937</v>
      </c>
      <c r="D76" s="357" t="s">
        <v>224</v>
      </c>
      <c r="E76" s="357"/>
      <c r="F76" s="357"/>
      <c r="G76" s="357"/>
      <c r="H76" s="357"/>
      <c r="I76" s="358"/>
      <c r="J76" s="358"/>
      <c r="K76" s="359"/>
      <c r="L76" s="359"/>
      <c r="M76" s="359"/>
      <c r="N76" s="418">
        <v>26500.16</v>
      </c>
    </row>
    <row r="77" spans="1:17" x14ac:dyDescent="0.25">
      <c r="A77" s="410">
        <f t="shared" si="3"/>
        <v>6420000</v>
      </c>
      <c r="B77" s="419" t="s">
        <v>350</v>
      </c>
      <c r="C77" s="419" t="s">
        <v>107</v>
      </c>
      <c r="D77" s="417" t="s">
        <v>224</v>
      </c>
      <c r="E77" s="417" t="s">
        <v>1711</v>
      </c>
      <c r="F77" s="417"/>
      <c r="G77" s="417"/>
      <c r="H77" s="417"/>
      <c r="I77" s="259"/>
      <c r="J77" s="259"/>
      <c r="K77" s="348"/>
      <c r="L77" s="418"/>
      <c r="M77" s="418"/>
      <c r="N77" s="418">
        <v>1000</v>
      </c>
      <c r="O77" s="407"/>
      <c r="P77" s="407"/>
      <c r="Q77" s="407"/>
    </row>
    <row r="78" spans="1:17" x14ac:dyDescent="0.25">
      <c r="A78" s="410">
        <f t="shared" si="3"/>
        <v>6420000</v>
      </c>
      <c r="B78" s="419" t="s">
        <v>350</v>
      </c>
      <c r="C78" s="419" t="s">
        <v>977</v>
      </c>
      <c r="D78" s="357" t="s">
        <v>224</v>
      </c>
      <c r="E78" s="357" t="s">
        <v>1710</v>
      </c>
      <c r="F78" s="357"/>
      <c r="G78" s="357"/>
      <c r="H78" s="357"/>
      <c r="I78" s="358"/>
      <c r="J78" s="358"/>
      <c r="K78" s="359"/>
      <c r="L78" s="359"/>
      <c r="M78" s="359"/>
      <c r="N78" s="418">
        <v>2000</v>
      </c>
      <c r="O78" s="407"/>
      <c r="P78" s="407"/>
      <c r="Q78" s="407"/>
    </row>
    <row r="79" spans="1:17" x14ac:dyDescent="0.25">
      <c r="A79" s="410">
        <f t="shared" ref="A79:A87" si="4">VLOOKUP(D79,ProfSvcCodes,2)</f>
        <v>6420000</v>
      </c>
      <c r="B79" s="419" t="s">
        <v>1171</v>
      </c>
      <c r="C79" s="419" t="s">
        <v>939</v>
      </c>
      <c r="D79" s="357" t="s">
        <v>224</v>
      </c>
      <c r="E79" s="357"/>
      <c r="F79" s="357"/>
      <c r="G79" s="357"/>
      <c r="H79" s="357"/>
      <c r="I79" s="358"/>
      <c r="J79" s="358"/>
      <c r="K79" s="359"/>
      <c r="L79" s="359"/>
      <c r="M79" s="359"/>
      <c r="N79" s="418">
        <v>2000</v>
      </c>
      <c r="O79" s="407"/>
      <c r="P79" s="407"/>
      <c r="Q79" s="407"/>
    </row>
    <row r="80" spans="1:17" x14ac:dyDescent="0.25">
      <c r="A80" s="410">
        <f t="shared" si="4"/>
        <v>6420000</v>
      </c>
      <c r="B80" s="419" t="s">
        <v>1171</v>
      </c>
      <c r="C80" s="419" t="s">
        <v>933</v>
      </c>
      <c r="D80" s="357" t="s">
        <v>224</v>
      </c>
      <c r="E80" s="357"/>
      <c r="F80" s="357"/>
      <c r="G80" s="357"/>
      <c r="H80" s="357"/>
      <c r="I80" s="358"/>
      <c r="J80" s="358"/>
      <c r="K80" s="359"/>
      <c r="L80" s="359"/>
      <c r="M80" s="359"/>
      <c r="N80" s="418">
        <v>2000</v>
      </c>
      <c r="O80" s="407"/>
      <c r="P80" s="407"/>
      <c r="Q80" s="407"/>
    </row>
    <row r="81" spans="1:17" x14ac:dyDescent="0.25">
      <c r="A81" s="410">
        <f t="shared" si="4"/>
        <v>6420000</v>
      </c>
      <c r="B81" s="419" t="s">
        <v>1171</v>
      </c>
      <c r="C81" s="419" t="s">
        <v>1661</v>
      </c>
      <c r="D81" s="357" t="s">
        <v>224</v>
      </c>
      <c r="E81" s="357"/>
      <c r="F81" s="357"/>
      <c r="G81" s="357"/>
      <c r="H81" s="357"/>
      <c r="I81" s="358"/>
      <c r="J81" s="358"/>
      <c r="K81" s="359"/>
      <c r="L81" s="359"/>
      <c r="M81" s="359"/>
      <c r="N81" s="418">
        <v>10000</v>
      </c>
      <c r="O81" s="407"/>
      <c r="P81" s="407"/>
      <c r="Q81" s="407"/>
    </row>
    <row r="82" spans="1:17" x14ac:dyDescent="0.25">
      <c r="A82" s="410">
        <f t="shared" si="4"/>
        <v>6420000</v>
      </c>
      <c r="B82" s="419" t="s">
        <v>1171</v>
      </c>
      <c r="C82" s="419" t="s">
        <v>933</v>
      </c>
      <c r="D82" s="357" t="s">
        <v>224</v>
      </c>
      <c r="E82" s="357"/>
      <c r="F82" s="357"/>
      <c r="G82" s="357"/>
      <c r="H82" s="357"/>
      <c r="I82" s="358"/>
      <c r="J82" s="358"/>
      <c r="K82" s="359"/>
      <c r="L82" s="359"/>
      <c r="M82" s="359"/>
      <c r="N82" s="418">
        <v>10000</v>
      </c>
      <c r="O82" s="407"/>
      <c r="P82" s="407"/>
      <c r="Q82" s="407"/>
    </row>
    <row r="83" spans="1:17" x14ac:dyDescent="0.25">
      <c r="A83" s="410">
        <f t="shared" si="4"/>
        <v>6420000</v>
      </c>
      <c r="B83" s="419" t="s">
        <v>1171</v>
      </c>
      <c r="C83" s="419" t="s">
        <v>96</v>
      </c>
      <c r="D83" s="357" t="s">
        <v>224</v>
      </c>
      <c r="E83" s="357"/>
      <c r="F83" s="357"/>
      <c r="G83" s="357"/>
      <c r="H83" s="357"/>
      <c r="I83" s="358"/>
      <c r="J83" s="358"/>
      <c r="K83" s="359"/>
      <c r="L83" s="359"/>
      <c r="M83" s="359"/>
      <c r="N83" s="418">
        <v>50000</v>
      </c>
      <c r="O83" s="407"/>
      <c r="P83" s="407"/>
      <c r="Q83" s="407"/>
    </row>
    <row r="84" spans="1:17" x14ac:dyDescent="0.25">
      <c r="A84" s="410">
        <f t="shared" si="4"/>
        <v>6420000</v>
      </c>
      <c r="B84" s="419" t="s">
        <v>1171</v>
      </c>
      <c r="C84" s="419" t="s">
        <v>491</v>
      </c>
      <c r="D84" s="357" t="s">
        <v>224</v>
      </c>
      <c r="E84" s="357"/>
      <c r="F84" s="357"/>
      <c r="G84" s="357"/>
      <c r="H84" s="357"/>
      <c r="I84" s="358"/>
      <c r="J84" s="358"/>
      <c r="K84" s="359"/>
      <c r="L84" s="359"/>
      <c r="M84" s="359"/>
      <c r="N84" s="418">
        <v>15000</v>
      </c>
      <c r="O84" s="407"/>
      <c r="P84" s="407"/>
      <c r="Q84" s="407"/>
    </row>
    <row r="85" spans="1:17" x14ac:dyDescent="0.25">
      <c r="A85" s="410">
        <f t="shared" si="4"/>
        <v>6420000</v>
      </c>
      <c r="B85" s="419" t="s">
        <v>1171</v>
      </c>
      <c r="C85" s="419" t="s">
        <v>1049</v>
      </c>
      <c r="D85" s="357" t="s">
        <v>224</v>
      </c>
      <c r="E85" s="357"/>
      <c r="F85" s="357"/>
      <c r="G85" s="357"/>
      <c r="H85" s="357"/>
      <c r="I85" s="358"/>
      <c r="J85" s="358"/>
      <c r="K85" s="359"/>
      <c r="L85" s="359"/>
      <c r="M85" s="359"/>
      <c r="N85" s="418">
        <v>15000</v>
      </c>
      <c r="O85" s="407"/>
      <c r="P85" s="407"/>
      <c r="Q85" s="407"/>
    </row>
    <row r="86" spans="1:17" x14ac:dyDescent="0.25">
      <c r="A86" s="410">
        <f t="shared" si="4"/>
        <v>6410000</v>
      </c>
      <c r="B86" s="419" t="s">
        <v>1182</v>
      </c>
      <c r="C86" s="419" t="s">
        <v>1019</v>
      </c>
      <c r="D86" s="419" t="s">
        <v>223</v>
      </c>
      <c r="E86" s="417" t="s">
        <v>1250</v>
      </c>
      <c r="F86" s="417"/>
      <c r="G86" s="421"/>
      <c r="H86" s="421"/>
      <c r="I86" s="259"/>
      <c r="J86" s="259"/>
      <c r="K86" s="348"/>
      <c r="L86" s="418"/>
      <c r="M86" s="418"/>
      <c r="N86" s="418">
        <v>50000</v>
      </c>
      <c r="O86" s="39"/>
      <c r="P86" s="407"/>
      <c r="Q86" s="407"/>
    </row>
    <row r="87" spans="1:17" s="407" customFormat="1" x14ac:dyDescent="0.25">
      <c r="A87" s="410">
        <f t="shared" si="4"/>
        <v>6410000</v>
      </c>
      <c r="B87" s="419" t="s">
        <v>1182</v>
      </c>
      <c r="C87" s="419"/>
      <c r="D87" s="419" t="s">
        <v>223</v>
      </c>
      <c r="E87" s="417"/>
      <c r="F87" s="417"/>
      <c r="G87" s="421"/>
      <c r="H87" s="421"/>
      <c r="I87" s="259"/>
      <c r="J87" s="259"/>
      <c r="K87" s="348"/>
      <c r="L87" s="418"/>
      <c r="M87" s="418"/>
      <c r="N87" s="418"/>
      <c r="O87" s="39"/>
    </row>
    <row r="88" spans="1:17" x14ac:dyDescent="0.25">
      <c r="A88" s="215">
        <f t="shared" ref="A88:A100" si="5">VLOOKUP(D88,ProfSvcCodes,2)</f>
        <v>6420000</v>
      </c>
      <c r="B88" s="419" t="s">
        <v>20</v>
      </c>
      <c r="C88" s="419" t="s">
        <v>1019</v>
      </c>
      <c r="D88" s="417" t="s">
        <v>224</v>
      </c>
      <c r="E88" s="357" t="s">
        <v>1346</v>
      </c>
      <c r="F88" s="357" t="s">
        <v>14</v>
      </c>
      <c r="G88" s="357"/>
      <c r="H88" s="357"/>
      <c r="I88" s="358"/>
      <c r="J88" s="358"/>
      <c r="K88" s="359"/>
      <c r="L88" s="359"/>
      <c r="M88" s="359"/>
      <c r="N88" s="418"/>
      <c r="O88" s="39"/>
      <c r="P88" s="407"/>
      <c r="Q88" s="407"/>
    </row>
    <row r="89" spans="1:17" x14ac:dyDescent="0.25">
      <c r="A89" s="215">
        <f t="shared" si="5"/>
        <v>6420000</v>
      </c>
      <c r="B89" s="419" t="s">
        <v>510</v>
      </c>
      <c r="C89" s="419" t="s">
        <v>1049</v>
      </c>
      <c r="D89" s="417" t="s">
        <v>224</v>
      </c>
      <c r="E89" s="419" t="s">
        <v>1274</v>
      </c>
      <c r="F89" s="419"/>
      <c r="G89" s="419"/>
      <c r="H89" s="419"/>
      <c r="I89" s="355"/>
      <c r="J89" s="355"/>
      <c r="K89" s="408"/>
      <c r="L89" s="408"/>
      <c r="M89" s="408"/>
      <c r="N89" s="408">
        <v>50000</v>
      </c>
      <c r="O89" s="407"/>
      <c r="P89" s="407"/>
      <c r="Q89" s="407"/>
    </row>
    <row r="90" spans="1:17" x14ac:dyDescent="0.25">
      <c r="A90" s="215">
        <f t="shared" si="5"/>
        <v>6420000</v>
      </c>
      <c r="B90" s="419" t="s">
        <v>510</v>
      </c>
      <c r="C90" s="419" t="s">
        <v>995</v>
      </c>
      <c r="D90" s="417" t="s">
        <v>224</v>
      </c>
      <c r="E90" s="417" t="s">
        <v>1799</v>
      </c>
      <c r="F90" s="417"/>
      <c r="G90" s="417"/>
      <c r="H90" s="417"/>
      <c r="I90" s="259"/>
      <c r="J90" s="259"/>
      <c r="K90" s="420"/>
      <c r="L90" s="408"/>
      <c r="M90" s="408"/>
      <c r="N90" s="408">
        <v>430</v>
      </c>
      <c r="O90" s="407"/>
      <c r="P90" s="407"/>
      <c r="Q90" s="407"/>
    </row>
    <row r="91" spans="1:17" x14ac:dyDescent="0.25">
      <c r="A91" s="215">
        <f t="shared" si="5"/>
        <v>6420000</v>
      </c>
      <c r="B91" s="419" t="s">
        <v>510</v>
      </c>
      <c r="C91" s="419" t="s">
        <v>993</v>
      </c>
      <c r="D91" s="417" t="s">
        <v>224</v>
      </c>
      <c r="E91" s="417" t="s">
        <v>1276</v>
      </c>
      <c r="F91" s="419"/>
      <c r="G91" s="419"/>
      <c r="H91" s="419"/>
      <c r="I91" s="346"/>
      <c r="J91" s="346"/>
      <c r="K91" s="418"/>
      <c r="L91" s="418"/>
      <c r="M91" s="418"/>
      <c r="N91" s="418">
        <v>50000</v>
      </c>
      <c r="O91" s="407"/>
      <c r="P91" s="407"/>
      <c r="Q91" s="407"/>
    </row>
    <row r="92" spans="1:17" x14ac:dyDescent="0.25">
      <c r="A92" s="215">
        <f t="shared" si="5"/>
        <v>6420000</v>
      </c>
      <c r="B92" s="419" t="s">
        <v>510</v>
      </c>
      <c r="C92" s="419" t="s">
        <v>1003</v>
      </c>
      <c r="D92" s="417" t="s">
        <v>224</v>
      </c>
      <c r="E92" s="419" t="s">
        <v>1277</v>
      </c>
      <c r="F92" s="419"/>
      <c r="G92" s="419"/>
      <c r="H92" s="419"/>
      <c r="I92" s="355"/>
      <c r="J92" s="355"/>
      <c r="K92" s="408"/>
      <c r="L92" s="408"/>
      <c r="M92" s="408"/>
      <c r="N92" s="418">
        <v>20000</v>
      </c>
      <c r="O92" s="39"/>
      <c r="P92" s="407"/>
      <c r="Q92" s="407"/>
    </row>
    <row r="93" spans="1:17" x14ac:dyDescent="0.25">
      <c r="A93" s="215">
        <f t="shared" si="5"/>
        <v>6420000</v>
      </c>
      <c r="B93" s="419" t="s">
        <v>510</v>
      </c>
      <c r="C93" s="419" t="s">
        <v>995</v>
      </c>
      <c r="D93" s="417" t="s">
        <v>224</v>
      </c>
      <c r="E93" s="417" t="s">
        <v>1780</v>
      </c>
      <c r="F93" s="419"/>
      <c r="G93" s="419"/>
      <c r="H93" s="419"/>
      <c r="I93" s="355"/>
      <c r="J93" s="355"/>
      <c r="K93" s="348"/>
      <c r="L93" s="418"/>
      <c r="M93" s="418"/>
      <c r="N93" s="418">
        <v>6000</v>
      </c>
      <c r="O93" s="39"/>
      <c r="P93" s="407"/>
      <c r="Q93" s="407"/>
    </row>
    <row r="94" spans="1:17" x14ac:dyDescent="0.25">
      <c r="A94" s="215">
        <f t="shared" si="5"/>
        <v>6420000</v>
      </c>
      <c r="B94" s="419" t="s">
        <v>510</v>
      </c>
      <c r="C94" s="419" t="s">
        <v>993</v>
      </c>
      <c r="D94" s="417" t="s">
        <v>224</v>
      </c>
      <c r="E94" s="417" t="s">
        <v>1780</v>
      </c>
      <c r="F94" s="417"/>
      <c r="G94" s="421"/>
      <c r="H94" s="421"/>
      <c r="I94" s="259"/>
      <c r="J94" s="259"/>
      <c r="K94" s="348"/>
      <c r="L94" s="407"/>
      <c r="M94" s="418"/>
      <c r="N94" s="418">
        <v>4000</v>
      </c>
      <c r="O94" s="39"/>
      <c r="P94" s="407"/>
      <c r="Q94" s="407"/>
    </row>
    <row r="95" spans="1:17" x14ac:dyDescent="0.25">
      <c r="A95" s="215">
        <f t="shared" si="5"/>
        <v>6420000</v>
      </c>
      <c r="B95" s="419" t="s">
        <v>272</v>
      </c>
      <c r="C95" s="419" t="s">
        <v>1019</v>
      </c>
      <c r="D95" s="417" t="s">
        <v>224</v>
      </c>
      <c r="E95" s="417" t="s">
        <v>1251</v>
      </c>
      <c r="F95" s="419"/>
      <c r="G95" s="419"/>
      <c r="H95" s="419"/>
      <c r="I95" s="355"/>
      <c r="J95" s="355"/>
      <c r="K95" s="348"/>
      <c r="L95" s="418"/>
      <c r="M95" s="418"/>
      <c r="N95" s="418">
        <v>45000</v>
      </c>
      <c r="O95" s="39"/>
      <c r="P95" s="407"/>
      <c r="Q95" s="407"/>
    </row>
    <row r="96" spans="1:17" x14ac:dyDescent="0.25">
      <c r="A96" s="215">
        <f t="shared" si="5"/>
        <v>6305000</v>
      </c>
      <c r="B96" s="419" t="s">
        <v>272</v>
      </c>
      <c r="C96" s="419" t="s">
        <v>1019</v>
      </c>
      <c r="D96" s="417" t="s">
        <v>245</v>
      </c>
      <c r="E96" s="417" t="s">
        <v>1252</v>
      </c>
      <c r="F96" s="417"/>
      <c r="G96" s="421"/>
      <c r="H96" s="421"/>
      <c r="I96" s="259"/>
      <c r="J96" s="259"/>
      <c r="K96" s="420"/>
      <c r="L96" s="408"/>
      <c r="M96" s="408"/>
      <c r="N96" s="408">
        <v>81</v>
      </c>
      <c r="O96" s="407"/>
      <c r="P96" s="407"/>
      <c r="Q96" s="407"/>
    </row>
    <row r="97" spans="1:17" x14ac:dyDescent="0.25">
      <c r="A97" s="215">
        <f t="shared" si="5"/>
        <v>6420000</v>
      </c>
      <c r="B97" s="419" t="s">
        <v>272</v>
      </c>
      <c r="C97" s="419" t="s">
        <v>1019</v>
      </c>
      <c r="D97" s="417" t="s">
        <v>224</v>
      </c>
      <c r="E97" s="419" t="s">
        <v>1253</v>
      </c>
      <c r="F97" s="419"/>
      <c r="G97" s="419"/>
      <c r="H97" s="419"/>
      <c r="I97" s="355"/>
      <c r="J97" s="355"/>
      <c r="K97" s="348"/>
      <c r="L97" s="418"/>
      <c r="M97" s="418"/>
      <c r="N97" s="408">
        <v>800</v>
      </c>
      <c r="O97" s="407"/>
      <c r="P97" s="407"/>
      <c r="Q97" s="407"/>
    </row>
    <row r="98" spans="1:17" x14ac:dyDescent="0.25">
      <c r="A98" s="215">
        <f t="shared" si="5"/>
        <v>6420000</v>
      </c>
      <c r="B98" s="419" t="s">
        <v>272</v>
      </c>
      <c r="C98" s="419" t="s">
        <v>1019</v>
      </c>
      <c r="D98" s="417" t="s">
        <v>224</v>
      </c>
      <c r="E98" s="419" t="s">
        <v>1254</v>
      </c>
      <c r="F98" s="419"/>
      <c r="G98" s="419"/>
      <c r="H98" s="419"/>
      <c r="I98" s="355"/>
      <c r="J98" s="355"/>
      <c r="K98" s="348"/>
      <c r="L98" s="408"/>
      <c r="M98" s="408"/>
      <c r="N98" s="418">
        <v>500</v>
      </c>
      <c r="O98" s="407"/>
      <c r="P98" s="407"/>
      <c r="Q98" s="407"/>
    </row>
    <row r="99" spans="1:17" x14ac:dyDescent="0.25">
      <c r="A99" s="215">
        <f t="shared" si="5"/>
        <v>6420000</v>
      </c>
      <c r="B99" s="419" t="s">
        <v>272</v>
      </c>
      <c r="C99" s="419" t="s">
        <v>1019</v>
      </c>
      <c r="D99" s="417" t="s">
        <v>224</v>
      </c>
      <c r="E99" s="419" t="s">
        <v>1255</v>
      </c>
      <c r="F99" s="419"/>
      <c r="G99" s="419"/>
      <c r="H99" s="419"/>
      <c r="I99" s="355"/>
      <c r="J99" s="355"/>
      <c r="K99" s="348"/>
      <c r="L99" s="408"/>
      <c r="M99" s="408"/>
      <c r="N99" s="408">
        <v>1610.35</v>
      </c>
      <c r="O99" s="407"/>
      <c r="P99" s="407"/>
      <c r="Q99" s="407"/>
    </row>
    <row r="100" spans="1:17" x14ac:dyDescent="0.25">
      <c r="A100" s="215">
        <f t="shared" si="5"/>
        <v>6420000</v>
      </c>
      <c r="B100" s="419" t="s">
        <v>272</v>
      </c>
      <c r="C100" s="419" t="s">
        <v>1019</v>
      </c>
      <c r="D100" s="417" t="s">
        <v>224</v>
      </c>
      <c r="E100" s="419" t="s">
        <v>1256</v>
      </c>
      <c r="F100" s="419"/>
      <c r="G100" s="419"/>
      <c r="H100" s="419"/>
      <c r="I100" s="355"/>
      <c r="J100" s="355"/>
      <c r="K100" s="348"/>
      <c r="L100" s="418"/>
      <c r="M100" s="418"/>
      <c r="N100" s="418">
        <v>750</v>
      </c>
      <c r="O100" s="407"/>
      <c r="P100" s="407"/>
      <c r="Q100" s="407"/>
    </row>
    <row r="101" spans="1:17" x14ac:dyDescent="0.25">
      <c r="A101" s="215">
        <f t="shared" ref="A101:A130" si="6">VLOOKUP(D101,ProfSvcCodes,2)</f>
        <v>6420000</v>
      </c>
      <c r="B101" s="419" t="s">
        <v>272</v>
      </c>
      <c r="C101" s="419" t="s">
        <v>1019</v>
      </c>
      <c r="D101" s="417" t="s">
        <v>224</v>
      </c>
      <c r="E101" s="419" t="s">
        <v>1568</v>
      </c>
      <c r="F101" s="419"/>
      <c r="G101" s="419"/>
      <c r="H101" s="419"/>
      <c r="I101" s="355"/>
      <c r="J101" s="355"/>
      <c r="K101" s="348"/>
      <c r="L101" s="408"/>
      <c r="M101" s="408"/>
      <c r="N101" s="418">
        <v>71195</v>
      </c>
      <c r="O101" s="407"/>
      <c r="P101" s="407"/>
      <c r="Q101" s="407"/>
    </row>
    <row r="102" spans="1:17" x14ac:dyDescent="0.25">
      <c r="A102" s="215">
        <f t="shared" si="6"/>
        <v>6300005</v>
      </c>
      <c r="B102" s="419" t="s">
        <v>272</v>
      </c>
      <c r="C102" s="419" t="s">
        <v>1019</v>
      </c>
      <c r="D102" s="417" t="s">
        <v>513</v>
      </c>
      <c r="E102" s="419" t="s">
        <v>1258</v>
      </c>
      <c r="F102" s="419"/>
      <c r="G102" s="419"/>
      <c r="H102" s="419"/>
      <c r="I102" s="355"/>
      <c r="J102" s="355"/>
      <c r="K102" s="348"/>
      <c r="L102" s="418"/>
      <c r="M102" s="418"/>
      <c r="N102" s="418">
        <v>500</v>
      </c>
      <c r="O102" s="407"/>
      <c r="P102" s="407"/>
      <c r="Q102" s="407"/>
    </row>
    <row r="103" spans="1:17" s="407" customFormat="1" x14ac:dyDescent="0.25">
      <c r="A103" s="410">
        <f t="shared" si="6"/>
        <v>6410000</v>
      </c>
      <c r="B103" s="419" t="s">
        <v>272</v>
      </c>
      <c r="C103" s="419" t="s">
        <v>1019</v>
      </c>
      <c r="D103" s="417" t="s">
        <v>223</v>
      </c>
      <c r="E103" s="417" t="s">
        <v>1259</v>
      </c>
      <c r="F103" s="417"/>
      <c r="G103" s="417"/>
      <c r="H103" s="417"/>
      <c r="I103" s="259"/>
      <c r="J103" s="259"/>
      <c r="K103" s="348"/>
      <c r="L103" s="418"/>
      <c r="M103" s="418"/>
      <c r="N103" s="418">
        <v>1500</v>
      </c>
    </row>
    <row r="104" spans="1:17" s="407" customFormat="1" x14ac:dyDescent="0.25">
      <c r="A104" s="410">
        <f t="shared" si="6"/>
        <v>6420000</v>
      </c>
      <c r="B104" s="419" t="s">
        <v>21</v>
      </c>
      <c r="C104" s="419" t="s">
        <v>934</v>
      </c>
      <c r="D104" s="417" t="s">
        <v>224</v>
      </c>
      <c r="E104" s="417" t="s">
        <v>1275</v>
      </c>
      <c r="F104" s="417"/>
      <c r="G104" s="417"/>
      <c r="H104" s="417"/>
      <c r="I104" s="259"/>
      <c r="J104" s="259"/>
      <c r="K104" s="348"/>
      <c r="L104" s="418"/>
      <c r="M104" s="418"/>
      <c r="N104" s="418">
        <v>4000</v>
      </c>
    </row>
    <row r="105" spans="1:17" s="407" customFormat="1" x14ac:dyDescent="0.25">
      <c r="A105" s="410">
        <f t="shared" si="6"/>
        <v>6420000</v>
      </c>
      <c r="B105" s="419" t="s">
        <v>21</v>
      </c>
      <c r="C105" s="419" t="s">
        <v>972</v>
      </c>
      <c r="D105" s="417" t="s">
        <v>224</v>
      </c>
      <c r="E105" s="417" t="s">
        <v>1275</v>
      </c>
      <c r="F105" s="417"/>
      <c r="G105" s="417"/>
      <c r="H105" s="417"/>
      <c r="I105" s="259"/>
      <c r="J105" s="259"/>
      <c r="K105" s="348"/>
      <c r="L105" s="418"/>
      <c r="M105" s="418"/>
      <c r="N105" s="418">
        <v>4000</v>
      </c>
    </row>
    <row r="106" spans="1:17" s="407" customFormat="1" x14ac:dyDescent="0.25">
      <c r="A106" s="410">
        <f t="shared" si="6"/>
        <v>6420000</v>
      </c>
      <c r="B106" s="419" t="s">
        <v>21</v>
      </c>
      <c r="C106" s="19" t="s">
        <v>1022</v>
      </c>
      <c r="D106" s="417" t="s">
        <v>224</v>
      </c>
      <c r="E106" s="417" t="s">
        <v>1275</v>
      </c>
      <c r="F106" s="417"/>
      <c r="G106" s="417"/>
      <c r="H106" s="417"/>
      <c r="I106" s="259"/>
      <c r="J106" s="259"/>
      <c r="K106" s="348"/>
      <c r="L106" s="418"/>
      <c r="M106" s="418"/>
      <c r="N106" s="418">
        <v>4000</v>
      </c>
    </row>
    <row r="107" spans="1:17" s="407" customFormat="1" x14ac:dyDescent="0.25">
      <c r="A107" s="410">
        <f t="shared" si="6"/>
        <v>6420000</v>
      </c>
      <c r="B107" s="419" t="s">
        <v>21</v>
      </c>
      <c r="C107" s="419" t="s">
        <v>932</v>
      </c>
      <c r="D107" s="417" t="s">
        <v>224</v>
      </c>
      <c r="E107" s="417" t="s">
        <v>1275</v>
      </c>
      <c r="F107" s="417"/>
      <c r="G107" s="417"/>
      <c r="H107" s="417"/>
      <c r="I107" s="259"/>
      <c r="J107" s="259"/>
      <c r="K107" s="348"/>
      <c r="L107" s="418"/>
      <c r="M107" s="418"/>
      <c r="N107" s="418">
        <v>4000</v>
      </c>
    </row>
    <row r="108" spans="1:17" s="407" customFormat="1" x14ac:dyDescent="0.25">
      <c r="A108" s="410">
        <f t="shared" si="6"/>
        <v>6420000</v>
      </c>
      <c r="B108" s="419" t="s">
        <v>21</v>
      </c>
      <c r="C108" s="419" t="s">
        <v>936</v>
      </c>
      <c r="D108" s="357" t="s">
        <v>224</v>
      </c>
      <c r="E108" s="417" t="s">
        <v>1275</v>
      </c>
      <c r="F108" s="417"/>
      <c r="G108" s="417"/>
      <c r="H108" s="417"/>
      <c r="I108" s="259"/>
      <c r="J108" s="259"/>
      <c r="K108" s="348"/>
      <c r="L108" s="418"/>
      <c r="M108" s="418"/>
      <c r="N108" s="418">
        <v>4000</v>
      </c>
    </row>
    <row r="109" spans="1:17" s="407" customFormat="1" x14ac:dyDescent="0.25">
      <c r="A109" s="410">
        <f t="shared" si="6"/>
        <v>6400000</v>
      </c>
      <c r="B109" s="419" t="s">
        <v>1172</v>
      </c>
      <c r="C109" s="419" t="s">
        <v>954</v>
      </c>
      <c r="D109" s="417" t="s">
        <v>548</v>
      </c>
      <c r="E109" s="417" t="s">
        <v>1693</v>
      </c>
      <c r="F109" s="417"/>
      <c r="G109" s="421"/>
      <c r="H109" s="421"/>
      <c r="I109" s="259"/>
      <c r="J109" s="259"/>
      <c r="K109" s="348"/>
      <c r="L109" s="418"/>
      <c r="M109" s="418"/>
      <c r="N109" s="418">
        <v>21500</v>
      </c>
    </row>
    <row r="110" spans="1:17" s="407" customFormat="1" x14ac:dyDescent="0.25">
      <c r="A110" s="410">
        <f t="shared" ref="A110:A113" si="7">VLOOKUP(D110,ProfSvcCodes,2)</f>
        <v>6400000</v>
      </c>
      <c r="B110" s="419" t="s">
        <v>1172</v>
      </c>
      <c r="C110" s="419" t="s">
        <v>958</v>
      </c>
      <c r="D110" s="417" t="s">
        <v>548</v>
      </c>
      <c r="E110" s="417" t="s">
        <v>1693</v>
      </c>
      <c r="F110" s="417"/>
      <c r="G110" s="421"/>
      <c r="H110" s="421"/>
      <c r="I110" s="259"/>
      <c r="J110" s="259"/>
      <c r="K110" s="348"/>
      <c r="L110" s="418"/>
      <c r="M110" s="418"/>
      <c r="N110" s="418">
        <v>1500</v>
      </c>
    </row>
    <row r="111" spans="1:17" s="407" customFormat="1" x14ac:dyDescent="0.25">
      <c r="A111" s="410">
        <f t="shared" si="7"/>
        <v>6400000</v>
      </c>
      <c r="B111" s="419" t="s">
        <v>1172</v>
      </c>
      <c r="C111" s="419" t="s">
        <v>1044</v>
      </c>
      <c r="D111" s="417" t="s">
        <v>548</v>
      </c>
      <c r="E111" s="417" t="s">
        <v>1693</v>
      </c>
      <c r="F111" s="417"/>
      <c r="G111" s="421"/>
      <c r="H111" s="421"/>
      <c r="I111" s="259"/>
      <c r="J111" s="259"/>
      <c r="K111" s="348"/>
      <c r="L111" s="418"/>
      <c r="M111" s="418"/>
      <c r="N111" s="418">
        <v>750</v>
      </c>
    </row>
    <row r="112" spans="1:17" s="407" customFormat="1" x14ac:dyDescent="0.25">
      <c r="A112" s="410">
        <f t="shared" si="7"/>
        <v>6420000</v>
      </c>
      <c r="B112" s="419" t="s">
        <v>1172</v>
      </c>
      <c r="C112" s="419" t="s">
        <v>954</v>
      </c>
      <c r="D112" s="417" t="s">
        <v>224</v>
      </c>
      <c r="E112" s="417" t="s">
        <v>1694</v>
      </c>
      <c r="F112" s="417"/>
      <c r="G112" s="421"/>
      <c r="H112" s="421"/>
      <c r="I112" s="259"/>
      <c r="J112" s="259"/>
      <c r="K112" s="348"/>
      <c r="L112" s="418"/>
      <c r="M112" s="418"/>
      <c r="N112" s="418">
        <v>5000</v>
      </c>
    </row>
    <row r="113" spans="1:17" s="407" customFormat="1" x14ac:dyDescent="0.25">
      <c r="A113" s="410">
        <f t="shared" si="7"/>
        <v>6420000</v>
      </c>
      <c r="B113" s="419" t="s">
        <v>1172</v>
      </c>
      <c r="C113" s="419" t="s">
        <v>958</v>
      </c>
      <c r="D113" s="417" t="s">
        <v>224</v>
      </c>
      <c r="E113" s="417" t="s">
        <v>1694</v>
      </c>
      <c r="F113" s="417"/>
      <c r="G113" s="421"/>
      <c r="H113" s="421"/>
      <c r="I113" s="259"/>
      <c r="J113" s="259"/>
      <c r="K113" s="348"/>
      <c r="L113" s="418"/>
      <c r="M113" s="418"/>
      <c r="N113" s="418">
        <v>2000</v>
      </c>
    </row>
    <row r="114" spans="1:17" x14ac:dyDescent="0.25">
      <c r="A114" s="215">
        <f t="shared" si="6"/>
        <v>6300005</v>
      </c>
      <c r="B114" s="419" t="s">
        <v>1172</v>
      </c>
      <c r="C114" s="419" t="s">
        <v>954</v>
      </c>
      <c r="D114" s="417" t="s">
        <v>513</v>
      </c>
      <c r="E114" s="417" t="s">
        <v>1199</v>
      </c>
      <c r="F114" s="417"/>
      <c r="G114" s="421"/>
      <c r="H114" s="421"/>
      <c r="I114" s="259"/>
      <c r="J114" s="259"/>
      <c r="K114" s="348"/>
      <c r="L114" s="418"/>
      <c r="M114" s="418"/>
      <c r="N114" s="418">
        <v>850</v>
      </c>
      <c r="O114" s="39"/>
      <c r="P114" s="407"/>
      <c r="Q114" s="407"/>
    </row>
    <row r="115" spans="1:17" s="407" customFormat="1" x14ac:dyDescent="0.25">
      <c r="A115" s="410">
        <f t="shared" ref="A115:A116" si="8">VLOOKUP(D115,ProfSvcCodes,2)</f>
        <v>6300005</v>
      </c>
      <c r="B115" s="419" t="s">
        <v>1172</v>
      </c>
      <c r="C115" s="419" t="s">
        <v>958</v>
      </c>
      <c r="D115" s="417" t="s">
        <v>513</v>
      </c>
      <c r="E115" s="417" t="s">
        <v>1199</v>
      </c>
      <c r="F115" s="417"/>
      <c r="G115" s="421"/>
      <c r="H115" s="421"/>
      <c r="I115" s="259"/>
      <c r="J115" s="259"/>
      <c r="K115" s="348"/>
      <c r="L115" s="418"/>
      <c r="M115" s="418"/>
      <c r="N115" s="418">
        <v>100</v>
      </c>
      <c r="O115" s="39"/>
    </row>
    <row r="116" spans="1:17" s="407" customFormat="1" x14ac:dyDescent="0.25">
      <c r="A116" s="410">
        <f t="shared" si="8"/>
        <v>6300005</v>
      </c>
      <c r="B116" s="419" t="s">
        <v>1172</v>
      </c>
      <c r="C116" s="419" t="s">
        <v>1044</v>
      </c>
      <c r="D116" s="417" t="s">
        <v>513</v>
      </c>
      <c r="E116" s="417" t="s">
        <v>1199</v>
      </c>
      <c r="F116" s="417"/>
      <c r="G116" s="421"/>
      <c r="H116" s="421"/>
      <c r="I116" s="259"/>
      <c r="J116" s="259"/>
      <c r="K116" s="348"/>
      <c r="L116" s="418"/>
      <c r="M116" s="418"/>
      <c r="N116" s="418">
        <v>50</v>
      </c>
      <c r="O116" s="39"/>
    </row>
    <row r="117" spans="1:17" x14ac:dyDescent="0.25">
      <c r="A117" s="215">
        <f t="shared" si="6"/>
        <v>6305000</v>
      </c>
      <c r="B117" s="419" t="s">
        <v>1172</v>
      </c>
      <c r="C117" s="419" t="s">
        <v>954</v>
      </c>
      <c r="D117" s="417" t="s">
        <v>245</v>
      </c>
      <c r="E117" s="417" t="s">
        <v>1695</v>
      </c>
      <c r="F117" s="417"/>
      <c r="G117" s="421"/>
      <c r="H117" s="421"/>
      <c r="I117" s="259"/>
      <c r="J117" s="259"/>
      <c r="K117" s="348"/>
      <c r="L117" s="418"/>
      <c r="M117" s="418"/>
      <c r="N117" s="418">
        <v>739.37</v>
      </c>
      <c r="O117" s="39"/>
      <c r="P117" s="407"/>
      <c r="Q117" s="407"/>
    </row>
    <row r="118" spans="1:17" s="407" customFormat="1" x14ac:dyDescent="0.25">
      <c r="A118" s="410">
        <f t="shared" ref="A118:A120" si="9">VLOOKUP(D118,ProfSvcCodes,2)</f>
        <v>6305000</v>
      </c>
      <c r="B118" s="419" t="s">
        <v>1172</v>
      </c>
      <c r="C118" s="419" t="s">
        <v>958</v>
      </c>
      <c r="D118" s="417" t="s">
        <v>245</v>
      </c>
      <c r="E118" s="417" t="s">
        <v>1695</v>
      </c>
      <c r="F118" s="417"/>
      <c r="G118" s="421"/>
      <c r="H118" s="421"/>
      <c r="I118" s="259"/>
      <c r="J118" s="259"/>
      <c r="K118" s="348"/>
      <c r="L118" s="418"/>
      <c r="M118" s="418"/>
      <c r="N118" s="418">
        <v>86.99</v>
      </c>
      <c r="O118" s="39"/>
    </row>
    <row r="119" spans="1:17" s="407" customFormat="1" x14ac:dyDescent="0.25">
      <c r="A119" s="410">
        <f t="shared" si="9"/>
        <v>6305000</v>
      </c>
      <c r="B119" s="419" t="s">
        <v>1172</v>
      </c>
      <c r="C119" s="419" t="s">
        <v>1044</v>
      </c>
      <c r="D119" s="417" t="s">
        <v>245</v>
      </c>
      <c r="E119" s="417" t="s">
        <v>1695</v>
      </c>
      <c r="F119" s="417"/>
      <c r="G119" s="421"/>
      <c r="H119" s="421"/>
      <c r="I119" s="259"/>
      <c r="J119" s="259"/>
      <c r="K119" s="348"/>
      <c r="L119" s="418"/>
      <c r="M119" s="418"/>
      <c r="N119" s="418">
        <v>43.49</v>
      </c>
      <c r="O119" s="39"/>
    </row>
    <row r="120" spans="1:17" s="407" customFormat="1" x14ac:dyDescent="0.25">
      <c r="A120" s="410">
        <f t="shared" si="9"/>
        <v>6420000</v>
      </c>
      <c r="B120" s="419" t="s">
        <v>1172</v>
      </c>
      <c r="C120" s="419" t="s">
        <v>954</v>
      </c>
      <c r="D120" s="417" t="s">
        <v>224</v>
      </c>
      <c r="E120" s="417" t="s">
        <v>1696</v>
      </c>
      <c r="F120" s="417"/>
      <c r="G120" s="421"/>
      <c r="H120" s="421"/>
      <c r="I120" s="259"/>
      <c r="J120" s="259"/>
      <c r="K120" s="348"/>
      <c r="L120" s="418"/>
      <c r="M120" s="418"/>
      <c r="N120" s="418">
        <v>1953</v>
      </c>
      <c r="O120" s="39"/>
    </row>
    <row r="121" spans="1:17" s="407" customFormat="1" x14ac:dyDescent="0.25">
      <c r="A121" s="410">
        <f t="shared" ref="A121" si="10">VLOOKUP(D121,ProfSvcCodes,2)</f>
        <v>6420000</v>
      </c>
      <c r="B121" s="419" t="s">
        <v>1172</v>
      </c>
      <c r="C121" s="419" t="s">
        <v>954</v>
      </c>
      <c r="D121" s="417" t="s">
        <v>224</v>
      </c>
      <c r="E121" s="417" t="s">
        <v>1697</v>
      </c>
      <c r="F121" s="417"/>
      <c r="G121" s="421"/>
      <c r="H121" s="421"/>
      <c r="I121" s="259"/>
      <c r="J121" s="259"/>
      <c r="K121" s="348"/>
      <c r="L121" s="418"/>
      <c r="M121" s="418"/>
      <c r="N121" s="418">
        <v>50</v>
      </c>
      <c r="O121" s="39"/>
    </row>
    <row r="122" spans="1:17" s="407" customFormat="1" x14ac:dyDescent="0.25">
      <c r="A122" s="410">
        <f t="shared" ref="A122:A123" si="11">VLOOKUP(D122,ProfSvcCodes,2)</f>
        <v>6420000</v>
      </c>
      <c r="B122" s="419" t="s">
        <v>1172</v>
      </c>
      <c r="C122" s="419" t="s">
        <v>958</v>
      </c>
      <c r="D122" s="417" t="s">
        <v>224</v>
      </c>
      <c r="E122" s="417" t="s">
        <v>1697</v>
      </c>
      <c r="F122" s="417"/>
      <c r="G122" s="421"/>
      <c r="H122" s="421"/>
      <c r="I122" s="259"/>
      <c r="J122" s="259"/>
      <c r="K122" s="348"/>
      <c r="L122" s="418"/>
      <c r="M122" s="418"/>
      <c r="N122" s="418">
        <v>50</v>
      </c>
      <c r="O122" s="39"/>
    </row>
    <row r="123" spans="1:17" s="407" customFormat="1" x14ac:dyDescent="0.25">
      <c r="A123" s="410">
        <f t="shared" si="11"/>
        <v>6420000</v>
      </c>
      <c r="B123" s="419" t="s">
        <v>1172</v>
      </c>
      <c r="C123" s="419" t="s">
        <v>1044</v>
      </c>
      <c r="D123" s="417" t="s">
        <v>224</v>
      </c>
      <c r="E123" s="417" t="s">
        <v>1697</v>
      </c>
      <c r="F123" s="417"/>
      <c r="G123" s="421"/>
      <c r="H123" s="421"/>
      <c r="I123" s="259"/>
      <c r="J123" s="259"/>
      <c r="K123" s="348"/>
      <c r="L123" s="418"/>
      <c r="M123" s="418"/>
      <c r="N123" s="418">
        <v>50</v>
      </c>
      <c r="O123" s="39"/>
    </row>
    <row r="124" spans="1:17" x14ac:dyDescent="0.25">
      <c r="A124" s="215">
        <f t="shared" si="6"/>
        <v>6305000</v>
      </c>
      <c r="B124" s="419" t="s">
        <v>810</v>
      </c>
      <c r="C124" s="419" t="s">
        <v>1019</v>
      </c>
      <c r="D124" s="417" t="s">
        <v>245</v>
      </c>
      <c r="E124" s="417" t="s">
        <v>1316</v>
      </c>
      <c r="F124" s="417"/>
      <c r="G124" s="421"/>
      <c r="H124" s="421"/>
      <c r="I124" s="259"/>
      <c r="J124" s="259"/>
      <c r="K124" s="348"/>
      <c r="L124" s="418"/>
      <c r="M124" s="418"/>
      <c r="N124" s="418">
        <v>2200</v>
      </c>
      <c r="O124" s="407"/>
      <c r="P124" s="407"/>
      <c r="Q124" s="407"/>
    </row>
    <row r="125" spans="1:17" s="407" customFormat="1" x14ac:dyDescent="0.25">
      <c r="A125" s="410">
        <f t="shared" si="6"/>
        <v>6420000</v>
      </c>
      <c r="B125" s="419" t="s">
        <v>810</v>
      </c>
      <c r="C125" s="419" t="s">
        <v>1019</v>
      </c>
      <c r="D125" s="417" t="s">
        <v>224</v>
      </c>
      <c r="E125" s="417" t="s">
        <v>1758</v>
      </c>
      <c r="F125" s="417"/>
      <c r="G125" s="421"/>
      <c r="H125" s="421"/>
      <c r="I125" s="259"/>
      <c r="J125" s="259"/>
      <c r="K125" s="348"/>
      <c r="L125" s="418"/>
      <c r="M125" s="418"/>
      <c r="N125" s="418">
        <v>800</v>
      </c>
    </row>
    <row r="126" spans="1:17" x14ac:dyDescent="0.25">
      <c r="A126" s="215">
        <f t="shared" si="6"/>
        <v>6420000</v>
      </c>
      <c r="B126" s="419" t="s">
        <v>811</v>
      </c>
      <c r="C126" s="419" t="s">
        <v>108</v>
      </c>
      <c r="D126" s="417" t="s">
        <v>224</v>
      </c>
      <c r="E126" s="417" t="s">
        <v>1246</v>
      </c>
      <c r="F126" s="417"/>
      <c r="G126" s="421"/>
      <c r="H126" s="421"/>
      <c r="I126" s="259"/>
      <c r="J126" s="259"/>
      <c r="K126" s="348"/>
      <c r="L126" s="418"/>
      <c r="M126" s="418"/>
      <c r="N126" s="418">
        <v>8000</v>
      </c>
      <c r="O126" s="407"/>
      <c r="P126" s="407"/>
      <c r="Q126" s="407"/>
    </row>
    <row r="127" spans="1:17" x14ac:dyDescent="0.25">
      <c r="A127" s="215">
        <f t="shared" si="6"/>
        <v>6420000</v>
      </c>
      <c r="B127" s="419" t="s">
        <v>811</v>
      </c>
      <c r="C127" s="419" t="s">
        <v>108</v>
      </c>
      <c r="D127" s="417" t="s">
        <v>224</v>
      </c>
      <c r="E127" s="357" t="s">
        <v>1247</v>
      </c>
      <c r="F127" s="357"/>
      <c r="G127" s="357"/>
      <c r="H127" s="357"/>
      <c r="I127" s="358"/>
      <c r="J127" s="358"/>
      <c r="K127" s="359"/>
      <c r="L127" s="359"/>
      <c r="M127" s="359"/>
      <c r="N127" s="418">
        <v>3750</v>
      </c>
      <c r="O127" s="407"/>
      <c r="P127" s="407"/>
      <c r="Q127" s="407"/>
    </row>
    <row r="128" spans="1:17" x14ac:dyDescent="0.25">
      <c r="A128" s="215">
        <f t="shared" si="6"/>
        <v>6420000</v>
      </c>
      <c r="B128" s="419" t="s">
        <v>23</v>
      </c>
      <c r="C128" s="419" t="s">
        <v>96</v>
      </c>
      <c r="D128" s="417" t="s">
        <v>224</v>
      </c>
      <c r="E128" s="357" t="s">
        <v>1354</v>
      </c>
      <c r="F128" s="357"/>
      <c r="G128" s="357"/>
      <c r="H128" s="357"/>
      <c r="I128" s="358"/>
      <c r="J128" s="358"/>
      <c r="K128" s="359"/>
      <c r="L128" s="359"/>
      <c r="M128" s="359"/>
      <c r="N128" s="418">
        <v>85000</v>
      </c>
      <c r="O128" s="39"/>
      <c r="P128" s="246"/>
      <c r="Q128" s="407"/>
    </row>
    <row r="129" spans="1:17" x14ac:dyDescent="0.25">
      <c r="A129" s="215">
        <f t="shared" si="6"/>
        <v>6420000</v>
      </c>
      <c r="B129" s="419" t="s">
        <v>268</v>
      </c>
      <c r="C129" s="419" t="s">
        <v>96</v>
      </c>
      <c r="D129" s="417" t="s">
        <v>224</v>
      </c>
      <c r="E129" s="357" t="s">
        <v>1367</v>
      </c>
      <c r="F129" s="357"/>
      <c r="G129" s="357"/>
      <c r="H129" s="357"/>
      <c r="I129" s="358"/>
      <c r="J129" s="358"/>
      <c r="K129" s="359"/>
      <c r="L129" s="359"/>
      <c r="M129" s="359"/>
      <c r="N129" s="418">
        <v>72000</v>
      </c>
      <c r="O129" s="407"/>
      <c r="P129" s="407"/>
      <c r="Q129" s="407"/>
    </row>
    <row r="130" spans="1:17" x14ac:dyDescent="0.25">
      <c r="A130" s="215">
        <f t="shared" si="6"/>
        <v>6300005</v>
      </c>
      <c r="B130" s="419" t="s">
        <v>268</v>
      </c>
      <c r="C130" s="419" t="s">
        <v>99</v>
      </c>
      <c r="D130" s="417" t="s">
        <v>513</v>
      </c>
      <c r="E130" s="357" t="s">
        <v>1368</v>
      </c>
      <c r="F130" s="357"/>
      <c r="G130" s="357"/>
      <c r="H130" s="357"/>
      <c r="I130" s="358"/>
      <c r="J130" s="358"/>
      <c r="K130" s="359"/>
      <c r="L130" s="359"/>
      <c r="M130" s="359"/>
      <c r="N130" s="418">
        <v>2000</v>
      </c>
      <c r="O130" s="407"/>
      <c r="P130" s="407"/>
      <c r="Q130" s="407"/>
    </row>
    <row r="131" spans="1:17" x14ac:dyDescent="0.25">
      <c r="A131" s="215">
        <f t="shared" ref="A131:A144" si="12">VLOOKUP(D131,ProfSvcCodes,2)</f>
        <v>6420000</v>
      </c>
      <c r="B131" s="419" t="s">
        <v>268</v>
      </c>
      <c r="C131" s="419" t="s">
        <v>99</v>
      </c>
      <c r="D131" s="417" t="s">
        <v>224</v>
      </c>
      <c r="E131" s="357" t="s">
        <v>1369</v>
      </c>
      <c r="F131" s="357"/>
      <c r="G131" s="357" t="s">
        <v>1769</v>
      </c>
      <c r="H131" s="357"/>
      <c r="I131" s="358"/>
      <c r="J131" s="358"/>
      <c r="K131" s="359"/>
      <c r="L131" s="359"/>
      <c r="M131" s="359"/>
      <c r="N131" s="418">
        <v>250000</v>
      </c>
      <c r="O131" s="407"/>
      <c r="P131" s="407"/>
      <c r="Q131" s="407"/>
    </row>
    <row r="132" spans="1:17" x14ac:dyDescent="0.25">
      <c r="A132" s="215">
        <f t="shared" si="12"/>
        <v>6420000</v>
      </c>
      <c r="B132" s="419" t="s">
        <v>268</v>
      </c>
      <c r="C132" s="419" t="s">
        <v>99</v>
      </c>
      <c r="D132" s="417" t="s">
        <v>224</v>
      </c>
      <c r="E132" s="357" t="s">
        <v>1367</v>
      </c>
      <c r="F132" s="357"/>
      <c r="G132" s="357"/>
      <c r="H132" s="357"/>
      <c r="I132" s="358"/>
      <c r="J132" s="358"/>
      <c r="K132" s="359"/>
      <c r="L132" s="359"/>
      <c r="M132" s="359"/>
      <c r="N132" s="418">
        <v>300000</v>
      </c>
      <c r="O132" s="407"/>
      <c r="P132" s="407"/>
      <c r="Q132" s="407"/>
    </row>
    <row r="133" spans="1:17" x14ac:dyDescent="0.25">
      <c r="A133" s="215">
        <f t="shared" si="12"/>
        <v>6420000</v>
      </c>
      <c r="B133" s="419" t="s">
        <v>268</v>
      </c>
      <c r="C133" s="419" t="s">
        <v>99</v>
      </c>
      <c r="D133" s="417" t="s">
        <v>224</v>
      </c>
      <c r="E133" s="357" t="s">
        <v>1768</v>
      </c>
      <c r="F133" s="357"/>
      <c r="G133" s="357"/>
      <c r="H133" s="357"/>
      <c r="I133" s="358"/>
      <c r="J133" s="358"/>
      <c r="K133" s="359"/>
      <c r="L133" s="359"/>
      <c r="M133" s="359"/>
      <c r="N133" s="418">
        <v>3000</v>
      </c>
      <c r="O133" s="407"/>
      <c r="P133" s="407"/>
      <c r="Q133" s="407"/>
    </row>
    <row r="134" spans="1:17" x14ac:dyDescent="0.25">
      <c r="A134" s="215">
        <f t="shared" si="12"/>
        <v>6420000</v>
      </c>
      <c r="B134" s="419" t="s">
        <v>268</v>
      </c>
      <c r="C134" s="419" t="s">
        <v>96</v>
      </c>
      <c r="D134" s="417" t="s">
        <v>224</v>
      </c>
      <c r="E134" s="357" t="s">
        <v>1370</v>
      </c>
      <c r="F134" s="357"/>
      <c r="G134" s="357"/>
      <c r="H134" s="357"/>
      <c r="I134" s="358"/>
      <c r="J134" s="358"/>
      <c r="K134" s="359"/>
      <c r="L134" s="359"/>
      <c r="M134" s="359"/>
      <c r="N134" s="418">
        <v>200000</v>
      </c>
      <c r="O134" s="407"/>
      <c r="P134" s="407"/>
      <c r="Q134" s="407"/>
    </row>
    <row r="135" spans="1:17" s="407" customFormat="1" x14ac:dyDescent="0.25">
      <c r="A135" s="410">
        <f t="shared" si="12"/>
        <v>6300005</v>
      </c>
      <c r="B135" s="419" t="s">
        <v>268</v>
      </c>
      <c r="C135" s="419" t="s">
        <v>103</v>
      </c>
      <c r="D135" s="417" t="s">
        <v>513</v>
      </c>
      <c r="E135" s="357" t="s">
        <v>1368</v>
      </c>
      <c r="F135" s="357"/>
      <c r="G135" s="357"/>
      <c r="H135" s="357"/>
      <c r="I135" s="358"/>
      <c r="J135" s="358"/>
      <c r="K135" s="359"/>
      <c r="L135" s="359"/>
      <c r="M135" s="359"/>
      <c r="N135" s="418">
        <v>15000</v>
      </c>
    </row>
    <row r="136" spans="1:17" x14ac:dyDescent="0.25">
      <c r="A136" s="410">
        <f t="shared" si="12"/>
        <v>6300005</v>
      </c>
      <c r="B136" s="419" t="s">
        <v>268</v>
      </c>
      <c r="C136" s="419" t="s">
        <v>1661</v>
      </c>
      <c r="D136" s="417" t="s">
        <v>513</v>
      </c>
      <c r="E136" s="417" t="s">
        <v>1368</v>
      </c>
      <c r="F136" s="419"/>
      <c r="G136" s="419"/>
      <c r="H136" s="419"/>
      <c r="I136" s="355"/>
      <c r="J136" s="355"/>
      <c r="K136" s="348"/>
      <c r="L136" s="418"/>
      <c r="M136" s="418"/>
      <c r="N136" s="418">
        <v>150</v>
      </c>
      <c r="O136" s="39"/>
      <c r="P136" s="407"/>
      <c r="Q136" s="407"/>
    </row>
    <row r="137" spans="1:17" s="407" customFormat="1" x14ac:dyDescent="0.25">
      <c r="A137" s="410">
        <f t="shared" si="12"/>
        <v>6300005</v>
      </c>
      <c r="B137" s="419" t="s">
        <v>268</v>
      </c>
      <c r="C137" s="419" t="s">
        <v>933</v>
      </c>
      <c r="D137" s="417" t="s">
        <v>513</v>
      </c>
      <c r="E137" s="417" t="s">
        <v>1368</v>
      </c>
      <c r="F137" s="419"/>
      <c r="G137" s="419"/>
      <c r="H137" s="419"/>
      <c r="I137" s="355"/>
      <c r="J137" s="355"/>
      <c r="K137" s="348"/>
      <c r="L137" s="418"/>
      <c r="M137" s="418"/>
      <c r="N137" s="418">
        <v>600</v>
      </c>
      <c r="O137" s="39"/>
    </row>
    <row r="138" spans="1:17" s="407" customFormat="1" x14ac:dyDescent="0.25">
      <c r="A138" s="410">
        <f t="shared" si="12"/>
        <v>6300005</v>
      </c>
      <c r="B138" s="419" t="s">
        <v>268</v>
      </c>
      <c r="C138" s="419" t="s">
        <v>932</v>
      </c>
      <c r="D138" s="417" t="s">
        <v>513</v>
      </c>
      <c r="E138" s="417" t="s">
        <v>1368</v>
      </c>
      <c r="F138" s="419"/>
      <c r="G138" s="419"/>
      <c r="H138" s="419"/>
      <c r="I138" s="355"/>
      <c r="J138" s="355"/>
      <c r="K138" s="348"/>
      <c r="L138" s="418"/>
      <c r="M138" s="418"/>
      <c r="N138" s="418">
        <v>600</v>
      </c>
      <c r="O138" s="39"/>
    </row>
    <row r="139" spans="1:17" x14ac:dyDescent="0.25">
      <c r="A139" s="215">
        <f t="shared" si="12"/>
        <v>6420000</v>
      </c>
      <c r="B139" s="419" t="s">
        <v>267</v>
      </c>
      <c r="C139" s="419" t="s">
        <v>96</v>
      </c>
      <c r="D139" s="417" t="s">
        <v>224</v>
      </c>
      <c r="E139" s="357" t="s">
        <v>1342</v>
      </c>
      <c r="F139" s="357"/>
      <c r="G139" s="357"/>
      <c r="H139" s="357"/>
      <c r="I139" s="358"/>
      <c r="J139" s="358"/>
      <c r="K139" s="359"/>
      <c r="L139" s="359"/>
      <c r="M139" s="359"/>
      <c r="N139" s="418">
        <v>18000</v>
      </c>
      <c r="O139" s="407"/>
      <c r="P139" s="407"/>
      <c r="Q139" s="407"/>
    </row>
    <row r="140" spans="1:17" x14ac:dyDescent="0.25">
      <c r="A140" s="215">
        <f t="shared" si="12"/>
        <v>6420000</v>
      </c>
      <c r="B140" s="419" t="s">
        <v>267</v>
      </c>
      <c r="C140" s="419" t="s">
        <v>103</v>
      </c>
      <c r="D140" s="417" t="s">
        <v>224</v>
      </c>
      <c r="E140" s="357" t="s">
        <v>1287</v>
      </c>
      <c r="F140" s="357"/>
      <c r="G140" s="357"/>
      <c r="H140" s="357"/>
      <c r="I140" s="358"/>
      <c r="J140" s="358"/>
      <c r="K140" s="359"/>
      <c r="L140" s="359"/>
      <c r="M140" s="359"/>
      <c r="N140" s="418">
        <v>12000</v>
      </c>
      <c r="O140" s="407"/>
      <c r="P140" s="407"/>
      <c r="Q140" s="407"/>
    </row>
    <row r="141" spans="1:17" x14ac:dyDescent="0.25">
      <c r="A141" s="215">
        <f t="shared" si="12"/>
        <v>6420000</v>
      </c>
      <c r="B141" s="419" t="s">
        <v>267</v>
      </c>
      <c r="C141" s="419" t="s">
        <v>983</v>
      </c>
      <c r="D141" s="417" t="s">
        <v>224</v>
      </c>
      <c r="E141" s="357" t="s">
        <v>1343</v>
      </c>
      <c r="F141" s="357"/>
      <c r="G141" s="357"/>
      <c r="H141" s="357"/>
      <c r="I141" s="358"/>
      <c r="J141" s="358"/>
      <c r="K141" s="359"/>
      <c r="L141" s="359"/>
      <c r="M141" s="359"/>
      <c r="N141" s="418">
        <v>5145</v>
      </c>
      <c r="O141" s="407"/>
      <c r="P141" s="407"/>
      <c r="Q141" s="407"/>
    </row>
    <row r="142" spans="1:17" x14ac:dyDescent="0.25">
      <c r="A142" s="215">
        <f t="shared" si="12"/>
        <v>6300010</v>
      </c>
      <c r="B142" s="419" t="s">
        <v>267</v>
      </c>
      <c r="C142" s="419" t="s">
        <v>103</v>
      </c>
      <c r="D142" s="417" t="s">
        <v>497</v>
      </c>
      <c r="E142" s="357" t="s">
        <v>1341</v>
      </c>
      <c r="F142" s="357"/>
      <c r="G142" s="357"/>
      <c r="H142" s="357"/>
      <c r="I142" s="358"/>
      <c r="J142" s="358"/>
      <c r="K142" s="359"/>
      <c r="L142" s="359"/>
      <c r="M142" s="359"/>
      <c r="N142" s="418"/>
      <c r="O142" s="407"/>
      <c r="P142" s="407"/>
      <c r="Q142" s="407"/>
    </row>
    <row r="143" spans="1:17" x14ac:dyDescent="0.25">
      <c r="A143" s="215">
        <f t="shared" si="12"/>
        <v>6420000</v>
      </c>
      <c r="B143" s="419" t="s">
        <v>267</v>
      </c>
      <c r="C143" s="419" t="s">
        <v>103</v>
      </c>
      <c r="D143" s="417" t="s">
        <v>224</v>
      </c>
      <c r="E143" s="419" t="s">
        <v>1344</v>
      </c>
      <c r="F143" s="419"/>
      <c r="G143" s="419"/>
      <c r="H143" s="419"/>
      <c r="I143" s="355"/>
      <c r="J143" s="355"/>
      <c r="K143" s="348"/>
      <c r="L143" s="418"/>
      <c r="M143" s="418"/>
      <c r="N143" s="418">
        <v>600</v>
      </c>
      <c r="O143" s="407"/>
      <c r="P143" s="407"/>
      <c r="Q143" s="407"/>
    </row>
    <row r="144" spans="1:17" x14ac:dyDescent="0.25">
      <c r="A144" s="215">
        <f t="shared" si="12"/>
        <v>6420000</v>
      </c>
      <c r="B144" s="419" t="s">
        <v>920</v>
      </c>
      <c r="C144" s="419" t="s">
        <v>1019</v>
      </c>
      <c r="D144" s="417" t="s">
        <v>224</v>
      </c>
      <c r="E144" s="419" t="s">
        <v>1231</v>
      </c>
      <c r="F144" s="419"/>
      <c r="G144" s="419"/>
      <c r="H144" s="419"/>
      <c r="I144" s="355"/>
      <c r="J144" s="355"/>
      <c r="K144" s="348"/>
      <c r="L144" s="418"/>
      <c r="M144" s="418"/>
      <c r="N144" s="418">
        <v>10000</v>
      </c>
      <c r="O144" s="407"/>
      <c r="P144" s="407"/>
      <c r="Q144" s="407"/>
    </row>
    <row r="145" spans="1:17" x14ac:dyDescent="0.25">
      <c r="A145" s="215" t="e">
        <f t="shared" ref="A145:A152" si="13">VLOOKUP(D145,ProfSvcCodes,2)</f>
        <v>#N/A</v>
      </c>
      <c r="B145" s="419"/>
      <c r="C145" s="419"/>
      <c r="D145" s="357"/>
      <c r="E145" s="357"/>
      <c r="F145" s="357"/>
      <c r="G145" s="357"/>
      <c r="H145" s="357"/>
      <c r="I145" s="358"/>
      <c r="J145" s="358"/>
      <c r="K145" s="359"/>
      <c r="L145" s="359"/>
      <c r="M145" s="359"/>
      <c r="N145" s="418"/>
      <c r="O145" s="407"/>
      <c r="P145" s="407"/>
      <c r="Q145" s="407"/>
    </row>
    <row r="146" spans="1:17" x14ac:dyDescent="0.25">
      <c r="A146" s="215" t="e">
        <f t="shared" si="13"/>
        <v>#N/A</v>
      </c>
      <c r="B146" s="419"/>
      <c r="C146" s="419"/>
      <c r="D146" s="357"/>
      <c r="E146" s="357"/>
      <c r="F146" s="357"/>
      <c r="G146" s="357"/>
      <c r="H146" s="357"/>
      <c r="I146" s="358"/>
      <c r="J146" s="358"/>
      <c r="K146" s="359"/>
      <c r="L146" s="359"/>
      <c r="M146" s="359"/>
      <c r="N146" s="418"/>
      <c r="O146" s="407"/>
      <c r="P146" s="407"/>
      <c r="Q146" s="407"/>
    </row>
    <row r="147" spans="1:17" x14ac:dyDescent="0.25">
      <c r="A147" s="215" t="e">
        <f t="shared" si="13"/>
        <v>#N/A</v>
      </c>
      <c r="B147" s="419"/>
      <c r="C147" s="419"/>
      <c r="D147" s="357"/>
      <c r="E147" s="357"/>
      <c r="F147" s="357"/>
      <c r="G147" s="357"/>
      <c r="H147" s="357"/>
      <c r="I147" s="358"/>
      <c r="J147" s="358"/>
      <c r="K147" s="359"/>
      <c r="L147" s="359"/>
      <c r="M147" s="359"/>
      <c r="N147" s="418"/>
      <c r="O147" s="407"/>
      <c r="P147" s="407"/>
      <c r="Q147" s="407"/>
    </row>
    <row r="148" spans="1:17" x14ac:dyDescent="0.25">
      <c r="A148" s="215" t="e">
        <f t="shared" si="13"/>
        <v>#N/A</v>
      </c>
      <c r="B148" s="419"/>
      <c r="C148" s="419"/>
      <c r="D148" s="357"/>
      <c r="E148" s="357"/>
      <c r="F148" s="357"/>
      <c r="G148" s="357"/>
      <c r="H148" s="357"/>
      <c r="I148" s="358"/>
      <c r="J148" s="358"/>
      <c r="K148" s="359"/>
      <c r="L148" s="359"/>
      <c r="M148" s="359"/>
      <c r="N148" s="418"/>
      <c r="O148" s="407"/>
      <c r="P148" s="407"/>
      <c r="Q148" s="407"/>
    </row>
    <row r="149" spans="1:17" x14ac:dyDescent="0.25">
      <c r="A149" s="215" t="e">
        <f t="shared" si="13"/>
        <v>#N/A</v>
      </c>
      <c r="B149" s="419"/>
      <c r="C149" s="419"/>
      <c r="D149" s="357"/>
      <c r="E149" s="357"/>
      <c r="F149" s="357"/>
      <c r="G149" s="357"/>
      <c r="H149" s="357"/>
      <c r="I149" s="358"/>
      <c r="J149" s="358"/>
      <c r="K149" s="359"/>
      <c r="L149" s="359"/>
      <c r="M149" s="359"/>
      <c r="N149" s="418"/>
      <c r="O149" s="407"/>
      <c r="P149" s="407"/>
      <c r="Q149" s="407"/>
    </row>
    <row r="150" spans="1:17" x14ac:dyDescent="0.25">
      <c r="A150" s="215" t="e">
        <f t="shared" si="13"/>
        <v>#N/A</v>
      </c>
      <c r="B150" s="419"/>
      <c r="C150" s="419"/>
      <c r="D150" s="357"/>
      <c r="E150" s="357"/>
      <c r="F150" s="357"/>
      <c r="G150" s="357"/>
      <c r="H150" s="357"/>
      <c r="I150" s="358"/>
      <c r="J150" s="358"/>
      <c r="K150" s="359"/>
      <c r="L150" s="359"/>
      <c r="M150" s="359"/>
      <c r="N150" s="418"/>
      <c r="O150" s="407"/>
      <c r="P150" s="407"/>
      <c r="Q150" s="407"/>
    </row>
    <row r="151" spans="1:17" x14ac:dyDescent="0.25">
      <c r="A151" s="215" t="e">
        <f t="shared" si="13"/>
        <v>#N/A</v>
      </c>
      <c r="B151" s="419"/>
      <c r="C151" s="419"/>
      <c r="D151" s="357"/>
      <c r="E151" s="357"/>
      <c r="F151" s="357"/>
      <c r="G151" s="357"/>
      <c r="H151" s="357"/>
      <c r="I151" s="358"/>
      <c r="J151" s="358"/>
      <c r="K151" s="359"/>
      <c r="L151" s="359"/>
      <c r="M151" s="359"/>
      <c r="N151" s="418"/>
      <c r="O151" s="407"/>
      <c r="P151" s="407"/>
      <c r="Q151" s="407"/>
    </row>
    <row r="152" spans="1:17" x14ac:dyDescent="0.25">
      <c r="A152" s="215" t="e">
        <f t="shared" si="13"/>
        <v>#N/A</v>
      </c>
      <c r="B152" s="419"/>
      <c r="C152" s="419"/>
      <c r="D152" s="357"/>
      <c r="E152" s="357"/>
      <c r="F152" s="357"/>
      <c r="G152" s="357"/>
      <c r="H152" s="357"/>
      <c r="I152" s="358"/>
      <c r="J152" s="358"/>
      <c r="K152" s="359"/>
      <c r="L152" s="359"/>
      <c r="M152" s="359"/>
      <c r="N152" s="418"/>
      <c r="O152" s="407"/>
      <c r="P152" s="407"/>
      <c r="Q152" s="407"/>
    </row>
    <row r="153" spans="1:17" x14ac:dyDescent="0.25">
      <c r="A153" s="215" t="e">
        <f>VLOOKUP(D153,ProfSvcCodes,2)</f>
        <v>#N/A</v>
      </c>
      <c r="B153" s="288"/>
      <c r="C153" s="288"/>
      <c r="D153" s="349"/>
      <c r="E153" s="349"/>
      <c r="F153" s="349"/>
      <c r="G153" s="349"/>
      <c r="H153" s="349"/>
      <c r="I153" s="356"/>
      <c r="J153" s="356"/>
      <c r="K153" s="40"/>
      <c r="L153" s="40"/>
      <c r="M153" s="40"/>
      <c r="N153" s="40"/>
    </row>
    <row r="154" spans="1:17" ht="15.75" thickBot="1" x14ac:dyDescent="0.3">
      <c r="A154" s="216" t="e">
        <f>VLOOKUP(D154,ProfSvcCodes,2)</f>
        <v>#N/A</v>
      </c>
      <c r="B154" s="288"/>
      <c r="C154" s="288"/>
      <c r="D154" s="349"/>
      <c r="E154" s="349"/>
      <c r="F154" s="349"/>
      <c r="G154" s="349"/>
      <c r="H154" s="349"/>
      <c r="I154" s="356"/>
      <c r="J154" s="356"/>
      <c r="K154" s="40"/>
      <c r="L154" s="40"/>
      <c r="M154" s="40"/>
      <c r="N154" s="40"/>
    </row>
    <row r="155" spans="1:17" ht="15.75" thickBot="1" x14ac:dyDescent="0.3">
      <c r="A155" s="74"/>
      <c r="B155" s="75"/>
      <c r="C155" s="75"/>
      <c r="D155" s="76">
        <f>COUNTA(D26:D154)</f>
        <v>119</v>
      </c>
      <c r="E155" s="77"/>
      <c r="F155" s="77"/>
      <c r="G155" s="78"/>
      <c r="H155" s="78"/>
      <c r="I155" s="77"/>
      <c r="J155" s="79"/>
      <c r="K155" s="79">
        <f>SUM(K26:K154)</f>
        <v>0</v>
      </c>
      <c r="L155" s="80">
        <f>SUM(L26:L154)</f>
        <v>0</v>
      </c>
      <c r="M155" s="80">
        <f>SUM(M26:M154)</f>
        <v>0</v>
      </c>
      <c r="N155" s="440">
        <f>SUM(N26:N154)</f>
        <v>2530757</v>
      </c>
      <c r="O155" s="90">
        <f>SUM(O26:O144)</f>
        <v>0</v>
      </c>
      <c r="P155" s="90"/>
      <c r="Q155" s="90"/>
    </row>
    <row r="156" spans="1:17" x14ac:dyDescent="0.25">
      <c r="A156" s="151">
        <v>6400000</v>
      </c>
      <c r="B156" s="84" t="s">
        <v>19</v>
      </c>
      <c r="C156" s="85"/>
      <c r="D156" s="86" t="s">
        <v>548</v>
      </c>
      <c r="E156" s="86"/>
      <c r="F156" s="86"/>
      <c r="G156" s="86"/>
      <c r="H156" s="86"/>
      <c r="I156" s="86"/>
      <c r="J156" s="156"/>
      <c r="K156" s="156">
        <f t="shared" ref="K156:N175" si="14">SUMIFS(K$26:K$154,$A$26:$A$154,$A156,$B$26:$B$154,$B156)</f>
        <v>0</v>
      </c>
      <c r="L156" s="156">
        <f t="shared" si="14"/>
        <v>0</v>
      </c>
      <c r="M156" s="156">
        <f t="shared" si="14"/>
        <v>0</v>
      </c>
      <c r="N156" s="156">
        <f t="shared" si="14"/>
        <v>246490</v>
      </c>
      <c r="O156" s="91"/>
      <c r="P156" s="91"/>
      <c r="Q156" s="91"/>
    </row>
    <row r="157" spans="1:17" x14ac:dyDescent="0.25">
      <c r="A157" s="152">
        <v>6400000</v>
      </c>
      <c r="B157" s="73" t="s">
        <v>18</v>
      </c>
      <c r="C157" s="88"/>
      <c r="D157" s="89" t="s">
        <v>548</v>
      </c>
      <c r="E157" s="89"/>
      <c r="F157" s="89"/>
      <c r="G157" s="89"/>
      <c r="H157" s="89"/>
      <c r="I157" s="89"/>
      <c r="J157" s="154"/>
      <c r="K157" s="154">
        <f t="shared" si="14"/>
        <v>0</v>
      </c>
      <c r="L157" s="154">
        <f t="shared" si="14"/>
        <v>0</v>
      </c>
      <c r="M157" s="154">
        <f t="shared" si="14"/>
        <v>0</v>
      </c>
      <c r="N157" s="154">
        <f t="shared" si="14"/>
        <v>0</v>
      </c>
      <c r="O157" s="91"/>
      <c r="P157" s="91"/>
      <c r="Q157" s="91"/>
    </row>
    <row r="158" spans="1:17" x14ac:dyDescent="0.25">
      <c r="A158" s="152">
        <v>6400000</v>
      </c>
      <c r="B158" s="73" t="s">
        <v>22</v>
      </c>
      <c r="C158" s="88"/>
      <c r="D158" s="89" t="s">
        <v>548</v>
      </c>
      <c r="E158" s="89"/>
      <c r="F158" s="89"/>
      <c r="G158" s="89"/>
      <c r="H158" s="89"/>
      <c r="I158" s="89"/>
      <c r="J158" s="154"/>
      <c r="K158" s="154">
        <f t="shared" si="14"/>
        <v>0</v>
      </c>
      <c r="L158" s="154">
        <f t="shared" si="14"/>
        <v>0</v>
      </c>
      <c r="M158" s="154">
        <f t="shared" si="14"/>
        <v>0</v>
      </c>
      <c r="N158" s="154">
        <f t="shared" si="14"/>
        <v>0</v>
      </c>
      <c r="O158" s="91"/>
      <c r="P158" s="91"/>
      <c r="Q158" s="91"/>
    </row>
    <row r="159" spans="1:17" x14ac:dyDescent="0.25">
      <c r="A159" s="152">
        <v>6400000</v>
      </c>
      <c r="B159" s="73" t="s">
        <v>24</v>
      </c>
      <c r="C159" s="88"/>
      <c r="D159" s="89" t="s">
        <v>548</v>
      </c>
      <c r="E159" s="89"/>
      <c r="F159" s="89"/>
      <c r="G159" s="89"/>
      <c r="H159" s="89"/>
      <c r="I159" s="89"/>
      <c r="J159" s="154"/>
      <c r="K159" s="154">
        <f t="shared" si="14"/>
        <v>0</v>
      </c>
      <c r="L159" s="154">
        <f t="shared" si="14"/>
        <v>0</v>
      </c>
      <c r="M159" s="154">
        <f t="shared" si="14"/>
        <v>0</v>
      </c>
      <c r="N159" s="154">
        <f t="shared" si="14"/>
        <v>0</v>
      </c>
      <c r="O159" s="91"/>
      <c r="P159" s="91"/>
      <c r="Q159" s="91"/>
    </row>
    <row r="160" spans="1:17" x14ac:dyDescent="0.25">
      <c r="A160" s="152">
        <v>6400000</v>
      </c>
      <c r="B160" s="73" t="s">
        <v>25</v>
      </c>
      <c r="C160" s="88"/>
      <c r="D160" s="89" t="s">
        <v>548</v>
      </c>
      <c r="E160" s="89"/>
      <c r="F160" s="89"/>
      <c r="G160" s="89"/>
      <c r="H160" s="89"/>
      <c r="I160" s="89"/>
      <c r="J160" s="154"/>
      <c r="K160" s="154">
        <f t="shared" si="14"/>
        <v>0</v>
      </c>
      <c r="L160" s="154">
        <f t="shared" si="14"/>
        <v>0</v>
      </c>
      <c r="M160" s="154">
        <f t="shared" si="14"/>
        <v>0</v>
      </c>
      <c r="N160" s="154">
        <f t="shared" si="14"/>
        <v>0</v>
      </c>
      <c r="O160" s="91"/>
      <c r="P160" s="91"/>
      <c r="Q160" s="91"/>
    </row>
    <row r="161" spans="1:17" x14ac:dyDescent="0.25">
      <c r="A161" s="152">
        <v>6400000</v>
      </c>
      <c r="B161" s="73" t="s">
        <v>394</v>
      </c>
      <c r="C161" s="88"/>
      <c r="D161" s="89" t="s">
        <v>548</v>
      </c>
      <c r="E161" s="89"/>
      <c r="F161" s="89"/>
      <c r="G161" s="89"/>
      <c r="H161" s="89"/>
      <c r="I161" s="89"/>
      <c r="J161" s="154"/>
      <c r="K161" s="154">
        <f t="shared" si="14"/>
        <v>0</v>
      </c>
      <c r="L161" s="154">
        <f t="shared" si="14"/>
        <v>0</v>
      </c>
      <c r="M161" s="154">
        <f t="shared" si="14"/>
        <v>0</v>
      </c>
      <c r="N161" s="154">
        <f t="shared" si="14"/>
        <v>0</v>
      </c>
      <c r="O161" s="91"/>
      <c r="P161" s="91"/>
      <c r="Q161" s="91"/>
    </row>
    <row r="162" spans="1:17" x14ac:dyDescent="0.25">
      <c r="A162" s="152">
        <v>6400000</v>
      </c>
      <c r="B162" s="73" t="s">
        <v>350</v>
      </c>
      <c r="C162" s="88"/>
      <c r="D162" s="89" t="s">
        <v>548</v>
      </c>
      <c r="E162" s="89"/>
      <c r="F162" s="89"/>
      <c r="G162" s="89"/>
      <c r="H162" s="89"/>
      <c r="I162" s="89"/>
      <c r="J162" s="154"/>
      <c r="K162" s="154">
        <f t="shared" si="14"/>
        <v>0</v>
      </c>
      <c r="L162" s="154">
        <f t="shared" si="14"/>
        <v>0</v>
      </c>
      <c r="M162" s="154">
        <f t="shared" si="14"/>
        <v>0</v>
      </c>
      <c r="N162" s="154">
        <f t="shared" si="14"/>
        <v>0</v>
      </c>
      <c r="O162" s="91"/>
      <c r="P162" s="91"/>
      <c r="Q162" s="91"/>
    </row>
    <row r="163" spans="1:17" x14ac:dyDescent="0.25">
      <c r="A163" s="152">
        <v>6400000</v>
      </c>
      <c r="B163" s="73" t="s">
        <v>1171</v>
      </c>
      <c r="C163" s="88"/>
      <c r="D163" s="89" t="s">
        <v>548</v>
      </c>
      <c r="E163" s="89"/>
      <c r="F163" s="89"/>
      <c r="G163" s="89"/>
      <c r="H163" s="89"/>
      <c r="I163" s="89"/>
      <c r="J163" s="154"/>
      <c r="K163" s="154">
        <f t="shared" si="14"/>
        <v>0</v>
      </c>
      <c r="L163" s="154">
        <f t="shared" si="14"/>
        <v>0</v>
      </c>
      <c r="M163" s="154">
        <f t="shared" si="14"/>
        <v>0</v>
      </c>
      <c r="N163" s="154">
        <f t="shared" si="14"/>
        <v>0</v>
      </c>
      <c r="O163" s="91"/>
      <c r="P163" s="91"/>
      <c r="Q163" s="91"/>
    </row>
    <row r="164" spans="1:17" s="407" customFormat="1" x14ac:dyDescent="0.25">
      <c r="A164" s="152">
        <v>6400000</v>
      </c>
      <c r="B164" s="73" t="s">
        <v>1182</v>
      </c>
      <c r="C164" s="88"/>
      <c r="D164" s="89" t="s">
        <v>548</v>
      </c>
      <c r="E164" s="89"/>
      <c r="F164" s="89"/>
      <c r="G164" s="89"/>
      <c r="H164" s="89"/>
      <c r="I164" s="89"/>
      <c r="J164" s="212"/>
      <c r="K164" s="212">
        <f t="shared" si="14"/>
        <v>0</v>
      </c>
      <c r="L164" s="212">
        <f t="shared" si="14"/>
        <v>0</v>
      </c>
      <c r="M164" s="212">
        <f t="shared" si="14"/>
        <v>0</v>
      </c>
      <c r="N164" s="212">
        <f t="shared" si="14"/>
        <v>0</v>
      </c>
      <c r="O164" s="91"/>
      <c r="P164" s="91"/>
      <c r="Q164" s="91"/>
    </row>
    <row r="165" spans="1:17" s="407" customFormat="1" x14ac:dyDescent="0.25">
      <c r="A165" s="152">
        <v>6400000</v>
      </c>
      <c r="B165" s="73" t="s">
        <v>20</v>
      </c>
      <c r="C165" s="88"/>
      <c r="D165" s="89" t="s">
        <v>548</v>
      </c>
      <c r="E165" s="89"/>
      <c r="F165" s="89"/>
      <c r="G165" s="89"/>
      <c r="H165" s="89"/>
      <c r="I165" s="89"/>
      <c r="J165" s="212"/>
      <c r="K165" s="212">
        <f t="shared" si="14"/>
        <v>0</v>
      </c>
      <c r="L165" s="212">
        <f t="shared" si="14"/>
        <v>0</v>
      </c>
      <c r="M165" s="212">
        <f t="shared" si="14"/>
        <v>0</v>
      </c>
      <c r="N165" s="212">
        <f t="shared" si="14"/>
        <v>0</v>
      </c>
      <c r="O165" s="91"/>
      <c r="P165" s="91"/>
      <c r="Q165" s="91"/>
    </row>
    <row r="166" spans="1:17" x14ac:dyDescent="0.25">
      <c r="A166" s="152">
        <v>6400000</v>
      </c>
      <c r="B166" s="73" t="s">
        <v>510</v>
      </c>
      <c r="C166" s="88"/>
      <c r="D166" s="89" t="s">
        <v>548</v>
      </c>
      <c r="E166" s="89"/>
      <c r="F166" s="89"/>
      <c r="G166" s="89"/>
      <c r="H166" s="89"/>
      <c r="I166" s="89"/>
      <c r="J166" s="154"/>
      <c r="K166" s="154">
        <f t="shared" si="14"/>
        <v>0</v>
      </c>
      <c r="L166" s="154">
        <f t="shared" si="14"/>
        <v>0</v>
      </c>
      <c r="M166" s="154">
        <f t="shared" si="14"/>
        <v>0</v>
      </c>
      <c r="N166" s="154">
        <f t="shared" si="14"/>
        <v>0</v>
      </c>
      <c r="O166" s="91"/>
      <c r="P166" s="91"/>
      <c r="Q166" s="91"/>
    </row>
    <row r="167" spans="1:17" x14ac:dyDescent="0.25">
      <c r="A167" s="152">
        <v>6400000</v>
      </c>
      <c r="B167" s="73" t="s">
        <v>272</v>
      </c>
      <c r="C167" s="88"/>
      <c r="D167" s="89" t="s">
        <v>548</v>
      </c>
      <c r="E167" s="89"/>
      <c r="F167" s="89"/>
      <c r="G167" s="89"/>
      <c r="H167" s="89"/>
      <c r="I167" s="89"/>
      <c r="J167" s="154"/>
      <c r="K167" s="154">
        <f t="shared" si="14"/>
        <v>0</v>
      </c>
      <c r="L167" s="154">
        <f t="shared" si="14"/>
        <v>0</v>
      </c>
      <c r="M167" s="154">
        <f t="shared" si="14"/>
        <v>0</v>
      </c>
      <c r="N167" s="154">
        <f t="shared" si="14"/>
        <v>0</v>
      </c>
      <c r="O167" s="91"/>
      <c r="P167" s="91"/>
      <c r="Q167" s="91"/>
    </row>
    <row r="168" spans="1:17" x14ac:dyDescent="0.25">
      <c r="A168" s="152">
        <v>6400000</v>
      </c>
      <c r="B168" s="51" t="s">
        <v>21</v>
      </c>
      <c r="C168" s="88"/>
      <c r="D168" s="89" t="s">
        <v>548</v>
      </c>
      <c r="E168" s="89"/>
      <c r="F168" s="89"/>
      <c r="G168" s="89"/>
      <c r="H168" s="89"/>
      <c r="I168" s="89"/>
      <c r="J168" s="154"/>
      <c r="K168" s="154">
        <f t="shared" si="14"/>
        <v>0</v>
      </c>
      <c r="L168" s="154">
        <f t="shared" si="14"/>
        <v>0</v>
      </c>
      <c r="M168" s="154">
        <f t="shared" si="14"/>
        <v>0</v>
      </c>
      <c r="N168" s="154">
        <f t="shared" si="14"/>
        <v>0</v>
      </c>
      <c r="O168" s="91"/>
      <c r="P168" s="91"/>
      <c r="Q168" s="91"/>
    </row>
    <row r="169" spans="1:17" x14ac:dyDescent="0.25">
      <c r="A169" s="152">
        <v>6400000</v>
      </c>
      <c r="B169" s="73" t="s">
        <v>1172</v>
      </c>
      <c r="C169" s="88"/>
      <c r="D169" s="89" t="s">
        <v>548</v>
      </c>
      <c r="E169" s="89"/>
      <c r="F169" s="89"/>
      <c r="G169" s="89"/>
      <c r="H169" s="89"/>
      <c r="I169" s="89"/>
      <c r="J169" s="154"/>
      <c r="K169" s="154">
        <f t="shared" si="14"/>
        <v>0</v>
      </c>
      <c r="L169" s="154">
        <f t="shared" si="14"/>
        <v>0</v>
      </c>
      <c r="M169" s="154">
        <f t="shared" si="14"/>
        <v>0</v>
      </c>
      <c r="N169" s="154">
        <f t="shared" si="14"/>
        <v>23750</v>
      </c>
      <c r="O169" s="91"/>
      <c r="P169" s="91"/>
      <c r="Q169" s="91"/>
    </row>
    <row r="170" spans="1:17" x14ac:dyDescent="0.25">
      <c r="A170" s="152">
        <v>6400000</v>
      </c>
      <c r="B170" s="73" t="s">
        <v>810</v>
      </c>
      <c r="C170" s="88"/>
      <c r="D170" s="89" t="s">
        <v>548</v>
      </c>
      <c r="E170" s="89"/>
      <c r="F170" s="89"/>
      <c r="G170" s="89"/>
      <c r="H170" s="89"/>
      <c r="I170" s="89"/>
      <c r="J170" s="154"/>
      <c r="K170" s="154">
        <f t="shared" si="14"/>
        <v>0</v>
      </c>
      <c r="L170" s="154">
        <f t="shared" si="14"/>
        <v>0</v>
      </c>
      <c r="M170" s="154">
        <f t="shared" si="14"/>
        <v>0</v>
      </c>
      <c r="N170" s="154">
        <f t="shared" si="14"/>
        <v>0</v>
      </c>
      <c r="O170" s="91"/>
      <c r="P170" s="91"/>
      <c r="Q170" s="91"/>
    </row>
    <row r="171" spans="1:17" x14ac:dyDescent="0.25">
      <c r="A171" s="152">
        <v>6400000</v>
      </c>
      <c r="B171" s="73" t="s">
        <v>811</v>
      </c>
      <c r="C171" s="88"/>
      <c r="D171" s="89" t="s">
        <v>548</v>
      </c>
      <c r="E171" s="89"/>
      <c r="F171" s="89"/>
      <c r="G171" s="89"/>
      <c r="H171" s="89"/>
      <c r="I171" s="89"/>
      <c r="J171" s="154"/>
      <c r="K171" s="154">
        <f t="shared" si="14"/>
        <v>0</v>
      </c>
      <c r="L171" s="154">
        <f t="shared" si="14"/>
        <v>0</v>
      </c>
      <c r="M171" s="154">
        <f t="shared" si="14"/>
        <v>0</v>
      </c>
      <c r="N171" s="154">
        <f t="shared" si="14"/>
        <v>0</v>
      </c>
      <c r="O171" s="91"/>
      <c r="P171" s="91"/>
      <c r="Q171" s="91"/>
    </row>
    <row r="172" spans="1:17" x14ac:dyDescent="0.25">
      <c r="A172" s="152">
        <v>6400000</v>
      </c>
      <c r="B172" s="51" t="s">
        <v>23</v>
      </c>
      <c r="C172" s="88"/>
      <c r="D172" s="89" t="s">
        <v>548</v>
      </c>
      <c r="E172" s="89"/>
      <c r="F172" s="89"/>
      <c r="G172" s="89"/>
      <c r="H172" s="89"/>
      <c r="I172" s="89"/>
      <c r="J172" s="154"/>
      <c r="K172" s="154">
        <f t="shared" si="14"/>
        <v>0</v>
      </c>
      <c r="L172" s="154">
        <f t="shared" si="14"/>
        <v>0</v>
      </c>
      <c r="M172" s="154">
        <f t="shared" si="14"/>
        <v>0</v>
      </c>
      <c r="N172" s="154">
        <f t="shared" si="14"/>
        <v>0</v>
      </c>
      <c r="O172" s="91"/>
      <c r="P172" s="91"/>
      <c r="Q172" s="91"/>
    </row>
    <row r="173" spans="1:17" x14ac:dyDescent="0.25">
      <c r="A173" s="152">
        <v>6400000</v>
      </c>
      <c r="B173" s="73" t="s">
        <v>268</v>
      </c>
      <c r="C173" s="88"/>
      <c r="D173" s="89" t="s">
        <v>548</v>
      </c>
      <c r="E173" s="89"/>
      <c r="F173" s="89"/>
      <c r="G173" s="89"/>
      <c r="H173" s="89"/>
      <c r="I173" s="89"/>
      <c r="J173" s="154"/>
      <c r="K173" s="154">
        <f t="shared" si="14"/>
        <v>0</v>
      </c>
      <c r="L173" s="154">
        <f t="shared" si="14"/>
        <v>0</v>
      </c>
      <c r="M173" s="154">
        <f t="shared" si="14"/>
        <v>0</v>
      </c>
      <c r="N173" s="154">
        <f t="shared" si="14"/>
        <v>0</v>
      </c>
      <c r="O173" s="91"/>
      <c r="P173" s="91"/>
      <c r="Q173" s="91"/>
    </row>
    <row r="174" spans="1:17" x14ac:dyDescent="0.25">
      <c r="A174" s="152">
        <v>6400000</v>
      </c>
      <c r="B174" s="73" t="s">
        <v>267</v>
      </c>
      <c r="C174" s="88"/>
      <c r="D174" s="89" t="s">
        <v>548</v>
      </c>
      <c r="E174" s="89"/>
      <c r="F174" s="89"/>
      <c r="G174" s="89"/>
      <c r="H174" s="89"/>
      <c r="I174" s="89"/>
      <c r="J174" s="154"/>
      <c r="K174" s="154">
        <f t="shared" si="14"/>
        <v>0</v>
      </c>
      <c r="L174" s="154">
        <f t="shared" si="14"/>
        <v>0</v>
      </c>
      <c r="M174" s="154">
        <f t="shared" si="14"/>
        <v>0</v>
      </c>
      <c r="N174" s="154">
        <f t="shared" si="14"/>
        <v>0</v>
      </c>
      <c r="O174" s="91"/>
      <c r="P174" s="91"/>
      <c r="Q174" s="91"/>
    </row>
    <row r="175" spans="1:17" ht="15.75" thickBot="1" x14ac:dyDescent="0.3">
      <c r="A175" s="152">
        <v>6400000</v>
      </c>
      <c r="B175" s="73" t="s">
        <v>920</v>
      </c>
      <c r="C175" s="88"/>
      <c r="D175" s="89" t="s">
        <v>548</v>
      </c>
      <c r="E175" s="89"/>
      <c r="F175" s="89"/>
      <c r="G175" s="89"/>
      <c r="H175" s="89"/>
      <c r="I175" s="89"/>
      <c r="J175" s="154"/>
      <c r="K175" s="154">
        <f t="shared" si="14"/>
        <v>0</v>
      </c>
      <c r="L175" s="154">
        <f t="shared" si="14"/>
        <v>0</v>
      </c>
      <c r="M175" s="154">
        <f t="shared" si="14"/>
        <v>0</v>
      </c>
      <c r="N175" s="154">
        <f t="shared" si="14"/>
        <v>0</v>
      </c>
      <c r="O175" s="91"/>
      <c r="P175" s="91"/>
      <c r="Q175" s="91"/>
    </row>
    <row r="176" spans="1:17" x14ac:dyDescent="0.25">
      <c r="A176" s="151">
        <v>6300005</v>
      </c>
      <c r="B176" s="84" t="s">
        <v>19</v>
      </c>
      <c r="C176" s="85"/>
      <c r="D176" s="86" t="s">
        <v>513</v>
      </c>
      <c r="E176" s="86"/>
      <c r="F176" s="86"/>
      <c r="G176" s="86"/>
      <c r="H176" s="86"/>
      <c r="I176" s="86"/>
      <c r="J176" s="156"/>
      <c r="K176" s="156">
        <f t="shared" ref="K176:N195" si="15">SUMIFS(K$26:K$154,$A$26:$A$154,$A176,$B$26:$B$154,$B176)</f>
        <v>0</v>
      </c>
      <c r="L176" s="156">
        <f t="shared" si="15"/>
        <v>0</v>
      </c>
      <c r="M176" s="156">
        <f t="shared" si="15"/>
        <v>0</v>
      </c>
      <c r="N176" s="156">
        <f t="shared" si="15"/>
        <v>0</v>
      </c>
      <c r="O176" s="91"/>
      <c r="P176" s="91"/>
      <c r="Q176" s="91"/>
    </row>
    <row r="177" spans="1:17" x14ac:dyDescent="0.25">
      <c r="A177" s="152">
        <v>6300005</v>
      </c>
      <c r="B177" s="73" t="s">
        <v>18</v>
      </c>
      <c r="C177" s="88"/>
      <c r="D177" s="89" t="s">
        <v>513</v>
      </c>
      <c r="E177" s="89"/>
      <c r="F177" s="89"/>
      <c r="G177" s="89"/>
      <c r="H177" s="89"/>
      <c r="I177" s="89"/>
      <c r="J177" s="154"/>
      <c r="K177" s="154">
        <f t="shared" si="15"/>
        <v>0</v>
      </c>
      <c r="L177" s="154">
        <f t="shared" si="15"/>
        <v>0</v>
      </c>
      <c r="M177" s="154">
        <f t="shared" si="15"/>
        <v>0</v>
      </c>
      <c r="N177" s="154">
        <f t="shared" si="15"/>
        <v>0</v>
      </c>
      <c r="O177" s="91"/>
      <c r="P177" s="91"/>
      <c r="Q177" s="91"/>
    </row>
    <row r="178" spans="1:17" x14ac:dyDescent="0.25">
      <c r="A178" s="152">
        <v>6300005</v>
      </c>
      <c r="B178" s="73" t="s">
        <v>22</v>
      </c>
      <c r="C178" s="88"/>
      <c r="D178" s="89" t="s">
        <v>513</v>
      </c>
      <c r="E178" s="89"/>
      <c r="F178" s="89"/>
      <c r="G178" s="89"/>
      <c r="H178" s="89"/>
      <c r="I178" s="89"/>
      <c r="J178" s="154"/>
      <c r="K178" s="154">
        <f t="shared" si="15"/>
        <v>0</v>
      </c>
      <c r="L178" s="154">
        <f t="shared" si="15"/>
        <v>0</v>
      </c>
      <c r="M178" s="154">
        <f t="shared" si="15"/>
        <v>0</v>
      </c>
      <c r="N178" s="154">
        <f t="shared" si="15"/>
        <v>7000</v>
      </c>
      <c r="O178" s="91"/>
      <c r="P178" s="91"/>
      <c r="Q178" s="91"/>
    </row>
    <row r="179" spans="1:17" x14ac:dyDescent="0.25">
      <c r="A179" s="152">
        <v>6300005</v>
      </c>
      <c r="B179" s="73" t="s">
        <v>24</v>
      </c>
      <c r="C179" s="88"/>
      <c r="D179" s="89" t="s">
        <v>513</v>
      </c>
      <c r="E179" s="89"/>
      <c r="F179" s="89"/>
      <c r="G179" s="89"/>
      <c r="H179" s="89"/>
      <c r="I179" s="89"/>
      <c r="J179" s="154"/>
      <c r="K179" s="154">
        <f t="shared" si="15"/>
        <v>0</v>
      </c>
      <c r="L179" s="154">
        <f t="shared" si="15"/>
        <v>0</v>
      </c>
      <c r="M179" s="154">
        <f t="shared" si="15"/>
        <v>0</v>
      </c>
      <c r="N179" s="154">
        <f t="shared" si="15"/>
        <v>0</v>
      </c>
      <c r="O179" s="91"/>
      <c r="P179" s="91"/>
      <c r="Q179" s="91"/>
    </row>
    <row r="180" spans="1:17" x14ac:dyDescent="0.25">
      <c r="A180" s="152">
        <v>6300005</v>
      </c>
      <c r="B180" s="73" t="s">
        <v>25</v>
      </c>
      <c r="C180" s="88"/>
      <c r="D180" s="89" t="s">
        <v>513</v>
      </c>
      <c r="E180" s="89"/>
      <c r="F180" s="89"/>
      <c r="G180" s="89"/>
      <c r="H180" s="89"/>
      <c r="I180" s="89"/>
      <c r="J180" s="154"/>
      <c r="K180" s="154">
        <f t="shared" si="15"/>
        <v>0</v>
      </c>
      <c r="L180" s="154">
        <f t="shared" si="15"/>
        <v>0</v>
      </c>
      <c r="M180" s="154">
        <f t="shared" si="15"/>
        <v>0</v>
      </c>
      <c r="N180" s="154">
        <f t="shared" si="15"/>
        <v>0</v>
      </c>
      <c r="O180" s="91"/>
      <c r="P180" s="91"/>
      <c r="Q180" s="91"/>
    </row>
    <row r="181" spans="1:17" x14ac:dyDescent="0.25">
      <c r="A181" s="152">
        <v>6300005</v>
      </c>
      <c r="B181" s="73" t="s">
        <v>394</v>
      </c>
      <c r="C181" s="88"/>
      <c r="D181" s="89" t="s">
        <v>513</v>
      </c>
      <c r="E181" s="89"/>
      <c r="F181" s="89"/>
      <c r="G181" s="89"/>
      <c r="H181" s="89"/>
      <c r="I181" s="89"/>
      <c r="J181" s="154"/>
      <c r="K181" s="154">
        <f t="shared" si="15"/>
        <v>0</v>
      </c>
      <c r="L181" s="154">
        <f t="shared" si="15"/>
        <v>0</v>
      </c>
      <c r="M181" s="154">
        <f t="shared" si="15"/>
        <v>0</v>
      </c>
      <c r="N181" s="154">
        <f t="shared" si="15"/>
        <v>0</v>
      </c>
      <c r="O181" s="91"/>
      <c r="P181" s="91"/>
      <c r="Q181" s="91"/>
    </row>
    <row r="182" spans="1:17" x14ac:dyDescent="0.25">
      <c r="A182" s="152">
        <v>6300005</v>
      </c>
      <c r="B182" s="73" t="s">
        <v>350</v>
      </c>
      <c r="C182" s="88"/>
      <c r="D182" s="89" t="s">
        <v>513</v>
      </c>
      <c r="E182" s="89"/>
      <c r="F182" s="89"/>
      <c r="G182" s="89"/>
      <c r="H182" s="89"/>
      <c r="I182" s="89"/>
      <c r="J182" s="154"/>
      <c r="K182" s="154">
        <f t="shared" si="15"/>
        <v>0</v>
      </c>
      <c r="L182" s="154">
        <f t="shared" si="15"/>
        <v>0</v>
      </c>
      <c r="M182" s="154">
        <f t="shared" si="15"/>
        <v>0</v>
      </c>
      <c r="N182" s="154">
        <f t="shared" si="15"/>
        <v>0</v>
      </c>
      <c r="O182" s="91"/>
      <c r="P182" s="91"/>
      <c r="Q182" s="91"/>
    </row>
    <row r="183" spans="1:17" s="407" customFormat="1" x14ac:dyDescent="0.25">
      <c r="A183" s="152">
        <v>6300005</v>
      </c>
      <c r="B183" s="73" t="s">
        <v>1171</v>
      </c>
      <c r="C183" s="88"/>
      <c r="D183" s="89" t="s">
        <v>513</v>
      </c>
      <c r="E183" s="89"/>
      <c r="F183" s="89"/>
      <c r="G183" s="89"/>
      <c r="H183" s="89"/>
      <c r="I183" s="89"/>
      <c r="J183" s="212"/>
      <c r="K183" s="212">
        <f t="shared" si="15"/>
        <v>0</v>
      </c>
      <c r="L183" s="212">
        <f t="shared" si="15"/>
        <v>0</v>
      </c>
      <c r="M183" s="212">
        <f t="shared" si="15"/>
        <v>0</v>
      </c>
      <c r="N183" s="212">
        <f t="shared" si="15"/>
        <v>0</v>
      </c>
      <c r="O183" s="91"/>
      <c r="P183" s="91"/>
      <c r="Q183" s="91"/>
    </row>
    <row r="184" spans="1:17" s="407" customFormat="1" x14ac:dyDescent="0.25">
      <c r="A184" s="152">
        <v>6300005</v>
      </c>
      <c r="B184" s="73" t="s">
        <v>1182</v>
      </c>
      <c r="C184" s="88"/>
      <c r="D184" s="89" t="s">
        <v>513</v>
      </c>
      <c r="E184" s="89"/>
      <c r="F184" s="89"/>
      <c r="G184" s="89"/>
      <c r="H184" s="89"/>
      <c r="I184" s="89"/>
      <c r="J184" s="212"/>
      <c r="K184" s="212">
        <f t="shared" si="15"/>
        <v>0</v>
      </c>
      <c r="L184" s="212">
        <f t="shared" si="15"/>
        <v>0</v>
      </c>
      <c r="M184" s="212">
        <f t="shared" si="15"/>
        <v>0</v>
      </c>
      <c r="N184" s="212">
        <f t="shared" si="15"/>
        <v>0</v>
      </c>
      <c r="O184" s="91"/>
      <c r="P184" s="91"/>
      <c r="Q184" s="91"/>
    </row>
    <row r="185" spans="1:17" x14ac:dyDescent="0.25">
      <c r="A185" s="152">
        <v>6300005</v>
      </c>
      <c r="B185" s="73" t="s">
        <v>20</v>
      </c>
      <c r="C185" s="88"/>
      <c r="D185" s="89" t="s">
        <v>513</v>
      </c>
      <c r="E185" s="89"/>
      <c r="F185" s="89"/>
      <c r="G185" s="89"/>
      <c r="H185" s="89"/>
      <c r="I185" s="89"/>
      <c r="J185" s="154"/>
      <c r="K185" s="154">
        <f t="shared" si="15"/>
        <v>0</v>
      </c>
      <c r="L185" s="154">
        <f t="shared" si="15"/>
        <v>0</v>
      </c>
      <c r="M185" s="154">
        <f t="shared" si="15"/>
        <v>0</v>
      </c>
      <c r="N185" s="154">
        <f t="shared" si="15"/>
        <v>0</v>
      </c>
      <c r="O185" s="91"/>
      <c r="P185" s="91"/>
      <c r="Q185" s="91"/>
    </row>
    <row r="186" spans="1:17" x14ac:dyDescent="0.25">
      <c r="A186" s="152">
        <v>6300005</v>
      </c>
      <c r="B186" s="73" t="s">
        <v>510</v>
      </c>
      <c r="C186" s="88"/>
      <c r="D186" s="89" t="s">
        <v>513</v>
      </c>
      <c r="E186" s="89"/>
      <c r="F186" s="89"/>
      <c r="G186" s="89"/>
      <c r="H186" s="89"/>
      <c r="I186" s="89"/>
      <c r="J186" s="154"/>
      <c r="K186" s="154">
        <f t="shared" si="15"/>
        <v>0</v>
      </c>
      <c r="L186" s="154">
        <f t="shared" si="15"/>
        <v>0</v>
      </c>
      <c r="M186" s="154">
        <f t="shared" si="15"/>
        <v>0</v>
      </c>
      <c r="N186" s="154">
        <f t="shared" si="15"/>
        <v>0</v>
      </c>
      <c r="O186" s="91"/>
      <c r="P186" s="91"/>
      <c r="Q186" s="91"/>
    </row>
    <row r="187" spans="1:17" x14ac:dyDescent="0.25">
      <c r="A187" s="152">
        <v>6300005</v>
      </c>
      <c r="B187" s="73" t="s">
        <v>272</v>
      </c>
      <c r="C187" s="88"/>
      <c r="D187" s="89" t="s">
        <v>513</v>
      </c>
      <c r="E187" s="89"/>
      <c r="F187" s="89"/>
      <c r="G187" s="89"/>
      <c r="H187" s="89"/>
      <c r="I187" s="89"/>
      <c r="J187" s="154"/>
      <c r="K187" s="154">
        <f t="shared" si="15"/>
        <v>0</v>
      </c>
      <c r="L187" s="154">
        <f t="shared" si="15"/>
        <v>0</v>
      </c>
      <c r="M187" s="154">
        <f t="shared" si="15"/>
        <v>0</v>
      </c>
      <c r="N187" s="154">
        <f t="shared" si="15"/>
        <v>500</v>
      </c>
      <c r="O187" s="91"/>
      <c r="P187" s="91"/>
      <c r="Q187" s="91"/>
    </row>
    <row r="188" spans="1:17" x14ac:dyDescent="0.25">
      <c r="A188" s="152">
        <v>6300005</v>
      </c>
      <c r="B188" s="51" t="s">
        <v>21</v>
      </c>
      <c r="C188" s="88"/>
      <c r="D188" s="89" t="s">
        <v>513</v>
      </c>
      <c r="E188" s="89"/>
      <c r="F188" s="89"/>
      <c r="G188" s="89"/>
      <c r="H188" s="89"/>
      <c r="I188" s="89"/>
      <c r="J188" s="154"/>
      <c r="K188" s="154">
        <f t="shared" si="15"/>
        <v>0</v>
      </c>
      <c r="L188" s="154">
        <f t="shared" si="15"/>
        <v>0</v>
      </c>
      <c r="M188" s="154">
        <f t="shared" si="15"/>
        <v>0</v>
      </c>
      <c r="N188" s="154">
        <f t="shared" si="15"/>
        <v>0</v>
      </c>
      <c r="O188" s="91"/>
      <c r="P188" s="91"/>
      <c r="Q188" s="91"/>
    </row>
    <row r="189" spans="1:17" x14ac:dyDescent="0.25">
      <c r="A189" s="152">
        <v>6300005</v>
      </c>
      <c r="B189" s="73" t="s">
        <v>1172</v>
      </c>
      <c r="C189" s="88"/>
      <c r="D189" s="89" t="s">
        <v>513</v>
      </c>
      <c r="E189" s="89"/>
      <c r="F189" s="89"/>
      <c r="G189" s="89"/>
      <c r="H189" s="89"/>
      <c r="I189" s="89"/>
      <c r="J189" s="154"/>
      <c r="K189" s="154">
        <f t="shared" si="15"/>
        <v>0</v>
      </c>
      <c r="L189" s="154">
        <f t="shared" si="15"/>
        <v>0</v>
      </c>
      <c r="M189" s="154">
        <f t="shared" si="15"/>
        <v>0</v>
      </c>
      <c r="N189" s="154">
        <f t="shared" si="15"/>
        <v>1000</v>
      </c>
      <c r="O189" s="91"/>
      <c r="P189" s="91"/>
      <c r="Q189" s="91"/>
    </row>
    <row r="190" spans="1:17" x14ac:dyDescent="0.25">
      <c r="A190" s="152">
        <v>6300005</v>
      </c>
      <c r="B190" s="73" t="s">
        <v>810</v>
      </c>
      <c r="C190" s="88"/>
      <c r="D190" s="89" t="s">
        <v>513</v>
      </c>
      <c r="E190" s="89"/>
      <c r="F190" s="89"/>
      <c r="G190" s="89"/>
      <c r="H190" s="89"/>
      <c r="I190" s="89"/>
      <c r="J190" s="154"/>
      <c r="K190" s="154">
        <f t="shared" si="15"/>
        <v>0</v>
      </c>
      <c r="L190" s="154">
        <f t="shared" si="15"/>
        <v>0</v>
      </c>
      <c r="M190" s="154">
        <f t="shared" si="15"/>
        <v>0</v>
      </c>
      <c r="N190" s="154">
        <f t="shared" si="15"/>
        <v>0</v>
      </c>
      <c r="O190" s="91"/>
      <c r="P190" s="91"/>
      <c r="Q190" s="91"/>
    </row>
    <row r="191" spans="1:17" x14ac:dyDescent="0.25">
      <c r="A191" s="152">
        <v>6300005</v>
      </c>
      <c r="B191" s="73" t="s">
        <v>811</v>
      </c>
      <c r="C191" s="88"/>
      <c r="D191" s="89" t="s">
        <v>513</v>
      </c>
      <c r="E191" s="89"/>
      <c r="F191" s="89"/>
      <c r="G191" s="89"/>
      <c r="H191" s="89"/>
      <c r="I191" s="89"/>
      <c r="J191" s="154"/>
      <c r="K191" s="154">
        <f t="shared" si="15"/>
        <v>0</v>
      </c>
      <c r="L191" s="154">
        <f t="shared" si="15"/>
        <v>0</v>
      </c>
      <c r="M191" s="154">
        <f t="shared" si="15"/>
        <v>0</v>
      </c>
      <c r="N191" s="154">
        <f t="shared" si="15"/>
        <v>0</v>
      </c>
      <c r="O191" s="91"/>
      <c r="P191" s="91"/>
      <c r="Q191" s="91"/>
    </row>
    <row r="192" spans="1:17" x14ac:dyDescent="0.25">
      <c r="A192" s="152">
        <v>6300005</v>
      </c>
      <c r="B192" s="51" t="s">
        <v>23</v>
      </c>
      <c r="C192" s="88"/>
      <c r="D192" s="89" t="s">
        <v>513</v>
      </c>
      <c r="E192" s="89"/>
      <c r="F192" s="89"/>
      <c r="G192" s="89"/>
      <c r="H192" s="89"/>
      <c r="I192" s="89"/>
      <c r="J192" s="154"/>
      <c r="K192" s="154">
        <f t="shared" si="15"/>
        <v>0</v>
      </c>
      <c r="L192" s="154">
        <f t="shared" si="15"/>
        <v>0</v>
      </c>
      <c r="M192" s="154">
        <f t="shared" si="15"/>
        <v>0</v>
      </c>
      <c r="N192" s="154">
        <f t="shared" si="15"/>
        <v>0</v>
      </c>
      <c r="O192" s="91"/>
      <c r="P192" s="91"/>
      <c r="Q192" s="91"/>
    </row>
    <row r="193" spans="1:17" x14ac:dyDescent="0.25">
      <c r="A193" s="152">
        <v>6300005</v>
      </c>
      <c r="B193" s="73" t="s">
        <v>268</v>
      </c>
      <c r="C193" s="88"/>
      <c r="D193" s="89" t="s">
        <v>513</v>
      </c>
      <c r="E193" s="89"/>
      <c r="F193" s="89"/>
      <c r="G193" s="89"/>
      <c r="H193" s="89"/>
      <c r="I193" s="89"/>
      <c r="J193" s="154"/>
      <c r="K193" s="154">
        <f t="shared" si="15"/>
        <v>0</v>
      </c>
      <c r="L193" s="154">
        <f t="shared" si="15"/>
        <v>0</v>
      </c>
      <c r="M193" s="154">
        <f t="shared" si="15"/>
        <v>0</v>
      </c>
      <c r="N193" s="154">
        <f t="shared" si="15"/>
        <v>18350</v>
      </c>
      <c r="O193" s="91"/>
      <c r="P193" s="91"/>
      <c r="Q193" s="91"/>
    </row>
    <row r="194" spans="1:17" x14ac:dyDescent="0.25">
      <c r="A194" s="152">
        <v>6300005</v>
      </c>
      <c r="B194" s="73" t="s">
        <v>267</v>
      </c>
      <c r="C194" s="88"/>
      <c r="D194" s="89" t="s">
        <v>513</v>
      </c>
      <c r="E194" s="89"/>
      <c r="F194" s="89"/>
      <c r="G194" s="89"/>
      <c r="H194" s="89"/>
      <c r="I194" s="89"/>
      <c r="J194" s="154"/>
      <c r="K194" s="154">
        <f t="shared" si="15"/>
        <v>0</v>
      </c>
      <c r="L194" s="154">
        <f t="shared" si="15"/>
        <v>0</v>
      </c>
      <c r="M194" s="154">
        <f t="shared" si="15"/>
        <v>0</v>
      </c>
      <c r="N194" s="154">
        <f t="shared" si="15"/>
        <v>0</v>
      </c>
      <c r="O194" s="91"/>
      <c r="P194" s="91"/>
      <c r="Q194" s="91"/>
    </row>
    <row r="195" spans="1:17" ht="15.75" thickBot="1" x14ac:dyDescent="0.3">
      <c r="A195" s="204">
        <v>6300005</v>
      </c>
      <c r="B195" s="73" t="s">
        <v>920</v>
      </c>
      <c r="C195" s="146"/>
      <c r="D195" s="147" t="s">
        <v>513</v>
      </c>
      <c r="E195" s="147"/>
      <c r="F195" s="147"/>
      <c r="G195" s="147"/>
      <c r="H195" s="147"/>
      <c r="I195" s="147"/>
      <c r="J195" s="147"/>
      <c r="K195" s="206">
        <f t="shared" si="15"/>
        <v>0</v>
      </c>
      <c r="L195" s="206">
        <f t="shared" si="15"/>
        <v>0</v>
      </c>
      <c r="M195" s="206">
        <f t="shared" si="15"/>
        <v>0</v>
      </c>
      <c r="N195" s="206">
        <f t="shared" si="15"/>
        <v>0</v>
      </c>
      <c r="O195" s="91"/>
      <c r="P195" s="91"/>
      <c r="Q195" s="91"/>
    </row>
    <row r="196" spans="1:17" s="407" customFormat="1" x14ac:dyDescent="0.25">
      <c r="A196" s="151">
        <v>6300010</v>
      </c>
      <c r="B196" s="84" t="s">
        <v>19</v>
      </c>
      <c r="C196" s="85"/>
      <c r="D196" s="86" t="s">
        <v>497</v>
      </c>
      <c r="E196" s="86"/>
      <c r="F196" s="86"/>
      <c r="G196" s="86"/>
      <c r="H196" s="86"/>
      <c r="I196" s="86"/>
      <c r="J196" s="213"/>
      <c r="K196" s="213">
        <f t="shared" ref="K196:N215" si="16">SUMIFS(K$26:K$154,$A$26:$A$154,$A196,$B$26:$B$154,$B196)</f>
        <v>0</v>
      </c>
      <c r="L196" s="213">
        <f t="shared" si="16"/>
        <v>0</v>
      </c>
      <c r="M196" s="213">
        <f t="shared" si="16"/>
        <v>0</v>
      </c>
      <c r="N196" s="213">
        <f t="shared" si="16"/>
        <v>0</v>
      </c>
      <c r="O196" s="91"/>
      <c r="P196" s="91"/>
      <c r="Q196" s="91"/>
    </row>
    <row r="197" spans="1:17" s="407" customFormat="1" x14ac:dyDescent="0.25">
      <c r="A197" s="152">
        <v>6300010</v>
      </c>
      <c r="B197" s="73" t="s">
        <v>18</v>
      </c>
      <c r="C197" s="88"/>
      <c r="D197" s="89" t="s">
        <v>497</v>
      </c>
      <c r="E197" s="89"/>
      <c r="F197" s="89"/>
      <c r="G197" s="89"/>
      <c r="H197" s="89"/>
      <c r="I197" s="89"/>
      <c r="J197" s="212"/>
      <c r="K197" s="212">
        <f t="shared" si="16"/>
        <v>0</v>
      </c>
      <c r="L197" s="212">
        <f t="shared" si="16"/>
        <v>0</v>
      </c>
      <c r="M197" s="212">
        <f t="shared" si="16"/>
        <v>0</v>
      </c>
      <c r="N197" s="212">
        <f t="shared" si="16"/>
        <v>0</v>
      </c>
      <c r="O197" s="91"/>
      <c r="P197" s="91"/>
      <c r="Q197" s="91"/>
    </row>
    <row r="198" spans="1:17" s="407" customFormat="1" x14ac:dyDescent="0.25">
      <c r="A198" s="152">
        <v>6300010</v>
      </c>
      <c r="B198" s="73" t="s">
        <v>22</v>
      </c>
      <c r="C198" s="88"/>
      <c r="D198" s="89" t="s">
        <v>497</v>
      </c>
      <c r="E198" s="89"/>
      <c r="F198" s="89"/>
      <c r="G198" s="89"/>
      <c r="H198" s="89"/>
      <c r="I198" s="89"/>
      <c r="J198" s="212"/>
      <c r="K198" s="212">
        <f t="shared" si="16"/>
        <v>0</v>
      </c>
      <c r="L198" s="212">
        <f t="shared" si="16"/>
        <v>0</v>
      </c>
      <c r="M198" s="212">
        <f t="shared" si="16"/>
        <v>0</v>
      </c>
      <c r="N198" s="212">
        <f t="shared" si="16"/>
        <v>0</v>
      </c>
      <c r="O198" s="91"/>
      <c r="P198" s="91"/>
      <c r="Q198" s="91"/>
    </row>
    <row r="199" spans="1:17" s="407" customFormat="1" x14ac:dyDescent="0.25">
      <c r="A199" s="152">
        <v>6300010</v>
      </c>
      <c r="B199" s="73" t="s">
        <v>24</v>
      </c>
      <c r="C199" s="88"/>
      <c r="D199" s="89" t="s">
        <v>497</v>
      </c>
      <c r="E199" s="89"/>
      <c r="F199" s="89"/>
      <c r="G199" s="89"/>
      <c r="H199" s="89"/>
      <c r="I199" s="89"/>
      <c r="J199" s="212"/>
      <c r="K199" s="212">
        <f t="shared" si="16"/>
        <v>0</v>
      </c>
      <c r="L199" s="212">
        <f t="shared" si="16"/>
        <v>0</v>
      </c>
      <c r="M199" s="212">
        <f t="shared" si="16"/>
        <v>0</v>
      </c>
      <c r="N199" s="212">
        <f t="shared" si="16"/>
        <v>0</v>
      </c>
      <c r="O199" s="91"/>
      <c r="P199" s="91"/>
      <c r="Q199" s="91"/>
    </row>
    <row r="200" spans="1:17" s="407" customFormat="1" x14ac:dyDescent="0.25">
      <c r="A200" s="152">
        <v>6300010</v>
      </c>
      <c r="B200" s="73" t="s">
        <v>25</v>
      </c>
      <c r="C200" s="88"/>
      <c r="D200" s="89" t="s">
        <v>497</v>
      </c>
      <c r="E200" s="89"/>
      <c r="F200" s="89"/>
      <c r="G200" s="89"/>
      <c r="H200" s="89"/>
      <c r="I200" s="89"/>
      <c r="J200" s="212"/>
      <c r="K200" s="212">
        <f t="shared" si="16"/>
        <v>0</v>
      </c>
      <c r="L200" s="212">
        <f t="shared" si="16"/>
        <v>0</v>
      </c>
      <c r="M200" s="212">
        <f t="shared" si="16"/>
        <v>0</v>
      </c>
      <c r="N200" s="212">
        <f t="shared" si="16"/>
        <v>0</v>
      </c>
      <c r="O200" s="91"/>
      <c r="P200" s="91"/>
      <c r="Q200" s="91"/>
    </row>
    <row r="201" spans="1:17" s="407" customFormat="1" x14ac:dyDescent="0.25">
      <c r="A201" s="152">
        <v>6300010</v>
      </c>
      <c r="B201" s="73" t="s">
        <v>394</v>
      </c>
      <c r="C201" s="88"/>
      <c r="D201" s="89" t="s">
        <v>497</v>
      </c>
      <c r="E201" s="89"/>
      <c r="F201" s="89"/>
      <c r="G201" s="89"/>
      <c r="H201" s="89"/>
      <c r="I201" s="89"/>
      <c r="J201" s="212"/>
      <c r="K201" s="212">
        <f t="shared" si="16"/>
        <v>0</v>
      </c>
      <c r="L201" s="212">
        <f t="shared" si="16"/>
        <v>0</v>
      </c>
      <c r="M201" s="212">
        <f t="shared" si="16"/>
        <v>0</v>
      </c>
      <c r="N201" s="212">
        <f t="shared" si="16"/>
        <v>0</v>
      </c>
      <c r="O201" s="91"/>
      <c r="P201" s="91"/>
      <c r="Q201" s="91"/>
    </row>
    <row r="202" spans="1:17" s="407" customFormat="1" x14ac:dyDescent="0.25">
      <c r="A202" s="152">
        <v>6300010</v>
      </c>
      <c r="B202" s="73" t="s">
        <v>350</v>
      </c>
      <c r="C202" s="88"/>
      <c r="D202" s="89" t="s">
        <v>497</v>
      </c>
      <c r="E202" s="89"/>
      <c r="F202" s="89"/>
      <c r="G202" s="89"/>
      <c r="H202" s="89"/>
      <c r="I202" s="89"/>
      <c r="J202" s="212"/>
      <c r="K202" s="212">
        <f t="shared" si="16"/>
        <v>0</v>
      </c>
      <c r="L202" s="212">
        <f t="shared" si="16"/>
        <v>0</v>
      </c>
      <c r="M202" s="212">
        <f t="shared" si="16"/>
        <v>0</v>
      </c>
      <c r="N202" s="212">
        <f t="shared" si="16"/>
        <v>0</v>
      </c>
      <c r="O202" s="91"/>
      <c r="P202" s="91"/>
      <c r="Q202" s="91"/>
    </row>
    <row r="203" spans="1:17" s="407" customFormat="1" x14ac:dyDescent="0.25">
      <c r="A203" s="152">
        <v>6300010</v>
      </c>
      <c r="B203" s="73" t="s">
        <v>1171</v>
      </c>
      <c r="C203" s="88"/>
      <c r="D203" s="89" t="s">
        <v>497</v>
      </c>
      <c r="E203" s="89"/>
      <c r="F203" s="89"/>
      <c r="G203" s="89"/>
      <c r="H203" s="89"/>
      <c r="I203" s="89"/>
      <c r="J203" s="212"/>
      <c r="K203" s="212">
        <f t="shared" si="16"/>
        <v>0</v>
      </c>
      <c r="L203" s="212">
        <f t="shared" si="16"/>
        <v>0</v>
      </c>
      <c r="M203" s="212">
        <f t="shared" si="16"/>
        <v>0</v>
      </c>
      <c r="N203" s="212">
        <f t="shared" si="16"/>
        <v>0</v>
      </c>
      <c r="O203" s="91"/>
      <c r="P203" s="91"/>
      <c r="Q203" s="91"/>
    </row>
    <row r="204" spans="1:17" s="407" customFormat="1" x14ac:dyDescent="0.25">
      <c r="A204" s="152">
        <v>6300010</v>
      </c>
      <c r="B204" s="73" t="s">
        <v>1182</v>
      </c>
      <c r="C204" s="88"/>
      <c r="D204" s="89" t="s">
        <v>497</v>
      </c>
      <c r="E204" s="89"/>
      <c r="F204" s="89"/>
      <c r="G204" s="89"/>
      <c r="H204" s="89"/>
      <c r="I204" s="89"/>
      <c r="J204" s="212"/>
      <c r="K204" s="212">
        <f t="shared" si="16"/>
        <v>0</v>
      </c>
      <c r="L204" s="212">
        <f t="shared" si="16"/>
        <v>0</v>
      </c>
      <c r="M204" s="212">
        <f t="shared" si="16"/>
        <v>0</v>
      </c>
      <c r="N204" s="212">
        <f t="shared" si="16"/>
        <v>0</v>
      </c>
      <c r="O204" s="91"/>
      <c r="P204" s="91"/>
      <c r="Q204" s="91"/>
    </row>
    <row r="205" spans="1:17" s="407" customFormat="1" x14ac:dyDescent="0.25">
      <c r="A205" s="152">
        <v>6300010</v>
      </c>
      <c r="B205" s="73" t="s">
        <v>20</v>
      </c>
      <c r="C205" s="88"/>
      <c r="D205" s="89" t="s">
        <v>497</v>
      </c>
      <c r="E205" s="89"/>
      <c r="F205" s="89"/>
      <c r="G205" s="89"/>
      <c r="H205" s="89"/>
      <c r="I205" s="89"/>
      <c r="J205" s="212"/>
      <c r="K205" s="212">
        <f t="shared" si="16"/>
        <v>0</v>
      </c>
      <c r="L205" s="212">
        <f t="shared" si="16"/>
        <v>0</v>
      </c>
      <c r="M205" s="212">
        <f t="shared" si="16"/>
        <v>0</v>
      </c>
      <c r="N205" s="212">
        <f t="shared" si="16"/>
        <v>0</v>
      </c>
      <c r="O205" s="91"/>
      <c r="P205" s="91"/>
      <c r="Q205" s="91"/>
    </row>
    <row r="206" spans="1:17" s="407" customFormat="1" x14ac:dyDescent="0.25">
      <c r="A206" s="152">
        <v>6300010</v>
      </c>
      <c r="B206" s="73" t="s">
        <v>510</v>
      </c>
      <c r="C206" s="88"/>
      <c r="D206" s="89" t="s">
        <v>497</v>
      </c>
      <c r="E206" s="89"/>
      <c r="F206" s="89"/>
      <c r="G206" s="89"/>
      <c r="H206" s="89"/>
      <c r="I206" s="89"/>
      <c r="J206" s="212"/>
      <c r="K206" s="212">
        <f t="shared" si="16"/>
        <v>0</v>
      </c>
      <c r="L206" s="212">
        <f t="shared" si="16"/>
        <v>0</v>
      </c>
      <c r="M206" s="212">
        <f t="shared" si="16"/>
        <v>0</v>
      </c>
      <c r="N206" s="212">
        <f t="shared" si="16"/>
        <v>0</v>
      </c>
      <c r="O206" s="91"/>
      <c r="P206" s="91"/>
      <c r="Q206" s="91"/>
    </row>
    <row r="207" spans="1:17" s="407" customFormat="1" x14ac:dyDescent="0.25">
      <c r="A207" s="152">
        <v>6300010</v>
      </c>
      <c r="B207" s="73" t="s">
        <v>272</v>
      </c>
      <c r="C207" s="88"/>
      <c r="D207" s="89" t="s">
        <v>497</v>
      </c>
      <c r="E207" s="89"/>
      <c r="F207" s="89"/>
      <c r="G207" s="89"/>
      <c r="H207" s="89"/>
      <c r="I207" s="89"/>
      <c r="J207" s="212"/>
      <c r="K207" s="212">
        <f t="shared" si="16"/>
        <v>0</v>
      </c>
      <c r="L207" s="212">
        <f t="shared" si="16"/>
        <v>0</v>
      </c>
      <c r="M207" s="212">
        <f t="shared" si="16"/>
        <v>0</v>
      </c>
      <c r="N207" s="212">
        <f t="shared" si="16"/>
        <v>0</v>
      </c>
      <c r="O207" s="91"/>
      <c r="P207" s="91"/>
      <c r="Q207" s="91"/>
    </row>
    <row r="208" spans="1:17" s="407" customFormat="1" x14ac:dyDescent="0.25">
      <c r="A208" s="152">
        <v>6300010</v>
      </c>
      <c r="B208" s="51" t="s">
        <v>21</v>
      </c>
      <c r="C208" s="88"/>
      <c r="D208" s="89" t="s">
        <v>497</v>
      </c>
      <c r="E208" s="89"/>
      <c r="F208" s="89"/>
      <c r="G208" s="89"/>
      <c r="H208" s="89"/>
      <c r="I208" s="89"/>
      <c r="J208" s="212"/>
      <c r="K208" s="212">
        <f t="shared" si="16"/>
        <v>0</v>
      </c>
      <c r="L208" s="212">
        <f t="shared" si="16"/>
        <v>0</v>
      </c>
      <c r="M208" s="212">
        <f t="shared" si="16"/>
        <v>0</v>
      </c>
      <c r="N208" s="212">
        <f t="shared" si="16"/>
        <v>0</v>
      </c>
      <c r="O208" s="91"/>
      <c r="P208" s="91"/>
      <c r="Q208" s="91"/>
    </row>
    <row r="209" spans="1:17" s="407" customFormat="1" x14ac:dyDescent="0.25">
      <c r="A209" s="152">
        <v>6300010</v>
      </c>
      <c r="B209" s="73" t="s">
        <v>1172</v>
      </c>
      <c r="C209" s="88"/>
      <c r="D209" s="89" t="s">
        <v>497</v>
      </c>
      <c r="E209" s="89"/>
      <c r="F209" s="89"/>
      <c r="G209" s="89"/>
      <c r="H209" s="89"/>
      <c r="I209" s="89"/>
      <c r="J209" s="212"/>
      <c r="K209" s="212">
        <f t="shared" si="16"/>
        <v>0</v>
      </c>
      <c r="L209" s="212">
        <f t="shared" si="16"/>
        <v>0</v>
      </c>
      <c r="M209" s="212">
        <f t="shared" si="16"/>
        <v>0</v>
      </c>
      <c r="N209" s="212">
        <f t="shared" si="16"/>
        <v>0</v>
      </c>
      <c r="O209" s="91"/>
      <c r="P209" s="91"/>
      <c r="Q209" s="91"/>
    </row>
    <row r="210" spans="1:17" s="407" customFormat="1" x14ac:dyDescent="0.25">
      <c r="A210" s="152">
        <v>6300010</v>
      </c>
      <c r="B210" s="73" t="s">
        <v>810</v>
      </c>
      <c r="C210" s="88"/>
      <c r="D210" s="89" t="s">
        <v>497</v>
      </c>
      <c r="E210" s="89"/>
      <c r="F210" s="89"/>
      <c r="G210" s="89"/>
      <c r="H210" s="89"/>
      <c r="I210" s="89"/>
      <c r="J210" s="212"/>
      <c r="K210" s="212">
        <f t="shared" si="16"/>
        <v>0</v>
      </c>
      <c r="L210" s="212">
        <f t="shared" si="16"/>
        <v>0</v>
      </c>
      <c r="M210" s="212">
        <f t="shared" si="16"/>
        <v>0</v>
      </c>
      <c r="N210" s="212">
        <f t="shared" si="16"/>
        <v>0</v>
      </c>
      <c r="O210" s="91"/>
      <c r="P210" s="91"/>
      <c r="Q210" s="91"/>
    </row>
    <row r="211" spans="1:17" s="407" customFormat="1" x14ac:dyDescent="0.25">
      <c r="A211" s="152">
        <v>6300010</v>
      </c>
      <c r="B211" s="73" t="s">
        <v>811</v>
      </c>
      <c r="C211" s="88"/>
      <c r="D211" s="89" t="s">
        <v>497</v>
      </c>
      <c r="E211" s="89"/>
      <c r="F211" s="89"/>
      <c r="G211" s="89"/>
      <c r="H211" s="89"/>
      <c r="I211" s="89"/>
      <c r="J211" s="212"/>
      <c r="K211" s="212">
        <f t="shared" si="16"/>
        <v>0</v>
      </c>
      <c r="L211" s="212">
        <f t="shared" si="16"/>
        <v>0</v>
      </c>
      <c r="M211" s="212">
        <f t="shared" si="16"/>
        <v>0</v>
      </c>
      <c r="N211" s="212">
        <f t="shared" si="16"/>
        <v>0</v>
      </c>
      <c r="O211" s="91"/>
      <c r="P211" s="91"/>
      <c r="Q211" s="91"/>
    </row>
    <row r="212" spans="1:17" s="407" customFormat="1" x14ac:dyDescent="0.25">
      <c r="A212" s="152">
        <v>6300010</v>
      </c>
      <c r="B212" s="51" t="s">
        <v>23</v>
      </c>
      <c r="C212" s="88"/>
      <c r="D212" s="89" t="s">
        <v>497</v>
      </c>
      <c r="E212" s="89"/>
      <c r="F212" s="89"/>
      <c r="G212" s="89"/>
      <c r="H212" s="89"/>
      <c r="I212" s="89"/>
      <c r="J212" s="212"/>
      <c r="K212" s="212">
        <f t="shared" si="16"/>
        <v>0</v>
      </c>
      <c r="L212" s="212">
        <f t="shared" si="16"/>
        <v>0</v>
      </c>
      <c r="M212" s="212">
        <f t="shared" si="16"/>
        <v>0</v>
      </c>
      <c r="N212" s="212">
        <f t="shared" si="16"/>
        <v>0</v>
      </c>
      <c r="O212" s="91"/>
      <c r="P212" s="91"/>
      <c r="Q212" s="91"/>
    </row>
    <row r="213" spans="1:17" s="407" customFormat="1" x14ac:dyDescent="0.25">
      <c r="A213" s="152">
        <v>6300010</v>
      </c>
      <c r="B213" s="73" t="s">
        <v>268</v>
      </c>
      <c r="C213" s="88"/>
      <c r="D213" s="89" t="s">
        <v>497</v>
      </c>
      <c r="E213" s="89"/>
      <c r="F213" s="89"/>
      <c r="G213" s="89"/>
      <c r="H213" s="89"/>
      <c r="I213" s="89"/>
      <c r="J213" s="212"/>
      <c r="K213" s="212">
        <f t="shared" si="16"/>
        <v>0</v>
      </c>
      <c r="L213" s="212">
        <f t="shared" si="16"/>
        <v>0</v>
      </c>
      <c r="M213" s="212">
        <f t="shared" si="16"/>
        <v>0</v>
      </c>
      <c r="N213" s="212">
        <f t="shared" si="16"/>
        <v>0</v>
      </c>
      <c r="O213" s="91"/>
      <c r="P213" s="91"/>
      <c r="Q213" s="91"/>
    </row>
    <row r="214" spans="1:17" s="407" customFormat="1" x14ac:dyDescent="0.25">
      <c r="A214" s="152">
        <v>6300010</v>
      </c>
      <c r="B214" s="73" t="s">
        <v>267</v>
      </c>
      <c r="C214" s="88"/>
      <c r="D214" s="89" t="s">
        <v>497</v>
      </c>
      <c r="E214" s="89"/>
      <c r="F214" s="89"/>
      <c r="G214" s="89"/>
      <c r="H214" s="89"/>
      <c r="I214" s="89"/>
      <c r="J214" s="212"/>
      <c r="K214" s="212">
        <f t="shared" si="16"/>
        <v>0</v>
      </c>
      <c r="L214" s="212">
        <f t="shared" si="16"/>
        <v>0</v>
      </c>
      <c r="M214" s="212">
        <f t="shared" si="16"/>
        <v>0</v>
      </c>
      <c r="N214" s="212">
        <f t="shared" si="16"/>
        <v>0</v>
      </c>
      <c r="O214" s="91"/>
      <c r="P214" s="91"/>
      <c r="Q214" s="91"/>
    </row>
    <row r="215" spans="1:17" s="407" customFormat="1" ht="15.75" thickBot="1" x14ac:dyDescent="0.3">
      <c r="A215" s="204">
        <v>6300010</v>
      </c>
      <c r="B215" s="73" t="s">
        <v>920</v>
      </c>
      <c r="C215" s="146"/>
      <c r="D215" s="147" t="s">
        <v>497</v>
      </c>
      <c r="E215" s="147"/>
      <c r="F215" s="147"/>
      <c r="G215" s="147"/>
      <c r="H215" s="147"/>
      <c r="I215" s="147"/>
      <c r="J215" s="147"/>
      <c r="K215" s="206">
        <f t="shared" si="16"/>
        <v>0</v>
      </c>
      <c r="L215" s="206">
        <f t="shared" si="16"/>
        <v>0</v>
      </c>
      <c r="M215" s="206">
        <f t="shared" si="16"/>
        <v>0</v>
      </c>
      <c r="N215" s="206">
        <f t="shared" si="16"/>
        <v>0</v>
      </c>
      <c r="O215" s="91"/>
      <c r="P215" s="91"/>
      <c r="Q215" s="91"/>
    </row>
    <row r="216" spans="1:17" s="407" customFormat="1" x14ac:dyDescent="0.25">
      <c r="A216" s="151">
        <v>6300015</v>
      </c>
      <c r="B216" s="84" t="s">
        <v>19</v>
      </c>
      <c r="C216" s="85"/>
      <c r="D216" s="86" t="s">
        <v>808</v>
      </c>
      <c r="E216" s="86"/>
      <c r="F216" s="86"/>
      <c r="G216" s="86"/>
      <c r="H216" s="86"/>
      <c r="I216" s="86"/>
      <c r="J216" s="213"/>
      <c r="K216" s="213">
        <f t="shared" ref="K216:N235" si="17">SUMIFS(K$26:K$154,$A$26:$A$154,$A216,$B$26:$B$154,$B216)</f>
        <v>0</v>
      </c>
      <c r="L216" s="213">
        <f t="shared" si="17"/>
        <v>0</v>
      </c>
      <c r="M216" s="213">
        <f t="shared" si="17"/>
        <v>0</v>
      </c>
      <c r="N216" s="213">
        <f t="shared" si="17"/>
        <v>0</v>
      </c>
      <c r="O216" s="91"/>
      <c r="P216" s="91"/>
      <c r="Q216" s="91"/>
    </row>
    <row r="217" spans="1:17" s="407" customFormat="1" x14ac:dyDescent="0.25">
      <c r="A217" s="152">
        <v>6300015</v>
      </c>
      <c r="B217" s="73" t="s">
        <v>18</v>
      </c>
      <c r="C217" s="88"/>
      <c r="D217" s="89" t="s">
        <v>808</v>
      </c>
      <c r="E217" s="89"/>
      <c r="F217" s="89"/>
      <c r="G217" s="89"/>
      <c r="H217" s="89"/>
      <c r="I217" s="89"/>
      <c r="J217" s="212"/>
      <c r="K217" s="212">
        <f t="shared" si="17"/>
        <v>0</v>
      </c>
      <c r="L217" s="212">
        <f t="shared" si="17"/>
        <v>0</v>
      </c>
      <c r="M217" s="212">
        <f t="shared" si="17"/>
        <v>0</v>
      </c>
      <c r="N217" s="212">
        <f t="shared" si="17"/>
        <v>0</v>
      </c>
      <c r="O217" s="91"/>
      <c r="P217" s="91"/>
      <c r="Q217" s="91"/>
    </row>
    <row r="218" spans="1:17" s="407" customFormat="1" x14ac:dyDescent="0.25">
      <c r="A218" s="152">
        <v>6300015</v>
      </c>
      <c r="B218" s="73" t="s">
        <v>22</v>
      </c>
      <c r="C218" s="88"/>
      <c r="D218" s="89" t="s">
        <v>808</v>
      </c>
      <c r="E218" s="89"/>
      <c r="F218" s="89"/>
      <c r="G218" s="89"/>
      <c r="H218" s="89"/>
      <c r="I218" s="89"/>
      <c r="J218" s="212"/>
      <c r="K218" s="212">
        <f t="shared" si="17"/>
        <v>0</v>
      </c>
      <c r="L218" s="212">
        <f t="shared" si="17"/>
        <v>0</v>
      </c>
      <c r="M218" s="212">
        <f t="shared" si="17"/>
        <v>0</v>
      </c>
      <c r="N218" s="485">
        <f t="shared" si="17"/>
        <v>0</v>
      </c>
      <c r="O218" s="91"/>
      <c r="P218" s="91"/>
      <c r="Q218" s="91"/>
    </row>
    <row r="219" spans="1:17" s="407" customFormat="1" x14ac:dyDescent="0.25">
      <c r="A219" s="152">
        <v>6300015</v>
      </c>
      <c r="B219" s="73" t="s">
        <v>24</v>
      </c>
      <c r="C219" s="88"/>
      <c r="D219" s="89" t="s">
        <v>808</v>
      </c>
      <c r="E219" s="89"/>
      <c r="F219" s="89"/>
      <c r="G219" s="89"/>
      <c r="H219" s="89"/>
      <c r="I219" s="89"/>
      <c r="J219" s="212"/>
      <c r="K219" s="212">
        <f t="shared" si="17"/>
        <v>0</v>
      </c>
      <c r="L219" s="212">
        <f t="shared" si="17"/>
        <v>0</v>
      </c>
      <c r="M219" s="212">
        <f t="shared" si="17"/>
        <v>0</v>
      </c>
      <c r="N219" s="212">
        <f t="shared" si="17"/>
        <v>0</v>
      </c>
      <c r="O219" s="91"/>
      <c r="P219" s="91"/>
      <c r="Q219" s="91"/>
    </row>
    <row r="220" spans="1:17" s="407" customFormat="1" x14ac:dyDescent="0.25">
      <c r="A220" s="152">
        <v>6300015</v>
      </c>
      <c r="B220" s="73" t="s">
        <v>25</v>
      </c>
      <c r="C220" s="88"/>
      <c r="D220" s="89" t="s">
        <v>808</v>
      </c>
      <c r="E220" s="89"/>
      <c r="F220" s="89"/>
      <c r="G220" s="89"/>
      <c r="H220" s="89"/>
      <c r="I220" s="89"/>
      <c r="J220" s="212"/>
      <c r="K220" s="212">
        <f t="shared" si="17"/>
        <v>0</v>
      </c>
      <c r="L220" s="212">
        <f t="shared" si="17"/>
        <v>0</v>
      </c>
      <c r="M220" s="212">
        <f t="shared" si="17"/>
        <v>0</v>
      </c>
      <c r="N220" s="212">
        <f t="shared" si="17"/>
        <v>0</v>
      </c>
      <c r="O220" s="91"/>
      <c r="P220" s="91"/>
      <c r="Q220" s="91"/>
    </row>
    <row r="221" spans="1:17" s="407" customFormat="1" x14ac:dyDescent="0.25">
      <c r="A221" s="152">
        <v>6300015</v>
      </c>
      <c r="B221" s="73" t="s">
        <v>394</v>
      </c>
      <c r="C221" s="88"/>
      <c r="D221" s="89" t="s">
        <v>808</v>
      </c>
      <c r="E221" s="89"/>
      <c r="F221" s="89"/>
      <c r="G221" s="89"/>
      <c r="H221" s="89"/>
      <c r="I221" s="89"/>
      <c r="J221" s="212"/>
      <c r="K221" s="212">
        <f t="shared" si="17"/>
        <v>0</v>
      </c>
      <c r="L221" s="212">
        <f t="shared" si="17"/>
        <v>0</v>
      </c>
      <c r="M221" s="212">
        <f t="shared" si="17"/>
        <v>0</v>
      </c>
      <c r="N221" s="212">
        <f t="shared" si="17"/>
        <v>0</v>
      </c>
      <c r="O221" s="91"/>
      <c r="P221" s="91"/>
      <c r="Q221" s="91"/>
    </row>
    <row r="222" spans="1:17" s="407" customFormat="1" x14ac:dyDescent="0.25">
      <c r="A222" s="152">
        <v>6300015</v>
      </c>
      <c r="B222" s="73" t="s">
        <v>350</v>
      </c>
      <c r="C222" s="88"/>
      <c r="D222" s="89" t="s">
        <v>808</v>
      </c>
      <c r="E222" s="89"/>
      <c r="F222" s="89"/>
      <c r="G222" s="89"/>
      <c r="H222" s="89"/>
      <c r="I222" s="89"/>
      <c r="J222" s="212"/>
      <c r="K222" s="212">
        <f t="shared" si="17"/>
        <v>0</v>
      </c>
      <c r="L222" s="212">
        <f t="shared" si="17"/>
        <v>0</v>
      </c>
      <c r="M222" s="212">
        <f t="shared" si="17"/>
        <v>0</v>
      </c>
      <c r="N222" s="212">
        <f t="shared" si="17"/>
        <v>0</v>
      </c>
      <c r="O222" s="91"/>
      <c r="P222" s="91"/>
      <c r="Q222" s="91"/>
    </row>
    <row r="223" spans="1:17" s="407" customFormat="1" x14ac:dyDescent="0.25">
      <c r="A223" s="152">
        <v>6300015</v>
      </c>
      <c r="B223" s="73" t="s">
        <v>1171</v>
      </c>
      <c r="C223" s="88"/>
      <c r="D223" s="89" t="s">
        <v>808</v>
      </c>
      <c r="E223" s="89"/>
      <c r="F223" s="89"/>
      <c r="G223" s="89"/>
      <c r="H223" s="89"/>
      <c r="I223" s="89"/>
      <c r="J223" s="212"/>
      <c r="K223" s="212">
        <f t="shared" si="17"/>
        <v>0</v>
      </c>
      <c r="L223" s="212">
        <f t="shared" si="17"/>
        <v>0</v>
      </c>
      <c r="M223" s="212">
        <f t="shared" si="17"/>
        <v>0</v>
      </c>
      <c r="N223" s="212">
        <f t="shared" si="17"/>
        <v>0</v>
      </c>
      <c r="O223" s="91"/>
      <c r="P223" s="91"/>
      <c r="Q223" s="91"/>
    </row>
    <row r="224" spans="1:17" s="407" customFormat="1" x14ac:dyDescent="0.25">
      <c r="A224" s="152">
        <v>6300015</v>
      </c>
      <c r="B224" s="73" t="s">
        <v>1182</v>
      </c>
      <c r="C224" s="88"/>
      <c r="D224" s="89" t="s">
        <v>808</v>
      </c>
      <c r="E224" s="89"/>
      <c r="F224" s="89"/>
      <c r="G224" s="89"/>
      <c r="H224" s="89"/>
      <c r="I224" s="89"/>
      <c r="J224" s="212"/>
      <c r="K224" s="212">
        <f t="shared" si="17"/>
        <v>0</v>
      </c>
      <c r="L224" s="212">
        <f t="shared" si="17"/>
        <v>0</v>
      </c>
      <c r="M224" s="212">
        <f t="shared" si="17"/>
        <v>0</v>
      </c>
      <c r="N224" s="212">
        <f t="shared" si="17"/>
        <v>0</v>
      </c>
      <c r="O224" s="91"/>
      <c r="P224" s="91"/>
      <c r="Q224" s="91"/>
    </row>
    <row r="225" spans="1:17" s="407" customFormat="1" x14ac:dyDescent="0.25">
      <c r="A225" s="152">
        <v>6300015</v>
      </c>
      <c r="B225" s="73" t="s">
        <v>20</v>
      </c>
      <c r="C225" s="88"/>
      <c r="D225" s="89" t="s">
        <v>808</v>
      </c>
      <c r="E225" s="89"/>
      <c r="F225" s="89"/>
      <c r="G225" s="89"/>
      <c r="H225" s="89"/>
      <c r="I225" s="89"/>
      <c r="J225" s="212"/>
      <c r="K225" s="212">
        <f t="shared" si="17"/>
        <v>0</v>
      </c>
      <c r="L225" s="212">
        <f t="shared" si="17"/>
        <v>0</v>
      </c>
      <c r="M225" s="212">
        <f t="shared" si="17"/>
        <v>0</v>
      </c>
      <c r="N225" s="212">
        <f t="shared" si="17"/>
        <v>0</v>
      </c>
      <c r="O225" s="91"/>
      <c r="P225" s="91"/>
      <c r="Q225" s="91"/>
    </row>
    <row r="226" spans="1:17" s="407" customFormat="1" x14ac:dyDescent="0.25">
      <c r="A226" s="152">
        <v>6300015</v>
      </c>
      <c r="B226" s="73" t="s">
        <v>510</v>
      </c>
      <c r="C226" s="88"/>
      <c r="D226" s="89" t="s">
        <v>808</v>
      </c>
      <c r="E226" s="89"/>
      <c r="F226" s="89"/>
      <c r="G226" s="89"/>
      <c r="H226" s="89"/>
      <c r="I226" s="89"/>
      <c r="J226" s="212"/>
      <c r="K226" s="212">
        <f t="shared" si="17"/>
        <v>0</v>
      </c>
      <c r="L226" s="212">
        <f t="shared" si="17"/>
        <v>0</v>
      </c>
      <c r="M226" s="212">
        <f t="shared" si="17"/>
        <v>0</v>
      </c>
      <c r="N226" s="212">
        <f t="shared" si="17"/>
        <v>0</v>
      </c>
      <c r="O226" s="91"/>
      <c r="P226" s="91"/>
      <c r="Q226" s="91"/>
    </row>
    <row r="227" spans="1:17" s="407" customFormat="1" x14ac:dyDescent="0.25">
      <c r="A227" s="152">
        <v>6300015</v>
      </c>
      <c r="B227" s="73" t="s">
        <v>272</v>
      </c>
      <c r="C227" s="88"/>
      <c r="D227" s="89" t="s">
        <v>808</v>
      </c>
      <c r="E227" s="89"/>
      <c r="F227" s="89"/>
      <c r="G227" s="89"/>
      <c r="H227" s="89"/>
      <c r="I227" s="89"/>
      <c r="J227" s="212"/>
      <c r="K227" s="212">
        <f t="shared" si="17"/>
        <v>0</v>
      </c>
      <c r="L227" s="212">
        <f t="shared" si="17"/>
        <v>0</v>
      </c>
      <c r="M227" s="212">
        <f t="shared" si="17"/>
        <v>0</v>
      </c>
      <c r="N227" s="485">
        <f t="shared" si="17"/>
        <v>0</v>
      </c>
      <c r="O227" s="91"/>
      <c r="P227" s="91"/>
      <c r="Q227" s="91"/>
    </row>
    <row r="228" spans="1:17" s="407" customFormat="1" x14ac:dyDescent="0.25">
      <c r="A228" s="152">
        <v>6300015</v>
      </c>
      <c r="B228" s="51" t="s">
        <v>21</v>
      </c>
      <c r="C228" s="88"/>
      <c r="D228" s="89" t="s">
        <v>808</v>
      </c>
      <c r="E228" s="89"/>
      <c r="F228" s="89"/>
      <c r="G228" s="89"/>
      <c r="H228" s="89"/>
      <c r="I228" s="89"/>
      <c r="J228" s="212"/>
      <c r="K228" s="212">
        <f t="shared" si="17"/>
        <v>0</v>
      </c>
      <c r="L228" s="212">
        <f t="shared" si="17"/>
        <v>0</v>
      </c>
      <c r="M228" s="212">
        <f t="shared" si="17"/>
        <v>0</v>
      </c>
      <c r="N228" s="485">
        <f t="shared" si="17"/>
        <v>0</v>
      </c>
      <c r="O228" s="91"/>
      <c r="P228" s="91"/>
      <c r="Q228" s="91"/>
    </row>
    <row r="229" spans="1:17" s="407" customFormat="1" x14ac:dyDescent="0.25">
      <c r="A229" s="152">
        <v>6300015</v>
      </c>
      <c r="B229" s="73" t="s">
        <v>1172</v>
      </c>
      <c r="C229" s="88"/>
      <c r="D229" s="89" t="s">
        <v>808</v>
      </c>
      <c r="E229" s="89"/>
      <c r="F229" s="89"/>
      <c r="G229" s="89"/>
      <c r="H229" s="89"/>
      <c r="I229" s="89"/>
      <c r="J229" s="212"/>
      <c r="K229" s="212">
        <f t="shared" si="17"/>
        <v>0</v>
      </c>
      <c r="L229" s="212">
        <f t="shared" si="17"/>
        <v>0</v>
      </c>
      <c r="M229" s="212">
        <f t="shared" si="17"/>
        <v>0</v>
      </c>
      <c r="N229" s="485">
        <f t="shared" si="17"/>
        <v>0</v>
      </c>
      <c r="O229" s="91"/>
      <c r="P229" s="91"/>
      <c r="Q229" s="91"/>
    </row>
    <row r="230" spans="1:17" s="407" customFormat="1" x14ac:dyDescent="0.25">
      <c r="A230" s="152">
        <v>6300015</v>
      </c>
      <c r="B230" s="73" t="s">
        <v>810</v>
      </c>
      <c r="C230" s="88"/>
      <c r="D230" s="89" t="s">
        <v>808</v>
      </c>
      <c r="E230" s="89"/>
      <c r="F230" s="89"/>
      <c r="G230" s="89"/>
      <c r="H230" s="89"/>
      <c r="I230" s="89"/>
      <c r="J230" s="212"/>
      <c r="K230" s="212">
        <f t="shared" si="17"/>
        <v>0</v>
      </c>
      <c r="L230" s="212">
        <f t="shared" si="17"/>
        <v>0</v>
      </c>
      <c r="M230" s="212">
        <f t="shared" si="17"/>
        <v>0</v>
      </c>
      <c r="N230" s="485">
        <f t="shared" si="17"/>
        <v>0</v>
      </c>
      <c r="O230" s="91"/>
      <c r="P230" s="91"/>
      <c r="Q230" s="91"/>
    </row>
    <row r="231" spans="1:17" s="407" customFormat="1" x14ac:dyDescent="0.25">
      <c r="A231" s="152">
        <v>6300015</v>
      </c>
      <c r="B231" s="73" t="s">
        <v>811</v>
      </c>
      <c r="C231" s="88"/>
      <c r="D231" s="89" t="s">
        <v>808</v>
      </c>
      <c r="E231" s="89"/>
      <c r="F231" s="89"/>
      <c r="G231" s="89"/>
      <c r="H231" s="89"/>
      <c r="I231" s="89"/>
      <c r="J231" s="212"/>
      <c r="K231" s="212">
        <f t="shared" si="17"/>
        <v>0</v>
      </c>
      <c r="L231" s="212">
        <f t="shared" si="17"/>
        <v>0</v>
      </c>
      <c r="M231" s="212">
        <f t="shared" si="17"/>
        <v>0</v>
      </c>
      <c r="N231" s="485">
        <f t="shared" si="17"/>
        <v>0</v>
      </c>
      <c r="O231" s="91"/>
      <c r="P231" s="91"/>
      <c r="Q231" s="91"/>
    </row>
    <row r="232" spans="1:17" s="407" customFormat="1" x14ac:dyDescent="0.25">
      <c r="A232" s="152">
        <v>6300015</v>
      </c>
      <c r="B232" s="51" t="s">
        <v>23</v>
      </c>
      <c r="C232" s="88"/>
      <c r="D232" s="89" t="s">
        <v>808</v>
      </c>
      <c r="E232" s="89"/>
      <c r="F232" s="89"/>
      <c r="G232" s="89"/>
      <c r="H232" s="89"/>
      <c r="I232" s="89"/>
      <c r="J232" s="212"/>
      <c r="K232" s="212">
        <f t="shared" si="17"/>
        <v>0</v>
      </c>
      <c r="L232" s="212">
        <f t="shared" si="17"/>
        <v>0</v>
      </c>
      <c r="M232" s="212">
        <f t="shared" si="17"/>
        <v>0</v>
      </c>
      <c r="N232" s="485">
        <f t="shared" si="17"/>
        <v>0</v>
      </c>
      <c r="O232" s="91"/>
      <c r="P232" s="91"/>
      <c r="Q232" s="91"/>
    </row>
    <row r="233" spans="1:17" s="407" customFormat="1" x14ac:dyDescent="0.25">
      <c r="A233" s="152">
        <v>6300015</v>
      </c>
      <c r="B233" s="73" t="s">
        <v>268</v>
      </c>
      <c r="C233" s="88"/>
      <c r="D233" s="89" t="s">
        <v>808</v>
      </c>
      <c r="E233" s="89"/>
      <c r="F233" s="89"/>
      <c r="G233" s="89"/>
      <c r="H233" s="89"/>
      <c r="I233" s="89"/>
      <c r="J233" s="212"/>
      <c r="K233" s="212">
        <f t="shared" si="17"/>
        <v>0</v>
      </c>
      <c r="L233" s="212">
        <f t="shared" si="17"/>
        <v>0</v>
      </c>
      <c r="M233" s="212">
        <f t="shared" si="17"/>
        <v>0</v>
      </c>
      <c r="N233" s="485">
        <f t="shared" si="17"/>
        <v>0</v>
      </c>
      <c r="O233" s="91"/>
      <c r="P233" s="91"/>
      <c r="Q233" s="91"/>
    </row>
    <row r="234" spans="1:17" s="407" customFormat="1" x14ac:dyDescent="0.25">
      <c r="A234" s="152">
        <v>6300015</v>
      </c>
      <c r="B234" s="73" t="s">
        <v>267</v>
      </c>
      <c r="C234" s="88"/>
      <c r="D234" s="89" t="s">
        <v>808</v>
      </c>
      <c r="E234" s="89"/>
      <c r="F234" s="89"/>
      <c r="G234" s="89"/>
      <c r="H234" s="89"/>
      <c r="I234" s="89"/>
      <c r="J234" s="212"/>
      <c r="K234" s="212">
        <f t="shared" si="17"/>
        <v>0</v>
      </c>
      <c r="L234" s="212">
        <f t="shared" si="17"/>
        <v>0</v>
      </c>
      <c r="M234" s="212">
        <f t="shared" si="17"/>
        <v>0</v>
      </c>
      <c r="N234" s="212">
        <f t="shared" si="17"/>
        <v>0</v>
      </c>
      <c r="O234" s="91"/>
      <c r="P234" s="91"/>
      <c r="Q234" s="91"/>
    </row>
    <row r="235" spans="1:17" s="407" customFormat="1" ht="15.75" thickBot="1" x14ac:dyDescent="0.3">
      <c r="A235" s="204">
        <v>6300015</v>
      </c>
      <c r="B235" s="73" t="s">
        <v>920</v>
      </c>
      <c r="C235" s="146"/>
      <c r="D235" s="147" t="s">
        <v>808</v>
      </c>
      <c r="E235" s="147"/>
      <c r="F235" s="147"/>
      <c r="G235" s="147"/>
      <c r="H235" s="147"/>
      <c r="I235" s="147"/>
      <c r="J235" s="147"/>
      <c r="K235" s="206">
        <f t="shared" si="17"/>
        <v>0</v>
      </c>
      <c r="L235" s="206">
        <f t="shared" si="17"/>
        <v>0</v>
      </c>
      <c r="M235" s="206">
        <f t="shared" si="17"/>
        <v>0</v>
      </c>
      <c r="N235" s="206">
        <f t="shared" si="17"/>
        <v>0</v>
      </c>
      <c r="O235" s="91"/>
      <c r="P235" s="91"/>
      <c r="Q235" s="91"/>
    </row>
    <row r="236" spans="1:17" x14ac:dyDescent="0.25">
      <c r="A236" s="151">
        <v>6410000</v>
      </c>
      <c r="B236" s="84" t="s">
        <v>19</v>
      </c>
      <c r="C236" s="85"/>
      <c r="D236" s="86" t="s">
        <v>223</v>
      </c>
      <c r="E236" s="86"/>
      <c r="F236" s="86"/>
      <c r="G236" s="86"/>
      <c r="H236" s="86"/>
      <c r="I236" s="86"/>
      <c r="J236" s="156"/>
      <c r="K236" s="156">
        <f t="shared" ref="K236:N255" si="18">SUMIFS(K$26:K$154,$A$26:$A$154,$A236,$B$26:$B$154,$B236)</f>
        <v>0</v>
      </c>
      <c r="L236" s="156">
        <f t="shared" si="18"/>
        <v>0</v>
      </c>
      <c r="M236" s="156">
        <f t="shared" si="18"/>
        <v>0</v>
      </c>
      <c r="N236" s="156">
        <f t="shared" si="18"/>
        <v>0</v>
      </c>
      <c r="O236" s="91"/>
      <c r="P236" s="91"/>
      <c r="Q236" s="91"/>
    </row>
    <row r="237" spans="1:17" x14ac:dyDescent="0.25">
      <c r="A237" s="152">
        <v>6410000</v>
      </c>
      <c r="B237" s="73" t="s">
        <v>18</v>
      </c>
      <c r="C237" s="88"/>
      <c r="D237" s="89" t="s">
        <v>223</v>
      </c>
      <c r="E237" s="89"/>
      <c r="F237" s="89"/>
      <c r="G237" s="89"/>
      <c r="H237" s="89"/>
      <c r="I237" s="89"/>
      <c r="J237" s="154"/>
      <c r="K237" s="154">
        <f t="shared" si="18"/>
        <v>0</v>
      </c>
      <c r="L237" s="154">
        <f t="shared" si="18"/>
        <v>0</v>
      </c>
      <c r="M237" s="154">
        <f t="shared" si="18"/>
        <v>0</v>
      </c>
      <c r="N237" s="154">
        <f t="shared" si="18"/>
        <v>0</v>
      </c>
      <c r="O237" s="91"/>
      <c r="P237" s="91"/>
      <c r="Q237" s="91"/>
    </row>
    <row r="238" spans="1:17" x14ac:dyDescent="0.25">
      <c r="A238" s="152">
        <v>6410000</v>
      </c>
      <c r="B238" s="73" t="s">
        <v>22</v>
      </c>
      <c r="C238" s="88"/>
      <c r="D238" s="89" t="s">
        <v>223</v>
      </c>
      <c r="E238" s="89"/>
      <c r="F238" s="89"/>
      <c r="G238" s="89"/>
      <c r="H238" s="89"/>
      <c r="I238" s="89"/>
      <c r="J238" s="154"/>
      <c r="K238" s="154">
        <f t="shared" si="18"/>
        <v>0</v>
      </c>
      <c r="L238" s="154">
        <f t="shared" si="18"/>
        <v>0</v>
      </c>
      <c r="M238" s="154">
        <f t="shared" si="18"/>
        <v>0</v>
      </c>
      <c r="N238" s="154">
        <f t="shared" si="18"/>
        <v>0</v>
      </c>
      <c r="O238" s="91"/>
      <c r="P238" s="91"/>
      <c r="Q238" s="91"/>
    </row>
    <row r="239" spans="1:17" x14ac:dyDescent="0.25">
      <c r="A239" s="152">
        <v>6410000</v>
      </c>
      <c r="B239" s="73" t="s">
        <v>24</v>
      </c>
      <c r="C239" s="88"/>
      <c r="D239" s="89" t="s">
        <v>223</v>
      </c>
      <c r="E239" s="89"/>
      <c r="F239" s="89"/>
      <c r="G239" s="89"/>
      <c r="H239" s="89"/>
      <c r="I239" s="89"/>
      <c r="J239" s="154"/>
      <c r="K239" s="154">
        <f t="shared" si="18"/>
        <v>0</v>
      </c>
      <c r="L239" s="154">
        <f t="shared" si="18"/>
        <v>0</v>
      </c>
      <c r="M239" s="154">
        <f t="shared" si="18"/>
        <v>0</v>
      </c>
      <c r="N239" s="154">
        <f t="shared" si="18"/>
        <v>0</v>
      </c>
      <c r="O239" s="91"/>
      <c r="P239" s="91"/>
      <c r="Q239" s="91"/>
    </row>
    <row r="240" spans="1:17" x14ac:dyDescent="0.25">
      <c r="A240" s="152">
        <v>6410000</v>
      </c>
      <c r="B240" s="73" t="s">
        <v>25</v>
      </c>
      <c r="C240" s="88"/>
      <c r="D240" s="89" t="s">
        <v>223</v>
      </c>
      <c r="E240" s="89"/>
      <c r="F240" s="89"/>
      <c r="G240" s="89"/>
      <c r="H240" s="89"/>
      <c r="I240" s="89"/>
      <c r="J240" s="154"/>
      <c r="K240" s="154">
        <f t="shared" si="18"/>
        <v>0</v>
      </c>
      <c r="L240" s="154">
        <f t="shared" si="18"/>
        <v>0</v>
      </c>
      <c r="M240" s="154">
        <f t="shared" si="18"/>
        <v>0</v>
      </c>
      <c r="N240" s="154">
        <f t="shared" si="18"/>
        <v>0</v>
      </c>
      <c r="O240" s="91"/>
      <c r="P240" s="91"/>
      <c r="Q240" s="91"/>
    </row>
    <row r="241" spans="1:17" x14ac:dyDescent="0.25">
      <c r="A241" s="152">
        <v>6410000</v>
      </c>
      <c r="B241" s="73" t="s">
        <v>394</v>
      </c>
      <c r="C241" s="88"/>
      <c r="D241" s="89" t="s">
        <v>223</v>
      </c>
      <c r="E241" s="89"/>
      <c r="F241" s="89"/>
      <c r="G241" s="89"/>
      <c r="H241" s="89"/>
      <c r="I241" s="89"/>
      <c r="J241" s="154"/>
      <c r="K241" s="154">
        <f t="shared" si="18"/>
        <v>0</v>
      </c>
      <c r="L241" s="154">
        <f t="shared" si="18"/>
        <v>0</v>
      </c>
      <c r="M241" s="154">
        <f t="shared" si="18"/>
        <v>0</v>
      </c>
      <c r="N241" s="154">
        <f t="shared" si="18"/>
        <v>0</v>
      </c>
      <c r="O241" s="91"/>
      <c r="P241" s="91"/>
      <c r="Q241" s="91"/>
    </row>
    <row r="242" spans="1:17" s="407" customFormat="1" x14ac:dyDescent="0.25">
      <c r="A242" s="152">
        <v>6410000</v>
      </c>
      <c r="B242" s="73" t="s">
        <v>350</v>
      </c>
      <c r="C242" s="88"/>
      <c r="D242" s="89" t="s">
        <v>223</v>
      </c>
      <c r="E242" s="89"/>
      <c r="F242" s="89"/>
      <c r="G242" s="89"/>
      <c r="H242" s="89"/>
      <c r="I242" s="89"/>
      <c r="J242" s="212"/>
      <c r="K242" s="212">
        <f t="shared" si="18"/>
        <v>0</v>
      </c>
      <c r="L242" s="212">
        <f t="shared" si="18"/>
        <v>0</v>
      </c>
      <c r="M242" s="212">
        <f t="shared" si="18"/>
        <v>0</v>
      </c>
      <c r="N242" s="212">
        <f t="shared" si="18"/>
        <v>0</v>
      </c>
      <c r="O242" s="91"/>
      <c r="P242" s="91"/>
      <c r="Q242" s="91"/>
    </row>
    <row r="243" spans="1:17" s="407" customFormat="1" x14ac:dyDescent="0.25">
      <c r="A243" s="152">
        <v>6410000</v>
      </c>
      <c r="B243" s="73" t="s">
        <v>1171</v>
      </c>
      <c r="C243" s="88"/>
      <c r="D243" s="89" t="s">
        <v>223</v>
      </c>
      <c r="E243" s="89"/>
      <c r="F243" s="89"/>
      <c r="G243" s="89"/>
      <c r="H243" s="89"/>
      <c r="I243" s="89"/>
      <c r="J243" s="212"/>
      <c r="K243" s="212">
        <f t="shared" si="18"/>
        <v>0</v>
      </c>
      <c r="L243" s="212">
        <f t="shared" si="18"/>
        <v>0</v>
      </c>
      <c r="M243" s="212">
        <f t="shared" si="18"/>
        <v>0</v>
      </c>
      <c r="N243" s="212">
        <f t="shared" si="18"/>
        <v>0</v>
      </c>
      <c r="O243" s="91"/>
      <c r="P243" s="91"/>
      <c r="Q243" s="91"/>
    </row>
    <row r="244" spans="1:17" x14ac:dyDescent="0.25">
      <c r="A244" s="152">
        <v>6410000</v>
      </c>
      <c r="B244" s="73" t="s">
        <v>1182</v>
      </c>
      <c r="C244" s="88"/>
      <c r="D244" s="89" t="s">
        <v>223</v>
      </c>
      <c r="E244" s="89"/>
      <c r="F244" s="89"/>
      <c r="G244" s="89"/>
      <c r="H244" s="89"/>
      <c r="I244" s="89"/>
      <c r="J244" s="154"/>
      <c r="K244" s="154">
        <f t="shared" si="18"/>
        <v>0</v>
      </c>
      <c r="L244" s="154">
        <f t="shared" si="18"/>
        <v>0</v>
      </c>
      <c r="M244" s="154">
        <f t="shared" si="18"/>
        <v>0</v>
      </c>
      <c r="N244" s="154">
        <f t="shared" si="18"/>
        <v>50000</v>
      </c>
      <c r="O244" s="91"/>
      <c r="P244" s="91"/>
      <c r="Q244" s="91"/>
    </row>
    <row r="245" spans="1:17" x14ac:dyDescent="0.25">
      <c r="A245" s="152">
        <v>6410000</v>
      </c>
      <c r="B245" s="73" t="s">
        <v>20</v>
      </c>
      <c r="C245" s="88"/>
      <c r="D245" s="89" t="s">
        <v>223</v>
      </c>
      <c r="E245" s="89"/>
      <c r="F245" s="89"/>
      <c r="G245" s="89"/>
      <c r="H245" s="89"/>
      <c r="I245" s="89"/>
      <c r="J245" s="154"/>
      <c r="K245" s="154">
        <f t="shared" si="18"/>
        <v>0</v>
      </c>
      <c r="L245" s="154">
        <f t="shared" si="18"/>
        <v>0</v>
      </c>
      <c r="M245" s="154">
        <f t="shared" si="18"/>
        <v>0</v>
      </c>
      <c r="N245" s="154">
        <f t="shared" si="18"/>
        <v>0</v>
      </c>
      <c r="O245" s="91"/>
      <c r="P245" s="91"/>
      <c r="Q245" s="91"/>
    </row>
    <row r="246" spans="1:17" x14ac:dyDescent="0.25">
      <c r="A246" s="152">
        <v>6410000</v>
      </c>
      <c r="B246" s="73" t="s">
        <v>510</v>
      </c>
      <c r="C246" s="88"/>
      <c r="D246" s="89" t="s">
        <v>223</v>
      </c>
      <c r="E246" s="89"/>
      <c r="F246" s="89"/>
      <c r="G246" s="89"/>
      <c r="H246" s="89"/>
      <c r="I246" s="89"/>
      <c r="J246" s="154"/>
      <c r="K246" s="154">
        <f t="shared" si="18"/>
        <v>0</v>
      </c>
      <c r="L246" s="154">
        <f t="shared" si="18"/>
        <v>0</v>
      </c>
      <c r="M246" s="154">
        <f t="shared" si="18"/>
        <v>0</v>
      </c>
      <c r="N246" s="154">
        <f t="shared" si="18"/>
        <v>0</v>
      </c>
      <c r="O246" s="91"/>
      <c r="P246" s="91"/>
      <c r="Q246" s="91"/>
    </row>
    <row r="247" spans="1:17" x14ac:dyDescent="0.25">
      <c r="A247" s="152">
        <v>6410000</v>
      </c>
      <c r="B247" s="73" t="s">
        <v>272</v>
      </c>
      <c r="C247" s="88"/>
      <c r="D247" s="89" t="s">
        <v>223</v>
      </c>
      <c r="E247" s="89"/>
      <c r="F247" s="89"/>
      <c r="G247" s="89"/>
      <c r="H247" s="89"/>
      <c r="I247" s="89"/>
      <c r="J247" s="154"/>
      <c r="K247" s="154">
        <f t="shared" si="18"/>
        <v>0</v>
      </c>
      <c r="L247" s="154">
        <f t="shared" si="18"/>
        <v>0</v>
      </c>
      <c r="M247" s="154">
        <f t="shared" si="18"/>
        <v>0</v>
      </c>
      <c r="N247" s="154">
        <f t="shared" si="18"/>
        <v>1500</v>
      </c>
      <c r="O247" s="91"/>
      <c r="P247" s="91"/>
      <c r="Q247" s="91"/>
    </row>
    <row r="248" spans="1:17" x14ac:dyDescent="0.25">
      <c r="A248" s="152">
        <v>6410000</v>
      </c>
      <c r="B248" s="51" t="s">
        <v>21</v>
      </c>
      <c r="C248" s="88"/>
      <c r="D248" s="89" t="s">
        <v>223</v>
      </c>
      <c r="E248" s="89"/>
      <c r="F248" s="89"/>
      <c r="G248" s="89"/>
      <c r="H248" s="89"/>
      <c r="I248" s="89"/>
      <c r="J248" s="154"/>
      <c r="K248" s="154">
        <f t="shared" si="18"/>
        <v>0</v>
      </c>
      <c r="L248" s="154">
        <f t="shared" si="18"/>
        <v>0</v>
      </c>
      <c r="M248" s="154">
        <f t="shared" si="18"/>
        <v>0</v>
      </c>
      <c r="N248" s="154">
        <f t="shared" si="18"/>
        <v>0</v>
      </c>
      <c r="O248" s="91"/>
      <c r="P248" s="91"/>
      <c r="Q248" s="91"/>
    </row>
    <row r="249" spans="1:17" x14ac:dyDescent="0.25">
      <c r="A249" s="152">
        <v>6410000</v>
      </c>
      <c r="B249" s="73" t="s">
        <v>1172</v>
      </c>
      <c r="C249" s="88"/>
      <c r="D249" s="89" t="s">
        <v>223</v>
      </c>
      <c r="E249" s="89"/>
      <c r="F249" s="89"/>
      <c r="G249" s="89"/>
      <c r="H249" s="89"/>
      <c r="I249" s="89"/>
      <c r="J249" s="154"/>
      <c r="K249" s="154">
        <f t="shared" si="18"/>
        <v>0</v>
      </c>
      <c r="L249" s="154">
        <f t="shared" si="18"/>
        <v>0</v>
      </c>
      <c r="M249" s="154">
        <f t="shared" si="18"/>
        <v>0</v>
      </c>
      <c r="N249" s="154">
        <f t="shared" si="18"/>
        <v>0</v>
      </c>
      <c r="O249" s="91"/>
      <c r="P249" s="91"/>
      <c r="Q249" s="91"/>
    </row>
    <row r="250" spans="1:17" x14ac:dyDescent="0.25">
      <c r="A250" s="152">
        <v>6410000</v>
      </c>
      <c r="B250" s="73" t="s">
        <v>810</v>
      </c>
      <c r="C250" s="88"/>
      <c r="D250" s="89" t="s">
        <v>223</v>
      </c>
      <c r="E250" s="89"/>
      <c r="F250" s="89"/>
      <c r="G250" s="89"/>
      <c r="H250" s="89"/>
      <c r="I250" s="89"/>
      <c r="J250" s="154"/>
      <c r="K250" s="154">
        <f t="shared" si="18"/>
        <v>0</v>
      </c>
      <c r="L250" s="154">
        <f t="shared" si="18"/>
        <v>0</v>
      </c>
      <c r="M250" s="154">
        <f t="shared" si="18"/>
        <v>0</v>
      </c>
      <c r="N250" s="154">
        <f t="shared" si="18"/>
        <v>0</v>
      </c>
      <c r="O250" s="91"/>
      <c r="P250" s="91"/>
      <c r="Q250" s="91"/>
    </row>
    <row r="251" spans="1:17" x14ac:dyDescent="0.25">
      <c r="A251" s="152">
        <v>6410000</v>
      </c>
      <c r="B251" s="73" t="s">
        <v>811</v>
      </c>
      <c r="C251" s="88"/>
      <c r="D251" s="89" t="s">
        <v>223</v>
      </c>
      <c r="E251" s="89"/>
      <c r="F251" s="89"/>
      <c r="G251" s="89"/>
      <c r="H251" s="89"/>
      <c r="I251" s="89"/>
      <c r="J251" s="154"/>
      <c r="K251" s="154">
        <f t="shared" si="18"/>
        <v>0</v>
      </c>
      <c r="L251" s="154">
        <f t="shared" si="18"/>
        <v>0</v>
      </c>
      <c r="M251" s="154">
        <f t="shared" si="18"/>
        <v>0</v>
      </c>
      <c r="N251" s="154">
        <f t="shared" si="18"/>
        <v>0</v>
      </c>
      <c r="O251" s="91"/>
      <c r="P251" s="91"/>
      <c r="Q251" s="91"/>
    </row>
    <row r="252" spans="1:17" x14ac:dyDescent="0.25">
      <c r="A252" s="152">
        <v>6410000</v>
      </c>
      <c r="B252" s="51" t="s">
        <v>23</v>
      </c>
      <c r="C252" s="88"/>
      <c r="D252" s="89" t="s">
        <v>223</v>
      </c>
      <c r="E252" s="89"/>
      <c r="F252" s="89"/>
      <c r="G252" s="89"/>
      <c r="H252" s="89"/>
      <c r="I252" s="89"/>
      <c r="J252" s="154"/>
      <c r="K252" s="154">
        <f t="shared" si="18"/>
        <v>0</v>
      </c>
      <c r="L252" s="154">
        <f t="shared" si="18"/>
        <v>0</v>
      </c>
      <c r="M252" s="154">
        <f t="shared" si="18"/>
        <v>0</v>
      </c>
      <c r="N252" s="154">
        <f t="shared" si="18"/>
        <v>0</v>
      </c>
      <c r="O252" s="91"/>
      <c r="P252" s="91"/>
      <c r="Q252" s="91"/>
    </row>
    <row r="253" spans="1:17" x14ac:dyDescent="0.25">
      <c r="A253" s="152">
        <v>6410000</v>
      </c>
      <c r="B253" s="73" t="s">
        <v>268</v>
      </c>
      <c r="C253" s="88"/>
      <c r="D253" s="89" t="s">
        <v>223</v>
      </c>
      <c r="E253" s="89"/>
      <c r="F253" s="89"/>
      <c r="G253" s="89"/>
      <c r="H253" s="89"/>
      <c r="I253" s="89"/>
      <c r="J253" s="154"/>
      <c r="K253" s="154">
        <f t="shared" si="18"/>
        <v>0</v>
      </c>
      <c r="L253" s="154">
        <f t="shared" si="18"/>
        <v>0</v>
      </c>
      <c r="M253" s="154">
        <f t="shared" si="18"/>
        <v>0</v>
      </c>
      <c r="N253" s="154">
        <f t="shared" si="18"/>
        <v>0</v>
      </c>
      <c r="O253" s="91"/>
      <c r="P253" s="91"/>
      <c r="Q253" s="91"/>
    </row>
    <row r="254" spans="1:17" x14ac:dyDescent="0.25">
      <c r="A254" s="152">
        <v>6410000</v>
      </c>
      <c r="B254" s="73" t="s">
        <v>267</v>
      </c>
      <c r="C254" s="88"/>
      <c r="D254" s="89" t="s">
        <v>223</v>
      </c>
      <c r="E254" s="89"/>
      <c r="F254" s="89"/>
      <c r="G254" s="89"/>
      <c r="H254" s="89"/>
      <c r="I254" s="89"/>
      <c r="J254" s="154"/>
      <c r="K254" s="154">
        <f t="shared" si="18"/>
        <v>0</v>
      </c>
      <c r="L254" s="154">
        <f t="shared" si="18"/>
        <v>0</v>
      </c>
      <c r="M254" s="154">
        <f t="shared" si="18"/>
        <v>0</v>
      </c>
      <c r="N254" s="154">
        <f t="shared" si="18"/>
        <v>0</v>
      </c>
      <c r="O254" s="91"/>
      <c r="P254" s="91"/>
      <c r="Q254" s="91"/>
    </row>
    <row r="255" spans="1:17" ht="15.75" thickBot="1" x14ac:dyDescent="0.3">
      <c r="A255" s="152">
        <v>6410000</v>
      </c>
      <c r="B255" s="73" t="s">
        <v>920</v>
      </c>
      <c r="C255" s="88"/>
      <c r="D255" s="89" t="s">
        <v>223</v>
      </c>
      <c r="E255" s="89"/>
      <c r="F255" s="89"/>
      <c r="G255" s="89"/>
      <c r="H255" s="89"/>
      <c r="I255" s="89"/>
      <c r="J255" s="154"/>
      <c r="K255" s="154">
        <f t="shared" si="18"/>
        <v>0</v>
      </c>
      <c r="L255" s="154">
        <f t="shared" si="18"/>
        <v>0</v>
      </c>
      <c r="M255" s="154">
        <f t="shared" si="18"/>
        <v>0</v>
      </c>
      <c r="N255" s="154">
        <f t="shared" si="18"/>
        <v>0</v>
      </c>
      <c r="O255" s="91"/>
      <c r="P255" s="91"/>
      <c r="Q255" s="91"/>
    </row>
    <row r="256" spans="1:17" x14ac:dyDescent="0.25">
      <c r="A256" s="151">
        <v>6420000</v>
      </c>
      <c r="B256" s="84" t="s">
        <v>19</v>
      </c>
      <c r="C256" s="85"/>
      <c r="D256" s="86" t="s">
        <v>224</v>
      </c>
      <c r="E256" s="86"/>
      <c r="F256" s="86"/>
      <c r="G256" s="86"/>
      <c r="H256" s="86"/>
      <c r="I256" s="86"/>
      <c r="J256" s="156"/>
      <c r="K256" s="156">
        <f t="shared" ref="K256:N275" si="19">SUMIFS(K$26:K$154,$A$26:$A$154,$A256,$B$26:$B$154,$B256)</f>
        <v>0</v>
      </c>
      <c r="L256" s="156">
        <f t="shared" si="19"/>
        <v>0</v>
      </c>
      <c r="M256" s="156">
        <f t="shared" si="19"/>
        <v>0</v>
      </c>
      <c r="N256" s="156">
        <f t="shared" si="19"/>
        <v>4427</v>
      </c>
      <c r="O256" s="91"/>
      <c r="P256" s="91"/>
      <c r="Q256" s="91"/>
    </row>
    <row r="257" spans="1:17" x14ac:dyDescent="0.25">
      <c r="A257" s="152">
        <v>6420000</v>
      </c>
      <c r="B257" s="73" t="s">
        <v>18</v>
      </c>
      <c r="C257" s="88"/>
      <c r="D257" s="89" t="s">
        <v>224</v>
      </c>
      <c r="E257" s="89"/>
      <c r="F257" s="89"/>
      <c r="G257" s="89"/>
      <c r="H257" s="89"/>
      <c r="I257" s="89"/>
      <c r="J257" s="154"/>
      <c r="K257" s="485">
        <f t="shared" si="19"/>
        <v>0</v>
      </c>
      <c r="L257" s="154">
        <f t="shared" si="19"/>
        <v>0</v>
      </c>
      <c r="M257" s="154">
        <f t="shared" si="19"/>
        <v>0</v>
      </c>
      <c r="N257" s="154">
        <f t="shared" si="19"/>
        <v>6000</v>
      </c>
      <c r="O257" s="91"/>
      <c r="P257" s="91"/>
      <c r="Q257" s="91"/>
    </row>
    <row r="258" spans="1:17" x14ac:dyDescent="0.25">
      <c r="A258" s="152">
        <v>6420000</v>
      </c>
      <c r="B258" s="73" t="s">
        <v>22</v>
      </c>
      <c r="C258" s="88"/>
      <c r="D258" s="89" t="s">
        <v>224</v>
      </c>
      <c r="E258" s="89"/>
      <c r="F258" s="89"/>
      <c r="G258" s="89"/>
      <c r="H258" s="89"/>
      <c r="I258" s="89"/>
      <c r="J258" s="154"/>
      <c r="K258" s="154">
        <f t="shared" si="19"/>
        <v>0</v>
      </c>
      <c r="L258" s="154">
        <f t="shared" si="19"/>
        <v>0</v>
      </c>
      <c r="M258" s="154">
        <f t="shared" si="19"/>
        <v>0</v>
      </c>
      <c r="N258" s="154">
        <f t="shared" si="19"/>
        <v>25000</v>
      </c>
      <c r="O258" s="91"/>
      <c r="P258" s="91"/>
      <c r="Q258" s="91"/>
    </row>
    <row r="259" spans="1:17" x14ac:dyDescent="0.25">
      <c r="A259" s="152">
        <v>6420000</v>
      </c>
      <c r="B259" s="73" t="s">
        <v>24</v>
      </c>
      <c r="C259" s="88"/>
      <c r="D259" s="89" t="s">
        <v>224</v>
      </c>
      <c r="E259" s="89"/>
      <c r="F259" s="89"/>
      <c r="G259" s="89"/>
      <c r="H259" s="89"/>
      <c r="I259" s="89"/>
      <c r="J259" s="154"/>
      <c r="K259" s="154">
        <f t="shared" si="19"/>
        <v>0</v>
      </c>
      <c r="L259" s="154">
        <f t="shared" si="19"/>
        <v>0</v>
      </c>
      <c r="M259" s="154">
        <f t="shared" si="19"/>
        <v>0</v>
      </c>
      <c r="N259" s="154">
        <f t="shared" si="19"/>
        <v>0</v>
      </c>
      <c r="O259" s="91"/>
      <c r="P259" s="91"/>
      <c r="Q259" s="91"/>
    </row>
    <row r="260" spans="1:17" x14ac:dyDescent="0.25">
      <c r="A260" s="152">
        <v>6420000</v>
      </c>
      <c r="B260" s="73" t="s">
        <v>25</v>
      </c>
      <c r="C260" s="88"/>
      <c r="D260" s="89" t="s">
        <v>224</v>
      </c>
      <c r="E260" s="89"/>
      <c r="F260" s="89"/>
      <c r="G260" s="89"/>
      <c r="H260" s="89"/>
      <c r="I260" s="89"/>
      <c r="J260" s="154"/>
      <c r="K260" s="154">
        <f t="shared" si="19"/>
        <v>0</v>
      </c>
      <c r="L260" s="154">
        <f t="shared" si="19"/>
        <v>0</v>
      </c>
      <c r="M260" s="154">
        <f t="shared" si="19"/>
        <v>0</v>
      </c>
      <c r="N260" s="154">
        <f t="shared" si="19"/>
        <v>325305</v>
      </c>
      <c r="O260" s="91"/>
      <c r="P260" s="91"/>
      <c r="Q260" s="91"/>
    </row>
    <row r="261" spans="1:17" x14ac:dyDescent="0.25">
      <c r="A261" s="152">
        <v>6420000</v>
      </c>
      <c r="B261" s="73" t="s">
        <v>394</v>
      </c>
      <c r="C261" s="88"/>
      <c r="D261" s="89" t="s">
        <v>224</v>
      </c>
      <c r="E261" s="89"/>
      <c r="F261" s="89"/>
      <c r="G261" s="89"/>
      <c r="H261" s="89"/>
      <c r="I261" s="89"/>
      <c r="J261" s="154"/>
      <c r="K261" s="154">
        <f t="shared" si="19"/>
        <v>0</v>
      </c>
      <c r="L261" s="154">
        <f t="shared" si="19"/>
        <v>0</v>
      </c>
      <c r="M261" s="154">
        <f t="shared" si="19"/>
        <v>0</v>
      </c>
      <c r="N261" s="154">
        <f t="shared" si="19"/>
        <v>452500.79999999987</v>
      </c>
      <c r="O261" s="91"/>
      <c r="P261" s="91"/>
      <c r="Q261" s="91"/>
    </row>
    <row r="262" spans="1:17" x14ac:dyDescent="0.25">
      <c r="A262" s="152">
        <v>6420000</v>
      </c>
      <c r="B262" s="73" t="s">
        <v>350</v>
      </c>
      <c r="C262" s="88"/>
      <c r="D262" s="89" t="s">
        <v>224</v>
      </c>
      <c r="E262" s="89"/>
      <c r="F262" s="89"/>
      <c r="G262" s="89"/>
      <c r="H262" s="89"/>
      <c r="I262" s="89"/>
      <c r="J262" s="154"/>
      <c r="K262" s="154">
        <f t="shared" si="19"/>
        <v>0</v>
      </c>
      <c r="L262" s="154">
        <f t="shared" si="19"/>
        <v>0</v>
      </c>
      <c r="M262" s="154">
        <f t="shared" si="19"/>
        <v>0</v>
      </c>
      <c r="N262" s="154">
        <f t="shared" si="19"/>
        <v>3000</v>
      </c>
      <c r="O262" s="91"/>
      <c r="P262" s="91"/>
      <c r="Q262" s="91"/>
    </row>
    <row r="263" spans="1:17" x14ac:dyDescent="0.25">
      <c r="A263" s="152">
        <v>6420000</v>
      </c>
      <c r="B263" s="73" t="s">
        <v>1171</v>
      </c>
      <c r="C263" s="88"/>
      <c r="D263" s="89" t="s">
        <v>224</v>
      </c>
      <c r="E263" s="89"/>
      <c r="F263" s="89"/>
      <c r="G263" s="89"/>
      <c r="H263" s="89"/>
      <c r="I263" s="89"/>
      <c r="J263" s="154"/>
      <c r="K263" s="154">
        <f t="shared" si="19"/>
        <v>0</v>
      </c>
      <c r="L263" s="154">
        <f t="shared" si="19"/>
        <v>0</v>
      </c>
      <c r="M263" s="154">
        <f t="shared" si="19"/>
        <v>0</v>
      </c>
      <c r="N263" s="154">
        <f t="shared" si="19"/>
        <v>104000</v>
      </c>
      <c r="O263" s="91"/>
      <c r="P263" s="91"/>
      <c r="Q263" s="91"/>
    </row>
    <row r="264" spans="1:17" s="407" customFormat="1" x14ac:dyDescent="0.25">
      <c r="A264" s="152">
        <v>6420000</v>
      </c>
      <c r="B264" s="73" t="s">
        <v>1182</v>
      </c>
      <c r="C264" s="88"/>
      <c r="D264" s="89" t="s">
        <v>224</v>
      </c>
      <c r="E264" s="89"/>
      <c r="F264" s="89"/>
      <c r="G264" s="89"/>
      <c r="H264" s="89"/>
      <c r="I264" s="89"/>
      <c r="J264" s="212"/>
      <c r="K264" s="212">
        <f t="shared" si="19"/>
        <v>0</v>
      </c>
      <c r="L264" s="212">
        <f t="shared" si="19"/>
        <v>0</v>
      </c>
      <c r="M264" s="212">
        <f t="shared" si="19"/>
        <v>0</v>
      </c>
      <c r="N264" s="212">
        <f t="shared" si="19"/>
        <v>0</v>
      </c>
      <c r="O264" s="91"/>
      <c r="P264" s="91"/>
      <c r="Q264" s="91"/>
    </row>
    <row r="265" spans="1:17" s="407" customFormat="1" x14ac:dyDescent="0.25">
      <c r="A265" s="152">
        <v>6420000</v>
      </c>
      <c r="B265" s="73" t="s">
        <v>20</v>
      </c>
      <c r="C265" s="88"/>
      <c r="D265" s="89" t="s">
        <v>224</v>
      </c>
      <c r="E265" s="89"/>
      <c r="F265" s="89"/>
      <c r="G265" s="89"/>
      <c r="H265" s="89"/>
      <c r="I265" s="89"/>
      <c r="J265" s="212"/>
      <c r="K265" s="212">
        <f t="shared" si="19"/>
        <v>0</v>
      </c>
      <c r="L265" s="212">
        <f t="shared" si="19"/>
        <v>0</v>
      </c>
      <c r="M265" s="212">
        <f t="shared" si="19"/>
        <v>0</v>
      </c>
      <c r="N265" s="212">
        <f t="shared" si="19"/>
        <v>0</v>
      </c>
      <c r="O265" s="91"/>
      <c r="P265" s="91"/>
      <c r="Q265" s="91"/>
    </row>
    <row r="266" spans="1:17" x14ac:dyDescent="0.25">
      <c r="A266" s="152">
        <v>6420000</v>
      </c>
      <c r="B266" s="73" t="s">
        <v>510</v>
      </c>
      <c r="C266" s="88"/>
      <c r="D266" s="89" t="s">
        <v>224</v>
      </c>
      <c r="E266" s="89"/>
      <c r="F266" s="89"/>
      <c r="G266" s="89"/>
      <c r="H266" s="89"/>
      <c r="I266" s="89"/>
      <c r="J266" s="154"/>
      <c r="K266" s="154">
        <f t="shared" si="19"/>
        <v>0</v>
      </c>
      <c r="L266" s="154">
        <f t="shared" si="19"/>
        <v>0</v>
      </c>
      <c r="M266" s="154">
        <f t="shared" si="19"/>
        <v>0</v>
      </c>
      <c r="N266" s="154">
        <f t="shared" si="19"/>
        <v>130430</v>
      </c>
      <c r="O266" s="91"/>
      <c r="P266" s="91"/>
      <c r="Q266" s="91"/>
    </row>
    <row r="267" spans="1:17" x14ac:dyDescent="0.25">
      <c r="A267" s="152">
        <v>6420000</v>
      </c>
      <c r="B267" s="73" t="s">
        <v>272</v>
      </c>
      <c r="C267" s="88"/>
      <c r="D267" s="89" t="s">
        <v>224</v>
      </c>
      <c r="E267" s="89"/>
      <c r="F267" s="89"/>
      <c r="G267" s="89"/>
      <c r="H267" s="89"/>
      <c r="I267" s="89"/>
      <c r="J267" s="154"/>
      <c r="K267" s="154">
        <f t="shared" si="19"/>
        <v>0</v>
      </c>
      <c r="L267" s="154">
        <f t="shared" si="19"/>
        <v>0</v>
      </c>
      <c r="M267" s="154">
        <f t="shared" si="19"/>
        <v>0</v>
      </c>
      <c r="N267" s="154">
        <f t="shared" si="19"/>
        <v>119855.35</v>
      </c>
      <c r="O267" s="91"/>
      <c r="P267" s="91"/>
      <c r="Q267" s="91"/>
    </row>
    <row r="268" spans="1:17" x14ac:dyDescent="0.25">
      <c r="A268" s="152">
        <v>6420000</v>
      </c>
      <c r="B268" s="51" t="s">
        <v>21</v>
      </c>
      <c r="C268" s="88"/>
      <c r="D268" s="89" t="s">
        <v>224</v>
      </c>
      <c r="E268" s="89"/>
      <c r="F268" s="89"/>
      <c r="G268" s="89"/>
      <c r="H268" s="89"/>
      <c r="I268" s="89"/>
      <c r="J268" s="154"/>
      <c r="K268" s="154">
        <f t="shared" si="19"/>
        <v>0</v>
      </c>
      <c r="L268" s="154">
        <f t="shared" si="19"/>
        <v>0</v>
      </c>
      <c r="M268" s="154">
        <f t="shared" si="19"/>
        <v>0</v>
      </c>
      <c r="N268" s="154">
        <f t="shared" si="19"/>
        <v>20000</v>
      </c>
      <c r="O268" s="91"/>
      <c r="P268" s="91"/>
      <c r="Q268" s="91"/>
    </row>
    <row r="269" spans="1:17" x14ac:dyDescent="0.25">
      <c r="A269" s="152">
        <v>6420000</v>
      </c>
      <c r="B269" s="73" t="s">
        <v>1172</v>
      </c>
      <c r="C269" s="88"/>
      <c r="D269" s="89" t="s">
        <v>224</v>
      </c>
      <c r="E269" s="89"/>
      <c r="F269" s="89"/>
      <c r="G269" s="89"/>
      <c r="H269" s="89"/>
      <c r="I269" s="89"/>
      <c r="J269" s="154"/>
      <c r="K269" s="154">
        <f t="shared" si="19"/>
        <v>0</v>
      </c>
      <c r="L269" s="154">
        <f t="shared" si="19"/>
        <v>0</v>
      </c>
      <c r="M269" s="154">
        <f t="shared" si="19"/>
        <v>0</v>
      </c>
      <c r="N269" s="154">
        <f t="shared" si="19"/>
        <v>9103</v>
      </c>
      <c r="O269" s="91"/>
      <c r="P269" s="91"/>
      <c r="Q269" s="91"/>
    </row>
    <row r="270" spans="1:17" x14ac:dyDescent="0.25">
      <c r="A270" s="152">
        <v>6420000</v>
      </c>
      <c r="B270" s="73" t="s">
        <v>810</v>
      </c>
      <c r="C270" s="88"/>
      <c r="D270" s="89" t="s">
        <v>224</v>
      </c>
      <c r="E270" s="89"/>
      <c r="F270" s="89"/>
      <c r="G270" s="89"/>
      <c r="H270" s="89"/>
      <c r="I270" s="89"/>
      <c r="J270" s="154"/>
      <c r="K270" s="154">
        <f t="shared" si="19"/>
        <v>0</v>
      </c>
      <c r="L270" s="154">
        <f t="shared" si="19"/>
        <v>0</v>
      </c>
      <c r="M270" s="154">
        <f t="shared" si="19"/>
        <v>0</v>
      </c>
      <c r="N270" s="154">
        <f t="shared" si="19"/>
        <v>800</v>
      </c>
      <c r="O270" s="91"/>
      <c r="P270" s="91"/>
      <c r="Q270" s="91"/>
    </row>
    <row r="271" spans="1:17" x14ac:dyDescent="0.25">
      <c r="A271" s="152">
        <v>6420000</v>
      </c>
      <c r="B271" s="73" t="s">
        <v>811</v>
      </c>
      <c r="C271" s="88"/>
      <c r="D271" s="89" t="s">
        <v>224</v>
      </c>
      <c r="E271" s="89"/>
      <c r="F271" s="89"/>
      <c r="G271" s="89"/>
      <c r="H271" s="89"/>
      <c r="I271" s="89"/>
      <c r="J271" s="154"/>
      <c r="K271" s="154">
        <f t="shared" si="19"/>
        <v>0</v>
      </c>
      <c r="L271" s="154">
        <f t="shared" si="19"/>
        <v>0</v>
      </c>
      <c r="M271" s="154">
        <f t="shared" si="19"/>
        <v>0</v>
      </c>
      <c r="N271" s="154">
        <f t="shared" si="19"/>
        <v>11750</v>
      </c>
      <c r="O271" s="91"/>
      <c r="P271" s="91"/>
      <c r="Q271" s="91"/>
    </row>
    <row r="272" spans="1:17" x14ac:dyDescent="0.25">
      <c r="A272" s="152">
        <v>6420000</v>
      </c>
      <c r="B272" s="51" t="s">
        <v>23</v>
      </c>
      <c r="C272" s="88"/>
      <c r="D272" s="89" t="s">
        <v>224</v>
      </c>
      <c r="E272" s="89"/>
      <c r="F272" s="89"/>
      <c r="G272" s="89"/>
      <c r="H272" s="89"/>
      <c r="I272" s="89"/>
      <c r="J272" s="154"/>
      <c r="K272" s="154">
        <f t="shared" si="19"/>
        <v>0</v>
      </c>
      <c r="L272" s="154">
        <f t="shared" si="19"/>
        <v>0</v>
      </c>
      <c r="M272" s="154">
        <f t="shared" si="19"/>
        <v>0</v>
      </c>
      <c r="N272" s="154">
        <f t="shared" si="19"/>
        <v>85000</v>
      </c>
      <c r="O272" s="91"/>
      <c r="P272" s="91"/>
      <c r="Q272" s="91"/>
    </row>
    <row r="273" spans="1:17" x14ac:dyDescent="0.25">
      <c r="A273" s="152">
        <v>6420000</v>
      </c>
      <c r="B273" s="73" t="s">
        <v>268</v>
      </c>
      <c r="C273" s="88"/>
      <c r="D273" s="89" t="s">
        <v>224</v>
      </c>
      <c r="E273" s="89"/>
      <c r="F273" s="89"/>
      <c r="G273" s="89"/>
      <c r="H273" s="89"/>
      <c r="I273" s="89"/>
      <c r="J273" s="154"/>
      <c r="K273" s="154">
        <f t="shared" si="19"/>
        <v>0</v>
      </c>
      <c r="L273" s="154">
        <f t="shared" si="19"/>
        <v>0</v>
      </c>
      <c r="M273" s="154">
        <f t="shared" si="19"/>
        <v>0</v>
      </c>
      <c r="N273" s="154">
        <f t="shared" si="19"/>
        <v>825000</v>
      </c>
      <c r="O273" s="91"/>
      <c r="P273" s="91"/>
      <c r="Q273" s="91"/>
    </row>
    <row r="274" spans="1:17" x14ac:dyDescent="0.25">
      <c r="A274" s="152">
        <v>6420000</v>
      </c>
      <c r="B274" s="73" t="s">
        <v>267</v>
      </c>
      <c r="C274" s="88"/>
      <c r="D274" s="89" t="s">
        <v>224</v>
      </c>
      <c r="E274" s="89"/>
      <c r="F274" s="89"/>
      <c r="G274" s="89"/>
      <c r="H274" s="89"/>
      <c r="I274" s="89"/>
      <c r="J274" s="154"/>
      <c r="K274" s="154">
        <f t="shared" si="19"/>
        <v>0</v>
      </c>
      <c r="L274" s="154">
        <f t="shared" si="19"/>
        <v>0</v>
      </c>
      <c r="M274" s="154">
        <f t="shared" si="19"/>
        <v>0</v>
      </c>
      <c r="N274" s="154">
        <f t="shared" si="19"/>
        <v>35745</v>
      </c>
      <c r="O274" s="91"/>
      <c r="P274" s="91"/>
      <c r="Q274" s="91"/>
    </row>
    <row r="275" spans="1:17" ht="15.75" thickBot="1" x14ac:dyDescent="0.3">
      <c r="A275" s="204">
        <v>6420000</v>
      </c>
      <c r="B275" s="73" t="s">
        <v>920</v>
      </c>
      <c r="C275" s="146"/>
      <c r="D275" s="147" t="s">
        <v>224</v>
      </c>
      <c r="E275" s="147"/>
      <c r="F275" s="147"/>
      <c r="G275" s="147"/>
      <c r="H275" s="147"/>
      <c r="I275" s="147"/>
      <c r="J275" s="147"/>
      <c r="K275" s="206">
        <f t="shared" si="19"/>
        <v>0</v>
      </c>
      <c r="L275" s="206">
        <f t="shared" si="19"/>
        <v>0</v>
      </c>
      <c r="M275" s="206">
        <f t="shared" si="19"/>
        <v>0</v>
      </c>
      <c r="N275" s="206">
        <f t="shared" si="19"/>
        <v>10000</v>
      </c>
      <c r="O275" s="91"/>
      <c r="P275" s="91"/>
      <c r="Q275" s="91"/>
    </row>
    <row r="276" spans="1:17" s="407" customFormat="1" x14ac:dyDescent="0.25">
      <c r="A276" s="151">
        <v>6420015</v>
      </c>
      <c r="B276" s="84" t="s">
        <v>19</v>
      </c>
      <c r="C276" s="85"/>
      <c r="D276" s="86" t="s">
        <v>525</v>
      </c>
      <c r="E276" s="86"/>
      <c r="F276" s="86"/>
      <c r="G276" s="86"/>
      <c r="H276" s="86"/>
      <c r="I276" s="86"/>
      <c r="J276" s="213"/>
      <c r="K276" s="213">
        <f t="shared" ref="K276:N295" si="20">SUMIFS(K$26:K$154,$A$26:$A$154,$A276,$B$26:$B$154,$B276)</f>
        <v>0</v>
      </c>
      <c r="L276" s="213">
        <f t="shared" si="20"/>
        <v>0</v>
      </c>
      <c r="M276" s="213">
        <f t="shared" si="20"/>
        <v>0</v>
      </c>
      <c r="N276" s="213">
        <f t="shared" si="20"/>
        <v>0</v>
      </c>
      <c r="O276" s="91"/>
      <c r="P276" s="91"/>
      <c r="Q276" s="91"/>
    </row>
    <row r="277" spans="1:17" s="407" customFormat="1" x14ac:dyDescent="0.25">
      <c r="A277" s="152">
        <v>6420015</v>
      </c>
      <c r="B277" s="73" t="s">
        <v>18</v>
      </c>
      <c r="C277" s="88"/>
      <c r="D277" s="89" t="s">
        <v>525</v>
      </c>
      <c r="E277" s="89"/>
      <c r="F277" s="89"/>
      <c r="G277" s="89"/>
      <c r="H277" s="89"/>
      <c r="I277" s="89"/>
      <c r="J277" s="212"/>
      <c r="K277" s="212">
        <f t="shared" si="20"/>
        <v>0</v>
      </c>
      <c r="L277" s="212">
        <f t="shared" si="20"/>
        <v>0</v>
      </c>
      <c r="M277" s="212">
        <f t="shared" si="20"/>
        <v>0</v>
      </c>
      <c r="N277" s="212">
        <f t="shared" si="20"/>
        <v>0</v>
      </c>
      <c r="O277" s="91"/>
      <c r="P277" s="91"/>
      <c r="Q277" s="91"/>
    </row>
    <row r="278" spans="1:17" s="407" customFormat="1" x14ac:dyDescent="0.25">
      <c r="A278" s="152">
        <v>6420015</v>
      </c>
      <c r="B278" s="73" t="s">
        <v>22</v>
      </c>
      <c r="C278" s="88"/>
      <c r="D278" s="89" t="s">
        <v>525</v>
      </c>
      <c r="E278" s="89"/>
      <c r="F278" s="89"/>
      <c r="G278" s="89"/>
      <c r="H278" s="89"/>
      <c r="I278" s="89"/>
      <c r="J278" s="212"/>
      <c r="K278" s="212">
        <f t="shared" si="20"/>
        <v>0</v>
      </c>
      <c r="L278" s="212">
        <f t="shared" si="20"/>
        <v>0</v>
      </c>
      <c r="M278" s="212">
        <f t="shared" si="20"/>
        <v>0</v>
      </c>
      <c r="N278" s="485">
        <f t="shared" si="20"/>
        <v>0</v>
      </c>
      <c r="O278" s="91"/>
      <c r="P278" s="91"/>
      <c r="Q278" s="91"/>
    </row>
    <row r="279" spans="1:17" s="407" customFormat="1" x14ac:dyDescent="0.25">
      <c r="A279" s="152">
        <v>6420015</v>
      </c>
      <c r="B279" s="73" t="s">
        <v>24</v>
      </c>
      <c r="C279" s="88"/>
      <c r="D279" s="89" t="s">
        <v>525</v>
      </c>
      <c r="E279" s="89"/>
      <c r="F279" s="89"/>
      <c r="G279" s="89"/>
      <c r="H279" s="89"/>
      <c r="I279" s="89"/>
      <c r="J279" s="212"/>
      <c r="K279" s="212">
        <f t="shared" si="20"/>
        <v>0</v>
      </c>
      <c r="L279" s="212">
        <f t="shared" si="20"/>
        <v>0</v>
      </c>
      <c r="M279" s="212">
        <f t="shared" si="20"/>
        <v>0</v>
      </c>
      <c r="N279" s="212">
        <f t="shared" si="20"/>
        <v>0</v>
      </c>
      <c r="O279" s="91"/>
      <c r="P279" s="91"/>
      <c r="Q279" s="91"/>
    </row>
    <row r="280" spans="1:17" s="407" customFormat="1" x14ac:dyDescent="0.25">
      <c r="A280" s="152">
        <v>6420015</v>
      </c>
      <c r="B280" s="73" t="s">
        <v>25</v>
      </c>
      <c r="C280" s="88"/>
      <c r="D280" s="89" t="s">
        <v>525</v>
      </c>
      <c r="E280" s="89"/>
      <c r="F280" s="89"/>
      <c r="G280" s="89"/>
      <c r="H280" s="89"/>
      <c r="I280" s="89"/>
      <c r="J280" s="212"/>
      <c r="K280" s="212">
        <f t="shared" si="20"/>
        <v>0</v>
      </c>
      <c r="L280" s="212">
        <f t="shared" si="20"/>
        <v>0</v>
      </c>
      <c r="M280" s="212">
        <f t="shared" si="20"/>
        <v>0</v>
      </c>
      <c r="N280" s="212">
        <f t="shared" si="20"/>
        <v>0</v>
      </c>
      <c r="O280" s="91"/>
      <c r="P280" s="91"/>
      <c r="Q280" s="91"/>
    </row>
    <row r="281" spans="1:17" s="407" customFormat="1" x14ac:dyDescent="0.25">
      <c r="A281" s="152">
        <v>6420015</v>
      </c>
      <c r="B281" s="73" t="s">
        <v>394</v>
      </c>
      <c r="C281" s="88"/>
      <c r="D281" s="89" t="s">
        <v>525</v>
      </c>
      <c r="E281" s="89"/>
      <c r="F281" s="89"/>
      <c r="G281" s="89"/>
      <c r="H281" s="89"/>
      <c r="I281" s="89"/>
      <c r="J281" s="212"/>
      <c r="K281" s="212">
        <f t="shared" si="20"/>
        <v>0</v>
      </c>
      <c r="L281" s="212">
        <f t="shared" si="20"/>
        <v>0</v>
      </c>
      <c r="M281" s="212">
        <f t="shared" si="20"/>
        <v>0</v>
      </c>
      <c r="N281" s="212">
        <f t="shared" si="20"/>
        <v>0</v>
      </c>
      <c r="O281" s="91"/>
      <c r="P281" s="91"/>
      <c r="Q281" s="91"/>
    </row>
    <row r="282" spans="1:17" s="407" customFormat="1" x14ac:dyDescent="0.25">
      <c r="A282" s="152">
        <v>6420015</v>
      </c>
      <c r="B282" s="73" t="s">
        <v>350</v>
      </c>
      <c r="C282" s="88"/>
      <c r="D282" s="89" t="s">
        <v>525</v>
      </c>
      <c r="E282" s="89"/>
      <c r="F282" s="89"/>
      <c r="G282" s="89"/>
      <c r="H282" s="89"/>
      <c r="I282" s="89"/>
      <c r="J282" s="212"/>
      <c r="K282" s="212">
        <f t="shared" si="20"/>
        <v>0</v>
      </c>
      <c r="L282" s="212">
        <f t="shared" si="20"/>
        <v>0</v>
      </c>
      <c r="M282" s="212">
        <f t="shared" si="20"/>
        <v>0</v>
      </c>
      <c r="N282" s="212">
        <f t="shared" si="20"/>
        <v>0</v>
      </c>
      <c r="O282" s="91"/>
      <c r="P282" s="91"/>
      <c r="Q282" s="91"/>
    </row>
    <row r="283" spans="1:17" s="407" customFormat="1" x14ac:dyDescent="0.25">
      <c r="A283" s="152">
        <v>6420015</v>
      </c>
      <c r="B283" s="73" t="s">
        <v>1171</v>
      </c>
      <c r="C283" s="88"/>
      <c r="D283" s="89" t="s">
        <v>525</v>
      </c>
      <c r="E283" s="89"/>
      <c r="F283" s="89"/>
      <c r="G283" s="89"/>
      <c r="H283" s="89"/>
      <c r="I283" s="89"/>
      <c r="J283" s="212"/>
      <c r="K283" s="212">
        <f t="shared" si="20"/>
        <v>0</v>
      </c>
      <c r="L283" s="212">
        <f t="shared" si="20"/>
        <v>0</v>
      </c>
      <c r="M283" s="212">
        <f t="shared" si="20"/>
        <v>0</v>
      </c>
      <c r="N283" s="212">
        <f t="shared" si="20"/>
        <v>0</v>
      </c>
      <c r="O283" s="91"/>
      <c r="P283" s="91"/>
      <c r="Q283" s="91"/>
    </row>
    <row r="284" spans="1:17" s="407" customFormat="1" x14ac:dyDescent="0.25">
      <c r="A284" s="152">
        <v>6420015</v>
      </c>
      <c r="B284" s="73" t="s">
        <v>1182</v>
      </c>
      <c r="C284" s="88"/>
      <c r="D284" s="89" t="s">
        <v>525</v>
      </c>
      <c r="E284" s="89"/>
      <c r="F284" s="89"/>
      <c r="G284" s="89"/>
      <c r="H284" s="89"/>
      <c r="I284" s="89"/>
      <c r="J284" s="212"/>
      <c r="K284" s="212">
        <f t="shared" si="20"/>
        <v>0</v>
      </c>
      <c r="L284" s="212">
        <f t="shared" si="20"/>
        <v>0</v>
      </c>
      <c r="M284" s="212">
        <f t="shared" si="20"/>
        <v>0</v>
      </c>
      <c r="N284" s="212">
        <f t="shared" si="20"/>
        <v>0</v>
      </c>
      <c r="O284" s="91"/>
      <c r="P284" s="91"/>
      <c r="Q284" s="91"/>
    </row>
    <row r="285" spans="1:17" s="407" customFormat="1" x14ac:dyDescent="0.25">
      <c r="A285" s="152">
        <v>6420015</v>
      </c>
      <c r="B285" s="73" t="s">
        <v>20</v>
      </c>
      <c r="C285" s="88"/>
      <c r="D285" s="89" t="s">
        <v>525</v>
      </c>
      <c r="E285" s="89"/>
      <c r="F285" s="89"/>
      <c r="G285" s="89"/>
      <c r="H285" s="89"/>
      <c r="I285" s="89"/>
      <c r="J285" s="212"/>
      <c r="K285" s="212">
        <f t="shared" si="20"/>
        <v>0</v>
      </c>
      <c r="L285" s="212">
        <f t="shared" si="20"/>
        <v>0</v>
      </c>
      <c r="M285" s="212">
        <f t="shared" si="20"/>
        <v>0</v>
      </c>
      <c r="N285" s="212">
        <f t="shared" si="20"/>
        <v>0</v>
      </c>
      <c r="O285" s="91"/>
      <c r="P285" s="91"/>
      <c r="Q285" s="91"/>
    </row>
    <row r="286" spans="1:17" s="407" customFormat="1" x14ac:dyDescent="0.25">
      <c r="A286" s="152">
        <v>6420015</v>
      </c>
      <c r="B286" s="73" t="s">
        <v>510</v>
      </c>
      <c r="C286" s="88"/>
      <c r="D286" s="89" t="s">
        <v>525</v>
      </c>
      <c r="E286" s="89"/>
      <c r="F286" s="89"/>
      <c r="G286" s="89"/>
      <c r="H286" s="89"/>
      <c r="I286" s="89"/>
      <c r="J286" s="212"/>
      <c r="K286" s="212">
        <f t="shared" si="20"/>
        <v>0</v>
      </c>
      <c r="L286" s="212">
        <f t="shared" si="20"/>
        <v>0</v>
      </c>
      <c r="M286" s="212">
        <f t="shared" si="20"/>
        <v>0</v>
      </c>
      <c r="N286" s="212">
        <f t="shared" si="20"/>
        <v>0</v>
      </c>
      <c r="O286" s="91"/>
      <c r="P286" s="91"/>
      <c r="Q286" s="91"/>
    </row>
    <row r="287" spans="1:17" s="407" customFormat="1" x14ac:dyDescent="0.25">
      <c r="A287" s="152">
        <v>6420015</v>
      </c>
      <c r="B287" s="73" t="s">
        <v>272</v>
      </c>
      <c r="C287" s="88"/>
      <c r="D287" s="89" t="s">
        <v>525</v>
      </c>
      <c r="E287" s="89"/>
      <c r="F287" s="89"/>
      <c r="G287" s="89"/>
      <c r="H287" s="89"/>
      <c r="I287" s="89"/>
      <c r="J287" s="212"/>
      <c r="K287" s="212">
        <f t="shared" si="20"/>
        <v>0</v>
      </c>
      <c r="L287" s="212">
        <f t="shared" si="20"/>
        <v>0</v>
      </c>
      <c r="M287" s="212">
        <f t="shared" si="20"/>
        <v>0</v>
      </c>
      <c r="N287" s="212">
        <f t="shared" si="20"/>
        <v>0</v>
      </c>
      <c r="O287" s="91"/>
      <c r="P287" s="91"/>
      <c r="Q287" s="91"/>
    </row>
    <row r="288" spans="1:17" s="407" customFormat="1" x14ac:dyDescent="0.25">
      <c r="A288" s="152">
        <v>6420015</v>
      </c>
      <c r="B288" s="51" t="s">
        <v>21</v>
      </c>
      <c r="C288" s="88"/>
      <c r="D288" s="89" t="s">
        <v>525</v>
      </c>
      <c r="E288" s="89"/>
      <c r="F288" s="89"/>
      <c r="G288" s="89"/>
      <c r="H288" s="89"/>
      <c r="I288" s="89"/>
      <c r="J288" s="212"/>
      <c r="K288" s="212">
        <f t="shared" si="20"/>
        <v>0</v>
      </c>
      <c r="L288" s="212">
        <f t="shared" si="20"/>
        <v>0</v>
      </c>
      <c r="M288" s="212">
        <f t="shared" si="20"/>
        <v>0</v>
      </c>
      <c r="N288" s="212">
        <f t="shared" si="20"/>
        <v>0</v>
      </c>
      <c r="O288" s="91"/>
      <c r="P288" s="91"/>
      <c r="Q288" s="91"/>
    </row>
    <row r="289" spans="1:17" s="407" customFormat="1" x14ac:dyDescent="0.25">
      <c r="A289" s="152">
        <v>6420015</v>
      </c>
      <c r="B289" s="73" t="s">
        <v>1172</v>
      </c>
      <c r="C289" s="88"/>
      <c r="D289" s="89" t="s">
        <v>525</v>
      </c>
      <c r="E289" s="89"/>
      <c r="F289" s="89"/>
      <c r="G289" s="89"/>
      <c r="H289" s="89"/>
      <c r="I289" s="89"/>
      <c r="J289" s="212"/>
      <c r="K289" s="212">
        <f t="shared" si="20"/>
        <v>0</v>
      </c>
      <c r="L289" s="212">
        <f t="shared" si="20"/>
        <v>0</v>
      </c>
      <c r="M289" s="212">
        <f t="shared" si="20"/>
        <v>0</v>
      </c>
      <c r="N289" s="212">
        <f t="shared" si="20"/>
        <v>0</v>
      </c>
      <c r="O289" s="91"/>
      <c r="P289" s="91"/>
      <c r="Q289" s="91"/>
    </row>
    <row r="290" spans="1:17" s="407" customFormat="1" x14ac:dyDescent="0.25">
      <c r="A290" s="152">
        <v>6420015</v>
      </c>
      <c r="B290" s="73" t="s">
        <v>810</v>
      </c>
      <c r="C290" s="88"/>
      <c r="D290" s="89" t="s">
        <v>525</v>
      </c>
      <c r="E290" s="89"/>
      <c r="F290" s="89"/>
      <c r="G290" s="89"/>
      <c r="H290" s="89"/>
      <c r="I290" s="89"/>
      <c r="J290" s="212"/>
      <c r="K290" s="212">
        <f t="shared" si="20"/>
        <v>0</v>
      </c>
      <c r="L290" s="212">
        <f t="shared" si="20"/>
        <v>0</v>
      </c>
      <c r="M290" s="212">
        <f t="shared" si="20"/>
        <v>0</v>
      </c>
      <c r="N290" s="212">
        <f t="shared" si="20"/>
        <v>0</v>
      </c>
      <c r="O290" s="91"/>
      <c r="P290" s="91"/>
      <c r="Q290" s="91"/>
    </row>
    <row r="291" spans="1:17" s="407" customFormat="1" x14ac:dyDescent="0.25">
      <c r="A291" s="152">
        <v>6420015</v>
      </c>
      <c r="B291" s="73" t="s">
        <v>811</v>
      </c>
      <c r="C291" s="88"/>
      <c r="D291" s="89" t="s">
        <v>525</v>
      </c>
      <c r="E291" s="89"/>
      <c r="F291" s="89"/>
      <c r="G291" s="89"/>
      <c r="H291" s="89"/>
      <c r="I291" s="89"/>
      <c r="J291" s="212"/>
      <c r="K291" s="212">
        <f t="shared" si="20"/>
        <v>0</v>
      </c>
      <c r="L291" s="212">
        <f t="shared" si="20"/>
        <v>0</v>
      </c>
      <c r="M291" s="212">
        <f t="shared" si="20"/>
        <v>0</v>
      </c>
      <c r="N291" s="212">
        <f t="shared" si="20"/>
        <v>0</v>
      </c>
      <c r="O291" s="91"/>
      <c r="P291" s="91"/>
      <c r="Q291" s="91"/>
    </row>
    <row r="292" spans="1:17" s="407" customFormat="1" x14ac:dyDescent="0.25">
      <c r="A292" s="152">
        <v>6420015</v>
      </c>
      <c r="B292" s="51" t="s">
        <v>23</v>
      </c>
      <c r="C292" s="88"/>
      <c r="D292" s="89" t="s">
        <v>525</v>
      </c>
      <c r="E292" s="89"/>
      <c r="F292" s="89"/>
      <c r="G292" s="89"/>
      <c r="H292" s="89"/>
      <c r="I292" s="89"/>
      <c r="J292" s="212"/>
      <c r="K292" s="212">
        <f t="shared" si="20"/>
        <v>0</v>
      </c>
      <c r="L292" s="212">
        <f t="shared" si="20"/>
        <v>0</v>
      </c>
      <c r="M292" s="212">
        <f t="shared" si="20"/>
        <v>0</v>
      </c>
      <c r="N292" s="212">
        <f t="shared" si="20"/>
        <v>0</v>
      </c>
      <c r="O292" s="91"/>
      <c r="P292" s="91"/>
      <c r="Q292" s="91"/>
    </row>
    <row r="293" spans="1:17" s="407" customFormat="1" x14ac:dyDescent="0.25">
      <c r="A293" s="152">
        <v>6420015</v>
      </c>
      <c r="B293" s="73" t="s">
        <v>268</v>
      </c>
      <c r="C293" s="88"/>
      <c r="D293" s="89" t="s">
        <v>525</v>
      </c>
      <c r="E293" s="89"/>
      <c r="F293" s="89"/>
      <c r="G293" s="89"/>
      <c r="H293" s="89"/>
      <c r="I293" s="89"/>
      <c r="J293" s="212"/>
      <c r="K293" s="212">
        <f t="shared" si="20"/>
        <v>0</v>
      </c>
      <c r="L293" s="212">
        <f t="shared" si="20"/>
        <v>0</v>
      </c>
      <c r="M293" s="212">
        <f t="shared" si="20"/>
        <v>0</v>
      </c>
      <c r="N293" s="212">
        <f t="shared" si="20"/>
        <v>0</v>
      </c>
      <c r="O293" s="91"/>
      <c r="P293" s="91"/>
      <c r="Q293" s="91"/>
    </row>
    <row r="294" spans="1:17" s="407" customFormat="1" x14ac:dyDescent="0.25">
      <c r="A294" s="152">
        <v>6420015</v>
      </c>
      <c r="B294" s="73" t="s">
        <v>267</v>
      </c>
      <c r="C294" s="88"/>
      <c r="D294" s="89" t="s">
        <v>525</v>
      </c>
      <c r="E294" s="89"/>
      <c r="F294" s="89"/>
      <c r="G294" s="89"/>
      <c r="H294" s="89"/>
      <c r="I294" s="89"/>
      <c r="J294" s="212"/>
      <c r="K294" s="212">
        <f t="shared" si="20"/>
        <v>0</v>
      </c>
      <c r="L294" s="212">
        <f t="shared" si="20"/>
        <v>0</v>
      </c>
      <c r="M294" s="212">
        <f t="shared" si="20"/>
        <v>0</v>
      </c>
      <c r="N294" s="212">
        <f t="shared" si="20"/>
        <v>0</v>
      </c>
      <c r="O294" s="91"/>
      <c r="P294" s="91"/>
      <c r="Q294" s="91"/>
    </row>
    <row r="295" spans="1:17" s="407" customFormat="1" ht="15.75" thickBot="1" x14ac:dyDescent="0.3">
      <c r="A295" s="204">
        <v>6420015</v>
      </c>
      <c r="B295" s="73" t="s">
        <v>920</v>
      </c>
      <c r="C295" s="146"/>
      <c r="D295" s="147" t="s">
        <v>525</v>
      </c>
      <c r="E295" s="147"/>
      <c r="F295" s="147"/>
      <c r="G295" s="147"/>
      <c r="H295" s="147"/>
      <c r="I295" s="147"/>
      <c r="J295" s="147"/>
      <c r="K295" s="206">
        <f t="shared" si="20"/>
        <v>0</v>
      </c>
      <c r="L295" s="206">
        <f t="shared" si="20"/>
        <v>0</v>
      </c>
      <c r="M295" s="206">
        <f t="shared" si="20"/>
        <v>0</v>
      </c>
      <c r="N295" s="206">
        <f t="shared" si="20"/>
        <v>0</v>
      </c>
      <c r="O295" s="91"/>
      <c r="P295" s="91"/>
      <c r="Q295" s="91"/>
    </row>
    <row r="296" spans="1:17" x14ac:dyDescent="0.25">
      <c r="A296" s="151">
        <v>6305000</v>
      </c>
      <c r="B296" s="84" t="s">
        <v>19</v>
      </c>
      <c r="C296" s="85"/>
      <c r="D296" s="86" t="s">
        <v>245</v>
      </c>
      <c r="E296" s="86"/>
      <c r="F296" s="86"/>
      <c r="G296" s="86"/>
      <c r="H296" s="86"/>
      <c r="I296" s="86"/>
      <c r="J296" s="156"/>
      <c r="K296" s="156">
        <f t="shared" ref="K296:N315" si="21">SUMIFS(K$26:K$154,$A$26:$A$154,$A296,$B$26:$B$154,$B296)</f>
        <v>0</v>
      </c>
      <c r="L296" s="156">
        <f t="shared" si="21"/>
        <v>0</v>
      </c>
      <c r="M296" s="156">
        <f t="shared" si="21"/>
        <v>0</v>
      </c>
      <c r="N296" s="156">
        <f t="shared" si="21"/>
        <v>0</v>
      </c>
      <c r="O296" s="91"/>
      <c r="P296" s="91"/>
      <c r="Q296" s="91"/>
    </row>
    <row r="297" spans="1:17" x14ac:dyDescent="0.25">
      <c r="A297" s="152">
        <v>6305000</v>
      </c>
      <c r="B297" s="73" t="s">
        <v>18</v>
      </c>
      <c r="C297" s="88"/>
      <c r="D297" s="89" t="s">
        <v>245</v>
      </c>
      <c r="E297" s="89"/>
      <c r="F297" s="89"/>
      <c r="G297" s="89"/>
      <c r="H297" s="89"/>
      <c r="I297" s="89"/>
      <c r="J297" s="154"/>
      <c r="K297" s="154">
        <f t="shared" si="21"/>
        <v>0</v>
      </c>
      <c r="L297" s="154">
        <f t="shared" si="21"/>
        <v>0</v>
      </c>
      <c r="M297" s="154">
        <f t="shared" si="21"/>
        <v>0</v>
      </c>
      <c r="N297" s="154">
        <f t="shared" si="21"/>
        <v>0</v>
      </c>
      <c r="O297" s="91"/>
      <c r="P297" s="91"/>
      <c r="Q297" s="91"/>
    </row>
    <row r="298" spans="1:17" x14ac:dyDescent="0.25">
      <c r="A298" s="152">
        <v>6305000</v>
      </c>
      <c r="B298" s="73" t="s">
        <v>22</v>
      </c>
      <c r="C298" s="88"/>
      <c r="D298" s="89" t="s">
        <v>245</v>
      </c>
      <c r="E298" s="89"/>
      <c r="F298" s="89"/>
      <c r="G298" s="89"/>
      <c r="H298" s="89"/>
      <c r="I298" s="89"/>
      <c r="J298" s="154"/>
      <c r="K298" s="154">
        <f t="shared" si="21"/>
        <v>0</v>
      </c>
      <c r="L298" s="154">
        <f t="shared" si="21"/>
        <v>0</v>
      </c>
      <c r="M298" s="154">
        <f t="shared" si="21"/>
        <v>0</v>
      </c>
      <c r="N298" s="154">
        <f t="shared" si="21"/>
        <v>5000</v>
      </c>
      <c r="O298" s="91"/>
      <c r="P298" s="91"/>
      <c r="Q298" s="91"/>
    </row>
    <row r="299" spans="1:17" x14ac:dyDescent="0.25">
      <c r="A299" s="152">
        <v>6305000</v>
      </c>
      <c r="B299" s="73" t="s">
        <v>24</v>
      </c>
      <c r="C299" s="88"/>
      <c r="D299" s="89" t="s">
        <v>245</v>
      </c>
      <c r="E299" s="89"/>
      <c r="F299" s="89"/>
      <c r="G299" s="89"/>
      <c r="H299" s="89"/>
      <c r="I299" s="89"/>
      <c r="J299" s="154"/>
      <c r="K299" s="154">
        <f t="shared" si="21"/>
        <v>0</v>
      </c>
      <c r="L299" s="154">
        <f t="shared" si="21"/>
        <v>0</v>
      </c>
      <c r="M299" s="154">
        <f t="shared" si="21"/>
        <v>0</v>
      </c>
      <c r="N299" s="154">
        <f t="shared" si="21"/>
        <v>0</v>
      </c>
      <c r="O299" s="91"/>
      <c r="P299" s="91"/>
      <c r="Q299" s="91"/>
    </row>
    <row r="300" spans="1:17" x14ac:dyDescent="0.25">
      <c r="A300" s="152">
        <v>6305000</v>
      </c>
      <c r="B300" s="73" t="s">
        <v>25</v>
      </c>
      <c r="C300" s="88"/>
      <c r="D300" s="89" t="s">
        <v>245</v>
      </c>
      <c r="E300" s="89"/>
      <c r="F300" s="89"/>
      <c r="G300" s="89"/>
      <c r="H300" s="89"/>
      <c r="I300" s="89"/>
      <c r="J300" s="154"/>
      <c r="K300" s="154">
        <f t="shared" si="21"/>
        <v>0</v>
      </c>
      <c r="L300" s="154">
        <f t="shared" si="21"/>
        <v>0</v>
      </c>
      <c r="M300" s="154">
        <f t="shared" si="21"/>
        <v>0</v>
      </c>
      <c r="N300" s="154">
        <f t="shared" si="21"/>
        <v>0</v>
      </c>
      <c r="O300" s="91"/>
      <c r="P300" s="91"/>
      <c r="Q300" s="91"/>
    </row>
    <row r="301" spans="1:17" x14ac:dyDescent="0.25">
      <c r="A301" s="152">
        <v>6305000</v>
      </c>
      <c r="B301" s="73" t="s">
        <v>394</v>
      </c>
      <c r="C301" s="88"/>
      <c r="D301" s="89" t="s">
        <v>245</v>
      </c>
      <c r="E301" s="89"/>
      <c r="F301" s="89"/>
      <c r="G301" s="89"/>
      <c r="H301" s="89"/>
      <c r="I301" s="89"/>
      <c r="J301" s="154"/>
      <c r="K301" s="154">
        <f t="shared" si="21"/>
        <v>0</v>
      </c>
      <c r="L301" s="154">
        <f t="shared" si="21"/>
        <v>0</v>
      </c>
      <c r="M301" s="154">
        <f t="shared" si="21"/>
        <v>0</v>
      </c>
      <c r="N301" s="154">
        <f t="shared" si="21"/>
        <v>100</v>
      </c>
      <c r="O301" s="91"/>
      <c r="P301" s="91"/>
      <c r="Q301" s="91"/>
    </row>
    <row r="302" spans="1:17" x14ac:dyDescent="0.25">
      <c r="A302" s="152">
        <v>6305000</v>
      </c>
      <c r="B302" s="73" t="s">
        <v>350</v>
      </c>
      <c r="C302" s="88"/>
      <c r="D302" s="89" t="s">
        <v>245</v>
      </c>
      <c r="E302" s="89"/>
      <c r="F302" s="89"/>
      <c r="G302" s="89"/>
      <c r="H302" s="89"/>
      <c r="I302" s="89"/>
      <c r="J302" s="154"/>
      <c r="K302" s="154">
        <f t="shared" si="21"/>
        <v>0</v>
      </c>
      <c r="L302" s="154">
        <f t="shared" si="21"/>
        <v>0</v>
      </c>
      <c r="M302" s="154">
        <f t="shared" si="21"/>
        <v>0</v>
      </c>
      <c r="N302" s="154">
        <f t="shared" si="21"/>
        <v>0</v>
      </c>
      <c r="O302" s="91"/>
      <c r="P302" s="91"/>
      <c r="Q302" s="91"/>
    </row>
    <row r="303" spans="1:17" x14ac:dyDescent="0.25">
      <c r="A303" s="152">
        <v>6305000</v>
      </c>
      <c r="B303" s="73" t="s">
        <v>1171</v>
      </c>
      <c r="C303" s="88"/>
      <c r="D303" s="89" t="s">
        <v>245</v>
      </c>
      <c r="E303" s="89"/>
      <c r="F303" s="89"/>
      <c r="G303" s="89"/>
      <c r="H303" s="89"/>
      <c r="I303" s="89"/>
      <c r="J303" s="154"/>
      <c r="K303" s="154">
        <f t="shared" si="21"/>
        <v>0</v>
      </c>
      <c r="L303" s="154">
        <f t="shared" si="21"/>
        <v>0</v>
      </c>
      <c r="M303" s="154">
        <f t="shared" si="21"/>
        <v>0</v>
      </c>
      <c r="N303" s="154">
        <f t="shared" si="21"/>
        <v>0</v>
      </c>
      <c r="O303" s="91"/>
      <c r="P303" s="91"/>
      <c r="Q303" s="91"/>
    </row>
    <row r="304" spans="1:17" s="407" customFormat="1" x14ac:dyDescent="0.25">
      <c r="A304" s="152">
        <v>6305000</v>
      </c>
      <c r="B304" s="73" t="s">
        <v>1182</v>
      </c>
      <c r="C304" s="88"/>
      <c r="D304" s="89" t="s">
        <v>245</v>
      </c>
      <c r="E304" s="89"/>
      <c r="F304" s="89"/>
      <c r="G304" s="89"/>
      <c r="H304" s="89"/>
      <c r="I304" s="89"/>
      <c r="J304" s="212"/>
      <c r="K304" s="212">
        <f t="shared" si="21"/>
        <v>0</v>
      </c>
      <c r="L304" s="212">
        <f t="shared" si="21"/>
        <v>0</v>
      </c>
      <c r="M304" s="212">
        <f t="shared" si="21"/>
        <v>0</v>
      </c>
      <c r="N304" s="212">
        <f t="shared" si="21"/>
        <v>0</v>
      </c>
      <c r="O304" s="91"/>
      <c r="P304" s="91"/>
      <c r="Q304" s="91"/>
    </row>
    <row r="305" spans="1:17" s="407" customFormat="1" x14ac:dyDescent="0.25">
      <c r="A305" s="152">
        <v>6305000</v>
      </c>
      <c r="B305" s="73" t="s">
        <v>20</v>
      </c>
      <c r="C305" s="88"/>
      <c r="D305" s="89" t="s">
        <v>245</v>
      </c>
      <c r="E305" s="89"/>
      <c r="F305" s="89"/>
      <c r="G305" s="89"/>
      <c r="H305" s="89"/>
      <c r="I305" s="89"/>
      <c r="J305" s="212"/>
      <c r="K305" s="212">
        <f t="shared" si="21"/>
        <v>0</v>
      </c>
      <c r="L305" s="212">
        <f t="shared" si="21"/>
        <v>0</v>
      </c>
      <c r="M305" s="212">
        <f t="shared" si="21"/>
        <v>0</v>
      </c>
      <c r="N305" s="212">
        <f t="shared" si="21"/>
        <v>0</v>
      </c>
      <c r="O305" s="91"/>
      <c r="P305" s="91"/>
      <c r="Q305" s="91"/>
    </row>
    <row r="306" spans="1:17" x14ac:dyDescent="0.25">
      <c r="A306" s="152">
        <v>6305000</v>
      </c>
      <c r="B306" s="73" t="s">
        <v>510</v>
      </c>
      <c r="C306" s="88"/>
      <c r="D306" s="89" t="s">
        <v>245</v>
      </c>
      <c r="E306" s="89"/>
      <c r="F306" s="89"/>
      <c r="G306" s="89"/>
      <c r="H306" s="89"/>
      <c r="I306" s="89"/>
      <c r="J306" s="154"/>
      <c r="K306" s="154">
        <f t="shared" si="21"/>
        <v>0</v>
      </c>
      <c r="L306" s="154">
        <f t="shared" si="21"/>
        <v>0</v>
      </c>
      <c r="M306" s="154">
        <f t="shared" si="21"/>
        <v>0</v>
      </c>
      <c r="N306" s="154">
        <f t="shared" si="21"/>
        <v>0</v>
      </c>
      <c r="O306" s="91"/>
      <c r="P306" s="91"/>
      <c r="Q306" s="91"/>
    </row>
    <row r="307" spans="1:17" x14ac:dyDescent="0.25">
      <c r="A307" s="152">
        <v>6305000</v>
      </c>
      <c r="B307" s="73" t="s">
        <v>272</v>
      </c>
      <c r="C307" s="88"/>
      <c r="D307" s="89" t="s">
        <v>245</v>
      </c>
      <c r="E307" s="89"/>
      <c r="F307" s="89"/>
      <c r="G307" s="89"/>
      <c r="H307" s="89"/>
      <c r="I307" s="89"/>
      <c r="J307" s="154"/>
      <c r="K307" s="154">
        <f t="shared" si="21"/>
        <v>0</v>
      </c>
      <c r="L307" s="154">
        <f t="shared" si="21"/>
        <v>0</v>
      </c>
      <c r="M307" s="154">
        <f t="shared" si="21"/>
        <v>0</v>
      </c>
      <c r="N307" s="154">
        <f t="shared" si="21"/>
        <v>81</v>
      </c>
      <c r="O307" s="91"/>
      <c r="P307" s="91"/>
      <c r="Q307" s="91"/>
    </row>
    <row r="308" spans="1:17" x14ac:dyDescent="0.25">
      <c r="A308" s="152">
        <v>6305000</v>
      </c>
      <c r="B308" s="51" t="s">
        <v>21</v>
      </c>
      <c r="C308" s="88"/>
      <c r="D308" s="89" t="s">
        <v>245</v>
      </c>
      <c r="E308" s="89"/>
      <c r="F308" s="89"/>
      <c r="G308" s="89"/>
      <c r="H308" s="89"/>
      <c r="I308" s="89"/>
      <c r="J308" s="154"/>
      <c r="K308" s="154">
        <f t="shared" si="21"/>
        <v>0</v>
      </c>
      <c r="L308" s="154">
        <f t="shared" si="21"/>
        <v>0</v>
      </c>
      <c r="M308" s="154">
        <f t="shared" si="21"/>
        <v>0</v>
      </c>
      <c r="N308" s="154">
        <f t="shared" si="21"/>
        <v>0</v>
      </c>
      <c r="O308" s="91"/>
      <c r="P308" s="91"/>
      <c r="Q308" s="91"/>
    </row>
    <row r="309" spans="1:17" x14ac:dyDescent="0.25">
      <c r="A309" s="152">
        <v>6305000</v>
      </c>
      <c r="B309" s="73" t="s">
        <v>1172</v>
      </c>
      <c r="C309" s="88"/>
      <c r="D309" s="89" t="s">
        <v>245</v>
      </c>
      <c r="E309" s="89"/>
      <c r="F309" s="89"/>
      <c r="G309" s="89"/>
      <c r="H309" s="89"/>
      <c r="I309" s="89"/>
      <c r="J309" s="154"/>
      <c r="K309" s="154">
        <f t="shared" si="21"/>
        <v>0</v>
      </c>
      <c r="L309" s="154">
        <f t="shared" si="21"/>
        <v>0</v>
      </c>
      <c r="M309" s="154">
        <f t="shared" si="21"/>
        <v>0</v>
      </c>
      <c r="N309" s="154">
        <f t="shared" si="21"/>
        <v>869.85</v>
      </c>
      <c r="O309" s="91"/>
      <c r="P309" s="91"/>
      <c r="Q309" s="91"/>
    </row>
    <row r="310" spans="1:17" x14ac:dyDescent="0.25">
      <c r="A310" s="152">
        <v>6305000</v>
      </c>
      <c r="B310" s="73" t="s">
        <v>810</v>
      </c>
      <c r="C310" s="88"/>
      <c r="D310" s="89" t="s">
        <v>245</v>
      </c>
      <c r="E310" s="89"/>
      <c r="F310" s="89"/>
      <c r="G310" s="89"/>
      <c r="H310" s="89"/>
      <c r="I310" s="89"/>
      <c r="J310" s="154"/>
      <c r="K310" s="154">
        <f t="shared" si="21"/>
        <v>0</v>
      </c>
      <c r="L310" s="154">
        <f t="shared" si="21"/>
        <v>0</v>
      </c>
      <c r="M310" s="154">
        <f t="shared" si="21"/>
        <v>0</v>
      </c>
      <c r="N310" s="154">
        <f t="shared" si="21"/>
        <v>2200</v>
      </c>
      <c r="O310" s="91"/>
      <c r="P310" s="91"/>
      <c r="Q310" s="91"/>
    </row>
    <row r="311" spans="1:17" x14ac:dyDescent="0.25">
      <c r="A311" s="152">
        <v>6305000</v>
      </c>
      <c r="B311" s="73" t="s">
        <v>811</v>
      </c>
      <c r="C311" s="88"/>
      <c r="D311" s="89" t="s">
        <v>245</v>
      </c>
      <c r="E311" s="89"/>
      <c r="F311" s="89"/>
      <c r="G311" s="89"/>
      <c r="H311" s="89"/>
      <c r="I311" s="89"/>
      <c r="J311" s="154"/>
      <c r="K311" s="154">
        <f t="shared" si="21"/>
        <v>0</v>
      </c>
      <c r="L311" s="154">
        <f t="shared" si="21"/>
        <v>0</v>
      </c>
      <c r="M311" s="154">
        <f t="shared" si="21"/>
        <v>0</v>
      </c>
      <c r="N311" s="154">
        <f t="shared" si="21"/>
        <v>0</v>
      </c>
      <c r="O311" s="91"/>
      <c r="P311" s="91"/>
      <c r="Q311" s="91"/>
    </row>
    <row r="312" spans="1:17" x14ac:dyDescent="0.25">
      <c r="A312" s="152">
        <v>6305000</v>
      </c>
      <c r="B312" s="51" t="s">
        <v>23</v>
      </c>
      <c r="C312" s="88"/>
      <c r="D312" s="89" t="s">
        <v>245</v>
      </c>
      <c r="E312" s="89"/>
      <c r="F312" s="89"/>
      <c r="G312" s="89"/>
      <c r="H312" s="89"/>
      <c r="I312" s="89"/>
      <c r="J312" s="154"/>
      <c r="K312" s="154">
        <f t="shared" si="21"/>
        <v>0</v>
      </c>
      <c r="L312" s="154">
        <f t="shared" si="21"/>
        <v>0</v>
      </c>
      <c r="M312" s="154">
        <f t="shared" si="21"/>
        <v>0</v>
      </c>
      <c r="N312" s="154">
        <f t="shared" si="21"/>
        <v>0</v>
      </c>
      <c r="O312" s="91"/>
      <c r="P312" s="91"/>
      <c r="Q312" s="91"/>
    </row>
    <row r="313" spans="1:17" x14ac:dyDescent="0.25">
      <c r="A313" s="152">
        <v>6305000</v>
      </c>
      <c r="B313" s="73" t="s">
        <v>268</v>
      </c>
      <c r="C313" s="88"/>
      <c r="D313" s="89" t="s">
        <v>245</v>
      </c>
      <c r="E313" s="89"/>
      <c r="F313" s="89"/>
      <c r="G313" s="89"/>
      <c r="H313" s="89"/>
      <c r="I313" s="89"/>
      <c r="J313" s="154"/>
      <c r="K313" s="154">
        <f t="shared" si="21"/>
        <v>0</v>
      </c>
      <c r="L313" s="154">
        <f t="shared" si="21"/>
        <v>0</v>
      </c>
      <c r="M313" s="154">
        <f t="shared" si="21"/>
        <v>0</v>
      </c>
      <c r="N313" s="154">
        <f t="shared" si="21"/>
        <v>0</v>
      </c>
      <c r="O313" s="91"/>
      <c r="P313" s="91"/>
      <c r="Q313" s="91"/>
    </row>
    <row r="314" spans="1:17" x14ac:dyDescent="0.25">
      <c r="A314" s="152">
        <v>6305000</v>
      </c>
      <c r="B314" s="73" t="s">
        <v>267</v>
      </c>
      <c r="C314" s="88"/>
      <c r="D314" s="89" t="s">
        <v>245</v>
      </c>
      <c r="E314" s="89"/>
      <c r="F314" s="89"/>
      <c r="G314" s="89"/>
      <c r="H314" s="89"/>
      <c r="I314" s="89"/>
      <c r="J314" s="154"/>
      <c r="K314" s="154">
        <f t="shared" si="21"/>
        <v>0</v>
      </c>
      <c r="L314" s="154">
        <f t="shared" si="21"/>
        <v>0</v>
      </c>
      <c r="M314" s="154">
        <f t="shared" si="21"/>
        <v>0</v>
      </c>
      <c r="N314" s="154">
        <f t="shared" si="21"/>
        <v>0</v>
      </c>
      <c r="O314" s="91"/>
      <c r="P314" s="91"/>
      <c r="Q314" s="91"/>
    </row>
    <row r="315" spans="1:17" ht="15.75" thickBot="1" x14ac:dyDescent="0.3">
      <c r="A315" s="205">
        <v>6305000</v>
      </c>
      <c r="B315" s="73" t="s">
        <v>920</v>
      </c>
      <c r="C315" s="202"/>
      <c r="D315" s="203" t="s">
        <v>245</v>
      </c>
      <c r="E315" s="203"/>
      <c r="F315" s="203"/>
      <c r="G315" s="203"/>
      <c r="H315" s="203"/>
      <c r="I315" s="203"/>
      <c r="J315" s="203"/>
      <c r="K315" s="207">
        <f t="shared" si="21"/>
        <v>0</v>
      </c>
      <c r="L315" s="207">
        <f t="shared" si="21"/>
        <v>0</v>
      </c>
      <c r="M315" s="207">
        <f t="shared" si="21"/>
        <v>0</v>
      </c>
      <c r="N315" s="207">
        <f t="shared" si="21"/>
        <v>0</v>
      </c>
      <c r="O315" s="91"/>
      <c r="P315" s="91"/>
      <c r="Q315" s="91"/>
    </row>
    <row r="316" spans="1:17" s="407" customFormat="1" x14ac:dyDescent="0.25">
      <c r="A316" s="151">
        <v>6305015</v>
      </c>
      <c r="B316" s="84" t="s">
        <v>19</v>
      </c>
      <c r="C316" s="85"/>
      <c r="D316" s="86" t="s">
        <v>526</v>
      </c>
      <c r="E316" s="86"/>
      <c r="F316" s="86"/>
      <c r="G316" s="86"/>
      <c r="H316" s="86"/>
      <c r="I316" s="86"/>
      <c r="J316" s="213"/>
      <c r="K316" s="213">
        <f t="shared" ref="K316:N335" si="22">SUMIFS(K$26:K$154,$A$26:$A$154,$A316,$B$26:$B$154,$B316)</f>
        <v>0</v>
      </c>
      <c r="L316" s="213">
        <f t="shared" si="22"/>
        <v>0</v>
      </c>
      <c r="M316" s="213">
        <f t="shared" si="22"/>
        <v>0</v>
      </c>
      <c r="N316" s="213">
        <f t="shared" si="22"/>
        <v>0</v>
      </c>
      <c r="O316" s="91"/>
      <c r="P316" s="91"/>
      <c r="Q316" s="91"/>
    </row>
    <row r="317" spans="1:17" s="407" customFormat="1" x14ac:dyDescent="0.25">
      <c r="A317" s="152">
        <v>6305015</v>
      </c>
      <c r="B317" s="73" t="s">
        <v>18</v>
      </c>
      <c r="C317" s="88"/>
      <c r="D317" s="89" t="s">
        <v>526</v>
      </c>
      <c r="E317" s="89"/>
      <c r="F317" s="89"/>
      <c r="G317" s="89"/>
      <c r="H317" s="89"/>
      <c r="I317" s="89"/>
      <c r="J317" s="212"/>
      <c r="K317" s="212">
        <f t="shared" si="22"/>
        <v>0</v>
      </c>
      <c r="L317" s="212">
        <f t="shared" si="22"/>
        <v>0</v>
      </c>
      <c r="M317" s="212">
        <f t="shared" si="22"/>
        <v>0</v>
      </c>
      <c r="N317" s="212">
        <f t="shared" si="22"/>
        <v>0</v>
      </c>
      <c r="O317" s="91"/>
      <c r="P317" s="91"/>
      <c r="Q317" s="91"/>
    </row>
    <row r="318" spans="1:17" s="407" customFormat="1" x14ac:dyDescent="0.25">
      <c r="A318" s="152">
        <v>6305015</v>
      </c>
      <c r="B318" s="73" t="s">
        <v>22</v>
      </c>
      <c r="C318" s="88"/>
      <c r="D318" s="89" t="s">
        <v>526</v>
      </c>
      <c r="E318" s="89"/>
      <c r="F318" s="89"/>
      <c r="G318" s="89"/>
      <c r="H318" s="89"/>
      <c r="I318" s="89"/>
      <c r="J318" s="212"/>
      <c r="K318" s="212">
        <f t="shared" si="22"/>
        <v>0</v>
      </c>
      <c r="L318" s="212">
        <f t="shared" si="22"/>
        <v>0</v>
      </c>
      <c r="M318" s="212">
        <f t="shared" si="22"/>
        <v>0</v>
      </c>
      <c r="N318" s="212">
        <f t="shared" si="22"/>
        <v>0</v>
      </c>
      <c r="O318" s="91"/>
      <c r="P318" s="91"/>
      <c r="Q318" s="91"/>
    </row>
    <row r="319" spans="1:17" s="407" customFormat="1" x14ac:dyDescent="0.25">
      <c r="A319" s="152">
        <v>6305015</v>
      </c>
      <c r="B319" s="73" t="s">
        <v>24</v>
      </c>
      <c r="C319" s="88"/>
      <c r="D319" s="89" t="s">
        <v>526</v>
      </c>
      <c r="E319" s="89"/>
      <c r="F319" s="89"/>
      <c r="G319" s="89"/>
      <c r="H319" s="89"/>
      <c r="I319" s="89"/>
      <c r="J319" s="212"/>
      <c r="K319" s="212">
        <f t="shared" si="22"/>
        <v>0</v>
      </c>
      <c r="L319" s="212">
        <f t="shared" si="22"/>
        <v>0</v>
      </c>
      <c r="M319" s="212">
        <f t="shared" si="22"/>
        <v>0</v>
      </c>
      <c r="N319" s="212">
        <f t="shared" si="22"/>
        <v>0</v>
      </c>
      <c r="O319" s="91"/>
      <c r="P319" s="91"/>
      <c r="Q319" s="91"/>
    </row>
    <row r="320" spans="1:17" s="407" customFormat="1" x14ac:dyDescent="0.25">
      <c r="A320" s="152">
        <v>6305015</v>
      </c>
      <c r="B320" s="73" t="s">
        <v>25</v>
      </c>
      <c r="C320" s="88"/>
      <c r="D320" s="89" t="s">
        <v>526</v>
      </c>
      <c r="E320" s="89"/>
      <c r="F320" s="89"/>
      <c r="G320" s="89"/>
      <c r="H320" s="89"/>
      <c r="I320" s="89"/>
      <c r="J320" s="212"/>
      <c r="K320" s="212">
        <f t="shared" si="22"/>
        <v>0</v>
      </c>
      <c r="L320" s="212">
        <f t="shared" si="22"/>
        <v>0</v>
      </c>
      <c r="M320" s="212">
        <f t="shared" si="22"/>
        <v>0</v>
      </c>
      <c r="N320" s="212">
        <f t="shared" si="22"/>
        <v>0</v>
      </c>
      <c r="O320" s="91"/>
      <c r="P320" s="91"/>
      <c r="Q320" s="91"/>
    </row>
    <row r="321" spans="1:17" s="407" customFormat="1" x14ac:dyDescent="0.25">
      <c r="A321" s="152">
        <v>6305015</v>
      </c>
      <c r="B321" s="73" t="s">
        <v>394</v>
      </c>
      <c r="C321" s="88"/>
      <c r="D321" s="89" t="s">
        <v>526</v>
      </c>
      <c r="E321" s="89"/>
      <c r="F321" s="89"/>
      <c r="G321" s="89"/>
      <c r="H321" s="89"/>
      <c r="I321" s="89"/>
      <c r="J321" s="212"/>
      <c r="K321" s="212">
        <f t="shared" si="22"/>
        <v>0</v>
      </c>
      <c r="L321" s="212">
        <f t="shared" si="22"/>
        <v>0</v>
      </c>
      <c r="M321" s="212">
        <f t="shared" si="22"/>
        <v>0</v>
      </c>
      <c r="N321" s="212">
        <f t="shared" si="22"/>
        <v>0</v>
      </c>
      <c r="O321" s="91"/>
      <c r="P321" s="91"/>
      <c r="Q321" s="91"/>
    </row>
    <row r="322" spans="1:17" s="407" customFormat="1" x14ac:dyDescent="0.25">
      <c r="A322" s="152">
        <v>6305015</v>
      </c>
      <c r="B322" s="73" t="s">
        <v>350</v>
      </c>
      <c r="C322" s="88"/>
      <c r="D322" s="89" t="s">
        <v>526</v>
      </c>
      <c r="E322" s="89"/>
      <c r="F322" s="89"/>
      <c r="G322" s="89"/>
      <c r="H322" s="89"/>
      <c r="I322" s="89"/>
      <c r="J322" s="212"/>
      <c r="K322" s="212">
        <f t="shared" si="22"/>
        <v>0</v>
      </c>
      <c r="L322" s="212">
        <f t="shared" si="22"/>
        <v>0</v>
      </c>
      <c r="M322" s="212">
        <f t="shared" si="22"/>
        <v>0</v>
      </c>
      <c r="N322" s="212">
        <f t="shared" si="22"/>
        <v>0</v>
      </c>
      <c r="O322" s="91"/>
      <c r="P322" s="91"/>
      <c r="Q322" s="91"/>
    </row>
    <row r="323" spans="1:17" s="407" customFormat="1" x14ac:dyDescent="0.25">
      <c r="A323" s="152">
        <v>6305015</v>
      </c>
      <c r="B323" s="73" t="s">
        <v>1171</v>
      </c>
      <c r="C323" s="88"/>
      <c r="D323" s="89" t="s">
        <v>526</v>
      </c>
      <c r="E323" s="89"/>
      <c r="F323" s="89"/>
      <c r="G323" s="89"/>
      <c r="H323" s="89"/>
      <c r="I323" s="89"/>
      <c r="J323" s="212"/>
      <c r="K323" s="212">
        <f t="shared" si="22"/>
        <v>0</v>
      </c>
      <c r="L323" s="212">
        <f t="shared" si="22"/>
        <v>0</v>
      </c>
      <c r="M323" s="212">
        <f t="shared" si="22"/>
        <v>0</v>
      </c>
      <c r="N323" s="212">
        <f t="shared" si="22"/>
        <v>0</v>
      </c>
      <c r="O323" s="91"/>
      <c r="P323" s="91"/>
      <c r="Q323" s="91"/>
    </row>
    <row r="324" spans="1:17" s="407" customFormat="1" x14ac:dyDescent="0.25">
      <c r="A324" s="152">
        <v>6305015</v>
      </c>
      <c r="B324" s="73" t="s">
        <v>1182</v>
      </c>
      <c r="C324" s="88"/>
      <c r="D324" s="89" t="s">
        <v>526</v>
      </c>
      <c r="E324" s="89"/>
      <c r="F324" s="89"/>
      <c r="G324" s="89"/>
      <c r="H324" s="89"/>
      <c r="I324" s="89"/>
      <c r="J324" s="212"/>
      <c r="K324" s="212">
        <f t="shared" si="22"/>
        <v>0</v>
      </c>
      <c r="L324" s="212">
        <f t="shared" si="22"/>
        <v>0</v>
      </c>
      <c r="M324" s="212">
        <f t="shared" si="22"/>
        <v>0</v>
      </c>
      <c r="N324" s="212">
        <f t="shared" si="22"/>
        <v>0</v>
      </c>
      <c r="O324" s="91"/>
      <c r="P324" s="91"/>
      <c r="Q324" s="91"/>
    </row>
    <row r="325" spans="1:17" s="407" customFormat="1" x14ac:dyDescent="0.25">
      <c r="A325" s="152">
        <v>6305015</v>
      </c>
      <c r="B325" s="73" t="s">
        <v>20</v>
      </c>
      <c r="C325" s="88"/>
      <c r="D325" s="89" t="s">
        <v>526</v>
      </c>
      <c r="E325" s="89"/>
      <c r="F325" s="89"/>
      <c r="G325" s="89"/>
      <c r="H325" s="89"/>
      <c r="I325" s="89"/>
      <c r="J325" s="212"/>
      <c r="K325" s="212">
        <f t="shared" si="22"/>
        <v>0</v>
      </c>
      <c r="L325" s="212">
        <f t="shared" si="22"/>
        <v>0</v>
      </c>
      <c r="M325" s="212">
        <f t="shared" si="22"/>
        <v>0</v>
      </c>
      <c r="N325" s="212">
        <f t="shared" si="22"/>
        <v>0</v>
      </c>
      <c r="O325" s="91"/>
      <c r="P325" s="91"/>
      <c r="Q325" s="91"/>
    </row>
    <row r="326" spans="1:17" s="407" customFormat="1" x14ac:dyDescent="0.25">
      <c r="A326" s="152">
        <v>6305015</v>
      </c>
      <c r="B326" s="73" t="s">
        <v>510</v>
      </c>
      <c r="C326" s="88"/>
      <c r="D326" s="89" t="s">
        <v>526</v>
      </c>
      <c r="E326" s="89"/>
      <c r="F326" s="89"/>
      <c r="G326" s="89"/>
      <c r="H326" s="89"/>
      <c r="I326" s="89"/>
      <c r="J326" s="212"/>
      <c r="K326" s="212">
        <f t="shared" si="22"/>
        <v>0</v>
      </c>
      <c r="L326" s="212">
        <f t="shared" si="22"/>
        <v>0</v>
      </c>
      <c r="M326" s="212">
        <f t="shared" si="22"/>
        <v>0</v>
      </c>
      <c r="N326" s="212">
        <f t="shared" si="22"/>
        <v>0</v>
      </c>
      <c r="O326" s="91"/>
      <c r="P326" s="91"/>
      <c r="Q326" s="91"/>
    </row>
    <row r="327" spans="1:17" s="407" customFormat="1" x14ac:dyDescent="0.25">
      <c r="A327" s="152">
        <v>6305015</v>
      </c>
      <c r="B327" s="73" t="s">
        <v>272</v>
      </c>
      <c r="C327" s="88"/>
      <c r="D327" s="89" t="s">
        <v>526</v>
      </c>
      <c r="E327" s="89"/>
      <c r="F327" s="89"/>
      <c r="G327" s="89"/>
      <c r="H327" s="89"/>
      <c r="I327" s="89"/>
      <c r="J327" s="212"/>
      <c r="K327" s="212">
        <f t="shared" si="22"/>
        <v>0</v>
      </c>
      <c r="L327" s="212">
        <f t="shared" si="22"/>
        <v>0</v>
      </c>
      <c r="M327" s="212">
        <f t="shared" si="22"/>
        <v>0</v>
      </c>
      <c r="N327" s="212">
        <f t="shared" si="22"/>
        <v>0</v>
      </c>
      <c r="O327" s="91"/>
      <c r="P327" s="91"/>
      <c r="Q327" s="91"/>
    </row>
    <row r="328" spans="1:17" s="407" customFormat="1" x14ac:dyDescent="0.25">
      <c r="A328" s="152">
        <v>6305015</v>
      </c>
      <c r="B328" s="51" t="s">
        <v>21</v>
      </c>
      <c r="C328" s="88"/>
      <c r="D328" s="89" t="s">
        <v>526</v>
      </c>
      <c r="E328" s="89"/>
      <c r="F328" s="89"/>
      <c r="G328" s="89"/>
      <c r="H328" s="89"/>
      <c r="I328" s="89"/>
      <c r="J328" s="212"/>
      <c r="K328" s="212">
        <f t="shared" si="22"/>
        <v>0</v>
      </c>
      <c r="L328" s="212">
        <f t="shared" si="22"/>
        <v>0</v>
      </c>
      <c r="M328" s="212">
        <f t="shared" si="22"/>
        <v>0</v>
      </c>
      <c r="N328" s="212">
        <f t="shared" si="22"/>
        <v>0</v>
      </c>
      <c r="O328" s="91"/>
      <c r="P328" s="91"/>
      <c r="Q328" s="91"/>
    </row>
    <row r="329" spans="1:17" s="407" customFormat="1" x14ac:dyDescent="0.25">
      <c r="A329" s="152">
        <v>6305015</v>
      </c>
      <c r="B329" s="73" t="s">
        <v>1172</v>
      </c>
      <c r="C329" s="88"/>
      <c r="D329" s="89" t="s">
        <v>526</v>
      </c>
      <c r="E329" s="89"/>
      <c r="F329" s="89"/>
      <c r="G329" s="89"/>
      <c r="H329" s="89"/>
      <c r="I329" s="89"/>
      <c r="J329" s="212"/>
      <c r="K329" s="212">
        <f t="shared" si="22"/>
        <v>0</v>
      </c>
      <c r="L329" s="212">
        <f t="shared" si="22"/>
        <v>0</v>
      </c>
      <c r="M329" s="212">
        <f t="shared" si="22"/>
        <v>0</v>
      </c>
      <c r="N329" s="212">
        <f t="shared" si="22"/>
        <v>0</v>
      </c>
      <c r="O329" s="91"/>
      <c r="P329" s="91"/>
      <c r="Q329" s="91"/>
    </row>
    <row r="330" spans="1:17" s="407" customFormat="1" x14ac:dyDescent="0.25">
      <c r="A330" s="152">
        <v>6305015</v>
      </c>
      <c r="B330" s="73" t="s">
        <v>810</v>
      </c>
      <c r="C330" s="88"/>
      <c r="D330" s="89" t="s">
        <v>526</v>
      </c>
      <c r="E330" s="89"/>
      <c r="F330" s="89"/>
      <c r="G330" s="89"/>
      <c r="H330" s="89"/>
      <c r="I330" s="89"/>
      <c r="J330" s="212"/>
      <c r="K330" s="212">
        <f t="shared" si="22"/>
        <v>0</v>
      </c>
      <c r="L330" s="212">
        <f t="shared" si="22"/>
        <v>0</v>
      </c>
      <c r="M330" s="212">
        <f t="shared" si="22"/>
        <v>0</v>
      </c>
      <c r="N330" s="212">
        <f t="shared" si="22"/>
        <v>0</v>
      </c>
      <c r="O330" s="91"/>
      <c r="P330" s="91"/>
      <c r="Q330" s="91"/>
    </row>
    <row r="331" spans="1:17" s="407" customFormat="1" x14ac:dyDescent="0.25">
      <c r="A331" s="152">
        <v>6305015</v>
      </c>
      <c r="B331" s="73" t="s">
        <v>811</v>
      </c>
      <c r="C331" s="88"/>
      <c r="D331" s="89" t="s">
        <v>526</v>
      </c>
      <c r="E331" s="89"/>
      <c r="F331" s="89"/>
      <c r="G331" s="89"/>
      <c r="H331" s="89"/>
      <c r="I331" s="89"/>
      <c r="J331" s="212"/>
      <c r="K331" s="212">
        <f t="shared" si="22"/>
        <v>0</v>
      </c>
      <c r="L331" s="212">
        <f t="shared" si="22"/>
        <v>0</v>
      </c>
      <c r="M331" s="212">
        <f t="shared" si="22"/>
        <v>0</v>
      </c>
      <c r="N331" s="212">
        <f t="shared" si="22"/>
        <v>0</v>
      </c>
      <c r="O331" s="91"/>
      <c r="P331" s="91"/>
      <c r="Q331" s="91"/>
    </row>
    <row r="332" spans="1:17" s="407" customFormat="1" x14ac:dyDescent="0.25">
      <c r="A332" s="152">
        <v>6305015</v>
      </c>
      <c r="B332" s="51" t="s">
        <v>23</v>
      </c>
      <c r="C332" s="88"/>
      <c r="D332" s="89" t="s">
        <v>526</v>
      </c>
      <c r="E332" s="89"/>
      <c r="F332" s="89"/>
      <c r="G332" s="89"/>
      <c r="H332" s="89"/>
      <c r="I332" s="89"/>
      <c r="J332" s="212"/>
      <c r="K332" s="212">
        <f t="shared" si="22"/>
        <v>0</v>
      </c>
      <c r="L332" s="212">
        <f t="shared" si="22"/>
        <v>0</v>
      </c>
      <c r="M332" s="212">
        <f t="shared" si="22"/>
        <v>0</v>
      </c>
      <c r="N332" s="212">
        <f t="shared" si="22"/>
        <v>0</v>
      </c>
      <c r="O332" s="91"/>
      <c r="P332" s="91"/>
      <c r="Q332" s="91"/>
    </row>
    <row r="333" spans="1:17" s="407" customFormat="1" x14ac:dyDescent="0.25">
      <c r="A333" s="152">
        <v>6305015</v>
      </c>
      <c r="B333" s="73" t="s">
        <v>268</v>
      </c>
      <c r="C333" s="88"/>
      <c r="D333" s="89" t="s">
        <v>526</v>
      </c>
      <c r="E333" s="89"/>
      <c r="F333" s="89"/>
      <c r="G333" s="89"/>
      <c r="H333" s="89"/>
      <c r="I333" s="89"/>
      <c r="J333" s="212"/>
      <c r="K333" s="212">
        <f t="shared" si="22"/>
        <v>0</v>
      </c>
      <c r="L333" s="212">
        <f t="shared" si="22"/>
        <v>0</v>
      </c>
      <c r="M333" s="212">
        <f t="shared" si="22"/>
        <v>0</v>
      </c>
      <c r="N333" s="212">
        <f t="shared" si="22"/>
        <v>0</v>
      </c>
      <c r="O333" s="91"/>
      <c r="P333" s="91"/>
      <c r="Q333" s="91"/>
    </row>
    <row r="334" spans="1:17" s="407" customFormat="1" x14ac:dyDescent="0.25">
      <c r="A334" s="152">
        <v>6305015</v>
      </c>
      <c r="B334" s="73" t="s">
        <v>267</v>
      </c>
      <c r="C334" s="88"/>
      <c r="D334" s="89" t="s">
        <v>526</v>
      </c>
      <c r="E334" s="89"/>
      <c r="F334" s="89"/>
      <c r="G334" s="89"/>
      <c r="H334" s="89"/>
      <c r="I334" s="89"/>
      <c r="J334" s="212"/>
      <c r="K334" s="212">
        <f t="shared" si="22"/>
        <v>0</v>
      </c>
      <c r="L334" s="212">
        <f t="shared" si="22"/>
        <v>0</v>
      </c>
      <c r="M334" s="212">
        <f t="shared" si="22"/>
        <v>0</v>
      </c>
      <c r="N334" s="212">
        <f t="shared" si="22"/>
        <v>0</v>
      </c>
      <c r="O334" s="91"/>
      <c r="P334" s="91"/>
      <c r="Q334" s="91"/>
    </row>
    <row r="335" spans="1:17" s="407" customFormat="1" ht="15.75" thickBot="1" x14ac:dyDescent="0.3">
      <c r="A335" s="205">
        <v>6305015</v>
      </c>
      <c r="B335" s="73" t="s">
        <v>920</v>
      </c>
      <c r="C335" s="202"/>
      <c r="D335" s="203" t="s">
        <v>526</v>
      </c>
      <c r="E335" s="203"/>
      <c r="F335" s="203"/>
      <c r="G335" s="203"/>
      <c r="H335" s="203"/>
      <c r="I335" s="203"/>
      <c r="J335" s="203"/>
      <c r="K335" s="207">
        <f t="shared" si="22"/>
        <v>0</v>
      </c>
      <c r="L335" s="207">
        <f t="shared" si="22"/>
        <v>0</v>
      </c>
      <c r="M335" s="207">
        <f t="shared" si="22"/>
        <v>0</v>
      </c>
      <c r="N335" s="207">
        <f t="shared" si="22"/>
        <v>0</v>
      </c>
      <c r="O335" s="91"/>
      <c r="P335" s="91"/>
      <c r="Q335" s="91"/>
    </row>
    <row r="336" spans="1:17" x14ac:dyDescent="0.25">
      <c r="A336" s="151">
        <v>6303000</v>
      </c>
      <c r="B336" s="84" t="s">
        <v>19</v>
      </c>
      <c r="C336" s="85"/>
      <c r="D336" s="86" t="s">
        <v>369</v>
      </c>
      <c r="E336" s="86"/>
      <c r="F336" s="86"/>
      <c r="G336" s="86"/>
      <c r="H336" s="86"/>
      <c r="I336" s="86"/>
      <c r="J336" s="156"/>
      <c r="K336" s="156">
        <f t="shared" ref="K336:N355" si="23">SUMIFS(K$26:K$154,$A$26:$A$154,$A336,$B$26:$B$154,$B336)</f>
        <v>0</v>
      </c>
      <c r="L336" s="156">
        <f t="shared" si="23"/>
        <v>0</v>
      </c>
      <c r="M336" s="156">
        <f t="shared" si="23"/>
        <v>0</v>
      </c>
      <c r="N336" s="156">
        <f t="shared" si="23"/>
        <v>0</v>
      </c>
      <c r="O336" s="91"/>
      <c r="P336" s="91"/>
      <c r="Q336" s="91"/>
    </row>
    <row r="337" spans="1:17" x14ac:dyDescent="0.25">
      <c r="A337" s="152">
        <v>6303000</v>
      </c>
      <c r="B337" s="73" t="s">
        <v>18</v>
      </c>
      <c r="C337" s="88"/>
      <c r="D337" s="89" t="s">
        <v>369</v>
      </c>
      <c r="E337" s="89"/>
      <c r="F337" s="89"/>
      <c r="G337" s="89"/>
      <c r="H337" s="89"/>
      <c r="I337" s="89"/>
      <c r="J337" s="154"/>
      <c r="K337" s="154">
        <f t="shared" si="23"/>
        <v>0</v>
      </c>
      <c r="L337" s="154">
        <f t="shared" si="23"/>
        <v>0</v>
      </c>
      <c r="M337" s="154">
        <f t="shared" si="23"/>
        <v>0</v>
      </c>
      <c r="N337" s="154">
        <f t="shared" si="23"/>
        <v>0</v>
      </c>
      <c r="O337" s="91"/>
      <c r="P337" s="91"/>
      <c r="Q337" s="91"/>
    </row>
    <row r="338" spans="1:17" x14ac:dyDescent="0.25">
      <c r="A338" s="152">
        <v>6303000</v>
      </c>
      <c r="B338" s="73" t="s">
        <v>22</v>
      </c>
      <c r="C338" s="88"/>
      <c r="D338" s="89" t="s">
        <v>369</v>
      </c>
      <c r="E338" s="89"/>
      <c r="F338" s="89"/>
      <c r="G338" s="89"/>
      <c r="H338" s="89"/>
      <c r="I338" s="89"/>
      <c r="J338" s="154"/>
      <c r="K338" s="154">
        <f t="shared" si="23"/>
        <v>0</v>
      </c>
      <c r="L338" s="154">
        <f t="shared" si="23"/>
        <v>0</v>
      </c>
      <c r="M338" s="154">
        <f t="shared" si="23"/>
        <v>0</v>
      </c>
      <c r="N338" s="154">
        <f t="shared" si="23"/>
        <v>6000</v>
      </c>
      <c r="O338" s="91"/>
      <c r="P338" s="91"/>
      <c r="Q338" s="91"/>
    </row>
    <row r="339" spans="1:17" x14ac:dyDescent="0.25">
      <c r="A339" s="152">
        <v>6303000</v>
      </c>
      <c r="B339" s="73" t="s">
        <v>24</v>
      </c>
      <c r="C339" s="88"/>
      <c r="D339" s="89" t="s">
        <v>369</v>
      </c>
      <c r="E339" s="89"/>
      <c r="F339" s="89"/>
      <c r="G339" s="89"/>
      <c r="H339" s="89"/>
      <c r="I339" s="89"/>
      <c r="J339" s="154"/>
      <c r="K339" s="154">
        <f t="shared" si="23"/>
        <v>0</v>
      </c>
      <c r="L339" s="154">
        <f t="shared" si="23"/>
        <v>0</v>
      </c>
      <c r="M339" s="154">
        <f t="shared" si="23"/>
        <v>0</v>
      </c>
      <c r="N339" s="154">
        <f t="shared" si="23"/>
        <v>0</v>
      </c>
      <c r="O339" s="91"/>
      <c r="P339" s="91"/>
      <c r="Q339" s="91"/>
    </row>
    <row r="340" spans="1:17" x14ac:dyDescent="0.25">
      <c r="A340" s="152">
        <v>6303000</v>
      </c>
      <c r="B340" s="73" t="s">
        <v>25</v>
      </c>
      <c r="C340" s="88"/>
      <c r="D340" s="89" t="s">
        <v>369</v>
      </c>
      <c r="E340" s="89"/>
      <c r="F340" s="89"/>
      <c r="G340" s="89"/>
      <c r="H340" s="89"/>
      <c r="I340" s="89"/>
      <c r="J340" s="154"/>
      <c r="K340" s="154">
        <f t="shared" si="23"/>
        <v>0</v>
      </c>
      <c r="L340" s="154">
        <f t="shared" si="23"/>
        <v>0</v>
      </c>
      <c r="M340" s="154">
        <f t="shared" si="23"/>
        <v>0</v>
      </c>
      <c r="N340" s="154">
        <f t="shared" si="23"/>
        <v>0</v>
      </c>
      <c r="O340" s="91"/>
      <c r="P340" s="91"/>
      <c r="Q340" s="91"/>
    </row>
    <row r="341" spans="1:17" x14ac:dyDescent="0.25">
      <c r="A341" s="152">
        <v>6303000</v>
      </c>
      <c r="B341" s="73" t="s">
        <v>394</v>
      </c>
      <c r="C341" s="88"/>
      <c r="D341" s="89" t="s">
        <v>369</v>
      </c>
      <c r="E341" s="89"/>
      <c r="F341" s="89"/>
      <c r="G341" s="89"/>
      <c r="H341" s="89"/>
      <c r="I341" s="89"/>
      <c r="J341" s="154"/>
      <c r="K341" s="154">
        <f t="shared" si="23"/>
        <v>0</v>
      </c>
      <c r="L341" s="154">
        <f t="shared" si="23"/>
        <v>0</v>
      </c>
      <c r="M341" s="154">
        <f t="shared" si="23"/>
        <v>0</v>
      </c>
      <c r="N341" s="154">
        <f t="shared" si="23"/>
        <v>0</v>
      </c>
      <c r="O341" s="91"/>
      <c r="P341" s="91"/>
      <c r="Q341" s="91"/>
    </row>
    <row r="342" spans="1:17" x14ac:dyDescent="0.25">
      <c r="A342" s="152">
        <v>6303000</v>
      </c>
      <c r="B342" s="73" t="s">
        <v>350</v>
      </c>
      <c r="C342" s="88"/>
      <c r="D342" s="89" t="s">
        <v>369</v>
      </c>
      <c r="E342" s="89"/>
      <c r="F342" s="89"/>
      <c r="G342" s="89"/>
      <c r="H342" s="89"/>
      <c r="I342" s="89"/>
      <c r="J342" s="154"/>
      <c r="K342" s="154">
        <f t="shared" si="23"/>
        <v>0</v>
      </c>
      <c r="L342" s="154">
        <f t="shared" si="23"/>
        <v>0</v>
      </c>
      <c r="M342" s="154">
        <f t="shared" si="23"/>
        <v>0</v>
      </c>
      <c r="N342" s="154">
        <f t="shared" si="23"/>
        <v>0</v>
      </c>
      <c r="O342" s="91"/>
      <c r="P342" s="91"/>
      <c r="Q342" s="91"/>
    </row>
    <row r="343" spans="1:17" x14ac:dyDescent="0.25">
      <c r="A343" s="152">
        <v>6303000</v>
      </c>
      <c r="B343" s="73" t="s">
        <v>1171</v>
      </c>
      <c r="C343" s="88"/>
      <c r="D343" s="89" t="s">
        <v>369</v>
      </c>
      <c r="E343" s="89"/>
      <c r="F343" s="89"/>
      <c r="G343" s="89"/>
      <c r="H343" s="89"/>
      <c r="I343" s="89"/>
      <c r="J343" s="154"/>
      <c r="K343" s="154">
        <f t="shared" si="23"/>
        <v>0</v>
      </c>
      <c r="L343" s="154">
        <f t="shared" si="23"/>
        <v>0</v>
      </c>
      <c r="M343" s="154">
        <f t="shared" si="23"/>
        <v>0</v>
      </c>
      <c r="N343" s="154">
        <f t="shared" si="23"/>
        <v>0</v>
      </c>
      <c r="O343" s="91"/>
      <c r="P343" s="91"/>
      <c r="Q343" s="91"/>
    </row>
    <row r="344" spans="1:17" s="407" customFormat="1" x14ac:dyDescent="0.25">
      <c r="A344" s="152">
        <v>6303000</v>
      </c>
      <c r="B344" s="73" t="s">
        <v>1182</v>
      </c>
      <c r="C344" s="88"/>
      <c r="D344" s="89" t="s">
        <v>369</v>
      </c>
      <c r="E344" s="89"/>
      <c r="F344" s="89"/>
      <c r="G344" s="89"/>
      <c r="H344" s="89"/>
      <c r="I344" s="89"/>
      <c r="J344" s="212"/>
      <c r="K344" s="212">
        <f t="shared" si="23"/>
        <v>0</v>
      </c>
      <c r="L344" s="212">
        <f t="shared" si="23"/>
        <v>0</v>
      </c>
      <c r="M344" s="212">
        <f t="shared" si="23"/>
        <v>0</v>
      </c>
      <c r="N344" s="212">
        <f t="shared" si="23"/>
        <v>0</v>
      </c>
      <c r="O344" s="91"/>
      <c r="P344" s="91"/>
      <c r="Q344" s="91"/>
    </row>
    <row r="345" spans="1:17" s="407" customFormat="1" x14ac:dyDescent="0.25">
      <c r="A345" s="152">
        <v>6303000</v>
      </c>
      <c r="B345" s="73" t="s">
        <v>20</v>
      </c>
      <c r="C345" s="88"/>
      <c r="D345" s="89" t="s">
        <v>369</v>
      </c>
      <c r="E345" s="89"/>
      <c r="F345" s="89"/>
      <c r="G345" s="89"/>
      <c r="H345" s="89"/>
      <c r="I345" s="89"/>
      <c r="J345" s="212"/>
      <c r="K345" s="212">
        <f t="shared" si="23"/>
        <v>0</v>
      </c>
      <c r="L345" s="212">
        <f t="shared" si="23"/>
        <v>0</v>
      </c>
      <c r="M345" s="212">
        <f t="shared" si="23"/>
        <v>0</v>
      </c>
      <c r="N345" s="212">
        <f t="shared" si="23"/>
        <v>0</v>
      </c>
      <c r="O345" s="91"/>
      <c r="P345" s="91"/>
      <c r="Q345" s="91"/>
    </row>
    <row r="346" spans="1:17" x14ac:dyDescent="0.25">
      <c r="A346" s="152">
        <v>6303000</v>
      </c>
      <c r="B346" s="73" t="s">
        <v>510</v>
      </c>
      <c r="C346" s="88"/>
      <c r="D346" s="89" t="s">
        <v>369</v>
      </c>
      <c r="E346" s="89"/>
      <c r="F346" s="89"/>
      <c r="G346" s="89"/>
      <c r="H346" s="89"/>
      <c r="I346" s="89"/>
      <c r="J346" s="154"/>
      <c r="K346" s="154">
        <f t="shared" si="23"/>
        <v>0</v>
      </c>
      <c r="L346" s="154">
        <f t="shared" si="23"/>
        <v>0</v>
      </c>
      <c r="M346" s="154">
        <f t="shared" si="23"/>
        <v>0</v>
      </c>
      <c r="N346" s="154">
        <f t="shared" si="23"/>
        <v>0</v>
      </c>
      <c r="O346" s="91"/>
      <c r="P346" s="91"/>
      <c r="Q346" s="91"/>
    </row>
    <row r="347" spans="1:17" x14ac:dyDescent="0.25">
      <c r="A347" s="152">
        <v>6303000</v>
      </c>
      <c r="B347" s="73" t="s">
        <v>272</v>
      </c>
      <c r="C347" s="88"/>
      <c r="D347" s="89" t="s">
        <v>369</v>
      </c>
      <c r="E347" s="89"/>
      <c r="F347" s="89"/>
      <c r="G347" s="89"/>
      <c r="H347" s="89"/>
      <c r="I347" s="89"/>
      <c r="J347" s="154"/>
      <c r="K347" s="154">
        <f t="shared" si="23"/>
        <v>0</v>
      </c>
      <c r="L347" s="154">
        <f t="shared" si="23"/>
        <v>0</v>
      </c>
      <c r="M347" s="154">
        <f t="shared" si="23"/>
        <v>0</v>
      </c>
      <c r="N347" s="154">
        <f t="shared" si="23"/>
        <v>0</v>
      </c>
      <c r="O347" s="91"/>
      <c r="P347" s="91"/>
      <c r="Q347" s="91"/>
    </row>
    <row r="348" spans="1:17" x14ac:dyDescent="0.25">
      <c r="A348" s="152">
        <v>6303000</v>
      </c>
      <c r="B348" s="51" t="s">
        <v>21</v>
      </c>
      <c r="C348" s="88"/>
      <c r="D348" s="89" t="s">
        <v>369</v>
      </c>
      <c r="E348" s="89"/>
      <c r="F348" s="89"/>
      <c r="G348" s="89"/>
      <c r="H348" s="89"/>
      <c r="I348" s="89"/>
      <c r="J348" s="154"/>
      <c r="K348" s="154">
        <f t="shared" si="23"/>
        <v>0</v>
      </c>
      <c r="L348" s="154">
        <f t="shared" si="23"/>
        <v>0</v>
      </c>
      <c r="M348" s="154">
        <f t="shared" si="23"/>
        <v>0</v>
      </c>
      <c r="N348" s="154">
        <f t="shared" si="23"/>
        <v>0</v>
      </c>
      <c r="O348" s="91"/>
      <c r="P348" s="91"/>
      <c r="Q348" s="91"/>
    </row>
    <row r="349" spans="1:17" x14ac:dyDescent="0.25">
      <c r="A349" s="152">
        <v>6303000</v>
      </c>
      <c r="B349" s="73" t="s">
        <v>1172</v>
      </c>
      <c r="C349" s="88"/>
      <c r="D349" s="89" t="s">
        <v>369</v>
      </c>
      <c r="E349" s="89"/>
      <c r="F349" s="89"/>
      <c r="G349" s="89"/>
      <c r="H349" s="89"/>
      <c r="I349" s="89"/>
      <c r="J349" s="154"/>
      <c r="K349" s="154">
        <f t="shared" si="23"/>
        <v>0</v>
      </c>
      <c r="L349" s="154">
        <f t="shared" si="23"/>
        <v>0</v>
      </c>
      <c r="M349" s="154">
        <f t="shared" si="23"/>
        <v>0</v>
      </c>
      <c r="N349" s="154">
        <f t="shared" si="23"/>
        <v>0</v>
      </c>
      <c r="O349" s="91"/>
      <c r="P349" s="91"/>
      <c r="Q349" s="91"/>
    </row>
    <row r="350" spans="1:17" x14ac:dyDescent="0.25">
      <c r="A350" s="152">
        <v>6303000</v>
      </c>
      <c r="B350" s="73" t="s">
        <v>810</v>
      </c>
      <c r="C350" s="88"/>
      <c r="D350" s="89" t="s">
        <v>369</v>
      </c>
      <c r="E350" s="89"/>
      <c r="F350" s="89"/>
      <c r="G350" s="89"/>
      <c r="H350" s="89"/>
      <c r="I350" s="89"/>
      <c r="J350" s="154"/>
      <c r="K350" s="154">
        <f t="shared" si="23"/>
        <v>0</v>
      </c>
      <c r="L350" s="154">
        <f t="shared" si="23"/>
        <v>0</v>
      </c>
      <c r="M350" s="154">
        <f t="shared" si="23"/>
        <v>0</v>
      </c>
      <c r="N350" s="154">
        <f t="shared" si="23"/>
        <v>0</v>
      </c>
      <c r="O350" s="91"/>
      <c r="P350" s="91"/>
      <c r="Q350" s="91"/>
    </row>
    <row r="351" spans="1:17" x14ac:dyDescent="0.25">
      <c r="A351" s="152">
        <v>6303000</v>
      </c>
      <c r="B351" s="73" t="s">
        <v>811</v>
      </c>
      <c r="C351" s="88"/>
      <c r="D351" s="89" t="s">
        <v>369</v>
      </c>
      <c r="E351" s="89"/>
      <c r="F351" s="89"/>
      <c r="G351" s="89"/>
      <c r="H351" s="89"/>
      <c r="I351" s="89"/>
      <c r="J351" s="154"/>
      <c r="K351" s="154">
        <f t="shared" si="23"/>
        <v>0</v>
      </c>
      <c r="L351" s="154">
        <f t="shared" si="23"/>
        <v>0</v>
      </c>
      <c r="M351" s="154">
        <f t="shared" si="23"/>
        <v>0</v>
      </c>
      <c r="N351" s="154">
        <f t="shared" si="23"/>
        <v>0</v>
      </c>
      <c r="O351" s="91"/>
      <c r="P351" s="91"/>
      <c r="Q351" s="91"/>
    </row>
    <row r="352" spans="1:17" x14ac:dyDescent="0.25">
      <c r="A352" s="152">
        <v>6303000</v>
      </c>
      <c r="B352" s="51" t="s">
        <v>23</v>
      </c>
      <c r="C352" s="88"/>
      <c r="D352" s="89" t="s">
        <v>369</v>
      </c>
      <c r="E352" s="89"/>
      <c r="F352" s="89"/>
      <c r="G352" s="89"/>
      <c r="H352" s="89"/>
      <c r="I352" s="89"/>
      <c r="J352" s="154"/>
      <c r="K352" s="154">
        <f t="shared" si="23"/>
        <v>0</v>
      </c>
      <c r="L352" s="154">
        <f t="shared" si="23"/>
        <v>0</v>
      </c>
      <c r="M352" s="154">
        <f t="shared" si="23"/>
        <v>0</v>
      </c>
      <c r="N352" s="154">
        <f t="shared" si="23"/>
        <v>0</v>
      </c>
      <c r="O352" s="91"/>
      <c r="P352" s="91"/>
      <c r="Q352" s="91"/>
    </row>
    <row r="353" spans="1:17" x14ac:dyDescent="0.25">
      <c r="A353" s="152">
        <v>6303000</v>
      </c>
      <c r="B353" s="73" t="s">
        <v>268</v>
      </c>
      <c r="C353" s="88"/>
      <c r="D353" s="89" t="s">
        <v>369</v>
      </c>
      <c r="E353" s="89"/>
      <c r="F353" s="89"/>
      <c r="G353" s="89"/>
      <c r="H353" s="89"/>
      <c r="I353" s="89"/>
      <c r="J353" s="154"/>
      <c r="K353" s="154">
        <f t="shared" si="23"/>
        <v>0</v>
      </c>
      <c r="L353" s="154">
        <f t="shared" si="23"/>
        <v>0</v>
      </c>
      <c r="M353" s="154">
        <f t="shared" si="23"/>
        <v>0</v>
      </c>
      <c r="N353" s="154">
        <f t="shared" si="23"/>
        <v>0</v>
      </c>
      <c r="O353" s="91"/>
      <c r="P353" s="91"/>
      <c r="Q353" s="91"/>
    </row>
    <row r="354" spans="1:17" x14ac:dyDescent="0.25">
      <c r="A354" s="152">
        <v>6303000</v>
      </c>
      <c r="B354" s="73" t="s">
        <v>267</v>
      </c>
      <c r="C354" s="88"/>
      <c r="D354" s="89" t="s">
        <v>369</v>
      </c>
      <c r="E354" s="89"/>
      <c r="F354" s="89"/>
      <c r="G354" s="89"/>
      <c r="H354" s="89"/>
      <c r="I354" s="89"/>
      <c r="J354" s="154"/>
      <c r="K354" s="154">
        <f t="shared" si="23"/>
        <v>0</v>
      </c>
      <c r="L354" s="154">
        <f t="shared" si="23"/>
        <v>0</v>
      </c>
      <c r="M354" s="154">
        <f t="shared" si="23"/>
        <v>0</v>
      </c>
      <c r="N354" s="154">
        <f t="shared" si="23"/>
        <v>0</v>
      </c>
      <c r="O354" s="91"/>
      <c r="P354" s="91"/>
      <c r="Q354" s="91"/>
    </row>
    <row r="355" spans="1:17" ht="15.75" thickBot="1" x14ac:dyDescent="0.3">
      <c r="A355" s="205">
        <v>6303000</v>
      </c>
      <c r="B355" s="490" t="s">
        <v>920</v>
      </c>
      <c r="C355" s="202"/>
      <c r="D355" s="203" t="s">
        <v>369</v>
      </c>
      <c r="E355" s="203"/>
      <c r="F355" s="203"/>
      <c r="G355" s="203"/>
      <c r="H355" s="203"/>
      <c r="I355" s="203"/>
      <c r="J355" s="203"/>
      <c r="K355" s="207">
        <f t="shared" si="23"/>
        <v>0</v>
      </c>
      <c r="L355" s="207">
        <f t="shared" si="23"/>
        <v>0</v>
      </c>
      <c r="M355" s="207">
        <f t="shared" si="23"/>
        <v>0</v>
      </c>
      <c r="N355" s="207">
        <f t="shared" si="23"/>
        <v>0</v>
      </c>
      <c r="O355" s="91"/>
      <c r="P355" s="91"/>
      <c r="Q355" s="91"/>
    </row>
    <row r="356" spans="1:17" ht="15.75" thickBot="1" x14ac:dyDescent="0.3">
      <c r="A356" s="91"/>
      <c r="B356" s="22"/>
      <c r="C356" s="9"/>
      <c r="D356" s="91"/>
      <c r="E356" s="91"/>
      <c r="F356" s="91"/>
      <c r="G356" s="91"/>
      <c r="H356" s="91"/>
      <c r="I356" s="91"/>
      <c r="J356" s="91"/>
      <c r="K356" s="91"/>
      <c r="L356" s="91"/>
      <c r="M356" s="91"/>
      <c r="N356" s="91"/>
      <c r="O356" s="91"/>
      <c r="P356" s="91"/>
      <c r="Q356" s="91"/>
    </row>
    <row r="357" spans="1:17" ht="15.75" thickBot="1" x14ac:dyDescent="0.3">
      <c r="A357" s="148"/>
      <c r="B357" s="149"/>
      <c r="C357" s="149"/>
      <c r="D357" s="148"/>
      <c r="E357" s="148"/>
      <c r="F357" s="148"/>
      <c r="G357" s="148"/>
      <c r="H357" s="148"/>
      <c r="I357" s="148"/>
      <c r="J357" s="160"/>
      <c r="K357" s="160">
        <f>K155-SUM(K156:K355)</f>
        <v>0</v>
      </c>
      <c r="L357" s="160">
        <f>L155-SUM(L156:L355)</f>
        <v>0</v>
      </c>
      <c r="M357" s="160">
        <f>M155-SUM(M156:M355)</f>
        <v>0</v>
      </c>
      <c r="N357" s="160">
        <f>N155-SUM(N156:N355)</f>
        <v>0</v>
      </c>
    </row>
    <row r="360" spans="1:17" customFormat="1" ht="12.75" x14ac:dyDescent="0.2">
      <c r="A360" s="225" t="s">
        <v>186</v>
      </c>
      <c r="B360" s="225"/>
      <c r="C360" s="223"/>
      <c r="D360" s="223"/>
      <c r="E360" s="225"/>
    </row>
    <row r="361" spans="1:17" customFormat="1" ht="12.75" x14ac:dyDescent="0.2">
      <c r="A361" s="223"/>
      <c r="B361" s="223"/>
      <c r="C361" s="223"/>
      <c r="D361" s="223"/>
      <c r="E361" s="223"/>
    </row>
    <row r="362" spans="1:17" customFormat="1" ht="12.75" x14ac:dyDescent="0.2">
      <c r="A362" s="224"/>
      <c r="B362" s="224"/>
      <c r="C362" s="223"/>
      <c r="D362" s="223"/>
      <c r="E362" s="224"/>
    </row>
    <row r="363" spans="1:17" customFormat="1" ht="12.75" x14ac:dyDescent="0.2">
      <c r="A363" s="224"/>
      <c r="B363" s="224"/>
      <c r="C363" s="223"/>
      <c r="D363" s="223"/>
      <c r="E363" s="224"/>
    </row>
    <row r="364" spans="1:17" customFormat="1" ht="12.75" x14ac:dyDescent="0.2">
      <c r="A364" s="223"/>
      <c r="B364" s="223"/>
      <c r="C364" s="223"/>
      <c r="D364" s="223"/>
      <c r="E364" s="223"/>
    </row>
    <row r="365" spans="1:17" customFormat="1" ht="12.75" x14ac:dyDescent="0.2"/>
    <row r="366" spans="1:17" customFormat="1" ht="12.75" x14ac:dyDescent="0.2"/>
    <row r="367" spans="1:17" customFormat="1" ht="12.75" x14ac:dyDescent="0.2"/>
    <row r="368" spans="1:17" customFormat="1" ht="12.75" x14ac:dyDescent="0.2"/>
    <row r="369" spans="1:15" customFormat="1" ht="12.75" x14ac:dyDescent="0.2"/>
    <row r="370" spans="1:15" customFormat="1" ht="12.75" x14ac:dyDescent="0.2">
      <c r="A370" s="21" t="s">
        <v>190</v>
      </c>
      <c r="D370" s="23" t="s">
        <v>191</v>
      </c>
      <c r="F370" s="23" t="s">
        <v>192</v>
      </c>
      <c r="K370" s="23"/>
      <c r="L370" s="23"/>
      <c r="M370" s="23"/>
      <c r="N370" s="23"/>
      <c r="O370" s="23"/>
    </row>
    <row r="371" spans="1:15" customFormat="1" ht="12.75" x14ac:dyDescent="0.2">
      <c r="A371" s="224" t="s">
        <v>406</v>
      </c>
    </row>
    <row r="372" spans="1:15" customFormat="1" ht="12.75" x14ac:dyDescent="0.2">
      <c r="A372" s="1" t="s">
        <v>188</v>
      </c>
    </row>
    <row r="373" spans="1:15" customFormat="1" ht="12.75" x14ac:dyDescent="0.2"/>
    <row r="391" spans="1:14" ht="12.75" x14ac:dyDescent="0.2">
      <c r="A391" s="152"/>
      <c r="B391" s="73"/>
      <c r="C391" s="51" t="s">
        <v>986</v>
      </c>
      <c r="D391" s="89" t="s">
        <v>548</v>
      </c>
      <c r="E391" s="89"/>
      <c r="F391" s="89"/>
      <c r="G391" s="89"/>
      <c r="H391" s="89"/>
      <c r="I391" s="89"/>
      <c r="J391" s="212"/>
      <c r="K391" s="212"/>
      <c r="L391" s="212"/>
      <c r="M391" s="212"/>
      <c r="N391" s="212">
        <f t="shared" ref="N391:N454" si="24">SUMIFS(N$26:N$154,$C$26:$C$154,$C391,$D$26:$D$154,$D391)</f>
        <v>0</v>
      </c>
    </row>
    <row r="392" spans="1:14" s="235" customFormat="1" ht="12.75" x14ac:dyDescent="0.2">
      <c r="A392" s="152"/>
      <c r="B392" s="73"/>
      <c r="C392" s="51" t="s">
        <v>988</v>
      </c>
      <c r="D392" s="89" t="s">
        <v>548</v>
      </c>
      <c r="E392" s="89"/>
      <c r="F392" s="89"/>
      <c r="G392" s="89"/>
      <c r="H392" s="89"/>
      <c r="I392" s="89"/>
      <c r="J392" s="212"/>
      <c r="K392" s="212"/>
      <c r="L392" s="212"/>
      <c r="M392" s="212"/>
      <c r="N392" s="212">
        <f t="shared" si="24"/>
        <v>0</v>
      </c>
    </row>
    <row r="393" spans="1:14" s="235" customFormat="1" ht="12.75" x14ac:dyDescent="0.2">
      <c r="A393" s="152"/>
      <c r="B393" s="73"/>
      <c r="C393" s="51" t="s">
        <v>1058</v>
      </c>
      <c r="D393" s="89" t="s">
        <v>548</v>
      </c>
      <c r="E393" s="89"/>
      <c r="F393" s="89"/>
      <c r="G393" s="89"/>
      <c r="H393" s="89"/>
      <c r="I393" s="89"/>
      <c r="J393" s="212"/>
      <c r="K393" s="212"/>
      <c r="L393" s="212"/>
      <c r="M393" s="212"/>
      <c r="N393" s="212">
        <f t="shared" si="24"/>
        <v>0</v>
      </c>
    </row>
    <row r="394" spans="1:14" s="235" customFormat="1" ht="12.75" x14ac:dyDescent="0.2">
      <c r="A394" s="152"/>
      <c r="B394" s="73"/>
      <c r="C394" s="51" t="s">
        <v>972</v>
      </c>
      <c r="D394" s="89" t="s">
        <v>548</v>
      </c>
      <c r="E394" s="89"/>
      <c r="F394" s="89"/>
      <c r="G394" s="89"/>
      <c r="H394" s="89"/>
      <c r="I394" s="89"/>
      <c r="J394" s="212"/>
      <c r="K394" s="212"/>
      <c r="L394" s="212"/>
      <c r="M394" s="212"/>
      <c r="N394" s="212">
        <f t="shared" si="24"/>
        <v>0</v>
      </c>
    </row>
    <row r="395" spans="1:14" s="235" customFormat="1" ht="12.75" x14ac:dyDescent="0.2">
      <c r="A395" s="152"/>
      <c r="B395" s="73"/>
      <c r="C395" s="51" t="s">
        <v>973</v>
      </c>
      <c r="D395" s="89" t="s">
        <v>548</v>
      </c>
      <c r="E395" s="89"/>
      <c r="F395" s="89"/>
      <c r="G395" s="89"/>
      <c r="H395" s="89"/>
      <c r="I395" s="89"/>
      <c r="J395" s="212"/>
      <c r="K395" s="212"/>
      <c r="L395" s="212"/>
      <c r="M395" s="212"/>
      <c r="N395" s="212">
        <f t="shared" si="24"/>
        <v>0</v>
      </c>
    </row>
    <row r="396" spans="1:14" s="235" customFormat="1" ht="12.75" x14ac:dyDescent="0.2">
      <c r="A396" s="152"/>
      <c r="B396" s="73"/>
      <c r="C396" s="51" t="s">
        <v>980</v>
      </c>
      <c r="D396" s="89" t="s">
        <v>548</v>
      </c>
      <c r="E396" s="89"/>
      <c r="F396" s="89"/>
      <c r="G396" s="89"/>
      <c r="H396" s="89"/>
      <c r="I396" s="89"/>
      <c r="J396" s="212"/>
      <c r="K396" s="212"/>
      <c r="L396" s="212"/>
      <c r="M396" s="212"/>
      <c r="N396" s="212">
        <f t="shared" si="24"/>
        <v>0</v>
      </c>
    </row>
    <row r="397" spans="1:14" s="284" customFormat="1" ht="12.75" x14ac:dyDescent="0.2">
      <c r="A397" s="152"/>
      <c r="B397" s="73"/>
      <c r="C397" s="51" t="s">
        <v>982</v>
      </c>
      <c r="D397" s="89" t="s">
        <v>548</v>
      </c>
      <c r="E397" s="89"/>
      <c r="F397" s="89"/>
      <c r="G397" s="89"/>
      <c r="H397" s="89"/>
      <c r="I397" s="89"/>
      <c r="J397" s="212"/>
      <c r="K397" s="212"/>
      <c r="L397" s="212"/>
      <c r="M397" s="212"/>
      <c r="N397" s="212">
        <f t="shared" si="24"/>
        <v>0</v>
      </c>
    </row>
    <row r="398" spans="1:14" s="235" customFormat="1" ht="12.75" x14ac:dyDescent="0.2">
      <c r="A398" s="152"/>
      <c r="B398" s="73"/>
      <c r="C398" s="51" t="s">
        <v>46</v>
      </c>
      <c r="D398" s="89" t="s">
        <v>548</v>
      </c>
      <c r="E398" s="89"/>
      <c r="F398" s="89"/>
      <c r="G398" s="89"/>
      <c r="H398" s="89"/>
      <c r="I398" s="89"/>
      <c r="J398" s="212"/>
      <c r="K398" s="212"/>
      <c r="L398" s="212"/>
      <c r="M398" s="212"/>
      <c r="N398" s="212">
        <f t="shared" si="24"/>
        <v>0</v>
      </c>
    </row>
    <row r="399" spans="1:14" s="235" customFormat="1" ht="12.75" x14ac:dyDescent="0.2">
      <c r="A399" s="152"/>
      <c r="B399" s="73"/>
      <c r="C399" s="51" t="s">
        <v>1019</v>
      </c>
      <c r="D399" s="89" t="s">
        <v>548</v>
      </c>
      <c r="E399" s="89"/>
      <c r="F399" s="89"/>
      <c r="G399" s="89"/>
      <c r="H399" s="89"/>
      <c r="I399" s="89"/>
      <c r="J399" s="212"/>
      <c r="K399" s="212"/>
      <c r="L399" s="212"/>
      <c r="M399" s="212"/>
      <c r="N399" s="212">
        <f t="shared" si="24"/>
        <v>167055</v>
      </c>
    </row>
    <row r="400" spans="1:14" s="235" customFormat="1" ht="12.75" x14ac:dyDescent="0.2">
      <c r="A400" s="152"/>
      <c r="B400" s="73"/>
      <c r="C400" s="51" t="s">
        <v>1050</v>
      </c>
      <c r="D400" s="89" t="s">
        <v>548</v>
      </c>
      <c r="E400" s="89"/>
      <c r="F400" s="89"/>
      <c r="G400" s="89"/>
      <c r="H400" s="89"/>
      <c r="I400" s="89"/>
      <c r="J400" s="212"/>
      <c r="K400" s="212"/>
      <c r="L400" s="212"/>
      <c r="M400" s="212"/>
      <c r="N400" s="212">
        <f t="shared" si="24"/>
        <v>0</v>
      </c>
    </row>
    <row r="401" spans="1:14" s="235" customFormat="1" ht="12.75" x14ac:dyDescent="0.2">
      <c r="A401" s="152"/>
      <c r="B401" s="73"/>
      <c r="C401" s="51" t="s">
        <v>100</v>
      </c>
      <c r="D401" s="89" t="s">
        <v>548</v>
      </c>
      <c r="E401" s="89"/>
      <c r="F401" s="89"/>
      <c r="G401" s="89"/>
      <c r="H401" s="89"/>
      <c r="I401" s="89"/>
      <c r="J401" s="212"/>
      <c r="K401" s="212"/>
      <c r="L401" s="212"/>
      <c r="M401" s="212"/>
      <c r="N401" s="212">
        <f t="shared" si="24"/>
        <v>0</v>
      </c>
    </row>
    <row r="402" spans="1:14" s="235" customFormat="1" ht="12.75" x14ac:dyDescent="0.2">
      <c r="A402" s="152"/>
      <c r="B402" s="73"/>
      <c r="C402" s="51" t="s">
        <v>101</v>
      </c>
      <c r="D402" s="89" t="s">
        <v>548</v>
      </c>
      <c r="E402" s="89"/>
      <c r="F402" s="89"/>
      <c r="G402" s="89"/>
      <c r="H402" s="89"/>
      <c r="I402" s="89"/>
      <c r="J402" s="212"/>
      <c r="K402" s="212"/>
      <c r="L402" s="212"/>
      <c r="M402" s="212"/>
      <c r="N402" s="212">
        <f t="shared" si="24"/>
        <v>0</v>
      </c>
    </row>
    <row r="403" spans="1:14" s="235" customFormat="1" ht="12.75" x14ac:dyDescent="0.2">
      <c r="A403" s="152"/>
      <c r="B403" s="73"/>
      <c r="C403" s="51" t="s">
        <v>1056</v>
      </c>
      <c r="D403" s="89" t="s">
        <v>548</v>
      </c>
      <c r="E403" s="89"/>
      <c r="F403" s="89"/>
      <c r="G403" s="89"/>
      <c r="H403" s="89"/>
      <c r="I403" s="89"/>
      <c r="J403" s="212"/>
      <c r="K403" s="212"/>
      <c r="L403" s="212"/>
      <c r="M403" s="212"/>
      <c r="N403" s="212">
        <f t="shared" si="24"/>
        <v>0</v>
      </c>
    </row>
    <row r="404" spans="1:14" s="235" customFormat="1" ht="12.75" x14ac:dyDescent="0.2">
      <c r="A404" s="152"/>
      <c r="B404" s="73"/>
      <c r="C404" s="51" t="s">
        <v>1057</v>
      </c>
      <c r="D404" s="89" t="s">
        <v>548</v>
      </c>
      <c r="E404" s="89"/>
      <c r="F404" s="89"/>
      <c r="G404" s="89"/>
      <c r="H404" s="89"/>
      <c r="I404" s="89"/>
      <c r="J404" s="212"/>
      <c r="K404" s="212"/>
      <c r="L404" s="212"/>
      <c r="M404" s="212"/>
      <c r="N404" s="212">
        <f t="shared" si="24"/>
        <v>0</v>
      </c>
    </row>
    <row r="405" spans="1:14" s="235" customFormat="1" ht="12.75" x14ac:dyDescent="0.2">
      <c r="A405" s="152"/>
      <c r="B405" s="73"/>
      <c r="C405" s="51" t="s">
        <v>944</v>
      </c>
      <c r="D405" s="89" t="s">
        <v>548</v>
      </c>
      <c r="E405" s="89"/>
      <c r="F405" s="89"/>
      <c r="G405" s="89"/>
      <c r="H405" s="89"/>
      <c r="I405" s="89"/>
      <c r="J405" s="212"/>
      <c r="K405" s="212"/>
      <c r="L405" s="212"/>
      <c r="M405" s="212"/>
      <c r="N405" s="212">
        <f t="shared" si="24"/>
        <v>0</v>
      </c>
    </row>
    <row r="406" spans="1:14" s="235" customFormat="1" ht="12.75" x14ac:dyDescent="0.2">
      <c r="A406" s="152"/>
      <c r="B406" s="73"/>
      <c r="C406" s="51" t="s">
        <v>945</v>
      </c>
      <c r="D406" s="89" t="s">
        <v>548</v>
      </c>
      <c r="E406" s="89"/>
      <c r="F406" s="89"/>
      <c r="G406" s="89"/>
      <c r="H406" s="89"/>
      <c r="I406" s="89"/>
      <c r="J406" s="212"/>
      <c r="K406" s="212"/>
      <c r="L406" s="212"/>
      <c r="M406" s="212"/>
      <c r="N406" s="212">
        <f t="shared" si="24"/>
        <v>0</v>
      </c>
    </row>
    <row r="407" spans="1:14" s="235" customFormat="1" ht="12.75" x14ac:dyDescent="0.2">
      <c r="A407" s="152"/>
      <c r="B407" s="73"/>
      <c r="C407" s="51" t="s">
        <v>965</v>
      </c>
      <c r="D407" s="89" t="s">
        <v>548</v>
      </c>
      <c r="E407" s="89"/>
      <c r="F407" s="89"/>
      <c r="G407" s="89"/>
      <c r="H407" s="89"/>
      <c r="I407" s="89"/>
      <c r="J407" s="212"/>
      <c r="K407" s="212"/>
      <c r="L407" s="212"/>
      <c r="M407" s="212"/>
      <c r="N407" s="212">
        <f t="shared" si="24"/>
        <v>0</v>
      </c>
    </row>
    <row r="408" spans="1:14" s="235" customFormat="1" ht="12.75" x14ac:dyDescent="0.2">
      <c r="A408" s="152"/>
      <c r="B408" s="73"/>
      <c r="C408" s="51" t="s">
        <v>1011</v>
      </c>
      <c r="D408" s="89" t="s">
        <v>548</v>
      </c>
      <c r="E408" s="89"/>
      <c r="F408" s="89"/>
      <c r="G408" s="89"/>
      <c r="H408" s="89"/>
      <c r="I408" s="89"/>
      <c r="J408" s="212"/>
      <c r="K408" s="212"/>
      <c r="L408" s="212"/>
      <c r="M408" s="212"/>
      <c r="N408" s="212">
        <f t="shared" si="24"/>
        <v>0</v>
      </c>
    </row>
    <row r="409" spans="1:14" s="235" customFormat="1" ht="12.75" x14ac:dyDescent="0.2">
      <c r="A409" s="152"/>
      <c r="B409" s="73"/>
      <c r="C409" s="51" t="s">
        <v>1010</v>
      </c>
      <c r="D409" s="89" t="s">
        <v>548</v>
      </c>
      <c r="E409" s="89"/>
      <c r="F409" s="89"/>
      <c r="G409" s="89"/>
      <c r="H409" s="89"/>
      <c r="I409" s="89"/>
      <c r="J409" s="212"/>
      <c r="K409" s="212"/>
      <c r="L409" s="212"/>
      <c r="M409" s="212"/>
      <c r="N409" s="212">
        <f t="shared" si="24"/>
        <v>0</v>
      </c>
    </row>
    <row r="410" spans="1:14" s="235" customFormat="1" ht="12.75" x14ac:dyDescent="0.2">
      <c r="A410" s="152"/>
      <c r="B410" s="73"/>
      <c r="C410" s="51" t="s">
        <v>1013</v>
      </c>
      <c r="D410" s="89" t="s">
        <v>548</v>
      </c>
      <c r="E410" s="89"/>
      <c r="F410" s="89"/>
      <c r="G410" s="89"/>
      <c r="H410" s="89"/>
      <c r="I410" s="89"/>
      <c r="J410" s="212"/>
      <c r="K410" s="212"/>
      <c r="L410" s="212"/>
      <c r="M410" s="212"/>
      <c r="N410" s="212">
        <f t="shared" si="24"/>
        <v>0</v>
      </c>
    </row>
    <row r="411" spans="1:14" s="235" customFormat="1" ht="12.75" x14ac:dyDescent="0.2">
      <c r="A411" s="152"/>
      <c r="B411" s="73"/>
      <c r="C411" s="51" t="s">
        <v>1012</v>
      </c>
      <c r="D411" s="89" t="s">
        <v>548</v>
      </c>
      <c r="E411" s="89"/>
      <c r="F411" s="89"/>
      <c r="G411" s="89"/>
      <c r="H411" s="89"/>
      <c r="I411" s="89"/>
      <c r="J411" s="212"/>
      <c r="K411" s="212"/>
      <c r="L411" s="212"/>
      <c r="M411" s="212"/>
      <c r="N411" s="212">
        <f t="shared" si="24"/>
        <v>0</v>
      </c>
    </row>
    <row r="412" spans="1:14" s="235" customFormat="1" ht="12.75" x14ac:dyDescent="0.2">
      <c r="A412" s="152"/>
      <c r="B412" s="73"/>
      <c r="C412" s="51" t="s">
        <v>1052</v>
      </c>
      <c r="D412" s="89" t="s">
        <v>548</v>
      </c>
      <c r="E412" s="89"/>
      <c r="F412" s="89"/>
      <c r="G412" s="89"/>
      <c r="H412" s="89"/>
      <c r="I412" s="89"/>
      <c r="J412" s="212"/>
      <c r="K412" s="212"/>
      <c r="L412" s="212"/>
      <c r="M412" s="212"/>
      <c r="N412" s="212">
        <f t="shared" si="24"/>
        <v>0</v>
      </c>
    </row>
    <row r="413" spans="1:14" s="235" customFormat="1" ht="12.75" x14ac:dyDescent="0.2">
      <c r="A413" s="152"/>
      <c r="B413" s="73"/>
      <c r="C413" s="51" t="s">
        <v>1053</v>
      </c>
      <c r="D413" s="89" t="s">
        <v>548</v>
      </c>
      <c r="E413" s="89"/>
      <c r="F413" s="89"/>
      <c r="G413" s="89"/>
      <c r="H413" s="89"/>
      <c r="I413" s="89"/>
      <c r="J413" s="212"/>
      <c r="K413" s="212"/>
      <c r="L413" s="212"/>
      <c r="M413" s="212"/>
      <c r="N413" s="212">
        <f t="shared" si="24"/>
        <v>0</v>
      </c>
    </row>
    <row r="414" spans="1:14" s="235" customFormat="1" ht="12.75" x14ac:dyDescent="0.2">
      <c r="A414" s="152"/>
      <c r="B414" s="73"/>
      <c r="C414" s="51" t="s">
        <v>984</v>
      </c>
      <c r="D414" s="89" t="s">
        <v>548</v>
      </c>
      <c r="E414" s="89"/>
      <c r="F414" s="89"/>
      <c r="G414" s="89"/>
      <c r="H414" s="89"/>
      <c r="I414" s="89"/>
      <c r="J414" s="212"/>
      <c r="K414" s="212"/>
      <c r="L414" s="212"/>
      <c r="M414" s="212"/>
      <c r="N414" s="212">
        <f t="shared" si="24"/>
        <v>0</v>
      </c>
    </row>
    <row r="415" spans="1:14" s="235" customFormat="1" ht="12.75" x14ac:dyDescent="0.2">
      <c r="A415" s="152"/>
      <c r="B415" s="73"/>
      <c r="C415" s="51" t="s">
        <v>985</v>
      </c>
      <c r="D415" s="89" t="s">
        <v>548</v>
      </c>
      <c r="E415" s="89"/>
      <c r="F415" s="89"/>
      <c r="G415" s="89"/>
      <c r="H415" s="89"/>
      <c r="I415" s="89"/>
      <c r="J415" s="212"/>
      <c r="K415" s="212"/>
      <c r="L415" s="212"/>
      <c r="M415" s="212"/>
      <c r="N415" s="212">
        <f t="shared" si="24"/>
        <v>0</v>
      </c>
    </row>
    <row r="416" spans="1:14" s="235" customFormat="1" ht="12.75" x14ac:dyDescent="0.2">
      <c r="A416" s="152"/>
      <c r="B416" s="73"/>
      <c r="C416" s="51" t="s">
        <v>1005</v>
      </c>
      <c r="D416" s="89" t="s">
        <v>548</v>
      </c>
      <c r="E416" s="89"/>
      <c r="F416" s="89"/>
      <c r="G416" s="89"/>
      <c r="H416" s="89"/>
      <c r="I416" s="89"/>
      <c r="J416" s="212"/>
      <c r="K416" s="212"/>
      <c r="L416" s="212"/>
      <c r="M416" s="212"/>
      <c r="N416" s="212">
        <f t="shared" si="24"/>
        <v>0</v>
      </c>
    </row>
    <row r="417" spans="1:14" s="235" customFormat="1" ht="12.75" x14ac:dyDescent="0.2">
      <c r="A417" s="152"/>
      <c r="B417" s="73"/>
      <c r="C417" s="51" t="s">
        <v>1004</v>
      </c>
      <c r="D417" s="89" t="s">
        <v>548</v>
      </c>
      <c r="E417" s="89"/>
      <c r="F417" s="89"/>
      <c r="G417" s="89"/>
      <c r="H417" s="89"/>
      <c r="I417" s="89"/>
      <c r="J417" s="212"/>
      <c r="K417" s="212"/>
      <c r="L417" s="212"/>
      <c r="M417" s="212"/>
      <c r="N417" s="212">
        <f t="shared" si="24"/>
        <v>0</v>
      </c>
    </row>
    <row r="418" spans="1:14" s="235" customFormat="1" ht="12.75" x14ac:dyDescent="0.2">
      <c r="A418" s="152"/>
      <c r="B418" s="73"/>
      <c r="C418" s="51" t="s">
        <v>1008</v>
      </c>
      <c r="D418" s="89" t="s">
        <v>548</v>
      </c>
      <c r="E418" s="89"/>
      <c r="F418" s="89"/>
      <c r="G418" s="89"/>
      <c r="H418" s="89"/>
      <c r="I418" s="89"/>
      <c r="J418" s="212"/>
      <c r="K418" s="212"/>
      <c r="L418" s="212"/>
      <c r="M418" s="212"/>
      <c r="N418" s="212">
        <f t="shared" si="24"/>
        <v>0</v>
      </c>
    </row>
    <row r="419" spans="1:14" s="235" customFormat="1" ht="12.75" x14ac:dyDescent="0.2">
      <c r="A419" s="152"/>
      <c r="B419" s="73"/>
      <c r="C419" s="51" t="s">
        <v>1006</v>
      </c>
      <c r="D419" s="89" t="s">
        <v>548</v>
      </c>
      <c r="E419" s="89"/>
      <c r="F419" s="89"/>
      <c r="G419" s="89"/>
      <c r="H419" s="89"/>
      <c r="I419" s="89"/>
      <c r="J419" s="212"/>
      <c r="K419" s="212"/>
      <c r="L419" s="212"/>
      <c r="M419" s="212"/>
      <c r="N419" s="212">
        <f t="shared" si="24"/>
        <v>0</v>
      </c>
    </row>
    <row r="420" spans="1:14" s="235" customFormat="1" ht="12.75" x14ac:dyDescent="0.2">
      <c r="A420" s="152"/>
      <c r="B420" s="73"/>
      <c r="C420" s="51" t="s">
        <v>1034</v>
      </c>
      <c r="D420" s="89" t="s">
        <v>548</v>
      </c>
      <c r="E420" s="89"/>
      <c r="F420" s="89"/>
      <c r="G420" s="89"/>
      <c r="H420" s="89"/>
      <c r="I420" s="89"/>
      <c r="J420" s="212"/>
      <c r="K420" s="212"/>
      <c r="L420" s="212"/>
      <c r="M420" s="212"/>
      <c r="N420" s="212">
        <f t="shared" si="24"/>
        <v>0</v>
      </c>
    </row>
    <row r="421" spans="1:14" s="235" customFormat="1" ht="12.75" x14ac:dyDescent="0.2">
      <c r="A421" s="152"/>
      <c r="B421" s="73"/>
      <c r="C421" s="51" t="s">
        <v>1035</v>
      </c>
      <c r="D421" s="89" t="s">
        <v>548</v>
      </c>
      <c r="E421" s="89"/>
      <c r="F421" s="89"/>
      <c r="G421" s="89"/>
      <c r="H421" s="89"/>
      <c r="I421" s="89"/>
      <c r="J421" s="212"/>
      <c r="K421" s="212"/>
      <c r="L421" s="212"/>
      <c r="M421" s="212"/>
      <c r="N421" s="212">
        <f t="shared" si="24"/>
        <v>0</v>
      </c>
    </row>
    <row r="422" spans="1:14" s="235" customFormat="1" ht="12.75" x14ac:dyDescent="0.2">
      <c r="A422" s="152"/>
      <c r="B422" s="73"/>
      <c r="C422" s="51" t="s">
        <v>922</v>
      </c>
      <c r="D422" s="89" t="s">
        <v>548</v>
      </c>
      <c r="E422" s="89"/>
      <c r="F422" s="89"/>
      <c r="G422" s="89"/>
      <c r="H422" s="89"/>
      <c r="I422" s="89"/>
      <c r="J422" s="212"/>
      <c r="K422" s="212"/>
      <c r="L422" s="212"/>
      <c r="M422" s="212"/>
      <c r="N422" s="212">
        <f t="shared" si="24"/>
        <v>0</v>
      </c>
    </row>
    <row r="423" spans="1:14" s="235" customFormat="1" ht="12.75" x14ac:dyDescent="0.2">
      <c r="A423" s="152"/>
      <c r="B423" s="73"/>
      <c r="C423" s="51" t="s">
        <v>942</v>
      </c>
      <c r="D423" s="89" t="s">
        <v>548</v>
      </c>
      <c r="E423" s="89"/>
      <c r="F423" s="89"/>
      <c r="G423" s="89"/>
      <c r="H423" s="89"/>
      <c r="I423" s="89"/>
      <c r="J423" s="212"/>
      <c r="K423" s="212"/>
      <c r="L423" s="212"/>
      <c r="M423" s="212"/>
      <c r="N423" s="212">
        <f t="shared" si="24"/>
        <v>0</v>
      </c>
    </row>
    <row r="424" spans="1:14" s="235" customFormat="1" ht="12.75" x14ac:dyDescent="0.2">
      <c r="A424" s="152"/>
      <c r="B424" s="73"/>
      <c r="C424" s="51" t="s">
        <v>943</v>
      </c>
      <c r="D424" s="89" t="s">
        <v>548</v>
      </c>
      <c r="E424" s="89"/>
      <c r="F424" s="89"/>
      <c r="G424" s="89"/>
      <c r="H424" s="89"/>
      <c r="I424" s="89"/>
      <c r="J424" s="212"/>
      <c r="K424" s="212"/>
      <c r="L424" s="212"/>
      <c r="M424" s="212"/>
      <c r="N424" s="212">
        <f t="shared" si="24"/>
        <v>0</v>
      </c>
    </row>
    <row r="425" spans="1:14" s="235" customFormat="1" ht="12.75" x14ac:dyDescent="0.2">
      <c r="A425" s="152"/>
      <c r="B425" s="73"/>
      <c r="C425" s="51" t="s">
        <v>938</v>
      </c>
      <c r="D425" s="89" t="s">
        <v>548</v>
      </c>
      <c r="E425" s="89"/>
      <c r="F425" s="89"/>
      <c r="G425" s="89"/>
      <c r="H425" s="89"/>
      <c r="I425" s="89"/>
      <c r="J425" s="212"/>
      <c r="K425" s="212"/>
      <c r="L425" s="212"/>
      <c r="M425" s="212"/>
      <c r="N425" s="212">
        <f t="shared" si="24"/>
        <v>0</v>
      </c>
    </row>
    <row r="426" spans="1:14" s="235" customFormat="1" ht="12.75" x14ac:dyDescent="0.2">
      <c r="A426" s="152"/>
      <c r="B426" s="73"/>
      <c r="C426" s="51" t="s">
        <v>939</v>
      </c>
      <c r="D426" s="89" t="s">
        <v>548</v>
      </c>
      <c r="E426" s="89"/>
      <c r="F426" s="89"/>
      <c r="G426" s="89"/>
      <c r="H426" s="89"/>
      <c r="I426" s="89"/>
      <c r="J426" s="212"/>
      <c r="K426" s="212"/>
      <c r="L426" s="212"/>
      <c r="M426" s="212"/>
      <c r="N426" s="212">
        <f t="shared" si="24"/>
        <v>0</v>
      </c>
    </row>
    <row r="427" spans="1:14" s="235" customFormat="1" ht="12.75" x14ac:dyDescent="0.2">
      <c r="A427" s="152"/>
      <c r="B427" s="73"/>
      <c r="C427" s="51" t="s">
        <v>934</v>
      </c>
      <c r="D427" s="89" t="s">
        <v>548</v>
      </c>
      <c r="E427" s="89"/>
      <c r="F427" s="89"/>
      <c r="G427" s="89"/>
      <c r="H427" s="89"/>
      <c r="I427" s="89"/>
      <c r="J427" s="212"/>
      <c r="K427" s="212"/>
      <c r="L427" s="212"/>
      <c r="M427" s="212"/>
      <c r="N427" s="212">
        <f t="shared" si="24"/>
        <v>0</v>
      </c>
    </row>
    <row r="428" spans="1:14" s="235" customFormat="1" ht="12.75" x14ac:dyDescent="0.2">
      <c r="A428" s="152"/>
      <c r="B428" s="73"/>
      <c r="C428" s="51" t="s">
        <v>935</v>
      </c>
      <c r="D428" s="89" t="s">
        <v>548</v>
      </c>
      <c r="E428" s="89"/>
      <c r="F428" s="89"/>
      <c r="G428" s="89"/>
      <c r="H428" s="89"/>
      <c r="I428" s="89"/>
      <c r="J428" s="212"/>
      <c r="K428" s="212"/>
      <c r="L428" s="212"/>
      <c r="M428" s="212"/>
      <c r="N428" s="212">
        <f t="shared" si="24"/>
        <v>0</v>
      </c>
    </row>
    <row r="429" spans="1:14" s="235" customFormat="1" ht="12.75" x14ac:dyDescent="0.2">
      <c r="A429" s="152"/>
      <c r="B429" s="73"/>
      <c r="C429" s="51" t="s">
        <v>953</v>
      </c>
      <c r="D429" s="89" t="s">
        <v>548</v>
      </c>
      <c r="E429" s="89"/>
      <c r="F429" s="89"/>
      <c r="G429" s="89"/>
      <c r="H429" s="89"/>
      <c r="I429" s="89"/>
      <c r="J429" s="212"/>
      <c r="K429" s="212"/>
      <c r="L429" s="212"/>
      <c r="M429" s="212"/>
      <c r="N429" s="212">
        <f t="shared" si="24"/>
        <v>0</v>
      </c>
    </row>
    <row r="430" spans="1:14" s="235" customFormat="1" ht="12.75" x14ac:dyDescent="0.2">
      <c r="A430" s="152"/>
      <c r="B430" s="73"/>
      <c r="C430" s="51" t="s">
        <v>924</v>
      </c>
      <c r="D430" s="89" t="s">
        <v>548</v>
      </c>
      <c r="E430" s="89"/>
      <c r="F430" s="89"/>
      <c r="G430" s="89"/>
      <c r="H430" s="89"/>
      <c r="I430" s="89"/>
      <c r="J430" s="212"/>
      <c r="K430" s="212"/>
      <c r="L430" s="212"/>
      <c r="M430" s="212"/>
      <c r="N430" s="212">
        <f t="shared" si="24"/>
        <v>0</v>
      </c>
    </row>
    <row r="431" spans="1:14" s="235" customFormat="1" ht="12.75" x14ac:dyDescent="0.2">
      <c r="A431" s="152"/>
      <c r="B431" s="73"/>
      <c r="C431" s="51" t="s">
        <v>927</v>
      </c>
      <c r="D431" s="89" t="s">
        <v>548</v>
      </c>
      <c r="E431" s="89"/>
      <c r="F431" s="89"/>
      <c r="G431" s="89"/>
      <c r="H431" s="89"/>
      <c r="I431" s="89"/>
      <c r="J431" s="212"/>
      <c r="K431" s="212"/>
      <c r="L431" s="212"/>
      <c r="M431" s="212"/>
      <c r="N431" s="212">
        <f t="shared" si="24"/>
        <v>0</v>
      </c>
    </row>
    <row r="432" spans="1:14" s="235" customFormat="1" ht="12.75" x14ac:dyDescent="0.2">
      <c r="A432" s="152"/>
      <c r="B432" s="73"/>
      <c r="C432" s="51" t="s">
        <v>951</v>
      </c>
      <c r="D432" s="89" t="s">
        <v>548</v>
      </c>
      <c r="E432" s="89"/>
      <c r="F432" s="89"/>
      <c r="G432" s="89"/>
      <c r="H432" s="89"/>
      <c r="I432" s="89"/>
      <c r="J432" s="212"/>
      <c r="K432" s="212"/>
      <c r="L432" s="212"/>
      <c r="M432" s="212"/>
      <c r="N432" s="212">
        <f t="shared" si="24"/>
        <v>0</v>
      </c>
    </row>
    <row r="433" spans="1:14" s="235" customFormat="1" ht="12.75" x14ac:dyDescent="0.2">
      <c r="A433" s="152"/>
      <c r="B433" s="73"/>
      <c r="C433" s="51" t="s">
        <v>1055</v>
      </c>
      <c r="D433" s="89" t="s">
        <v>548</v>
      </c>
      <c r="E433" s="89"/>
      <c r="F433" s="89"/>
      <c r="G433" s="89"/>
      <c r="H433" s="89"/>
      <c r="I433" s="89"/>
      <c r="J433" s="212"/>
      <c r="K433" s="212"/>
      <c r="L433" s="212"/>
      <c r="M433" s="212"/>
      <c r="N433" s="212">
        <f t="shared" si="24"/>
        <v>0</v>
      </c>
    </row>
    <row r="434" spans="1:14" s="284" customFormat="1" ht="12.75" x14ac:dyDescent="0.2">
      <c r="A434" s="152"/>
      <c r="B434" s="73"/>
      <c r="C434" s="51" t="s">
        <v>940</v>
      </c>
      <c r="D434" s="89" t="s">
        <v>548</v>
      </c>
      <c r="E434" s="89"/>
      <c r="F434" s="89"/>
      <c r="G434" s="89"/>
      <c r="H434" s="89"/>
      <c r="I434" s="89"/>
      <c r="J434" s="212"/>
      <c r="K434" s="212"/>
      <c r="L434" s="212"/>
      <c r="M434" s="212"/>
      <c r="N434" s="212">
        <f t="shared" si="24"/>
        <v>0</v>
      </c>
    </row>
    <row r="435" spans="1:14" s="235" customFormat="1" ht="12.75" x14ac:dyDescent="0.2">
      <c r="A435" s="152"/>
      <c r="B435" s="73"/>
      <c r="C435" s="51" t="s">
        <v>941</v>
      </c>
      <c r="D435" s="89" t="s">
        <v>548</v>
      </c>
      <c r="E435" s="89"/>
      <c r="F435" s="89"/>
      <c r="G435" s="89"/>
      <c r="H435" s="89"/>
      <c r="I435" s="89"/>
      <c r="J435" s="212"/>
      <c r="K435" s="212"/>
      <c r="L435" s="212"/>
      <c r="M435" s="212"/>
      <c r="N435" s="212">
        <f t="shared" si="24"/>
        <v>0</v>
      </c>
    </row>
    <row r="436" spans="1:14" s="235" customFormat="1" ht="12.75" x14ac:dyDescent="0.2">
      <c r="A436" s="152"/>
      <c r="B436" s="73"/>
      <c r="C436" s="51" t="s">
        <v>936</v>
      </c>
      <c r="D436" s="89" t="s">
        <v>548</v>
      </c>
      <c r="E436" s="89"/>
      <c r="F436" s="89"/>
      <c r="G436" s="89"/>
      <c r="H436" s="89"/>
      <c r="I436" s="89"/>
      <c r="J436" s="212"/>
      <c r="K436" s="212"/>
      <c r="L436" s="212"/>
      <c r="M436" s="212"/>
      <c r="N436" s="212">
        <f t="shared" si="24"/>
        <v>0</v>
      </c>
    </row>
    <row r="437" spans="1:14" s="235" customFormat="1" ht="12.75" x14ac:dyDescent="0.2">
      <c r="A437" s="152"/>
      <c r="B437" s="73"/>
      <c r="C437" s="51" t="s">
        <v>937</v>
      </c>
      <c r="D437" s="89" t="s">
        <v>548</v>
      </c>
      <c r="E437" s="89"/>
      <c r="F437" s="89"/>
      <c r="G437" s="89"/>
      <c r="H437" s="89"/>
      <c r="I437" s="89"/>
      <c r="J437" s="212"/>
      <c r="K437" s="212"/>
      <c r="L437" s="212"/>
      <c r="M437" s="212"/>
      <c r="N437" s="212">
        <f t="shared" si="24"/>
        <v>0</v>
      </c>
    </row>
    <row r="438" spans="1:14" s="235" customFormat="1" ht="12.75" x14ac:dyDescent="0.2">
      <c r="A438" s="152"/>
      <c r="B438" s="73"/>
      <c r="C438" s="51" t="s">
        <v>932</v>
      </c>
      <c r="D438" s="89" t="s">
        <v>548</v>
      </c>
      <c r="E438" s="89"/>
      <c r="F438" s="89"/>
      <c r="G438" s="89"/>
      <c r="H438" s="89"/>
      <c r="I438" s="89"/>
      <c r="J438" s="212"/>
      <c r="K438" s="212"/>
      <c r="L438" s="212"/>
      <c r="M438" s="212"/>
      <c r="N438" s="212">
        <f t="shared" si="24"/>
        <v>0</v>
      </c>
    </row>
    <row r="439" spans="1:14" s="235" customFormat="1" ht="12.75" x14ac:dyDescent="0.2">
      <c r="A439" s="152"/>
      <c r="B439" s="73"/>
      <c r="C439" s="51" t="s">
        <v>933</v>
      </c>
      <c r="D439" s="89" t="s">
        <v>548</v>
      </c>
      <c r="E439" s="89"/>
      <c r="F439" s="89"/>
      <c r="G439" s="89"/>
      <c r="H439" s="89"/>
      <c r="I439" s="89"/>
      <c r="J439" s="212"/>
      <c r="K439" s="212"/>
      <c r="L439" s="212"/>
      <c r="M439" s="212"/>
      <c r="N439" s="212">
        <f t="shared" si="24"/>
        <v>0</v>
      </c>
    </row>
    <row r="440" spans="1:14" s="235" customFormat="1" ht="12.75" x14ac:dyDescent="0.2">
      <c r="A440" s="152"/>
      <c r="B440" s="73"/>
      <c r="C440" s="51" t="s">
        <v>952</v>
      </c>
      <c r="D440" s="89" t="s">
        <v>548</v>
      </c>
      <c r="E440" s="89"/>
      <c r="F440" s="89"/>
      <c r="G440" s="89"/>
      <c r="H440" s="89"/>
      <c r="I440" s="89"/>
      <c r="J440" s="212"/>
      <c r="K440" s="212"/>
      <c r="L440" s="212"/>
      <c r="M440" s="212"/>
      <c r="N440" s="212">
        <f t="shared" si="24"/>
        <v>0</v>
      </c>
    </row>
    <row r="441" spans="1:14" s="284" customFormat="1" ht="12.75" x14ac:dyDescent="0.2">
      <c r="A441" s="152"/>
      <c r="B441" s="73"/>
      <c r="C441" s="73" t="s">
        <v>923</v>
      </c>
      <c r="D441" s="89" t="s">
        <v>548</v>
      </c>
      <c r="E441" s="89"/>
      <c r="F441" s="89"/>
      <c r="G441" s="89"/>
      <c r="H441" s="89"/>
      <c r="I441" s="89"/>
      <c r="J441" s="212"/>
      <c r="K441" s="212"/>
      <c r="L441" s="212"/>
      <c r="M441" s="212"/>
      <c r="N441" s="212">
        <f t="shared" si="24"/>
        <v>0</v>
      </c>
    </row>
    <row r="442" spans="1:14" s="235" customFormat="1" ht="12.75" x14ac:dyDescent="0.2">
      <c r="A442" s="152"/>
      <c r="B442" s="73"/>
      <c r="C442" s="51" t="s">
        <v>925</v>
      </c>
      <c r="D442" s="89" t="s">
        <v>548</v>
      </c>
      <c r="E442" s="89"/>
      <c r="F442" s="89"/>
      <c r="G442" s="89"/>
      <c r="H442" s="89"/>
      <c r="I442" s="89"/>
      <c r="J442" s="212"/>
      <c r="K442" s="212"/>
      <c r="L442" s="212"/>
      <c r="M442" s="212"/>
      <c r="N442" s="212">
        <f t="shared" si="24"/>
        <v>0</v>
      </c>
    </row>
    <row r="443" spans="1:14" s="235" customFormat="1" ht="12.75" x14ac:dyDescent="0.2">
      <c r="A443" s="152"/>
      <c r="B443" s="73"/>
      <c r="C443" s="51" t="s">
        <v>950</v>
      </c>
      <c r="D443" s="89" t="s">
        <v>548</v>
      </c>
      <c r="E443" s="89"/>
      <c r="F443" s="89"/>
      <c r="G443" s="89"/>
      <c r="H443" s="89"/>
      <c r="I443" s="89"/>
      <c r="J443" s="212"/>
      <c r="K443" s="212"/>
      <c r="L443" s="212"/>
      <c r="M443" s="212"/>
      <c r="N443" s="212">
        <f t="shared" si="24"/>
        <v>0</v>
      </c>
    </row>
    <row r="444" spans="1:14" s="235" customFormat="1" ht="12.75" x14ac:dyDescent="0.2">
      <c r="A444" s="152"/>
      <c r="B444" s="73"/>
      <c r="C444" s="51" t="s">
        <v>1054</v>
      </c>
      <c r="D444" s="89" t="s">
        <v>548</v>
      </c>
      <c r="E444" s="89"/>
      <c r="F444" s="89"/>
      <c r="G444" s="89"/>
      <c r="H444" s="89"/>
      <c r="I444" s="89"/>
      <c r="J444" s="212"/>
      <c r="K444" s="212"/>
      <c r="L444" s="212"/>
      <c r="M444" s="212"/>
      <c r="N444" s="212">
        <f t="shared" si="24"/>
        <v>0</v>
      </c>
    </row>
    <row r="445" spans="1:14" s="235" customFormat="1" ht="12.75" x14ac:dyDescent="0.2">
      <c r="A445" s="152"/>
      <c r="B445" s="73"/>
      <c r="C445" s="51" t="s">
        <v>921</v>
      </c>
      <c r="D445" s="89" t="s">
        <v>548</v>
      </c>
      <c r="E445" s="89"/>
      <c r="F445" s="89"/>
      <c r="G445" s="89"/>
      <c r="H445" s="89"/>
      <c r="I445" s="89"/>
      <c r="J445" s="212"/>
      <c r="K445" s="212"/>
      <c r="L445" s="212"/>
      <c r="M445" s="212"/>
      <c r="N445" s="212">
        <f t="shared" si="24"/>
        <v>0</v>
      </c>
    </row>
    <row r="446" spans="1:14" s="235" customFormat="1" ht="12.75" x14ac:dyDescent="0.2">
      <c r="A446" s="152"/>
      <c r="B446" s="73"/>
      <c r="C446" s="51" t="s">
        <v>1022</v>
      </c>
      <c r="D446" s="89" t="s">
        <v>548</v>
      </c>
      <c r="E446" s="89"/>
      <c r="F446" s="89"/>
      <c r="G446" s="89"/>
      <c r="H446" s="89"/>
      <c r="I446" s="89"/>
      <c r="J446" s="212"/>
      <c r="K446" s="212"/>
      <c r="L446" s="212"/>
      <c r="M446" s="212"/>
      <c r="N446" s="212">
        <f t="shared" si="24"/>
        <v>0</v>
      </c>
    </row>
    <row r="447" spans="1:14" s="235" customFormat="1" ht="12.75" x14ac:dyDescent="0.2">
      <c r="A447" s="152"/>
      <c r="B447" s="73"/>
      <c r="C447" s="51" t="s">
        <v>1023</v>
      </c>
      <c r="D447" s="89" t="s">
        <v>548</v>
      </c>
      <c r="E447" s="89"/>
      <c r="F447" s="89"/>
      <c r="G447" s="89"/>
      <c r="H447" s="89"/>
      <c r="I447" s="89"/>
      <c r="J447" s="212"/>
      <c r="K447" s="212"/>
      <c r="L447" s="212"/>
      <c r="M447" s="212"/>
      <c r="N447" s="212">
        <f t="shared" si="24"/>
        <v>0</v>
      </c>
    </row>
    <row r="448" spans="1:14" s="235" customFormat="1" ht="12.75" x14ac:dyDescent="0.2">
      <c r="A448" s="152"/>
      <c r="B448" s="73"/>
      <c r="C448" s="51" t="s">
        <v>137</v>
      </c>
      <c r="D448" s="89" t="s">
        <v>548</v>
      </c>
      <c r="E448" s="89"/>
      <c r="F448" s="89"/>
      <c r="G448" s="89"/>
      <c r="H448" s="89"/>
      <c r="I448" s="89"/>
      <c r="J448" s="212"/>
      <c r="K448" s="212"/>
      <c r="L448" s="212"/>
      <c r="M448" s="212"/>
      <c r="N448" s="212">
        <f t="shared" si="24"/>
        <v>0</v>
      </c>
    </row>
    <row r="449" spans="1:14" s="235" customFormat="1" ht="12.75" x14ac:dyDescent="0.2">
      <c r="A449" s="152"/>
      <c r="B449" s="73"/>
      <c r="C449" s="51" t="s">
        <v>956</v>
      </c>
      <c r="D449" s="89" t="s">
        <v>548</v>
      </c>
      <c r="E449" s="89"/>
      <c r="F449" s="89"/>
      <c r="G449" s="89"/>
      <c r="H449" s="89"/>
      <c r="I449" s="89"/>
      <c r="J449" s="212"/>
      <c r="K449" s="212"/>
      <c r="L449" s="212"/>
      <c r="M449" s="212"/>
      <c r="N449" s="212">
        <f t="shared" si="24"/>
        <v>0</v>
      </c>
    </row>
    <row r="450" spans="1:14" s="235" customFormat="1" ht="12.75" x14ac:dyDescent="0.2">
      <c r="A450" s="152"/>
      <c r="B450" s="73"/>
      <c r="C450" s="51" t="s">
        <v>1045</v>
      </c>
      <c r="D450" s="89" t="s">
        <v>548</v>
      </c>
      <c r="E450" s="89"/>
      <c r="F450" s="89"/>
      <c r="G450" s="89"/>
      <c r="H450" s="89"/>
      <c r="I450" s="89"/>
      <c r="J450" s="212"/>
      <c r="K450" s="212"/>
      <c r="L450" s="212"/>
      <c r="M450" s="212"/>
      <c r="N450" s="212">
        <f t="shared" si="24"/>
        <v>0</v>
      </c>
    </row>
    <row r="451" spans="1:14" s="235" customFormat="1" ht="12.75" x14ac:dyDescent="0.2">
      <c r="A451" s="152"/>
      <c r="B451" s="73"/>
      <c r="C451" s="51" t="s">
        <v>1046</v>
      </c>
      <c r="D451" s="89" t="s">
        <v>548</v>
      </c>
      <c r="E451" s="89"/>
      <c r="F451" s="89"/>
      <c r="G451" s="89"/>
      <c r="H451" s="89"/>
      <c r="I451" s="89"/>
      <c r="J451" s="212"/>
      <c r="K451" s="212"/>
      <c r="L451" s="212"/>
      <c r="M451" s="212"/>
      <c r="N451" s="212">
        <f t="shared" si="24"/>
        <v>0</v>
      </c>
    </row>
    <row r="452" spans="1:14" s="235" customFormat="1" ht="12.75" x14ac:dyDescent="0.2">
      <c r="A452" s="152"/>
      <c r="B452" s="73"/>
      <c r="C452" s="51" t="s">
        <v>1036</v>
      </c>
      <c r="D452" s="89" t="s">
        <v>548</v>
      </c>
      <c r="E452" s="89"/>
      <c r="F452" s="89"/>
      <c r="G452" s="89"/>
      <c r="H452" s="89"/>
      <c r="I452" s="89"/>
      <c r="J452" s="212"/>
      <c r="K452" s="212"/>
      <c r="L452" s="212"/>
      <c r="M452" s="212"/>
      <c r="N452" s="212">
        <f t="shared" si="24"/>
        <v>0</v>
      </c>
    </row>
    <row r="453" spans="1:14" s="235" customFormat="1" ht="12.75" x14ac:dyDescent="0.2">
      <c r="A453" s="152"/>
      <c r="B453" s="73"/>
      <c r="C453" s="51" t="s">
        <v>1037</v>
      </c>
      <c r="D453" s="89" t="s">
        <v>548</v>
      </c>
      <c r="E453" s="89"/>
      <c r="F453" s="89"/>
      <c r="G453" s="89"/>
      <c r="H453" s="89"/>
      <c r="I453" s="89"/>
      <c r="J453" s="212"/>
      <c r="K453" s="212"/>
      <c r="L453" s="212"/>
      <c r="M453" s="212"/>
      <c r="N453" s="212">
        <f t="shared" si="24"/>
        <v>0</v>
      </c>
    </row>
    <row r="454" spans="1:14" s="235" customFormat="1" ht="12.75" x14ac:dyDescent="0.2">
      <c r="A454" s="152"/>
      <c r="B454" s="73"/>
      <c r="C454" s="51" t="s">
        <v>990</v>
      </c>
      <c r="D454" s="89" t="s">
        <v>548</v>
      </c>
      <c r="E454" s="89"/>
      <c r="F454" s="89"/>
      <c r="G454" s="89"/>
      <c r="H454" s="89"/>
      <c r="I454" s="89"/>
      <c r="J454" s="212"/>
      <c r="K454" s="212"/>
      <c r="L454" s="212"/>
      <c r="M454" s="212"/>
      <c r="N454" s="212">
        <f t="shared" si="24"/>
        <v>0</v>
      </c>
    </row>
    <row r="455" spans="1:14" s="235" customFormat="1" ht="12.75" x14ac:dyDescent="0.2">
      <c r="A455" s="152"/>
      <c r="B455" s="73"/>
      <c r="C455" s="51" t="s">
        <v>1040</v>
      </c>
      <c r="D455" s="89" t="s">
        <v>548</v>
      </c>
      <c r="E455" s="89"/>
      <c r="F455" s="89"/>
      <c r="G455" s="89"/>
      <c r="H455" s="89"/>
      <c r="I455" s="89"/>
      <c r="J455" s="212"/>
      <c r="K455" s="212"/>
      <c r="L455" s="212"/>
      <c r="M455" s="212"/>
      <c r="N455" s="212">
        <f t="shared" ref="N455:N518" si="25">SUMIFS(N$26:N$154,$C$26:$C$154,$C455,$D$26:$D$154,$D455)</f>
        <v>0</v>
      </c>
    </row>
    <row r="456" spans="1:14" s="235" customFormat="1" ht="12.75" x14ac:dyDescent="0.2">
      <c r="A456" s="152"/>
      <c r="B456" s="73"/>
      <c r="C456" s="51" t="s">
        <v>991</v>
      </c>
      <c r="D456" s="89" t="s">
        <v>548</v>
      </c>
      <c r="E456" s="89"/>
      <c r="F456" s="89"/>
      <c r="G456" s="89"/>
      <c r="H456" s="89"/>
      <c r="I456" s="89"/>
      <c r="J456" s="212"/>
      <c r="K456" s="212"/>
      <c r="L456" s="212"/>
      <c r="M456" s="212"/>
      <c r="N456" s="212">
        <f t="shared" si="25"/>
        <v>0</v>
      </c>
    </row>
    <row r="457" spans="1:14" s="235" customFormat="1" ht="12.75" x14ac:dyDescent="0.2">
      <c r="A457" s="152"/>
      <c r="B457" s="73"/>
      <c r="C457" s="51" t="s">
        <v>959</v>
      </c>
      <c r="D457" s="89" t="s">
        <v>548</v>
      </c>
      <c r="E457" s="89"/>
      <c r="F457" s="89"/>
      <c r="G457" s="89"/>
      <c r="H457" s="89"/>
      <c r="I457" s="89"/>
      <c r="J457" s="212"/>
      <c r="K457" s="212"/>
      <c r="L457" s="212"/>
      <c r="M457" s="212"/>
      <c r="N457" s="212">
        <f t="shared" si="25"/>
        <v>0</v>
      </c>
    </row>
    <row r="458" spans="1:14" s="235" customFormat="1" ht="12.75" x14ac:dyDescent="0.2">
      <c r="A458" s="152"/>
      <c r="B458" s="73"/>
      <c r="C458" s="51" t="s">
        <v>964</v>
      </c>
      <c r="D458" s="89" t="s">
        <v>548</v>
      </c>
      <c r="E458" s="89"/>
      <c r="F458" s="89"/>
      <c r="G458" s="89"/>
      <c r="H458" s="89"/>
      <c r="I458" s="89"/>
      <c r="J458" s="212"/>
      <c r="K458" s="212"/>
      <c r="L458" s="212"/>
      <c r="M458" s="212"/>
      <c r="N458" s="212">
        <f t="shared" si="25"/>
        <v>0</v>
      </c>
    </row>
    <row r="459" spans="1:14" s="235" customFormat="1" ht="12.75" x14ac:dyDescent="0.2">
      <c r="A459" s="152"/>
      <c r="B459" s="73"/>
      <c r="C459" s="51" t="s">
        <v>1003</v>
      </c>
      <c r="D459" s="89" t="s">
        <v>548</v>
      </c>
      <c r="E459" s="89"/>
      <c r="F459" s="89"/>
      <c r="G459" s="89"/>
      <c r="H459" s="89"/>
      <c r="I459" s="89"/>
      <c r="J459" s="212"/>
      <c r="K459" s="212"/>
      <c r="L459" s="212"/>
      <c r="M459" s="212"/>
      <c r="N459" s="212">
        <f t="shared" si="25"/>
        <v>0</v>
      </c>
    </row>
    <row r="460" spans="1:14" s="235" customFormat="1" ht="12.75" x14ac:dyDescent="0.2">
      <c r="A460" s="152"/>
      <c r="B460" s="73"/>
      <c r="C460" s="51" t="s">
        <v>992</v>
      </c>
      <c r="D460" s="89" t="s">
        <v>548</v>
      </c>
      <c r="E460" s="89"/>
      <c r="F460" s="89"/>
      <c r="G460" s="89"/>
      <c r="H460" s="89"/>
      <c r="I460" s="89"/>
      <c r="J460" s="212"/>
      <c r="K460" s="212"/>
      <c r="L460" s="212"/>
      <c r="M460" s="212"/>
      <c r="N460" s="212">
        <f t="shared" si="25"/>
        <v>0</v>
      </c>
    </row>
    <row r="461" spans="1:14" s="284" customFormat="1" ht="12.75" x14ac:dyDescent="0.2">
      <c r="A461" s="152"/>
      <c r="B461" s="73"/>
      <c r="C461" s="51" t="s">
        <v>994</v>
      </c>
      <c r="D461" s="89" t="s">
        <v>548</v>
      </c>
      <c r="E461" s="89"/>
      <c r="F461" s="89"/>
      <c r="G461" s="89"/>
      <c r="H461" s="89"/>
      <c r="I461" s="89"/>
      <c r="J461" s="212"/>
      <c r="K461" s="212"/>
      <c r="L461" s="212"/>
      <c r="M461" s="212"/>
      <c r="N461" s="212">
        <f t="shared" si="25"/>
        <v>0</v>
      </c>
    </row>
    <row r="462" spans="1:14" s="235" customFormat="1" ht="12.75" x14ac:dyDescent="0.2">
      <c r="A462" s="152"/>
      <c r="B462" s="73"/>
      <c r="C462" s="51" t="s">
        <v>993</v>
      </c>
      <c r="D462" s="89" t="s">
        <v>548</v>
      </c>
      <c r="E462" s="89"/>
      <c r="F462" s="89"/>
      <c r="G462" s="89"/>
      <c r="H462" s="89"/>
      <c r="I462" s="89"/>
      <c r="J462" s="212"/>
      <c r="K462" s="212"/>
      <c r="L462" s="212"/>
      <c r="M462" s="212"/>
      <c r="N462" s="212">
        <f t="shared" si="25"/>
        <v>0</v>
      </c>
    </row>
    <row r="463" spans="1:14" s="235" customFormat="1" ht="12.75" x14ac:dyDescent="0.2">
      <c r="A463" s="152"/>
      <c r="B463" s="73"/>
      <c r="C463" s="51" t="s">
        <v>995</v>
      </c>
      <c r="D463" s="89" t="s">
        <v>548</v>
      </c>
      <c r="E463" s="89"/>
      <c r="F463" s="89"/>
      <c r="G463" s="89"/>
      <c r="H463" s="89"/>
      <c r="I463" s="89"/>
      <c r="J463" s="212"/>
      <c r="K463" s="212"/>
      <c r="L463" s="212"/>
      <c r="M463" s="212"/>
      <c r="N463" s="212">
        <f t="shared" si="25"/>
        <v>0</v>
      </c>
    </row>
    <row r="464" spans="1:14" s="235" customFormat="1" ht="12.75" x14ac:dyDescent="0.2">
      <c r="A464" s="152"/>
      <c r="B464" s="73"/>
      <c r="C464" s="51" t="s">
        <v>1001</v>
      </c>
      <c r="D464" s="89" t="s">
        <v>548</v>
      </c>
      <c r="E464" s="89"/>
      <c r="F464" s="89"/>
      <c r="G464" s="89"/>
      <c r="H464" s="89"/>
      <c r="I464" s="89"/>
      <c r="J464" s="212"/>
      <c r="K464" s="212"/>
      <c r="L464" s="212"/>
      <c r="M464" s="212"/>
      <c r="N464" s="212">
        <f t="shared" si="25"/>
        <v>0</v>
      </c>
    </row>
    <row r="465" spans="1:14" s="235" customFormat="1" ht="12.75" x14ac:dyDescent="0.2">
      <c r="A465" s="152"/>
      <c r="B465" s="73"/>
      <c r="C465" s="51" t="s">
        <v>978</v>
      </c>
      <c r="D465" s="89" t="s">
        <v>548</v>
      </c>
      <c r="E465" s="89"/>
      <c r="F465" s="89"/>
      <c r="G465" s="89"/>
      <c r="H465" s="89"/>
      <c r="I465" s="89"/>
      <c r="J465" s="212"/>
      <c r="K465" s="212"/>
      <c r="L465" s="212"/>
      <c r="M465" s="212"/>
      <c r="N465" s="212">
        <f t="shared" si="25"/>
        <v>0</v>
      </c>
    </row>
    <row r="466" spans="1:14" s="235" customFormat="1" ht="12.75" x14ac:dyDescent="0.2">
      <c r="A466" s="152"/>
      <c r="B466" s="73"/>
      <c r="C466" s="51" t="s">
        <v>494</v>
      </c>
      <c r="D466" s="89" t="s">
        <v>548</v>
      </c>
      <c r="E466" s="89"/>
      <c r="F466" s="89"/>
      <c r="G466" s="89"/>
      <c r="H466" s="89"/>
      <c r="I466" s="89"/>
      <c r="J466" s="212"/>
      <c r="K466" s="212"/>
      <c r="L466" s="212"/>
      <c r="M466" s="212"/>
      <c r="N466" s="212">
        <f t="shared" si="25"/>
        <v>0</v>
      </c>
    </row>
    <row r="467" spans="1:14" s="235" customFormat="1" ht="12.75" x14ac:dyDescent="0.2">
      <c r="A467" s="152"/>
      <c r="B467" s="73"/>
      <c r="C467" s="51" t="s">
        <v>976</v>
      </c>
      <c r="D467" s="89" t="s">
        <v>548</v>
      </c>
      <c r="E467" s="89"/>
      <c r="F467" s="89"/>
      <c r="G467" s="89"/>
      <c r="H467" s="89"/>
      <c r="I467" s="89"/>
      <c r="J467" s="212"/>
      <c r="K467" s="212"/>
      <c r="L467" s="212"/>
      <c r="M467" s="212"/>
      <c r="N467" s="212">
        <f t="shared" si="25"/>
        <v>0</v>
      </c>
    </row>
    <row r="468" spans="1:14" s="235" customFormat="1" ht="12.75" x14ac:dyDescent="0.2">
      <c r="A468" s="152"/>
      <c r="B468" s="73"/>
      <c r="C468" s="51" t="s">
        <v>1002</v>
      </c>
      <c r="D468" s="89" t="s">
        <v>548</v>
      </c>
      <c r="E468" s="89"/>
      <c r="F468" s="89"/>
      <c r="G468" s="89"/>
      <c r="H468" s="89"/>
      <c r="I468" s="89"/>
      <c r="J468" s="212"/>
      <c r="K468" s="212"/>
      <c r="L468" s="212"/>
      <c r="M468" s="212"/>
      <c r="N468" s="212">
        <f t="shared" si="25"/>
        <v>0</v>
      </c>
    </row>
    <row r="469" spans="1:14" s="235" customFormat="1" ht="12.75" x14ac:dyDescent="0.2">
      <c r="A469" s="152"/>
      <c r="B469" s="73"/>
      <c r="C469" s="51" t="s">
        <v>1014</v>
      </c>
      <c r="D469" s="89" t="s">
        <v>548</v>
      </c>
      <c r="E469" s="89"/>
      <c r="F469" s="89"/>
      <c r="G469" s="89"/>
      <c r="H469" s="89"/>
      <c r="I469" s="89"/>
      <c r="J469" s="212"/>
      <c r="K469" s="212"/>
      <c r="L469" s="212"/>
      <c r="M469" s="212"/>
      <c r="N469" s="212">
        <f t="shared" si="25"/>
        <v>0</v>
      </c>
    </row>
    <row r="470" spans="1:14" s="235" customFormat="1" ht="12.75" x14ac:dyDescent="0.2">
      <c r="A470" s="152"/>
      <c r="B470" s="73"/>
      <c r="C470" s="51" t="s">
        <v>998</v>
      </c>
      <c r="D470" s="89" t="s">
        <v>548</v>
      </c>
      <c r="E470" s="89"/>
      <c r="F470" s="89"/>
      <c r="G470" s="89"/>
      <c r="H470" s="89"/>
      <c r="I470" s="89"/>
      <c r="J470" s="212"/>
      <c r="K470" s="212"/>
      <c r="L470" s="212"/>
      <c r="M470" s="212"/>
      <c r="N470" s="212">
        <f t="shared" si="25"/>
        <v>0</v>
      </c>
    </row>
    <row r="471" spans="1:14" s="235" customFormat="1" ht="12.75" x14ac:dyDescent="0.2">
      <c r="A471" s="152"/>
      <c r="B471" s="73"/>
      <c r="C471" s="51" t="s">
        <v>996</v>
      </c>
      <c r="D471" s="89" t="s">
        <v>548</v>
      </c>
      <c r="E471" s="89"/>
      <c r="F471" s="89"/>
      <c r="G471" s="89"/>
      <c r="H471" s="89"/>
      <c r="I471" s="89"/>
      <c r="J471" s="212"/>
      <c r="K471" s="212"/>
      <c r="L471" s="212"/>
      <c r="M471" s="212"/>
      <c r="N471" s="212">
        <f t="shared" si="25"/>
        <v>0</v>
      </c>
    </row>
    <row r="472" spans="1:14" s="235" customFormat="1" ht="12.75" x14ac:dyDescent="0.2">
      <c r="A472" s="152"/>
      <c r="B472" s="73"/>
      <c r="C472" s="51" t="s">
        <v>1043</v>
      </c>
      <c r="D472" s="89" t="s">
        <v>548</v>
      </c>
      <c r="E472" s="89"/>
      <c r="F472" s="89"/>
      <c r="G472" s="89"/>
      <c r="H472" s="89"/>
      <c r="I472" s="89"/>
      <c r="J472" s="212"/>
      <c r="K472" s="212"/>
      <c r="L472" s="212"/>
      <c r="M472" s="212"/>
      <c r="N472" s="212">
        <f t="shared" si="25"/>
        <v>0</v>
      </c>
    </row>
    <row r="473" spans="1:14" s="235" customFormat="1" ht="12.75" x14ac:dyDescent="0.2">
      <c r="A473" s="152"/>
      <c r="B473" s="73"/>
      <c r="C473" s="51" t="s">
        <v>1044</v>
      </c>
      <c r="D473" s="89" t="s">
        <v>548</v>
      </c>
      <c r="E473" s="89"/>
      <c r="F473" s="89"/>
      <c r="G473" s="89"/>
      <c r="H473" s="89"/>
      <c r="I473" s="89"/>
      <c r="J473" s="212"/>
      <c r="K473" s="212"/>
      <c r="L473" s="212"/>
      <c r="M473" s="212"/>
      <c r="N473" s="212">
        <f t="shared" si="25"/>
        <v>750</v>
      </c>
    </row>
    <row r="474" spans="1:14" s="235" customFormat="1" ht="12.75" x14ac:dyDescent="0.2">
      <c r="A474" s="152"/>
      <c r="B474" s="73"/>
      <c r="C474" s="51" t="s">
        <v>1039</v>
      </c>
      <c r="D474" s="89" t="s">
        <v>548</v>
      </c>
      <c r="E474" s="89"/>
      <c r="F474" s="89"/>
      <c r="G474" s="89"/>
      <c r="H474" s="89"/>
      <c r="I474" s="89"/>
      <c r="J474" s="212"/>
      <c r="K474" s="212"/>
      <c r="L474" s="212"/>
      <c r="M474" s="212"/>
      <c r="N474" s="212">
        <f t="shared" si="25"/>
        <v>0</v>
      </c>
    </row>
    <row r="475" spans="1:14" s="235" customFormat="1" ht="12.75" x14ac:dyDescent="0.2">
      <c r="A475" s="152"/>
      <c r="B475" s="73"/>
      <c r="C475" s="51" t="s">
        <v>1028</v>
      </c>
      <c r="D475" s="89" t="s">
        <v>548</v>
      </c>
      <c r="E475" s="89"/>
      <c r="F475" s="89"/>
      <c r="G475" s="89"/>
      <c r="H475" s="89"/>
      <c r="I475" s="89"/>
      <c r="J475" s="212"/>
      <c r="K475" s="212"/>
      <c r="L475" s="212"/>
      <c r="M475" s="212"/>
      <c r="N475" s="212">
        <f t="shared" si="25"/>
        <v>0</v>
      </c>
    </row>
    <row r="476" spans="1:14" s="235" customFormat="1" ht="12.75" x14ac:dyDescent="0.2">
      <c r="A476" s="152"/>
      <c r="B476" s="73"/>
      <c r="C476" s="51" t="s">
        <v>1029</v>
      </c>
      <c r="D476" s="89" t="s">
        <v>548</v>
      </c>
      <c r="E476" s="89"/>
      <c r="F476" s="89"/>
      <c r="G476" s="89"/>
      <c r="H476" s="89"/>
      <c r="I476" s="89"/>
      <c r="J476" s="212"/>
      <c r="K476" s="212"/>
      <c r="L476" s="212"/>
      <c r="M476" s="212"/>
      <c r="N476" s="212">
        <f t="shared" si="25"/>
        <v>0</v>
      </c>
    </row>
    <row r="477" spans="1:14" s="235" customFormat="1" ht="12.75" x14ac:dyDescent="0.2">
      <c r="A477" s="152"/>
      <c r="B477" s="73"/>
      <c r="C477" s="51" t="s">
        <v>113</v>
      </c>
      <c r="D477" s="89" t="s">
        <v>548</v>
      </c>
      <c r="E477" s="89"/>
      <c r="F477" s="89"/>
      <c r="G477" s="89"/>
      <c r="H477" s="89"/>
      <c r="I477" s="89"/>
      <c r="J477" s="212"/>
      <c r="K477" s="212"/>
      <c r="L477" s="212"/>
      <c r="M477" s="212"/>
      <c r="N477" s="212">
        <f t="shared" si="25"/>
        <v>0</v>
      </c>
    </row>
    <row r="478" spans="1:14" s="235" customFormat="1" ht="12.75" x14ac:dyDescent="0.2">
      <c r="A478" s="152"/>
      <c r="B478" s="73"/>
      <c r="C478" s="51" t="s">
        <v>1038</v>
      </c>
      <c r="D478" s="89" t="s">
        <v>548</v>
      </c>
      <c r="E478" s="89"/>
      <c r="F478" s="89"/>
      <c r="G478" s="89"/>
      <c r="H478" s="89"/>
      <c r="I478" s="89"/>
      <c r="J478" s="212"/>
      <c r="K478" s="212"/>
      <c r="L478" s="212"/>
      <c r="M478" s="212"/>
      <c r="N478" s="212">
        <f t="shared" si="25"/>
        <v>0</v>
      </c>
    </row>
    <row r="479" spans="1:14" s="235" customFormat="1" ht="12.75" x14ac:dyDescent="0.2">
      <c r="A479" s="152"/>
      <c r="B479" s="73"/>
      <c r="C479" s="51" t="s">
        <v>1033</v>
      </c>
      <c r="D479" s="89" t="s">
        <v>548</v>
      </c>
      <c r="E479" s="89"/>
      <c r="F479" s="89"/>
      <c r="G479" s="89"/>
      <c r="H479" s="89"/>
      <c r="I479" s="89"/>
      <c r="J479" s="212"/>
      <c r="K479" s="212"/>
      <c r="L479" s="212"/>
      <c r="M479" s="212"/>
      <c r="N479" s="212">
        <f t="shared" si="25"/>
        <v>0</v>
      </c>
    </row>
    <row r="480" spans="1:14" s="235" customFormat="1" ht="12.75" x14ac:dyDescent="0.2">
      <c r="A480" s="152"/>
      <c r="B480" s="73"/>
      <c r="C480" s="51" t="s">
        <v>1007</v>
      </c>
      <c r="D480" s="89" t="s">
        <v>548</v>
      </c>
      <c r="E480" s="89"/>
      <c r="F480" s="89"/>
      <c r="G480" s="89"/>
      <c r="H480" s="89"/>
      <c r="I480" s="89"/>
      <c r="J480" s="212"/>
      <c r="K480" s="212"/>
      <c r="L480" s="212"/>
      <c r="M480" s="212"/>
      <c r="N480" s="212">
        <f t="shared" si="25"/>
        <v>0</v>
      </c>
    </row>
    <row r="481" spans="1:14" s="235" customFormat="1" ht="12.75" x14ac:dyDescent="0.2">
      <c r="A481" s="152"/>
      <c r="B481" s="73"/>
      <c r="C481" s="51" t="s">
        <v>969</v>
      </c>
      <c r="D481" s="89" t="s">
        <v>548</v>
      </c>
      <c r="E481" s="89"/>
      <c r="F481" s="89"/>
      <c r="G481" s="89"/>
      <c r="H481" s="89"/>
      <c r="I481" s="89"/>
      <c r="J481" s="212"/>
      <c r="K481" s="212"/>
      <c r="L481" s="212"/>
      <c r="M481" s="212"/>
      <c r="N481" s="212">
        <f t="shared" si="25"/>
        <v>0</v>
      </c>
    </row>
    <row r="482" spans="1:14" s="235" customFormat="1" ht="12.75" x14ac:dyDescent="0.2">
      <c r="A482" s="152"/>
      <c r="B482" s="73"/>
      <c r="C482" s="51" t="s">
        <v>987</v>
      </c>
      <c r="D482" s="89" t="s">
        <v>548</v>
      </c>
      <c r="E482" s="89"/>
      <c r="F482" s="89"/>
      <c r="G482" s="89"/>
      <c r="H482" s="89"/>
      <c r="I482" s="89"/>
      <c r="J482" s="212"/>
      <c r="K482" s="212"/>
      <c r="L482" s="212"/>
      <c r="M482" s="212"/>
      <c r="N482" s="212">
        <f t="shared" si="25"/>
        <v>0</v>
      </c>
    </row>
    <row r="483" spans="1:14" s="235" customFormat="1" ht="12.75" x14ac:dyDescent="0.2">
      <c r="A483" s="152"/>
      <c r="B483" s="73"/>
      <c r="C483" s="51" t="s">
        <v>1000</v>
      </c>
      <c r="D483" s="89" t="s">
        <v>548</v>
      </c>
      <c r="E483" s="89"/>
      <c r="F483" s="89"/>
      <c r="G483" s="89"/>
      <c r="H483" s="89"/>
      <c r="I483" s="89"/>
      <c r="J483" s="212"/>
      <c r="K483" s="212"/>
      <c r="L483" s="212"/>
      <c r="M483" s="212"/>
      <c r="N483" s="212">
        <f t="shared" si="25"/>
        <v>0</v>
      </c>
    </row>
    <row r="484" spans="1:14" s="235" customFormat="1" ht="12.75" x14ac:dyDescent="0.2">
      <c r="A484" s="152"/>
      <c r="B484" s="73"/>
      <c r="C484" s="51" t="s">
        <v>116</v>
      </c>
      <c r="D484" s="89" t="s">
        <v>548</v>
      </c>
      <c r="E484" s="89"/>
      <c r="F484" s="89"/>
      <c r="G484" s="89"/>
      <c r="H484" s="89"/>
      <c r="I484" s="89"/>
      <c r="J484" s="212"/>
      <c r="K484" s="212"/>
      <c r="L484" s="212"/>
      <c r="M484" s="212"/>
      <c r="N484" s="212">
        <f t="shared" si="25"/>
        <v>0</v>
      </c>
    </row>
    <row r="485" spans="1:14" s="235" customFormat="1" ht="12.75" x14ac:dyDescent="0.2">
      <c r="A485" s="152"/>
      <c r="B485" s="73"/>
      <c r="C485" s="51" t="s">
        <v>114</v>
      </c>
      <c r="D485" s="89" t="s">
        <v>548</v>
      </c>
      <c r="E485" s="89"/>
      <c r="F485" s="89"/>
      <c r="G485" s="89"/>
      <c r="H485" s="89"/>
      <c r="I485" s="89"/>
      <c r="J485" s="212"/>
      <c r="K485" s="212"/>
      <c r="L485" s="212"/>
      <c r="M485" s="212"/>
      <c r="N485" s="212">
        <f t="shared" si="25"/>
        <v>0</v>
      </c>
    </row>
    <row r="486" spans="1:14" s="235" customFormat="1" ht="12.75" x14ac:dyDescent="0.2">
      <c r="A486" s="152"/>
      <c r="B486" s="73"/>
      <c r="C486" s="51" t="s">
        <v>111</v>
      </c>
      <c r="D486" s="89" t="s">
        <v>548</v>
      </c>
      <c r="E486" s="89"/>
      <c r="F486" s="89"/>
      <c r="G486" s="89"/>
      <c r="H486" s="89"/>
      <c r="I486" s="89"/>
      <c r="J486" s="212"/>
      <c r="K486" s="212"/>
      <c r="L486" s="212"/>
      <c r="M486" s="212"/>
      <c r="N486" s="212">
        <f t="shared" si="25"/>
        <v>0</v>
      </c>
    </row>
    <row r="487" spans="1:14" s="235" customFormat="1" ht="12.75" x14ac:dyDescent="0.2">
      <c r="A487" s="152"/>
      <c r="B487" s="73"/>
      <c r="C487" s="51" t="s">
        <v>117</v>
      </c>
      <c r="D487" s="89" t="s">
        <v>548</v>
      </c>
      <c r="E487" s="89"/>
      <c r="F487" s="89"/>
      <c r="G487" s="89"/>
      <c r="H487" s="89"/>
      <c r="I487" s="89"/>
      <c r="J487" s="212"/>
      <c r="K487" s="212"/>
      <c r="L487" s="212"/>
      <c r="M487" s="212"/>
      <c r="N487" s="212">
        <f t="shared" si="25"/>
        <v>0</v>
      </c>
    </row>
    <row r="488" spans="1:14" s="235" customFormat="1" ht="12.75" x14ac:dyDescent="0.2">
      <c r="A488" s="152"/>
      <c r="B488" s="73"/>
      <c r="C488" s="51" t="s">
        <v>112</v>
      </c>
      <c r="D488" s="89" t="s">
        <v>548</v>
      </c>
      <c r="E488" s="89"/>
      <c r="F488" s="89"/>
      <c r="G488" s="89"/>
      <c r="H488" s="89"/>
      <c r="I488" s="89"/>
      <c r="J488" s="212"/>
      <c r="K488" s="212"/>
      <c r="L488" s="212"/>
      <c r="M488" s="212"/>
      <c r="N488" s="212">
        <f t="shared" si="25"/>
        <v>0</v>
      </c>
    </row>
    <row r="489" spans="1:14" s="235" customFormat="1" ht="12.75" x14ac:dyDescent="0.2">
      <c r="A489" s="152"/>
      <c r="B489" s="73"/>
      <c r="C489" s="51" t="s">
        <v>136</v>
      </c>
      <c r="D489" s="89" t="s">
        <v>548</v>
      </c>
      <c r="E489" s="89"/>
      <c r="F489" s="89"/>
      <c r="G489" s="89"/>
      <c r="H489" s="89"/>
      <c r="I489" s="89"/>
      <c r="J489" s="212"/>
      <c r="K489" s="212"/>
      <c r="L489" s="212"/>
      <c r="M489" s="212"/>
      <c r="N489" s="212">
        <f t="shared" si="25"/>
        <v>0</v>
      </c>
    </row>
    <row r="490" spans="1:14" s="235" customFormat="1" ht="12.75" x14ac:dyDescent="0.2">
      <c r="A490" s="152"/>
      <c r="B490" s="73"/>
      <c r="C490" s="51" t="s">
        <v>962</v>
      </c>
      <c r="D490" s="89" t="s">
        <v>548</v>
      </c>
      <c r="E490" s="89"/>
      <c r="F490" s="89"/>
      <c r="G490" s="89"/>
      <c r="H490" s="89"/>
      <c r="I490" s="89"/>
      <c r="J490" s="212"/>
      <c r="K490" s="212"/>
      <c r="L490" s="212"/>
      <c r="M490" s="212"/>
      <c r="N490" s="212">
        <f t="shared" si="25"/>
        <v>0</v>
      </c>
    </row>
    <row r="491" spans="1:14" s="235" customFormat="1" ht="12.75" x14ac:dyDescent="0.2">
      <c r="A491" s="152"/>
      <c r="B491" s="73"/>
      <c r="C491" s="51" t="s">
        <v>115</v>
      </c>
      <c r="D491" s="89" t="s">
        <v>548</v>
      </c>
      <c r="E491" s="89"/>
      <c r="F491" s="89"/>
      <c r="G491" s="89"/>
      <c r="H491" s="89"/>
      <c r="I491" s="89"/>
      <c r="J491" s="212"/>
      <c r="K491" s="212"/>
      <c r="L491" s="212"/>
      <c r="M491" s="212"/>
      <c r="N491" s="212">
        <f t="shared" si="25"/>
        <v>0</v>
      </c>
    </row>
    <row r="492" spans="1:14" s="235" customFormat="1" ht="12.75" x14ac:dyDescent="0.2">
      <c r="A492" s="152"/>
      <c r="B492" s="73"/>
      <c r="C492" s="51" t="s">
        <v>997</v>
      </c>
      <c r="D492" s="89" t="s">
        <v>548</v>
      </c>
      <c r="E492" s="89"/>
      <c r="F492" s="89"/>
      <c r="G492" s="89"/>
      <c r="H492" s="89"/>
      <c r="I492" s="89"/>
      <c r="J492" s="212"/>
      <c r="K492" s="212"/>
      <c r="L492" s="212"/>
      <c r="M492" s="212"/>
      <c r="N492" s="212">
        <f t="shared" si="25"/>
        <v>0</v>
      </c>
    </row>
    <row r="493" spans="1:14" s="235" customFormat="1" ht="12.75" x14ac:dyDescent="0.2">
      <c r="A493" s="152"/>
      <c r="B493" s="73"/>
      <c r="C493" s="51" t="s">
        <v>999</v>
      </c>
      <c r="D493" s="89" t="s">
        <v>548</v>
      </c>
      <c r="E493" s="89"/>
      <c r="F493" s="89"/>
      <c r="G493" s="89"/>
      <c r="H493" s="89"/>
      <c r="I493" s="89"/>
      <c r="J493" s="212"/>
      <c r="K493" s="212"/>
      <c r="L493" s="212"/>
      <c r="M493" s="212"/>
      <c r="N493" s="212">
        <f t="shared" si="25"/>
        <v>0</v>
      </c>
    </row>
    <row r="494" spans="1:14" s="235" customFormat="1" ht="12.75" x14ac:dyDescent="0.2">
      <c r="A494" s="152"/>
      <c r="B494" s="73"/>
      <c r="C494" s="51" t="s">
        <v>1049</v>
      </c>
      <c r="D494" s="89" t="s">
        <v>548</v>
      </c>
      <c r="E494" s="89"/>
      <c r="F494" s="89"/>
      <c r="G494" s="89"/>
      <c r="H494" s="89"/>
      <c r="I494" s="89"/>
      <c r="J494" s="212"/>
      <c r="K494" s="212"/>
      <c r="L494" s="212"/>
      <c r="M494" s="212"/>
      <c r="N494" s="212">
        <f t="shared" si="25"/>
        <v>0</v>
      </c>
    </row>
    <row r="495" spans="1:14" s="235" customFormat="1" ht="12.75" x14ac:dyDescent="0.2">
      <c r="A495" s="152"/>
      <c r="B495" s="73"/>
      <c r="C495" s="51" t="s">
        <v>96</v>
      </c>
      <c r="D495" s="89" t="s">
        <v>548</v>
      </c>
      <c r="E495" s="89"/>
      <c r="F495" s="89"/>
      <c r="G495" s="89"/>
      <c r="H495" s="89"/>
      <c r="I495" s="89"/>
      <c r="J495" s="212"/>
      <c r="K495" s="212"/>
      <c r="L495" s="212"/>
      <c r="M495" s="212"/>
      <c r="N495" s="212">
        <f t="shared" si="25"/>
        <v>0</v>
      </c>
    </row>
    <row r="496" spans="1:14" s="235" customFormat="1" ht="12.75" x14ac:dyDescent="0.2">
      <c r="A496" s="152"/>
      <c r="B496" s="73"/>
      <c r="C496" s="51" t="s">
        <v>983</v>
      </c>
      <c r="D496" s="89" t="s">
        <v>548</v>
      </c>
      <c r="E496" s="89"/>
      <c r="F496" s="89"/>
      <c r="G496" s="89"/>
      <c r="H496" s="89"/>
      <c r="I496" s="89"/>
      <c r="J496" s="212"/>
      <c r="K496" s="212"/>
      <c r="L496" s="212"/>
      <c r="M496" s="212"/>
      <c r="N496" s="212">
        <f t="shared" si="25"/>
        <v>0</v>
      </c>
    </row>
    <row r="497" spans="1:14" s="235" customFormat="1" ht="12.75" x14ac:dyDescent="0.2">
      <c r="A497" s="152"/>
      <c r="B497" s="73"/>
      <c r="C497" s="51" t="s">
        <v>1042</v>
      </c>
      <c r="D497" s="89" t="s">
        <v>548</v>
      </c>
      <c r="E497" s="89"/>
      <c r="F497" s="89"/>
      <c r="G497" s="89"/>
      <c r="H497" s="89"/>
      <c r="I497" s="89"/>
      <c r="J497" s="212"/>
      <c r="K497" s="212"/>
      <c r="L497" s="212"/>
      <c r="M497" s="212"/>
      <c r="N497" s="212">
        <f t="shared" si="25"/>
        <v>0</v>
      </c>
    </row>
    <row r="498" spans="1:14" s="284" customFormat="1" ht="12.75" x14ac:dyDescent="0.2">
      <c r="A498" s="152"/>
      <c r="B498" s="73"/>
      <c r="C498" s="51" t="s">
        <v>979</v>
      </c>
      <c r="D498" s="89" t="s">
        <v>548</v>
      </c>
      <c r="E498" s="89"/>
      <c r="F498" s="89"/>
      <c r="G498" s="89"/>
      <c r="H498" s="89"/>
      <c r="I498" s="89"/>
      <c r="J498" s="212"/>
      <c r="K498" s="212"/>
      <c r="L498" s="212"/>
      <c r="M498" s="212"/>
      <c r="N498" s="212">
        <f t="shared" si="25"/>
        <v>0</v>
      </c>
    </row>
    <row r="499" spans="1:14" s="235" customFormat="1" ht="12.75" x14ac:dyDescent="0.2">
      <c r="A499" s="152"/>
      <c r="B499" s="73"/>
      <c r="C499" s="51" t="s">
        <v>47</v>
      </c>
      <c r="D499" s="89" t="s">
        <v>548</v>
      </c>
      <c r="E499" s="89"/>
      <c r="F499" s="89"/>
      <c r="G499" s="89"/>
      <c r="H499" s="89"/>
      <c r="I499" s="89"/>
      <c r="J499" s="212"/>
      <c r="K499" s="212"/>
      <c r="L499" s="212"/>
      <c r="M499" s="212"/>
      <c r="N499" s="212">
        <f t="shared" si="25"/>
        <v>8750</v>
      </c>
    </row>
    <row r="500" spans="1:14" s="235" customFormat="1" ht="12.75" x14ac:dyDescent="0.2">
      <c r="A500" s="152"/>
      <c r="B500" s="73"/>
      <c r="C500" s="51" t="s">
        <v>48</v>
      </c>
      <c r="D500" s="89" t="s">
        <v>548</v>
      </c>
      <c r="E500" s="89"/>
      <c r="F500" s="89"/>
      <c r="G500" s="89"/>
      <c r="H500" s="89"/>
      <c r="I500" s="89"/>
      <c r="J500" s="212"/>
      <c r="K500" s="212"/>
      <c r="L500" s="212"/>
      <c r="M500" s="212"/>
      <c r="N500" s="212">
        <f t="shared" si="25"/>
        <v>8750</v>
      </c>
    </row>
    <row r="501" spans="1:14" s="235" customFormat="1" ht="12.75" x14ac:dyDescent="0.2">
      <c r="A501" s="152"/>
      <c r="B501" s="73"/>
      <c r="C501" s="51" t="s">
        <v>1051</v>
      </c>
      <c r="D501" s="89" t="s">
        <v>548</v>
      </c>
      <c r="E501" s="89"/>
      <c r="F501" s="89"/>
      <c r="G501" s="89"/>
      <c r="H501" s="89"/>
      <c r="I501" s="89"/>
      <c r="J501" s="212"/>
      <c r="K501" s="212"/>
      <c r="L501" s="212"/>
      <c r="M501" s="212"/>
      <c r="N501" s="212">
        <f t="shared" si="25"/>
        <v>0</v>
      </c>
    </row>
    <row r="502" spans="1:14" s="235" customFormat="1" ht="12.75" x14ac:dyDescent="0.2">
      <c r="A502" s="152"/>
      <c r="B502" s="73"/>
      <c r="C502" s="51" t="s">
        <v>929</v>
      </c>
      <c r="D502" s="89" t="s">
        <v>548</v>
      </c>
      <c r="E502" s="89"/>
      <c r="F502" s="89"/>
      <c r="G502" s="89"/>
      <c r="H502" s="89"/>
      <c r="I502" s="89"/>
      <c r="J502" s="212"/>
      <c r="K502" s="212"/>
      <c r="L502" s="212"/>
      <c r="M502" s="212"/>
      <c r="N502" s="212">
        <f t="shared" si="25"/>
        <v>0</v>
      </c>
    </row>
    <row r="503" spans="1:14" s="235" customFormat="1" ht="12.75" x14ac:dyDescent="0.2">
      <c r="A503" s="152"/>
      <c r="B503" s="73"/>
      <c r="C503" s="51" t="s">
        <v>970</v>
      </c>
      <c r="D503" s="89" t="s">
        <v>548</v>
      </c>
      <c r="E503" s="89"/>
      <c r="F503" s="89"/>
      <c r="G503" s="89"/>
      <c r="H503" s="89"/>
      <c r="I503" s="89"/>
      <c r="J503" s="212"/>
      <c r="K503" s="212"/>
      <c r="L503" s="212"/>
      <c r="M503" s="212"/>
      <c r="N503" s="212">
        <f t="shared" si="25"/>
        <v>0</v>
      </c>
    </row>
    <row r="504" spans="1:14" s="235" customFormat="1" ht="12.75" x14ac:dyDescent="0.2">
      <c r="A504" s="152"/>
      <c r="B504" s="73"/>
      <c r="C504" s="51" t="s">
        <v>122</v>
      </c>
      <c r="D504" s="89" t="s">
        <v>548</v>
      </c>
      <c r="E504" s="89"/>
      <c r="F504" s="89"/>
      <c r="G504" s="89"/>
      <c r="H504" s="89"/>
      <c r="I504" s="89"/>
      <c r="J504" s="212"/>
      <c r="K504" s="212"/>
      <c r="L504" s="212"/>
      <c r="M504" s="212"/>
      <c r="N504" s="212">
        <f t="shared" si="25"/>
        <v>0</v>
      </c>
    </row>
    <row r="505" spans="1:14" s="284" customFormat="1" ht="12.75" x14ac:dyDescent="0.2">
      <c r="A505" s="152"/>
      <c r="B505" s="73"/>
      <c r="C505" s="51" t="s">
        <v>135</v>
      </c>
      <c r="D505" s="89" t="s">
        <v>548</v>
      </c>
      <c r="E505" s="89"/>
      <c r="F505" s="89"/>
      <c r="G505" s="89"/>
      <c r="H505" s="89"/>
      <c r="I505" s="89"/>
      <c r="J505" s="212"/>
      <c r="K505" s="212"/>
      <c r="L505" s="212"/>
      <c r="M505" s="212"/>
      <c r="N505" s="212">
        <f t="shared" si="25"/>
        <v>0</v>
      </c>
    </row>
    <row r="506" spans="1:14" s="235" customFormat="1" ht="12.75" x14ac:dyDescent="0.2">
      <c r="A506" s="152"/>
      <c r="B506" s="73"/>
      <c r="C506" s="51" t="s">
        <v>123</v>
      </c>
      <c r="D506" s="89" t="s">
        <v>548</v>
      </c>
      <c r="E506" s="89"/>
      <c r="F506" s="89"/>
      <c r="G506" s="89"/>
      <c r="H506" s="89"/>
      <c r="I506" s="89"/>
      <c r="J506" s="212"/>
      <c r="K506" s="212"/>
      <c r="L506" s="212"/>
      <c r="M506" s="212"/>
      <c r="N506" s="212">
        <f t="shared" si="25"/>
        <v>0</v>
      </c>
    </row>
    <row r="507" spans="1:14" s="235" customFormat="1" ht="12.75" x14ac:dyDescent="0.2">
      <c r="A507" s="152"/>
      <c r="B507" s="73"/>
      <c r="C507" s="51" t="s">
        <v>974</v>
      </c>
      <c r="D507" s="89" t="s">
        <v>548</v>
      </c>
      <c r="E507" s="89"/>
      <c r="F507" s="89"/>
      <c r="G507" s="89"/>
      <c r="H507" s="89"/>
      <c r="I507" s="89"/>
      <c r="J507" s="212"/>
      <c r="K507" s="212"/>
      <c r="L507" s="212"/>
      <c r="M507" s="212"/>
      <c r="N507" s="212">
        <f t="shared" si="25"/>
        <v>0</v>
      </c>
    </row>
    <row r="508" spans="1:14" s="235" customFormat="1" ht="12.75" x14ac:dyDescent="0.2">
      <c r="A508" s="152"/>
      <c r="B508" s="73"/>
      <c r="C508" s="51" t="s">
        <v>975</v>
      </c>
      <c r="D508" s="89" t="s">
        <v>548</v>
      </c>
      <c r="E508" s="89"/>
      <c r="F508" s="89"/>
      <c r="G508" s="89"/>
      <c r="H508" s="89"/>
      <c r="I508" s="89"/>
      <c r="J508" s="212"/>
      <c r="K508" s="212"/>
      <c r="L508" s="212"/>
      <c r="M508" s="212"/>
      <c r="N508" s="212">
        <f t="shared" si="25"/>
        <v>0</v>
      </c>
    </row>
    <row r="509" spans="1:14" s="235" customFormat="1" ht="12.75" x14ac:dyDescent="0.2">
      <c r="A509" s="152"/>
      <c r="B509" s="73"/>
      <c r="C509" s="51" t="s">
        <v>126</v>
      </c>
      <c r="D509" s="89" t="s">
        <v>548</v>
      </c>
      <c r="E509" s="89"/>
      <c r="F509" s="89"/>
      <c r="G509" s="89"/>
      <c r="H509" s="89"/>
      <c r="I509" s="89"/>
      <c r="J509" s="212"/>
      <c r="K509" s="212"/>
      <c r="L509" s="212"/>
      <c r="M509" s="212"/>
      <c r="N509" s="212">
        <f t="shared" si="25"/>
        <v>0</v>
      </c>
    </row>
    <row r="510" spans="1:14" s="235" customFormat="1" ht="12.75" x14ac:dyDescent="0.2">
      <c r="A510" s="152"/>
      <c r="B510" s="73"/>
      <c r="C510" s="51" t="s">
        <v>127</v>
      </c>
      <c r="D510" s="89" t="s">
        <v>548</v>
      </c>
      <c r="E510" s="89"/>
      <c r="F510" s="89"/>
      <c r="G510" s="89"/>
      <c r="H510" s="89"/>
      <c r="I510" s="89"/>
      <c r="J510" s="212"/>
      <c r="K510" s="212"/>
      <c r="L510" s="212"/>
      <c r="M510" s="212"/>
      <c r="N510" s="212">
        <f t="shared" si="25"/>
        <v>0</v>
      </c>
    </row>
    <row r="511" spans="1:14" s="235" customFormat="1" ht="12.75" x14ac:dyDescent="0.2">
      <c r="A511" s="152"/>
      <c r="B511" s="73"/>
      <c r="C511" s="51" t="s">
        <v>130</v>
      </c>
      <c r="D511" s="89" t="s">
        <v>548</v>
      </c>
      <c r="E511" s="89"/>
      <c r="F511" s="89"/>
      <c r="G511" s="89"/>
      <c r="H511" s="89"/>
      <c r="I511" s="89"/>
      <c r="J511" s="212"/>
      <c r="K511" s="212"/>
      <c r="L511" s="212"/>
      <c r="M511" s="212"/>
      <c r="N511" s="212">
        <f t="shared" si="25"/>
        <v>0</v>
      </c>
    </row>
    <row r="512" spans="1:14" s="235" customFormat="1" ht="12.75" x14ac:dyDescent="0.2">
      <c r="A512" s="152"/>
      <c r="B512" s="73"/>
      <c r="C512" s="51" t="s">
        <v>125</v>
      </c>
      <c r="D512" s="89" t="s">
        <v>548</v>
      </c>
      <c r="E512" s="89"/>
      <c r="F512" s="89"/>
      <c r="G512" s="89"/>
      <c r="H512" s="89"/>
      <c r="I512" s="89"/>
      <c r="J512" s="212"/>
      <c r="K512" s="212"/>
      <c r="L512" s="212"/>
      <c r="M512" s="212"/>
      <c r="N512" s="212">
        <f t="shared" si="25"/>
        <v>0</v>
      </c>
    </row>
    <row r="513" spans="1:14" s="235" customFormat="1" ht="12.75" x14ac:dyDescent="0.2">
      <c r="A513" s="152"/>
      <c r="B513" s="73"/>
      <c r="C513" s="51" t="s">
        <v>128</v>
      </c>
      <c r="D513" s="89" t="s">
        <v>548</v>
      </c>
      <c r="E513" s="89"/>
      <c r="F513" s="89"/>
      <c r="G513" s="89"/>
      <c r="H513" s="89"/>
      <c r="I513" s="89"/>
      <c r="J513" s="212"/>
      <c r="K513" s="212"/>
      <c r="L513" s="212"/>
      <c r="M513" s="212"/>
      <c r="N513" s="212">
        <f t="shared" si="25"/>
        <v>0</v>
      </c>
    </row>
    <row r="514" spans="1:14" s="235" customFormat="1" ht="12.75" x14ac:dyDescent="0.2">
      <c r="A514" s="152"/>
      <c r="B514" s="73"/>
      <c r="C514" s="51" t="s">
        <v>1016</v>
      </c>
      <c r="D514" s="89" t="s">
        <v>548</v>
      </c>
      <c r="E514" s="89"/>
      <c r="F514" s="89"/>
      <c r="G514" s="89"/>
      <c r="H514" s="89"/>
      <c r="I514" s="89"/>
      <c r="J514" s="212"/>
      <c r="K514" s="212"/>
      <c r="L514" s="212"/>
      <c r="M514" s="212"/>
      <c r="N514" s="212">
        <f t="shared" si="25"/>
        <v>0</v>
      </c>
    </row>
    <row r="515" spans="1:14" s="235" customFormat="1" ht="12.75" x14ac:dyDescent="0.2">
      <c r="A515" s="152"/>
      <c r="B515" s="73"/>
      <c r="C515" s="51" t="s">
        <v>1015</v>
      </c>
      <c r="D515" s="89" t="s">
        <v>548</v>
      </c>
      <c r="E515" s="89"/>
      <c r="F515" s="89"/>
      <c r="G515" s="89"/>
      <c r="H515" s="89"/>
      <c r="I515" s="89"/>
      <c r="J515" s="212"/>
      <c r="K515" s="212"/>
      <c r="L515" s="212"/>
      <c r="M515" s="212"/>
      <c r="N515" s="212">
        <f t="shared" si="25"/>
        <v>0</v>
      </c>
    </row>
    <row r="516" spans="1:14" s="235" customFormat="1" ht="12.75" x14ac:dyDescent="0.2">
      <c r="A516" s="152"/>
      <c r="B516" s="73"/>
      <c r="C516" s="51" t="s">
        <v>930</v>
      </c>
      <c r="D516" s="89" t="s">
        <v>548</v>
      </c>
      <c r="E516" s="89"/>
      <c r="F516" s="89"/>
      <c r="G516" s="89"/>
      <c r="H516" s="89"/>
      <c r="I516" s="89"/>
      <c r="J516" s="212"/>
      <c r="K516" s="212"/>
      <c r="L516" s="212"/>
      <c r="M516" s="212"/>
      <c r="N516" s="212">
        <f t="shared" si="25"/>
        <v>0</v>
      </c>
    </row>
    <row r="517" spans="1:14" s="235" customFormat="1" ht="12.75" x14ac:dyDescent="0.2">
      <c r="A517" s="152"/>
      <c r="B517" s="73"/>
      <c r="C517" s="51" t="s">
        <v>931</v>
      </c>
      <c r="D517" s="89" t="s">
        <v>548</v>
      </c>
      <c r="E517" s="89"/>
      <c r="F517" s="89"/>
      <c r="G517" s="89"/>
      <c r="H517" s="89"/>
      <c r="I517" s="89"/>
      <c r="J517" s="212"/>
      <c r="K517" s="212"/>
      <c r="L517" s="212"/>
      <c r="M517" s="212"/>
      <c r="N517" s="212">
        <f t="shared" si="25"/>
        <v>0</v>
      </c>
    </row>
    <row r="518" spans="1:14" s="235" customFormat="1" ht="12.75" x14ac:dyDescent="0.2">
      <c r="A518" s="152"/>
      <c r="B518" s="73"/>
      <c r="C518" s="51" t="s">
        <v>926</v>
      </c>
      <c r="D518" s="89" t="s">
        <v>548</v>
      </c>
      <c r="E518" s="89"/>
      <c r="F518" s="89"/>
      <c r="G518" s="89"/>
      <c r="H518" s="89"/>
      <c r="I518" s="89"/>
      <c r="J518" s="212"/>
      <c r="K518" s="212"/>
      <c r="L518" s="212"/>
      <c r="M518" s="212"/>
      <c r="N518" s="212">
        <f t="shared" si="25"/>
        <v>0</v>
      </c>
    </row>
    <row r="519" spans="1:14" s="235" customFormat="1" ht="12.75" x14ac:dyDescent="0.2">
      <c r="A519" s="152"/>
      <c r="B519" s="73"/>
      <c r="C519" s="51" t="s">
        <v>110</v>
      </c>
      <c r="D519" s="89" t="s">
        <v>548</v>
      </c>
      <c r="E519" s="89"/>
      <c r="F519" s="89"/>
      <c r="G519" s="89"/>
      <c r="H519" s="89"/>
      <c r="I519" s="89"/>
      <c r="J519" s="212"/>
      <c r="K519" s="212"/>
      <c r="L519" s="212"/>
      <c r="M519" s="212"/>
      <c r="N519" s="212">
        <f t="shared" ref="N519:N582" si="26">SUMIFS(N$26:N$154,$C$26:$C$154,$C519,$D$26:$D$154,$D519)</f>
        <v>0</v>
      </c>
    </row>
    <row r="520" spans="1:14" s="235" customFormat="1" ht="12.75" x14ac:dyDescent="0.2">
      <c r="A520" s="152"/>
      <c r="B520" s="73"/>
      <c r="C520" s="51" t="s">
        <v>133</v>
      </c>
      <c r="D520" s="89" t="s">
        <v>548</v>
      </c>
      <c r="E520" s="89"/>
      <c r="F520" s="89"/>
      <c r="G520" s="89"/>
      <c r="H520" s="89"/>
      <c r="I520" s="89"/>
      <c r="J520" s="212"/>
      <c r="K520" s="212"/>
      <c r="L520" s="212"/>
      <c r="M520" s="212"/>
      <c r="N520" s="212">
        <f t="shared" si="26"/>
        <v>0</v>
      </c>
    </row>
    <row r="521" spans="1:14" s="235" customFormat="1" ht="12.75" x14ac:dyDescent="0.2">
      <c r="A521" s="152"/>
      <c r="B521" s="73"/>
      <c r="C521" s="51" t="s">
        <v>134</v>
      </c>
      <c r="D521" s="89" t="s">
        <v>548</v>
      </c>
      <c r="E521" s="89"/>
      <c r="F521" s="89"/>
      <c r="G521" s="89"/>
      <c r="H521" s="89"/>
      <c r="I521" s="89"/>
      <c r="J521" s="212"/>
      <c r="K521" s="212"/>
      <c r="L521" s="212"/>
      <c r="M521" s="212"/>
      <c r="N521" s="212">
        <f t="shared" si="26"/>
        <v>0</v>
      </c>
    </row>
    <row r="522" spans="1:14" s="235" customFormat="1" ht="12.75" x14ac:dyDescent="0.2">
      <c r="A522" s="152"/>
      <c r="B522" s="73"/>
      <c r="C522" s="51" t="s">
        <v>138</v>
      </c>
      <c r="D522" s="89" t="s">
        <v>548</v>
      </c>
      <c r="E522" s="89"/>
      <c r="F522" s="89"/>
      <c r="G522" s="89"/>
      <c r="H522" s="89"/>
      <c r="I522" s="89"/>
      <c r="J522" s="212"/>
      <c r="K522" s="212"/>
      <c r="L522" s="212"/>
      <c r="M522" s="212"/>
      <c r="N522" s="212">
        <f t="shared" si="26"/>
        <v>0</v>
      </c>
    </row>
    <row r="523" spans="1:14" s="235" customFormat="1" ht="12.75" x14ac:dyDescent="0.2">
      <c r="A523" s="152"/>
      <c r="B523" s="73"/>
      <c r="C523" s="51" t="s">
        <v>106</v>
      </c>
      <c r="D523" s="89" t="s">
        <v>548</v>
      </c>
      <c r="E523" s="89"/>
      <c r="F523" s="89"/>
      <c r="G523" s="89"/>
      <c r="H523" s="89"/>
      <c r="I523" s="89"/>
      <c r="J523" s="212"/>
      <c r="K523" s="212"/>
      <c r="L523" s="212"/>
      <c r="M523" s="212"/>
      <c r="N523" s="212">
        <f t="shared" si="26"/>
        <v>0</v>
      </c>
    </row>
    <row r="524" spans="1:14" s="235" customFormat="1" ht="12.75" x14ac:dyDescent="0.2">
      <c r="A524" s="152"/>
      <c r="B524" s="73"/>
      <c r="C524" s="51" t="s">
        <v>1024</v>
      </c>
      <c r="D524" s="89" t="s">
        <v>548</v>
      </c>
      <c r="E524" s="89"/>
      <c r="F524" s="89"/>
      <c r="G524" s="89"/>
      <c r="H524" s="89"/>
      <c r="I524" s="89"/>
      <c r="J524" s="212"/>
      <c r="K524" s="212"/>
      <c r="L524" s="212"/>
      <c r="M524" s="212"/>
      <c r="N524" s="212">
        <f t="shared" si="26"/>
        <v>0</v>
      </c>
    </row>
    <row r="525" spans="1:14" s="284" customFormat="1" ht="12.75" x14ac:dyDescent="0.2">
      <c r="A525" s="152"/>
      <c r="B525" s="73"/>
      <c r="C525" s="51" t="s">
        <v>1025</v>
      </c>
      <c r="D525" s="89" t="s">
        <v>548</v>
      </c>
      <c r="E525" s="89"/>
      <c r="F525" s="89"/>
      <c r="G525" s="89"/>
      <c r="H525" s="89"/>
      <c r="I525" s="89"/>
      <c r="J525" s="212"/>
      <c r="K525" s="212"/>
      <c r="L525" s="212"/>
      <c r="M525" s="212"/>
      <c r="N525" s="212">
        <f t="shared" si="26"/>
        <v>0</v>
      </c>
    </row>
    <row r="526" spans="1:14" s="235" customFormat="1" ht="12.75" x14ac:dyDescent="0.2">
      <c r="A526" s="152"/>
      <c r="B526" s="73"/>
      <c r="C526" s="51" t="s">
        <v>960</v>
      </c>
      <c r="D526" s="89" t="s">
        <v>548</v>
      </c>
      <c r="E526" s="89"/>
      <c r="F526" s="89"/>
      <c r="G526" s="89"/>
      <c r="H526" s="89"/>
      <c r="I526" s="89"/>
      <c r="J526" s="212"/>
      <c r="K526" s="212"/>
      <c r="L526" s="212"/>
      <c r="M526" s="212"/>
      <c r="N526" s="212">
        <f t="shared" si="26"/>
        <v>0</v>
      </c>
    </row>
    <row r="527" spans="1:14" s="235" customFormat="1" ht="12.75" x14ac:dyDescent="0.2">
      <c r="A527" s="152"/>
      <c r="B527" s="73"/>
      <c r="C527" s="51" t="s">
        <v>961</v>
      </c>
      <c r="D527" s="89" t="s">
        <v>548</v>
      </c>
      <c r="E527" s="89"/>
      <c r="F527" s="89"/>
      <c r="G527" s="89"/>
      <c r="H527" s="89"/>
      <c r="I527" s="89"/>
      <c r="J527" s="212"/>
      <c r="K527" s="212"/>
      <c r="L527" s="212"/>
      <c r="M527" s="212"/>
      <c r="N527" s="212">
        <f t="shared" si="26"/>
        <v>0</v>
      </c>
    </row>
    <row r="528" spans="1:14" s="235" customFormat="1" ht="12.75" x14ac:dyDescent="0.2">
      <c r="A528" s="152"/>
      <c r="B528" s="73"/>
      <c r="C528" s="51" t="s">
        <v>948</v>
      </c>
      <c r="D528" s="89" t="s">
        <v>548</v>
      </c>
      <c r="E528" s="89"/>
      <c r="F528" s="89"/>
      <c r="G528" s="89"/>
      <c r="H528" s="89"/>
      <c r="I528" s="89"/>
      <c r="J528" s="212"/>
      <c r="K528" s="212"/>
      <c r="L528" s="212"/>
      <c r="M528" s="212"/>
      <c r="N528" s="212">
        <f t="shared" si="26"/>
        <v>0</v>
      </c>
    </row>
    <row r="529" spans="1:14" s="235" customFormat="1" ht="12.75" x14ac:dyDescent="0.2">
      <c r="A529" s="152"/>
      <c r="B529" s="73"/>
      <c r="C529" s="51" t="s">
        <v>949</v>
      </c>
      <c r="D529" s="89" t="s">
        <v>548</v>
      </c>
      <c r="E529" s="89"/>
      <c r="F529" s="89"/>
      <c r="G529" s="89"/>
      <c r="H529" s="89"/>
      <c r="I529" s="89"/>
      <c r="J529" s="212"/>
      <c r="K529" s="212"/>
      <c r="L529" s="212"/>
      <c r="M529" s="212"/>
      <c r="N529" s="212">
        <f t="shared" si="26"/>
        <v>0</v>
      </c>
    </row>
    <row r="530" spans="1:14" s="235" customFormat="1" ht="12.75" x14ac:dyDescent="0.2">
      <c r="A530" s="152"/>
      <c r="B530" s="73"/>
      <c r="C530" s="51" t="s">
        <v>132</v>
      </c>
      <c r="D530" s="89" t="s">
        <v>548</v>
      </c>
      <c r="E530" s="89"/>
      <c r="F530" s="89"/>
      <c r="G530" s="89"/>
      <c r="H530" s="89"/>
      <c r="I530" s="89"/>
      <c r="J530" s="212"/>
      <c r="K530" s="212"/>
      <c r="L530" s="212"/>
      <c r="M530" s="212"/>
      <c r="N530" s="212">
        <f t="shared" si="26"/>
        <v>0</v>
      </c>
    </row>
    <row r="531" spans="1:14" s="235" customFormat="1" ht="12.75" x14ac:dyDescent="0.2">
      <c r="A531" s="152"/>
      <c r="B531" s="73"/>
      <c r="C531" s="51" t="s">
        <v>121</v>
      </c>
      <c r="D531" s="89" t="s">
        <v>548</v>
      </c>
      <c r="E531" s="89"/>
      <c r="F531" s="89"/>
      <c r="G531" s="89"/>
      <c r="H531" s="89"/>
      <c r="I531" s="89"/>
      <c r="J531" s="212"/>
      <c r="K531" s="212"/>
      <c r="L531" s="212"/>
      <c r="M531" s="212"/>
      <c r="N531" s="212">
        <f t="shared" si="26"/>
        <v>0</v>
      </c>
    </row>
    <row r="532" spans="1:14" s="235" customFormat="1" ht="12.75" x14ac:dyDescent="0.2">
      <c r="A532" s="152"/>
      <c r="B532" s="73"/>
      <c r="C532" s="51" t="s">
        <v>131</v>
      </c>
      <c r="D532" s="89" t="s">
        <v>548</v>
      </c>
      <c r="E532" s="89"/>
      <c r="F532" s="89"/>
      <c r="G532" s="89"/>
      <c r="H532" s="89"/>
      <c r="I532" s="89"/>
      <c r="J532" s="212"/>
      <c r="K532" s="212"/>
      <c r="L532" s="212"/>
      <c r="M532" s="212"/>
      <c r="N532" s="212">
        <f t="shared" si="26"/>
        <v>0</v>
      </c>
    </row>
    <row r="533" spans="1:14" s="235" customFormat="1" ht="12.75" x14ac:dyDescent="0.2">
      <c r="A533" s="152"/>
      <c r="B533" s="73"/>
      <c r="C533" s="51" t="s">
        <v>967</v>
      </c>
      <c r="D533" s="89" t="s">
        <v>548</v>
      </c>
      <c r="E533" s="89"/>
      <c r="F533" s="89"/>
      <c r="G533" s="89"/>
      <c r="H533" s="89"/>
      <c r="I533" s="89"/>
      <c r="J533" s="212"/>
      <c r="K533" s="212"/>
      <c r="L533" s="212"/>
      <c r="M533" s="212"/>
      <c r="N533" s="212">
        <f t="shared" si="26"/>
        <v>0</v>
      </c>
    </row>
    <row r="534" spans="1:14" s="235" customFormat="1" ht="12.75" x14ac:dyDescent="0.2">
      <c r="A534" s="152"/>
      <c r="B534" s="73"/>
      <c r="C534" s="51" t="s">
        <v>118</v>
      </c>
      <c r="D534" s="89" t="s">
        <v>548</v>
      </c>
      <c r="E534" s="89"/>
      <c r="F534" s="89"/>
      <c r="G534" s="89"/>
      <c r="H534" s="89"/>
      <c r="I534" s="89"/>
      <c r="J534" s="212"/>
      <c r="K534" s="212"/>
      <c r="L534" s="212"/>
      <c r="M534" s="212"/>
      <c r="N534" s="212">
        <f t="shared" si="26"/>
        <v>0</v>
      </c>
    </row>
    <row r="535" spans="1:14" s="235" customFormat="1" ht="12.75" x14ac:dyDescent="0.2">
      <c r="A535" s="152"/>
      <c r="B535" s="73"/>
      <c r="C535" s="51" t="s">
        <v>971</v>
      </c>
      <c r="D535" s="89" t="s">
        <v>548</v>
      </c>
      <c r="E535" s="89"/>
      <c r="F535" s="89"/>
      <c r="G535" s="89"/>
      <c r="H535" s="89"/>
      <c r="I535" s="89"/>
      <c r="J535" s="212"/>
      <c r="K535" s="212"/>
      <c r="L535" s="212"/>
      <c r="M535" s="212"/>
      <c r="N535" s="212">
        <f t="shared" si="26"/>
        <v>0</v>
      </c>
    </row>
    <row r="536" spans="1:14" s="235" customFormat="1" ht="12.75" x14ac:dyDescent="0.2">
      <c r="A536" s="152"/>
      <c r="B536" s="73"/>
      <c r="C536" s="51" t="s">
        <v>957</v>
      </c>
      <c r="D536" s="89" t="s">
        <v>548</v>
      </c>
      <c r="E536" s="89"/>
      <c r="F536" s="89"/>
      <c r="G536" s="89"/>
      <c r="H536" s="89"/>
      <c r="I536" s="89"/>
      <c r="J536" s="212"/>
      <c r="K536" s="212"/>
      <c r="L536" s="212"/>
      <c r="M536" s="212"/>
      <c r="N536" s="212">
        <f t="shared" si="26"/>
        <v>0</v>
      </c>
    </row>
    <row r="537" spans="1:14" s="235" customFormat="1" ht="12.75" x14ac:dyDescent="0.2">
      <c r="A537" s="152"/>
      <c r="B537" s="73"/>
      <c r="C537" s="51" t="s">
        <v>97</v>
      </c>
      <c r="D537" s="89" t="s">
        <v>548</v>
      </c>
      <c r="E537" s="89"/>
      <c r="F537" s="89"/>
      <c r="G537" s="89"/>
      <c r="H537" s="89"/>
      <c r="I537" s="89"/>
      <c r="J537" s="212"/>
      <c r="K537" s="212"/>
      <c r="L537" s="212"/>
      <c r="M537" s="212"/>
      <c r="N537" s="212">
        <f t="shared" si="26"/>
        <v>0</v>
      </c>
    </row>
    <row r="538" spans="1:14" s="235" customFormat="1" ht="12.75" x14ac:dyDescent="0.2">
      <c r="A538" s="152"/>
      <c r="B538" s="73"/>
      <c r="C538" s="51" t="s">
        <v>49</v>
      </c>
      <c r="D538" s="89" t="s">
        <v>548</v>
      </c>
      <c r="E538" s="89"/>
      <c r="F538" s="89"/>
      <c r="G538" s="89"/>
      <c r="H538" s="89"/>
      <c r="I538" s="89"/>
      <c r="J538" s="212"/>
      <c r="K538" s="212"/>
      <c r="L538" s="212"/>
      <c r="M538" s="212"/>
      <c r="N538" s="212">
        <f t="shared" si="26"/>
        <v>0</v>
      </c>
    </row>
    <row r="539" spans="1:14" s="235" customFormat="1" ht="12.75" x14ac:dyDescent="0.2">
      <c r="A539" s="152"/>
      <c r="B539" s="73"/>
      <c r="C539" s="51" t="s">
        <v>1017</v>
      </c>
      <c r="D539" s="89" t="s">
        <v>548</v>
      </c>
      <c r="E539" s="89"/>
      <c r="F539" s="89"/>
      <c r="G539" s="89"/>
      <c r="H539" s="89"/>
      <c r="I539" s="89"/>
      <c r="J539" s="212"/>
      <c r="K539" s="212"/>
      <c r="L539" s="212"/>
      <c r="M539" s="212"/>
      <c r="N539" s="212">
        <f t="shared" si="26"/>
        <v>0</v>
      </c>
    </row>
    <row r="540" spans="1:14" s="235" customFormat="1" ht="12.75" x14ac:dyDescent="0.2">
      <c r="A540" s="152"/>
      <c r="B540" s="73"/>
      <c r="C540" s="51" t="s">
        <v>1018</v>
      </c>
      <c r="D540" s="89" t="s">
        <v>548</v>
      </c>
      <c r="E540" s="89"/>
      <c r="F540" s="89"/>
      <c r="G540" s="89"/>
      <c r="H540" s="89"/>
      <c r="I540" s="89"/>
      <c r="J540" s="212"/>
      <c r="K540" s="212"/>
      <c r="L540" s="212"/>
      <c r="M540" s="212"/>
      <c r="N540" s="212">
        <f t="shared" si="26"/>
        <v>0</v>
      </c>
    </row>
    <row r="541" spans="1:14" s="235" customFormat="1" ht="12.75" x14ac:dyDescent="0.2">
      <c r="A541" s="152"/>
      <c r="B541" s="73"/>
      <c r="C541" s="51" t="s">
        <v>928</v>
      </c>
      <c r="D541" s="89" t="s">
        <v>548</v>
      </c>
      <c r="E541" s="89"/>
      <c r="F541" s="89"/>
      <c r="G541" s="89"/>
      <c r="H541" s="89"/>
      <c r="I541" s="89"/>
      <c r="J541" s="212"/>
      <c r="K541" s="212"/>
      <c r="L541" s="212"/>
      <c r="M541" s="212"/>
      <c r="N541" s="212">
        <f t="shared" si="26"/>
        <v>0</v>
      </c>
    </row>
    <row r="542" spans="1:14" s="235" customFormat="1" ht="12.75" x14ac:dyDescent="0.2">
      <c r="A542" s="152"/>
      <c r="B542" s="73"/>
      <c r="C542" s="51" t="s">
        <v>946</v>
      </c>
      <c r="D542" s="89" t="s">
        <v>548</v>
      </c>
      <c r="E542" s="89"/>
      <c r="F542" s="89"/>
      <c r="G542" s="89"/>
      <c r="H542" s="89"/>
      <c r="I542" s="89"/>
      <c r="J542" s="212"/>
      <c r="K542" s="212"/>
      <c r="L542" s="212"/>
      <c r="M542" s="212"/>
      <c r="N542" s="212">
        <f t="shared" si="26"/>
        <v>0</v>
      </c>
    </row>
    <row r="543" spans="1:14" s="235" customFormat="1" ht="12.75" x14ac:dyDescent="0.2">
      <c r="A543" s="152"/>
      <c r="B543" s="73"/>
      <c r="C543" s="51" t="s">
        <v>947</v>
      </c>
      <c r="D543" s="89" t="s">
        <v>548</v>
      </c>
      <c r="E543" s="89"/>
      <c r="F543" s="89"/>
      <c r="G543" s="89"/>
      <c r="H543" s="89"/>
      <c r="I543" s="89"/>
      <c r="J543" s="212"/>
      <c r="K543" s="212"/>
      <c r="L543" s="212"/>
      <c r="M543" s="212"/>
      <c r="N543" s="212">
        <f t="shared" si="26"/>
        <v>0</v>
      </c>
    </row>
    <row r="544" spans="1:14" s="235" customFormat="1" ht="12.75" x14ac:dyDescent="0.2">
      <c r="A544" s="152"/>
      <c r="B544" s="73"/>
      <c r="C544" s="51" t="s">
        <v>1020</v>
      </c>
      <c r="D544" s="89" t="s">
        <v>548</v>
      </c>
      <c r="E544" s="89"/>
      <c r="F544" s="89"/>
      <c r="G544" s="89"/>
      <c r="H544" s="89"/>
      <c r="I544" s="89"/>
      <c r="J544" s="212"/>
      <c r="K544" s="212"/>
      <c r="L544" s="212"/>
      <c r="M544" s="212"/>
      <c r="N544" s="212">
        <f t="shared" si="26"/>
        <v>0</v>
      </c>
    </row>
    <row r="545" spans="1:14" s="235" customFormat="1" ht="12.75" x14ac:dyDescent="0.2">
      <c r="A545" s="152"/>
      <c r="B545" s="73"/>
      <c r="C545" s="51" t="s">
        <v>1021</v>
      </c>
      <c r="D545" s="89" t="s">
        <v>548</v>
      </c>
      <c r="E545" s="89"/>
      <c r="F545" s="89"/>
      <c r="G545" s="89"/>
      <c r="H545" s="89"/>
      <c r="I545" s="89"/>
      <c r="J545" s="212"/>
      <c r="K545" s="212"/>
      <c r="L545" s="212"/>
      <c r="M545" s="212"/>
      <c r="N545" s="212">
        <f t="shared" si="26"/>
        <v>0</v>
      </c>
    </row>
    <row r="546" spans="1:14" s="235" customFormat="1" ht="12.75" x14ac:dyDescent="0.2">
      <c r="A546" s="152"/>
      <c r="B546" s="73"/>
      <c r="C546" s="51" t="s">
        <v>489</v>
      </c>
      <c r="D546" s="89" t="s">
        <v>548</v>
      </c>
      <c r="E546" s="89"/>
      <c r="F546" s="89"/>
      <c r="G546" s="89"/>
      <c r="H546" s="89"/>
      <c r="I546" s="89"/>
      <c r="J546" s="212"/>
      <c r="K546" s="212"/>
      <c r="L546" s="212"/>
      <c r="M546" s="212"/>
      <c r="N546" s="212">
        <f t="shared" si="26"/>
        <v>0</v>
      </c>
    </row>
    <row r="547" spans="1:14" s="235" customFormat="1" ht="12.75" x14ac:dyDescent="0.2">
      <c r="A547" s="152"/>
      <c r="B547" s="73"/>
      <c r="C547" s="51" t="s">
        <v>968</v>
      </c>
      <c r="D547" s="89" t="s">
        <v>548</v>
      </c>
      <c r="E547" s="89"/>
      <c r="F547" s="89"/>
      <c r="G547" s="89"/>
      <c r="H547" s="89"/>
      <c r="I547" s="89"/>
      <c r="J547" s="212"/>
      <c r="K547" s="212"/>
      <c r="L547" s="212"/>
      <c r="M547" s="212"/>
      <c r="N547" s="212">
        <f t="shared" si="26"/>
        <v>0</v>
      </c>
    </row>
    <row r="548" spans="1:14" s="235" customFormat="1" ht="12.75" x14ac:dyDescent="0.2">
      <c r="A548" s="152"/>
      <c r="B548" s="73"/>
      <c r="C548" s="51" t="s">
        <v>98</v>
      </c>
      <c r="D548" s="89" t="s">
        <v>548</v>
      </c>
      <c r="E548" s="89"/>
      <c r="F548" s="89"/>
      <c r="G548" s="89"/>
      <c r="H548" s="89"/>
      <c r="I548" s="89"/>
      <c r="J548" s="212"/>
      <c r="K548" s="212"/>
      <c r="L548" s="212"/>
      <c r="M548" s="212"/>
      <c r="N548" s="212">
        <f t="shared" si="26"/>
        <v>0</v>
      </c>
    </row>
    <row r="549" spans="1:14" s="235" customFormat="1" ht="12.75" x14ac:dyDescent="0.2">
      <c r="A549" s="152"/>
      <c r="B549" s="73"/>
      <c r="C549" s="51" t="s">
        <v>1048</v>
      </c>
      <c r="D549" s="89" t="s">
        <v>548</v>
      </c>
      <c r="E549" s="89"/>
      <c r="F549" s="89"/>
      <c r="G549" s="89"/>
      <c r="H549" s="89"/>
      <c r="I549" s="89"/>
      <c r="J549" s="212"/>
      <c r="K549" s="212"/>
      <c r="L549" s="212"/>
      <c r="M549" s="212"/>
      <c r="N549" s="212">
        <f t="shared" si="26"/>
        <v>0</v>
      </c>
    </row>
    <row r="550" spans="1:14" s="235" customFormat="1" ht="12.75" x14ac:dyDescent="0.2">
      <c r="A550" s="152"/>
      <c r="B550" s="73"/>
      <c r="C550" s="51" t="s">
        <v>1030</v>
      </c>
      <c r="D550" s="89" t="s">
        <v>548</v>
      </c>
      <c r="E550" s="89"/>
      <c r="F550" s="89"/>
      <c r="G550" s="89"/>
      <c r="H550" s="89"/>
      <c r="I550" s="89"/>
      <c r="J550" s="212"/>
      <c r="K550" s="212"/>
      <c r="L550" s="212"/>
      <c r="M550" s="212"/>
      <c r="N550" s="212">
        <f t="shared" si="26"/>
        <v>0</v>
      </c>
    </row>
    <row r="551" spans="1:14" s="235" customFormat="1" ht="12.75" x14ac:dyDescent="0.2">
      <c r="A551" s="152"/>
      <c r="B551" s="73"/>
      <c r="C551" s="51" t="s">
        <v>977</v>
      </c>
      <c r="D551" s="89" t="s">
        <v>548</v>
      </c>
      <c r="E551" s="89"/>
      <c r="F551" s="89"/>
      <c r="G551" s="89"/>
      <c r="H551" s="89"/>
      <c r="I551" s="89"/>
      <c r="J551" s="212"/>
      <c r="K551" s="212"/>
      <c r="L551" s="212"/>
      <c r="M551" s="212"/>
      <c r="N551" s="212">
        <f t="shared" si="26"/>
        <v>0</v>
      </c>
    </row>
    <row r="552" spans="1:14" s="235" customFormat="1" ht="12.75" x14ac:dyDescent="0.2">
      <c r="A552" s="152"/>
      <c r="B552" s="73"/>
      <c r="C552" s="51" t="s">
        <v>99</v>
      </c>
      <c r="D552" s="89" t="s">
        <v>548</v>
      </c>
      <c r="E552" s="89"/>
      <c r="F552" s="89"/>
      <c r="G552" s="89"/>
      <c r="H552" s="89"/>
      <c r="I552" s="89"/>
      <c r="J552" s="212"/>
      <c r="K552" s="212"/>
      <c r="L552" s="212"/>
      <c r="M552" s="212"/>
      <c r="N552" s="212">
        <f t="shared" si="26"/>
        <v>0</v>
      </c>
    </row>
    <row r="553" spans="1:14" s="235" customFormat="1" ht="12.75" x14ac:dyDescent="0.2">
      <c r="A553" s="152"/>
      <c r="B553" s="73"/>
      <c r="C553" s="51" t="s">
        <v>1047</v>
      </c>
      <c r="D553" s="89" t="s">
        <v>548</v>
      </c>
      <c r="E553" s="89"/>
      <c r="F553" s="89"/>
      <c r="G553" s="89"/>
      <c r="H553" s="89"/>
      <c r="I553" s="89"/>
      <c r="J553" s="212"/>
      <c r="K553" s="212"/>
      <c r="L553" s="212"/>
      <c r="M553" s="212"/>
      <c r="N553" s="212">
        <f t="shared" si="26"/>
        <v>0</v>
      </c>
    </row>
    <row r="554" spans="1:14" s="235" customFormat="1" ht="12.75" x14ac:dyDescent="0.2">
      <c r="A554" s="152"/>
      <c r="B554" s="73"/>
      <c r="C554" s="51" t="s">
        <v>1041</v>
      </c>
      <c r="D554" s="89" t="s">
        <v>548</v>
      </c>
      <c r="E554" s="89"/>
      <c r="F554" s="89"/>
      <c r="G554" s="89"/>
      <c r="H554" s="89"/>
      <c r="I554" s="89"/>
      <c r="J554" s="212"/>
      <c r="K554" s="212"/>
      <c r="L554" s="212"/>
      <c r="M554" s="212"/>
      <c r="N554" s="212">
        <f t="shared" si="26"/>
        <v>0</v>
      </c>
    </row>
    <row r="555" spans="1:14" s="235" customFormat="1" ht="12.75" x14ac:dyDescent="0.2">
      <c r="A555" s="152"/>
      <c r="B555" s="73"/>
      <c r="C555" s="51" t="s">
        <v>102</v>
      </c>
      <c r="D555" s="89" t="s">
        <v>548</v>
      </c>
      <c r="E555" s="89"/>
      <c r="F555" s="89"/>
      <c r="G555" s="89"/>
      <c r="H555" s="89"/>
      <c r="I555" s="89"/>
      <c r="J555" s="212"/>
      <c r="K555" s="212"/>
      <c r="L555" s="212"/>
      <c r="M555" s="212"/>
      <c r="N555" s="212">
        <f t="shared" si="26"/>
        <v>0</v>
      </c>
    </row>
    <row r="556" spans="1:14" s="235" customFormat="1" ht="12.75" x14ac:dyDescent="0.2">
      <c r="A556" s="152"/>
      <c r="B556" s="73"/>
      <c r="C556" s="51" t="s">
        <v>124</v>
      </c>
      <c r="D556" s="89" t="s">
        <v>548</v>
      </c>
      <c r="E556" s="89"/>
      <c r="F556" s="89"/>
      <c r="G556" s="89"/>
      <c r="H556" s="89"/>
      <c r="I556" s="89"/>
      <c r="J556" s="212"/>
      <c r="K556" s="212"/>
      <c r="L556" s="212"/>
      <c r="M556" s="212"/>
      <c r="N556" s="212">
        <f t="shared" si="26"/>
        <v>0</v>
      </c>
    </row>
    <row r="557" spans="1:14" s="235" customFormat="1" ht="12.75" x14ac:dyDescent="0.2">
      <c r="A557" s="152"/>
      <c r="B557" s="73"/>
      <c r="C557" s="51" t="s">
        <v>103</v>
      </c>
      <c r="D557" s="89" t="s">
        <v>548</v>
      </c>
      <c r="E557" s="89"/>
      <c r="F557" s="89"/>
      <c r="G557" s="89"/>
      <c r="H557" s="89"/>
      <c r="I557" s="89"/>
      <c r="J557" s="212"/>
      <c r="K557" s="212"/>
      <c r="L557" s="212"/>
      <c r="M557" s="212"/>
      <c r="N557" s="212">
        <f t="shared" si="26"/>
        <v>53185</v>
      </c>
    </row>
    <row r="558" spans="1:14" s="235" customFormat="1" ht="12.75" x14ac:dyDescent="0.2">
      <c r="A558" s="152"/>
      <c r="B558" s="73"/>
      <c r="C558" s="51" t="s">
        <v>104</v>
      </c>
      <c r="D558" s="89" t="s">
        <v>548</v>
      </c>
      <c r="E558" s="89"/>
      <c r="F558" s="89"/>
      <c r="G558" s="89"/>
      <c r="H558" s="89"/>
      <c r="I558" s="89"/>
      <c r="J558" s="212"/>
      <c r="K558" s="212"/>
      <c r="L558" s="212"/>
      <c r="M558" s="212"/>
      <c r="N558" s="212">
        <f t="shared" si="26"/>
        <v>0</v>
      </c>
    </row>
    <row r="559" spans="1:14" s="235" customFormat="1" ht="12.75" x14ac:dyDescent="0.2">
      <c r="A559" s="152"/>
      <c r="B559" s="73"/>
      <c r="C559" s="51" t="s">
        <v>491</v>
      </c>
      <c r="D559" s="89" t="s">
        <v>548</v>
      </c>
      <c r="E559" s="89"/>
      <c r="F559" s="89"/>
      <c r="G559" s="89"/>
      <c r="H559" s="89"/>
      <c r="I559" s="89"/>
      <c r="J559" s="212"/>
      <c r="K559" s="212"/>
      <c r="L559" s="212"/>
      <c r="M559" s="212"/>
      <c r="N559" s="212">
        <f t="shared" si="26"/>
        <v>0</v>
      </c>
    </row>
    <row r="560" spans="1:14" s="235" customFormat="1" ht="12.75" x14ac:dyDescent="0.2">
      <c r="A560" s="152"/>
      <c r="B560" s="73"/>
      <c r="C560" s="51" t="s">
        <v>105</v>
      </c>
      <c r="D560" s="89" t="s">
        <v>548</v>
      </c>
      <c r="E560" s="89"/>
      <c r="F560" s="89"/>
      <c r="G560" s="89"/>
      <c r="H560" s="89"/>
      <c r="I560" s="89"/>
      <c r="J560" s="212"/>
      <c r="K560" s="212"/>
      <c r="L560" s="212"/>
      <c r="M560" s="212"/>
      <c r="N560" s="212">
        <f t="shared" si="26"/>
        <v>0</v>
      </c>
    </row>
    <row r="561" spans="1:14" s="235" customFormat="1" ht="12.75" x14ac:dyDescent="0.2">
      <c r="A561" s="152"/>
      <c r="B561" s="73"/>
      <c r="C561" s="51" t="s">
        <v>129</v>
      </c>
      <c r="D561" s="89" t="s">
        <v>548</v>
      </c>
      <c r="E561" s="89"/>
      <c r="F561" s="89"/>
      <c r="G561" s="89"/>
      <c r="H561" s="89"/>
      <c r="I561" s="89"/>
      <c r="J561" s="212"/>
      <c r="K561" s="212"/>
      <c r="L561" s="212"/>
      <c r="M561" s="212"/>
      <c r="N561" s="212">
        <f t="shared" si="26"/>
        <v>0</v>
      </c>
    </row>
    <row r="562" spans="1:14" s="284" customFormat="1" ht="12.75" x14ac:dyDescent="0.2">
      <c r="A562" s="152"/>
      <c r="B562" s="73"/>
      <c r="C562" s="73" t="s">
        <v>108</v>
      </c>
      <c r="D562" s="89" t="s">
        <v>548</v>
      </c>
      <c r="E562" s="89"/>
      <c r="F562" s="89"/>
      <c r="G562" s="89"/>
      <c r="H562" s="89"/>
      <c r="I562" s="89"/>
      <c r="J562" s="212"/>
      <c r="K562" s="212"/>
      <c r="L562" s="212"/>
      <c r="M562" s="212"/>
      <c r="N562" s="212">
        <f t="shared" si="26"/>
        <v>0</v>
      </c>
    </row>
    <row r="563" spans="1:14" s="235" customFormat="1" ht="12.75" x14ac:dyDescent="0.2">
      <c r="A563" s="152"/>
      <c r="B563" s="73"/>
      <c r="C563" s="51" t="s">
        <v>119</v>
      </c>
      <c r="D563" s="89" t="s">
        <v>548</v>
      </c>
      <c r="E563" s="89"/>
      <c r="F563" s="89"/>
      <c r="G563" s="89"/>
      <c r="H563" s="89"/>
      <c r="I563" s="89"/>
      <c r="J563" s="212"/>
      <c r="K563" s="212"/>
      <c r="L563" s="212"/>
      <c r="M563" s="212"/>
      <c r="N563" s="212">
        <f t="shared" si="26"/>
        <v>0</v>
      </c>
    </row>
    <row r="564" spans="1:14" s="235" customFormat="1" ht="12.75" x14ac:dyDescent="0.2">
      <c r="A564" s="152"/>
      <c r="B564" s="73"/>
      <c r="C564" s="51" t="s">
        <v>954</v>
      </c>
      <c r="D564" s="89" t="s">
        <v>548</v>
      </c>
      <c r="E564" s="89"/>
      <c r="F564" s="89"/>
      <c r="G564" s="89"/>
      <c r="H564" s="89"/>
      <c r="I564" s="89"/>
      <c r="J564" s="212"/>
      <c r="K564" s="212"/>
      <c r="L564" s="212"/>
      <c r="M564" s="212"/>
      <c r="N564" s="212">
        <f t="shared" si="26"/>
        <v>30250</v>
      </c>
    </row>
    <row r="565" spans="1:14" s="235" customFormat="1" ht="12.75" x14ac:dyDescent="0.2">
      <c r="A565" s="152"/>
      <c r="B565" s="73"/>
      <c r="C565" s="51" t="s">
        <v>1031</v>
      </c>
      <c r="D565" s="89" t="s">
        <v>548</v>
      </c>
      <c r="E565" s="89"/>
      <c r="F565" s="89"/>
      <c r="G565" s="89"/>
      <c r="H565" s="89"/>
      <c r="I565" s="89"/>
      <c r="J565" s="212"/>
      <c r="K565" s="212"/>
      <c r="L565" s="212"/>
      <c r="M565" s="212"/>
      <c r="N565" s="212">
        <f t="shared" si="26"/>
        <v>0</v>
      </c>
    </row>
    <row r="566" spans="1:14" s="235" customFormat="1" ht="12.75" x14ac:dyDescent="0.2">
      <c r="A566" s="152"/>
      <c r="B566" s="73"/>
      <c r="C566" s="51" t="s">
        <v>1009</v>
      </c>
      <c r="D566" s="89" t="s">
        <v>548</v>
      </c>
      <c r="E566" s="89"/>
      <c r="F566" s="89"/>
      <c r="G566" s="89"/>
      <c r="H566" s="89"/>
      <c r="I566" s="89"/>
      <c r="J566" s="212"/>
      <c r="K566" s="212"/>
      <c r="L566" s="212"/>
      <c r="M566" s="212"/>
      <c r="N566" s="212">
        <f t="shared" si="26"/>
        <v>0</v>
      </c>
    </row>
    <row r="567" spans="1:14" s="235" customFormat="1" ht="12.75" x14ac:dyDescent="0.2">
      <c r="A567" s="152"/>
      <c r="B567" s="73"/>
      <c r="C567" s="51" t="s">
        <v>107</v>
      </c>
      <c r="D567" s="89" t="s">
        <v>548</v>
      </c>
      <c r="E567" s="89"/>
      <c r="F567" s="89"/>
      <c r="G567" s="89"/>
      <c r="H567" s="89"/>
      <c r="I567" s="89"/>
      <c r="J567" s="212"/>
      <c r="K567" s="212"/>
      <c r="L567" s="212"/>
      <c r="M567" s="212"/>
      <c r="N567" s="212">
        <f t="shared" si="26"/>
        <v>0</v>
      </c>
    </row>
    <row r="568" spans="1:14" s="235" customFormat="1" ht="12.75" x14ac:dyDescent="0.2">
      <c r="A568" s="152"/>
      <c r="B568" s="73"/>
      <c r="C568" s="51" t="s">
        <v>1026</v>
      </c>
      <c r="D568" s="89" t="s">
        <v>548</v>
      </c>
      <c r="E568" s="89"/>
      <c r="F568" s="89"/>
      <c r="G568" s="89"/>
      <c r="H568" s="89"/>
      <c r="I568" s="89"/>
      <c r="J568" s="212"/>
      <c r="K568" s="212"/>
      <c r="L568" s="212"/>
      <c r="M568" s="212"/>
      <c r="N568" s="212">
        <f t="shared" si="26"/>
        <v>0</v>
      </c>
    </row>
    <row r="569" spans="1:14" s="284" customFormat="1" ht="12.75" x14ac:dyDescent="0.2">
      <c r="A569" s="152"/>
      <c r="B569" s="73"/>
      <c r="C569" s="51" t="s">
        <v>1027</v>
      </c>
      <c r="D569" s="89" t="s">
        <v>548</v>
      </c>
      <c r="E569" s="89"/>
      <c r="F569" s="89"/>
      <c r="G569" s="89"/>
      <c r="H569" s="89"/>
      <c r="I569" s="89"/>
      <c r="J569" s="212"/>
      <c r="K569" s="212"/>
      <c r="L569" s="212"/>
      <c r="M569" s="212"/>
      <c r="N569" s="212">
        <f t="shared" si="26"/>
        <v>0</v>
      </c>
    </row>
    <row r="570" spans="1:14" s="235" customFormat="1" ht="12.75" x14ac:dyDescent="0.2">
      <c r="A570" s="152"/>
      <c r="B570" s="73"/>
      <c r="C570" s="51" t="s">
        <v>955</v>
      </c>
      <c r="D570" s="89" t="s">
        <v>548</v>
      </c>
      <c r="E570" s="89"/>
      <c r="F570" s="89"/>
      <c r="G570" s="89"/>
      <c r="H570" s="89"/>
      <c r="I570" s="89"/>
      <c r="J570" s="212"/>
      <c r="K570" s="212"/>
      <c r="L570" s="212"/>
      <c r="M570" s="212"/>
      <c r="N570" s="212">
        <f t="shared" si="26"/>
        <v>0</v>
      </c>
    </row>
    <row r="571" spans="1:14" s="235" customFormat="1" ht="12.75" x14ac:dyDescent="0.2">
      <c r="A571" s="152"/>
      <c r="B571" s="73"/>
      <c r="C571" s="51" t="s">
        <v>958</v>
      </c>
      <c r="D571" s="89" t="s">
        <v>548</v>
      </c>
      <c r="E571" s="89"/>
      <c r="F571" s="89"/>
      <c r="G571" s="89"/>
      <c r="H571" s="89"/>
      <c r="I571" s="89"/>
      <c r="J571" s="212"/>
      <c r="K571" s="212"/>
      <c r="L571" s="212"/>
      <c r="M571" s="212"/>
      <c r="N571" s="212">
        <f t="shared" si="26"/>
        <v>1500</v>
      </c>
    </row>
    <row r="572" spans="1:14" s="235" customFormat="1" ht="12.75" x14ac:dyDescent="0.2">
      <c r="A572" s="152"/>
      <c r="B572" s="73"/>
      <c r="C572" s="51" t="s">
        <v>1032</v>
      </c>
      <c r="D572" s="89" t="s">
        <v>548</v>
      </c>
      <c r="E572" s="89"/>
      <c r="F572" s="89"/>
      <c r="G572" s="89"/>
      <c r="H572" s="89"/>
      <c r="I572" s="89"/>
      <c r="J572" s="212"/>
      <c r="K572" s="212"/>
      <c r="L572" s="212"/>
      <c r="M572" s="212"/>
      <c r="N572" s="212">
        <f t="shared" si="26"/>
        <v>0</v>
      </c>
    </row>
    <row r="573" spans="1:14" s="235" customFormat="1" ht="12.75" x14ac:dyDescent="0.2">
      <c r="A573" s="152"/>
      <c r="B573" s="73"/>
      <c r="C573" s="51" t="s">
        <v>109</v>
      </c>
      <c r="D573" s="89" t="s">
        <v>548</v>
      </c>
      <c r="E573" s="89"/>
      <c r="F573" s="89"/>
      <c r="G573" s="89"/>
      <c r="H573" s="89"/>
      <c r="I573" s="89"/>
      <c r="J573" s="212"/>
      <c r="K573" s="212"/>
      <c r="L573" s="212"/>
      <c r="M573" s="212"/>
      <c r="N573" s="212">
        <f t="shared" si="26"/>
        <v>0</v>
      </c>
    </row>
    <row r="574" spans="1:14" s="235" customFormat="1" ht="12.75" x14ac:dyDescent="0.2">
      <c r="A574" s="152"/>
      <c r="B574" s="73"/>
      <c r="C574" s="51" t="s">
        <v>966</v>
      </c>
      <c r="D574" s="89" t="s">
        <v>548</v>
      </c>
      <c r="E574" s="89"/>
      <c r="F574" s="89"/>
      <c r="G574" s="89"/>
      <c r="H574" s="89"/>
      <c r="I574" s="89"/>
      <c r="J574" s="212"/>
      <c r="K574" s="212"/>
      <c r="L574" s="212"/>
      <c r="M574" s="212"/>
      <c r="N574" s="212">
        <f t="shared" si="26"/>
        <v>0</v>
      </c>
    </row>
    <row r="575" spans="1:14" s="235" customFormat="1" ht="12.75" x14ac:dyDescent="0.2">
      <c r="A575" s="152"/>
      <c r="B575" s="73"/>
      <c r="C575" s="51" t="s">
        <v>981</v>
      </c>
      <c r="D575" s="89" t="s">
        <v>548</v>
      </c>
      <c r="E575" s="89"/>
      <c r="F575" s="89"/>
      <c r="G575" s="89"/>
      <c r="H575" s="89"/>
      <c r="I575" s="89"/>
      <c r="J575" s="212"/>
      <c r="K575" s="212"/>
      <c r="L575" s="212"/>
      <c r="M575" s="212"/>
      <c r="N575" s="212">
        <f t="shared" si="26"/>
        <v>0</v>
      </c>
    </row>
    <row r="576" spans="1:14" s="235" customFormat="1" ht="12.75" x14ac:dyDescent="0.2">
      <c r="A576" s="152"/>
      <c r="B576" s="73"/>
      <c r="C576" s="51" t="s">
        <v>963</v>
      </c>
      <c r="D576" s="89" t="s">
        <v>548</v>
      </c>
      <c r="E576" s="89"/>
      <c r="F576" s="89"/>
      <c r="G576" s="89"/>
      <c r="H576" s="89"/>
      <c r="I576" s="89"/>
      <c r="J576" s="212"/>
      <c r="K576" s="212"/>
      <c r="L576" s="212"/>
      <c r="M576" s="212"/>
      <c r="N576" s="212">
        <f t="shared" si="26"/>
        <v>0</v>
      </c>
    </row>
    <row r="577" spans="1:14" s="235" customFormat="1" ht="12.75" x14ac:dyDescent="0.2">
      <c r="A577" s="152"/>
      <c r="B577" s="73"/>
      <c r="C577" s="51" t="s">
        <v>120</v>
      </c>
      <c r="D577" s="89" t="s">
        <v>548</v>
      </c>
      <c r="E577" s="89"/>
      <c r="F577" s="89"/>
      <c r="G577" s="89"/>
      <c r="H577" s="89"/>
      <c r="I577" s="89"/>
      <c r="J577" s="212"/>
      <c r="K577" s="212"/>
      <c r="L577" s="212"/>
      <c r="M577" s="212"/>
      <c r="N577" s="212">
        <f t="shared" si="26"/>
        <v>0</v>
      </c>
    </row>
    <row r="578" spans="1:14" s="235" customFormat="1" ht="12.75" x14ac:dyDescent="0.2">
      <c r="A578" s="152"/>
      <c r="B578" s="73"/>
      <c r="C578" s="51" t="s">
        <v>989</v>
      </c>
      <c r="D578" s="89" t="s">
        <v>548</v>
      </c>
      <c r="E578" s="89"/>
      <c r="F578" s="89"/>
      <c r="G578" s="89"/>
      <c r="H578" s="89"/>
      <c r="I578" s="89"/>
      <c r="J578" s="212"/>
      <c r="K578" s="212"/>
      <c r="L578" s="212"/>
      <c r="M578" s="212"/>
      <c r="N578" s="212">
        <f t="shared" si="26"/>
        <v>0</v>
      </c>
    </row>
    <row r="579" spans="1:14" s="235" customFormat="1" ht="12.75" x14ac:dyDescent="0.2">
      <c r="A579" s="152"/>
      <c r="B579" s="73"/>
      <c r="C579" s="51" t="s">
        <v>986</v>
      </c>
      <c r="D579" s="89" t="s">
        <v>513</v>
      </c>
      <c r="E579" s="89"/>
      <c r="F579" s="89"/>
      <c r="G579" s="89"/>
      <c r="H579" s="89"/>
      <c r="I579" s="89"/>
      <c r="J579" s="212"/>
      <c r="K579" s="212"/>
      <c r="L579" s="212"/>
      <c r="M579" s="212"/>
      <c r="N579" s="212">
        <f t="shared" si="26"/>
        <v>0</v>
      </c>
    </row>
    <row r="580" spans="1:14" s="407" customFormat="1" ht="12.75" x14ac:dyDescent="0.2">
      <c r="A580" s="152"/>
      <c r="B580" s="73"/>
      <c r="C580" s="51" t="s">
        <v>988</v>
      </c>
      <c r="D580" s="89" t="s">
        <v>513</v>
      </c>
      <c r="E580" s="89"/>
      <c r="F580" s="89"/>
      <c r="G580" s="89"/>
      <c r="H580" s="89"/>
      <c r="I580" s="89"/>
      <c r="J580" s="212"/>
      <c r="K580" s="212"/>
      <c r="L580" s="212"/>
      <c r="M580" s="212"/>
      <c r="N580" s="212">
        <f t="shared" si="26"/>
        <v>0</v>
      </c>
    </row>
    <row r="581" spans="1:14" s="407" customFormat="1" ht="12.75" x14ac:dyDescent="0.2">
      <c r="A581" s="152"/>
      <c r="B581" s="73"/>
      <c r="C581" s="51" t="s">
        <v>1058</v>
      </c>
      <c r="D581" s="89" t="s">
        <v>513</v>
      </c>
      <c r="E581" s="89"/>
      <c r="F581" s="89"/>
      <c r="G581" s="89"/>
      <c r="H581" s="89"/>
      <c r="I581" s="89"/>
      <c r="J581" s="212"/>
      <c r="K581" s="212"/>
      <c r="L581" s="212"/>
      <c r="M581" s="212"/>
      <c r="N581" s="212">
        <f t="shared" si="26"/>
        <v>0</v>
      </c>
    </row>
    <row r="582" spans="1:14" s="407" customFormat="1" ht="12.75" x14ac:dyDescent="0.2">
      <c r="A582" s="152"/>
      <c r="B582" s="73"/>
      <c r="C582" s="51" t="s">
        <v>972</v>
      </c>
      <c r="D582" s="89" t="s">
        <v>513</v>
      </c>
      <c r="E582" s="89"/>
      <c r="F582" s="89"/>
      <c r="G582" s="89"/>
      <c r="H582" s="89"/>
      <c r="I582" s="89"/>
      <c r="J582" s="212"/>
      <c r="K582" s="212"/>
      <c r="L582" s="212"/>
      <c r="M582" s="212"/>
      <c r="N582" s="212">
        <f t="shared" si="26"/>
        <v>0</v>
      </c>
    </row>
    <row r="583" spans="1:14" s="407" customFormat="1" ht="12.75" x14ac:dyDescent="0.2">
      <c r="A583" s="152"/>
      <c r="B583" s="73"/>
      <c r="C583" s="51" t="s">
        <v>973</v>
      </c>
      <c r="D583" s="89" t="s">
        <v>513</v>
      </c>
      <c r="E583" s="89"/>
      <c r="F583" s="89"/>
      <c r="G583" s="89"/>
      <c r="H583" s="89"/>
      <c r="I583" s="89"/>
      <c r="J583" s="212"/>
      <c r="K583" s="212"/>
      <c r="L583" s="212"/>
      <c r="M583" s="212"/>
      <c r="N583" s="212">
        <f t="shared" ref="N583:N648" si="27">SUMIFS(N$26:N$154,$C$26:$C$154,$C583,$D$26:$D$154,$D583)</f>
        <v>0</v>
      </c>
    </row>
    <row r="584" spans="1:14" s="407" customFormat="1" ht="12.75" x14ac:dyDescent="0.2">
      <c r="A584" s="152"/>
      <c r="B584" s="73"/>
      <c r="C584" s="51" t="s">
        <v>980</v>
      </c>
      <c r="D584" s="89" t="s">
        <v>513</v>
      </c>
      <c r="E584" s="89"/>
      <c r="F584" s="89"/>
      <c r="G584" s="89"/>
      <c r="H584" s="89"/>
      <c r="I584" s="89"/>
      <c r="J584" s="212"/>
      <c r="K584" s="212"/>
      <c r="L584" s="212"/>
      <c r="M584" s="212"/>
      <c r="N584" s="212">
        <f t="shared" si="27"/>
        <v>0</v>
      </c>
    </row>
    <row r="585" spans="1:14" s="407" customFormat="1" ht="12.75" x14ac:dyDescent="0.2">
      <c r="A585" s="152"/>
      <c r="B585" s="73"/>
      <c r="C585" s="51" t="s">
        <v>982</v>
      </c>
      <c r="D585" s="89" t="s">
        <v>513</v>
      </c>
      <c r="E585" s="89"/>
      <c r="F585" s="89"/>
      <c r="G585" s="89"/>
      <c r="H585" s="89"/>
      <c r="I585" s="89"/>
      <c r="J585" s="212"/>
      <c r="K585" s="212"/>
      <c r="L585" s="212"/>
      <c r="M585" s="212"/>
      <c r="N585" s="212">
        <f t="shared" si="27"/>
        <v>0</v>
      </c>
    </row>
    <row r="586" spans="1:14" s="407" customFormat="1" ht="12.75" x14ac:dyDescent="0.2">
      <c r="A586" s="152"/>
      <c r="B586" s="73"/>
      <c r="C586" s="51" t="s">
        <v>46</v>
      </c>
      <c r="D586" s="89" t="s">
        <v>513</v>
      </c>
      <c r="E586" s="89"/>
      <c r="F586" s="89"/>
      <c r="G586" s="89"/>
      <c r="H586" s="89"/>
      <c r="I586" s="89"/>
      <c r="J586" s="212"/>
      <c r="K586" s="212"/>
      <c r="L586" s="212"/>
      <c r="M586" s="212"/>
      <c r="N586" s="212">
        <f t="shared" si="27"/>
        <v>0</v>
      </c>
    </row>
    <row r="587" spans="1:14" s="407" customFormat="1" ht="12.75" x14ac:dyDescent="0.2">
      <c r="A587" s="152"/>
      <c r="B587" s="73"/>
      <c r="C587" s="51" t="s">
        <v>1019</v>
      </c>
      <c r="D587" s="89" t="s">
        <v>513</v>
      </c>
      <c r="E587" s="89"/>
      <c r="F587" s="89"/>
      <c r="G587" s="89"/>
      <c r="H587" s="89"/>
      <c r="I587" s="89"/>
      <c r="J587" s="212"/>
      <c r="K587" s="212"/>
      <c r="L587" s="212"/>
      <c r="M587" s="212"/>
      <c r="N587" s="212">
        <f t="shared" si="27"/>
        <v>7500</v>
      </c>
    </row>
    <row r="588" spans="1:14" s="407" customFormat="1" ht="12.75" x14ac:dyDescent="0.2">
      <c r="A588" s="152"/>
      <c r="B588" s="73"/>
      <c r="C588" s="51" t="s">
        <v>1050</v>
      </c>
      <c r="D588" s="89" t="s">
        <v>513</v>
      </c>
      <c r="E588" s="89"/>
      <c r="F588" s="89"/>
      <c r="G588" s="89"/>
      <c r="H588" s="89"/>
      <c r="I588" s="89"/>
      <c r="J588" s="212"/>
      <c r="K588" s="212"/>
      <c r="L588" s="212"/>
      <c r="M588" s="212"/>
      <c r="N588" s="212">
        <f t="shared" si="27"/>
        <v>0</v>
      </c>
    </row>
    <row r="589" spans="1:14" s="407" customFormat="1" ht="12.75" x14ac:dyDescent="0.2">
      <c r="A589" s="152"/>
      <c r="B589" s="73"/>
      <c r="C589" s="51" t="s">
        <v>100</v>
      </c>
      <c r="D589" s="89" t="s">
        <v>513</v>
      </c>
      <c r="E589" s="89"/>
      <c r="F589" s="89"/>
      <c r="G589" s="89"/>
      <c r="H589" s="89"/>
      <c r="I589" s="89"/>
      <c r="J589" s="212"/>
      <c r="K589" s="212"/>
      <c r="L589" s="212"/>
      <c r="M589" s="212"/>
      <c r="N589" s="212">
        <f t="shared" si="27"/>
        <v>0</v>
      </c>
    </row>
    <row r="590" spans="1:14" s="407" customFormat="1" ht="12.75" x14ac:dyDescent="0.2">
      <c r="A590" s="152"/>
      <c r="B590" s="73"/>
      <c r="C590" s="51" t="s">
        <v>101</v>
      </c>
      <c r="D590" s="89" t="s">
        <v>513</v>
      </c>
      <c r="E590" s="89"/>
      <c r="F590" s="89"/>
      <c r="G590" s="89"/>
      <c r="H590" s="89"/>
      <c r="I590" s="89"/>
      <c r="J590" s="212"/>
      <c r="K590" s="212"/>
      <c r="L590" s="212"/>
      <c r="M590" s="212"/>
      <c r="N590" s="212">
        <f t="shared" si="27"/>
        <v>0</v>
      </c>
    </row>
    <row r="591" spans="1:14" s="407" customFormat="1" ht="12.75" x14ac:dyDescent="0.2">
      <c r="A591" s="152"/>
      <c r="B591" s="73"/>
      <c r="C591" s="51" t="s">
        <v>1056</v>
      </c>
      <c r="D591" s="89" t="s">
        <v>513</v>
      </c>
      <c r="E591" s="89"/>
      <c r="F591" s="89"/>
      <c r="G591" s="89"/>
      <c r="H591" s="89"/>
      <c r="I591" s="89"/>
      <c r="J591" s="212"/>
      <c r="K591" s="212"/>
      <c r="L591" s="212"/>
      <c r="M591" s="212"/>
      <c r="N591" s="212">
        <f t="shared" si="27"/>
        <v>0</v>
      </c>
    </row>
    <row r="592" spans="1:14" s="407" customFormat="1" ht="12.75" x14ac:dyDescent="0.2">
      <c r="A592" s="152"/>
      <c r="B592" s="73"/>
      <c r="C592" s="51" t="s">
        <v>1057</v>
      </c>
      <c r="D592" s="89" t="s">
        <v>513</v>
      </c>
      <c r="E592" s="89"/>
      <c r="F592" s="89"/>
      <c r="G592" s="89"/>
      <c r="H592" s="89"/>
      <c r="I592" s="89"/>
      <c r="J592" s="212"/>
      <c r="K592" s="212"/>
      <c r="L592" s="212"/>
      <c r="M592" s="212"/>
      <c r="N592" s="212">
        <f t="shared" si="27"/>
        <v>0</v>
      </c>
    </row>
    <row r="593" spans="1:14" s="407" customFormat="1" ht="12.75" x14ac:dyDescent="0.2">
      <c r="A593" s="152"/>
      <c r="B593" s="73"/>
      <c r="C593" s="51" t="s">
        <v>1631</v>
      </c>
      <c r="D593" s="89" t="s">
        <v>513</v>
      </c>
      <c r="E593" s="89"/>
      <c r="F593" s="89"/>
      <c r="G593" s="89"/>
      <c r="H593" s="89"/>
      <c r="I593" s="89"/>
      <c r="J593" s="212"/>
      <c r="K593" s="212"/>
      <c r="L593" s="212"/>
      <c r="M593" s="212"/>
      <c r="N593" s="212">
        <f t="shared" si="27"/>
        <v>0</v>
      </c>
    </row>
    <row r="594" spans="1:14" s="407" customFormat="1" ht="12.75" x14ac:dyDescent="0.2">
      <c r="A594" s="152"/>
      <c r="B594" s="73"/>
      <c r="C594" s="51" t="s">
        <v>1632</v>
      </c>
      <c r="D594" s="89" t="s">
        <v>513</v>
      </c>
      <c r="E594" s="89"/>
      <c r="F594" s="89"/>
      <c r="G594" s="89"/>
      <c r="H594" s="89"/>
      <c r="I594" s="89"/>
      <c r="J594" s="212"/>
      <c r="K594" s="212"/>
      <c r="L594" s="212"/>
      <c r="M594" s="212"/>
      <c r="N594" s="212">
        <f t="shared" si="27"/>
        <v>0</v>
      </c>
    </row>
    <row r="595" spans="1:14" s="407" customFormat="1" ht="12.75" x14ac:dyDescent="0.2">
      <c r="A595" s="152"/>
      <c r="B595" s="73"/>
      <c r="C595" s="51" t="s">
        <v>965</v>
      </c>
      <c r="D595" s="89" t="s">
        <v>513</v>
      </c>
      <c r="E595" s="89"/>
      <c r="F595" s="89"/>
      <c r="G595" s="89"/>
      <c r="H595" s="89"/>
      <c r="I595" s="89"/>
      <c r="J595" s="212"/>
      <c r="K595" s="212"/>
      <c r="L595" s="212"/>
      <c r="M595" s="212"/>
      <c r="N595" s="212">
        <f t="shared" si="27"/>
        <v>0</v>
      </c>
    </row>
    <row r="596" spans="1:14" s="407" customFormat="1" ht="12.75" x14ac:dyDescent="0.2">
      <c r="A596" s="152"/>
      <c r="B596" s="73"/>
      <c r="C596" s="51" t="s">
        <v>1011</v>
      </c>
      <c r="D596" s="89" t="s">
        <v>513</v>
      </c>
      <c r="E596" s="89"/>
      <c r="F596" s="89"/>
      <c r="G596" s="89"/>
      <c r="H596" s="89"/>
      <c r="I596" s="89"/>
      <c r="J596" s="212"/>
      <c r="K596" s="212"/>
      <c r="L596" s="212"/>
      <c r="M596" s="212"/>
      <c r="N596" s="212">
        <f t="shared" si="27"/>
        <v>0</v>
      </c>
    </row>
    <row r="597" spans="1:14" s="407" customFormat="1" ht="12.75" x14ac:dyDescent="0.2">
      <c r="A597" s="152"/>
      <c r="B597" s="73"/>
      <c r="C597" s="51" t="s">
        <v>1010</v>
      </c>
      <c r="D597" s="89" t="s">
        <v>513</v>
      </c>
      <c r="E597" s="89"/>
      <c r="F597" s="89"/>
      <c r="G597" s="89"/>
      <c r="H597" s="89"/>
      <c r="I597" s="89"/>
      <c r="J597" s="212"/>
      <c r="K597" s="212"/>
      <c r="L597" s="212"/>
      <c r="M597" s="212"/>
      <c r="N597" s="212">
        <f t="shared" si="27"/>
        <v>0</v>
      </c>
    </row>
    <row r="598" spans="1:14" s="407" customFormat="1" ht="12.75" x14ac:dyDescent="0.2">
      <c r="A598" s="152"/>
      <c r="B598" s="73"/>
      <c r="C598" s="51" t="s">
        <v>1013</v>
      </c>
      <c r="D598" s="89" t="s">
        <v>513</v>
      </c>
      <c r="E598" s="89"/>
      <c r="F598" s="89"/>
      <c r="G598" s="89"/>
      <c r="H598" s="89"/>
      <c r="I598" s="89"/>
      <c r="J598" s="212"/>
      <c r="K598" s="212"/>
      <c r="L598" s="212"/>
      <c r="M598" s="212"/>
      <c r="N598" s="212">
        <f t="shared" si="27"/>
        <v>0</v>
      </c>
    </row>
    <row r="599" spans="1:14" s="407" customFormat="1" ht="12.75" x14ac:dyDescent="0.2">
      <c r="A599" s="152"/>
      <c r="B599" s="73"/>
      <c r="C599" s="51" t="s">
        <v>1012</v>
      </c>
      <c r="D599" s="89" t="s">
        <v>513</v>
      </c>
      <c r="E599" s="89"/>
      <c r="F599" s="89"/>
      <c r="G599" s="89"/>
      <c r="H599" s="89"/>
      <c r="I599" s="89"/>
      <c r="J599" s="212"/>
      <c r="K599" s="212"/>
      <c r="L599" s="212"/>
      <c r="M599" s="212"/>
      <c r="N599" s="212">
        <f t="shared" si="27"/>
        <v>0</v>
      </c>
    </row>
    <row r="600" spans="1:14" s="407" customFormat="1" ht="12.75" x14ac:dyDescent="0.2">
      <c r="A600" s="152"/>
      <c r="B600" s="73"/>
      <c r="C600" s="51" t="s">
        <v>1052</v>
      </c>
      <c r="D600" s="89" t="s">
        <v>513</v>
      </c>
      <c r="E600" s="89"/>
      <c r="F600" s="89"/>
      <c r="G600" s="89"/>
      <c r="H600" s="89"/>
      <c r="I600" s="89"/>
      <c r="J600" s="212"/>
      <c r="K600" s="212"/>
      <c r="L600" s="212"/>
      <c r="M600" s="212"/>
      <c r="N600" s="212">
        <f t="shared" si="27"/>
        <v>0</v>
      </c>
    </row>
    <row r="601" spans="1:14" s="407" customFormat="1" ht="12.75" x14ac:dyDescent="0.2">
      <c r="A601" s="152"/>
      <c r="B601" s="73"/>
      <c r="C601" s="51" t="s">
        <v>1053</v>
      </c>
      <c r="D601" s="89" t="s">
        <v>513</v>
      </c>
      <c r="E601" s="89"/>
      <c r="F601" s="89"/>
      <c r="G601" s="89"/>
      <c r="H601" s="89"/>
      <c r="I601" s="89"/>
      <c r="J601" s="212"/>
      <c r="K601" s="212"/>
      <c r="L601" s="212"/>
      <c r="M601" s="212"/>
      <c r="N601" s="212">
        <f t="shared" si="27"/>
        <v>0</v>
      </c>
    </row>
    <row r="602" spans="1:14" s="407" customFormat="1" ht="12.75" x14ac:dyDescent="0.2">
      <c r="A602" s="152"/>
      <c r="B602" s="73"/>
      <c r="C602" s="51" t="s">
        <v>984</v>
      </c>
      <c r="D602" s="89" t="s">
        <v>513</v>
      </c>
      <c r="E602" s="89"/>
      <c r="F602" s="89"/>
      <c r="G602" s="89"/>
      <c r="H602" s="89"/>
      <c r="I602" s="89"/>
      <c r="J602" s="212"/>
      <c r="K602" s="212"/>
      <c r="L602" s="212"/>
      <c r="M602" s="212"/>
      <c r="N602" s="212">
        <f t="shared" si="27"/>
        <v>0</v>
      </c>
    </row>
    <row r="603" spans="1:14" s="407" customFormat="1" ht="12.75" x14ac:dyDescent="0.2">
      <c r="A603" s="152"/>
      <c r="B603" s="73"/>
      <c r="C603" s="51" t="s">
        <v>985</v>
      </c>
      <c r="D603" s="89" t="s">
        <v>513</v>
      </c>
      <c r="E603" s="89"/>
      <c r="F603" s="89"/>
      <c r="G603" s="89"/>
      <c r="H603" s="89"/>
      <c r="I603" s="89"/>
      <c r="J603" s="212"/>
      <c r="K603" s="212"/>
      <c r="L603" s="212"/>
      <c r="M603" s="212"/>
      <c r="N603" s="212">
        <f t="shared" si="27"/>
        <v>0</v>
      </c>
    </row>
    <row r="604" spans="1:14" s="407" customFormat="1" ht="12.75" x14ac:dyDescent="0.2">
      <c r="A604" s="152"/>
      <c r="B604" s="73"/>
      <c r="C604" s="51" t="s">
        <v>1005</v>
      </c>
      <c r="D604" s="89" t="s">
        <v>513</v>
      </c>
      <c r="E604" s="89"/>
      <c r="F604" s="89"/>
      <c r="G604" s="89"/>
      <c r="H604" s="89"/>
      <c r="I604" s="89"/>
      <c r="J604" s="212"/>
      <c r="K604" s="212"/>
      <c r="L604" s="212"/>
      <c r="M604" s="212"/>
      <c r="N604" s="212">
        <f t="shared" si="27"/>
        <v>0</v>
      </c>
    </row>
    <row r="605" spans="1:14" s="407" customFormat="1" ht="12.75" x14ac:dyDescent="0.2">
      <c r="A605" s="152"/>
      <c r="B605" s="73"/>
      <c r="C605" s="51" t="s">
        <v>1004</v>
      </c>
      <c r="D605" s="89" t="s">
        <v>513</v>
      </c>
      <c r="E605" s="89"/>
      <c r="F605" s="89"/>
      <c r="G605" s="89"/>
      <c r="H605" s="89"/>
      <c r="I605" s="89"/>
      <c r="J605" s="212"/>
      <c r="K605" s="212"/>
      <c r="L605" s="212"/>
      <c r="M605" s="212"/>
      <c r="N605" s="212">
        <f t="shared" si="27"/>
        <v>0</v>
      </c>
    </row>
    <row r="606" spans="1:14" s="407" customFormat="1" ht="12.75" x14ac:dyDescent="0.2">
      <c r="A606" s="152"/>
      <c r="B606" s="73"/>
      <c r="C606" s="51" t="s">
        <v>1008</v>
      </c>
      <c r="D606" s="89" t="s">
        <v>513</v>
      </c>
      <c r="E606" s="89"/>
      <c r="F606" s="89"/>
      <c r="G606" s="89"/>
      <c r="H606" s="89"/>
      <c r="I606" s="89"/>
      <c r="J606" s="212"/>
      <c r="K606" s="212"/>
      <c r="L606" s="212"/>
      <c r="M606" s="212"/>
      <c r="N606" s="212">
        <f t="shared" si="27"/>
        <v>0</v>
      </c>
    </row>
    <row r="607" spans="1:14" s="407" customFormat="1" ht="12.75" x14ac:dyDescent="0.2">
      <c r="A607" s="152"/>
      <c r="B607" s="73"/>
      <c r="C607" s="51" t="s">
        <v>1006</v>
      </c>
      <c r="D607" s="89" t="s">
        <v>513</v>
      </c>
      <c r="E607" s="89"/>
      <c r="F607" s="89"/>
      <c r="G607" s="89"/>
      <c r="H607" s="89"/>
      <c r="I607" s="89"/>
      <c r="J607" s="212"/>
      <c r="K607" s="212"/>
      <c r="L607" s="212"/>
      <c r="M607" s="212"/>
      <c r="N607" s="212">
        <f t="shared" si="27"/>
        <v>0</v>
      </c>
    </row>
    <row r="608" spans="1:14" s="407" customFormat="1" ht="12.75" x14ac:dyDescent="0.2">
      <c r="A608" s="152"/>
      <c r="B608" s="73"/>
      <c r="C608" s="51" t="s">
        <v>1034</v>
      </c>
      <c r="D608" s="89" t="s">
        <v>513</v>
      </c>
      <c r="E608" s="89"/>
      <c r="F608" s="89"/>
      <c r="G608" s="89"/>
      <c r="H608" s="89"/>
      <c r="I608" s="89"/>
      <c r="J608" s="212"/>
      <c r="K608" s="212"/>
      <c r="L608" s="212"/>
      <c r="M608" s="212"/>
      <c r="N608" s="212">
        <f t="shared" si="27"/>
        <v>0</v>
      </c>
    </row>
    <row r="609" spans="1:14" s="407" customFormat="1" ht="12.75" x14ac:dyDescent="0.2">
      <c r="A609" s="152"/>
      <c r="B609" s="73"/>
      <c r="C609" s="51" t="s">
        <v>1035</v>
      </c>
      <c r="D609" s="89" t="s">
        <v>513</v>
      </c>
      <c r="E609" s="89"/>
      <c r="F609" s="89"/>
      <c r="G609" s="89"/>
      <c r="H609" s="89"/>
      <c r="I609" s="89"/>
      <c r="J609" s="212"/>
      <c r="K609" s="212"/>
      <c r="L609" s="212"/>
      <c r="M609" s="212"/>
      <c r="N609" s="212">
        <f t="shared" si="27"/>
        <v>0</v>
      </c>
    </row>
    <row r="610" spans="1:14" s="407" customFormat="1" ht="12.75" x14ac:dyDescent="0.2">
      <c r="A610" s="152"/>
      <c r="B610" s="73"/>
      <c r="C610" s="51" t="s">
        <v>922</v>
      </c>
      <c r="D610" s="89" t="s">
        <v>513</v>
      </c>
      <c r="E610" s="89"/>
      <c r="F610" s="89"/>
      <c r="G610" s="89"/>
      <c r="H610" s="89"/>
      <c r="I610" s="89"/>
      <c r="J610" s="212"/>
      <c r="K610" s="212"/>
      <c r="L610" s="212"/>
      <c r="M610" s="212"/>
      <c r="N610" s="212">
        <f t="shared" si="27"/>
        <v>0</v>
      </c>
    </row>
    <row r="611" spans="1:14" s="407" customFormat="1" ht="12.75" x14ac:dyDescent="0.2">
      <c r="A611" s="152"/>
      <c r="B611" s="73"/>
      <c r="C611" s="51" t="s">
        <v>942</v>
      </c>
      <c r="D611" s="89" t="s">
        <v>513</v>
      </c>
      <c r="E611" s="89"/>
      <c r="F611" s="89"/>
      <c r="G611" s="89"/>
      <c r="H611" s="89"/>
      <c r="I611" s="89"/>
      <c r="J611" s="212"/>
      <c r="K611" s="212"/>
      <c r="L611" s="212"/>
      <c r="M611" s="212"/>
      <c r="N611" s="212">
        <f t="shared" si="27"/>
        <v>0</v>
      </c>
    </row>
    <row r="612" spans="1:14" s="407" customFormat="1" ht="12.75" x14ac:dyDescent="0.2">
      <c r="A612" s="152"/>
      <c r="B612" s="73"/>
      <c r="C612" s="51" t="s">
        <v>943</v>
      </c>
      <c r="D612" s="89" t="s">
        <v>513</v>
      </c>
      <c r="E612" s="89"/>
      <c r="F612" s="89"/>
      <c r="G612" s="89"/>
      <c r="H612" s="89"/>
      <c r="I612" s="89"/>
      <c r="J612" s="212"/>
      <c r="K612" s="212"/>
      <c r="L612" s="212"/>
      <c r="M612" s="212"/>
      <c r="N612" s="212">
        <f t="shared" si="27"/>
        <v>0</v>
      </c>
    </row>
    <row r="613" spans="1:14" s="407" customFormat="1" ht="12.75" x14ac:dyDescent="0.2">
      <c r="A613" s="152"/>
      <c r="B613" s="73"/>
      <c r="C613" s="51" t="s">
        <v>938</v>
      </c>
      <c r="D613" s="89" t="s">
        <v>513</v>
      </c>
      <c r="E613" s="89"/>
      <c r="F613" s="89"/>
      <c r="G613" s="89"/>
      <c r="H613" s="89"/>
      <c r="I613" s="89"/>
      <c r="J613" s="212"/>
      <c r="K613" s="212"/>
      <c r="L613" s="212"/>
      <c r="M613" s="212"/>
      <c r="N613" s="212">
        <f t="shared" si="27"/>
        <v>0</v>
      </c>
    </row>
    <row r="614" spans="1:14" s="407" customFormat="1" ht="12.75" x14ac:dyDescent="0.2">
      <c r="A614" s="152"/>
      <c r="B614" s="73"/>
      <c r="C614" s="51" t="s">
        <v>939</v>
      </c>
      <c r="D614" s="89" t="s">
        <v>513</v>
      </c>
      <c r="E614" s="89"/>
      <c r="F614" s="89"/>
      <c r="G614" s="89"/>
      <c r="H614" s="89"/>
      <c r="I614" s="89"/>
      <c r="J614" s="212"/>
      <c r="K614" s="212"/>
      <c r="L614" s="212"/>
      <c r="M614" s="212"/>
      <c r="N614" s="212">
        <f t="shared" si="27"/>
        <v>0</v>
      </c>
    </row>
    <row r="615" spans="1:14" s="407" customFormat="1" ht="12.75" x14ac:dyDescent="0.2">
      <c r="A615" s="152"/>
      <c r="B615" s="73"/>
      <c r="C615" s="51" t="s">
        <v>934</v>
      </c>
      <c r="D615" s="89" t="s">
        <v>513</v>
      </c>
      <c r="E615" s="89"/>
      <c r="F615" s="89"/>
      <c r="G615" s="89"/>
      <c r="H615" s="89"/>
      <c r="I615" s="89"/>
      <c r="J615" s="212"/>
      <c r="K615" s="212"/>
      <c r="L615" s="212"/>
      <c r="M615" s="212"/>
      <c r="N615" s="212">
        <f t="shared" si="27"/>
        <v>0</v>
      </c>
    </row>
    <row r="616" spans="1:14" s="407" customFormat="1" ht="12.75" x14ac:dyDescent="0.2">
      <c r="A616" s="152"/>
      <c r="B616" s="73"/>
      <c r="C616" s="51" t="s">
        <v>935</v>
      </c>
      <c r="D616" s="89" t="s">
        <v>513</v>
      </c>
      <c r="E616" s="89"/>
      <c r="F616" s="89"/>
      <c r="G616" s="89"/>
      <c r="H616" s="89"/>
      <c r="I616" s="89"/>
      <c r="J616" s="212"/>
      <c r="K616" s="212"/>
      <c r="L616" s="212"/>
      <c r="M616" s="212"/>
      <c r="N616" s="212">
        <f t="shared" si="27"/>
        <v>0</v>
      </c>
    </row>
    <row r="617" spans="1:14" s="407" customFormat="1" ht="12.75" x14ac:dyDescent="0.2">
      <c r="A617" s="152"/>
      <c r="B617" s="73"/>
      <c r="C617" s="51" t="s">
        <v>1663</v>
      </c>
      <c r="D617" s="89" t="s">
        <v>513</v>
      </c>
      <c r="E617" s="89"/>
      <c r="F617" s="89"/>
      <c r="G617" s="89"/>
      <c r="H617" s="89"/>
      <c r="I617" s="89"/>
      <c r="J617" s="212"/>
      <c r="K617" s="212"/>
      <c r="L617" s="212"/>
      <c r="M617" s="212"/>
      <c r="N617" s="212">
        <f t="shared" si="27"/>
        <v>0</v>
      </c>
    </row>
    <row r="618" spans="1:14" s="407" customFormat="1" ht="12.75" x14ac:dyDescent="0.2">
      <c r="A618" s="152"/>
      <c r="B618" s="73"/>
      <c r="C618" s="51" t="s">
        <v>1661</v>
      </c>
      <c r="D618" s="89" t="s">
        <v>513</v>
      </c>
      <c r="E618" s="89"/>
      <c r="F618" s="89"/>
      <c r="G618" s="89"/>
      <c r="H618" s="89"/>
      <c r="I618" s="89"/>
      <c r="J618" s="212"/>
      <c r="K618" s="212"/>
      <c r="L618" s="212"/>
      <c r="M618" s="212"/>
      <c r="N618" s="212">
        <f t="shared" si="27"/>
        <v>150</v>
      </c>
    </row>
    <row r="619" spans="1:14" s="407" customFormat="1" ht="12.75" x14ac:dyDescent="0.2">
      <c r="A619" s="152"/>
      <c r="B619" s="73"/>
      <c r="C619" s="51" t="s">
        <v>953</v>
      </c>
      <c r="D619" s="89" t="s">
        <v>513</v>
      </c>
      <c r="E619" s="89"/>
      <c r="F619" s="89"/>
      <c r="G619" s="89"/>
      <c r="H619" s="89"/>
      <c r="I619" s="89"/>
      <c r="J619" s="212"/>
      <c r="K619" s="212"/>
      <c r="L619" s="212"/>
      <c r="M619" s="212"/>
      <c r="N619" s="212">
        <f t="shared" si="27"/>
        <v>0</v>
      </c>
    </row>
    <row r="620" spans="1:14" s="407" customFormat="1" ht="12.75" x14ac:dyDescent="0.2">
      <c r="A620" s="152"/>
      <c r="B620" s="73"/>
      <c r="C620" s="51" t="s">
        <v>924</v>
      </c>
      <c r="D620" s="89" t="s">
        <v>513</v>
      </c>
      <c r="E620" s="89"/>
      <c r="F620" s="89"/>
      <c r="G620" s="89"/>
      <c r="H620" s="89"/>
      <c r="I620" s="89"/>
      <c r="J620" s="212"/>
      <c r="K620" s="212"/>
      <c r="L620" s="212"/>
      <c r="M620" s="212"/>
      <c r="N620" s="212">
        <f t="shared" si="27"/>
        <v>0</v>
      </c>
    </row>
    <row r="621" spans="1:14" s="407" customFormat="1" ht="12.75" x14ac:dyDescent="0.2">
      <c r="A621" s="152"/>
      <c r="B621" s="73"/>
      <c r="C621" s="51" t="s">
        <v>927</v>
      </c>
      <c r="D621" s="89" t="s">
        <v>513</v>
      </c>
      <c r="E621" s="89"/>
      <c r="F621" s="89"/>
      <c r="G621" s="89"/>
      <c r="H621" s="89"/>
      <c r="I621" s="89"/>
      <c r="J621" s="212"/>
      <c r="K621" s="212"/>
      <c r="L621" s="212"/>
      <c r="M621" s="212"/>
      <c r="N621" s="212">
        <f t="shared" si="27"/>
        <v>0</v>
      </c>
    </row>
    <row r="622" spans="1:14" s="407" customFormat="1" ht="12.75" x14ac:dyDescent="0.2">
      <c r="A622" s="152"/>
      <c r="B622" s="73"/>
      <c r="C622" s="51" t="s">
        <v>951</v>
      </c>
      <c r="D622" s="89" t="s">
        <v>513</v>
      </c>
      <c r="E622" s="89"/>
      <c r="F622" s="89"/>
      <c r="G622" s="89"/>
      <c r="H622" s="89"/>
      <c r="I622" s="89"/>
      <c r="J622" s="212"/>
      <c r="K622" s="212"/>
      <c r="L622" s="212"/>
      <c r="M622" s="212"/>
      <c r="N622" s="212">
        <f t="shared" si="27"/>
        <v>0</v>
      </c>
    </row>
    <row r="623" spans="1:14" s="407" customFormat="1" ht="12.75" x14ac:dyDescent="0.2">
      <c r="A623" s="152"/>
      <c r="B623" s="73"/>
      <c r="C623" s="51" t="s">
        <v>1055</v>
      </c>
      <c r="D623" s="89" t="s">
        <v>513</v>
      </c>
      <c r="E623" s="89"/>
      <c r="F623" s="89"/>
      <c r="G623" s="89"/>
      <c r="H623" s="89"/>
      <c r="I623" s="89"/>
      <c r="J623" s="212"/>
      <c r="K623" s="212"/>
      <c r="L623" s="212"/>
      <c r="M623" s="212"/>
      <c r="N623" s="212">
        <f t="shared" si="27"/>
        <v>0</v>
      </c>
    </row>
    <row r="624" spans="1:14" s="407" customFormat="1" ht="12.75" x14ac:dyDescent="0.2">
      <c r="A624" s="152"/>
      <c r="B624" s="73"/>
      <c r="C624" s="51" t="s">
        <v>940</v>
      </c>
      <c r="D624" s="89" t="s">
        <v>513</v>
      </c>
      <c r="E624" s="89"/>
      <c r="F624" s="89"/>
      <c r="G624" s="89"/>
      <c r="H624" s="89"/>
      <c r="I624" s="89"/>
      <c r="J624" s="212"/>
      <c r="K624" s="212"/>
      <c r="L624" s="212"/>
      <c r="M624" s="212"/>
      <c r="N624" s="212">
        <f t="shared" si="27"/>
        <v>0</v>
      </c>
    </row>
    <row r="625" spans="1:14" s="407" customFormat="1" ht="12.75" x14ac:dyDescent="0.2">
      <c r="A625" s="152"/>
      <c r="B625" s="73"/>
      <c r="C625" s="51" t="s">
        <v>941</v>
      </c>
      <c r="D625" s="89" t="s">
        <v>513</v>
      </c>
      <c r="E625" s="89"/>
      <c r="F625" s="89"/>
      <c r="G625" s="89"/>
      <c r="H625" s="89"/>
      <c r="I625" s="89"/>
      <c r="J625" s="212"/>
      <c r="K625" s="212"/>
      <c r="L625" s="212"/>
      <c r="M625" s="212"/>
      <c r="N625" s="212">
        <f t="shared" si="27"/>
        <v>0</v>
      </c>
    </row>
    <row r="626" spans="1:14" s="407" customFormat="1" ht="12.75" x14ac:dyDescent="0.2">
      <c r="A626" s="152"/>
      <c r="B626" s="73"/>
      <c r="C626" s="51" t="s">
        <v>936</v>
      </c>
      <c r="D626" s="89" t="s">
        <v>513</v>
      </c>
      <c r="E626" s="89"/>
      <c r="F626" s="89"/>
      <c r="G626" s="89"/>
      <c r="H626" s="89"/>
      <c r="I626" s="89"/>
      <c r="J626" s="212"/>
      <c r="K626" s="212"/>
      <c r="L626" s="212"/>
      <c r="M626" s="212"/>
      <c r="N626" s="212">
        <f t="shared" si="27"/>
        <v>0</v>
      </c>
    </row>
    <row r="627" spans="1:14" s="407" customFormat="1" ht="12.75" x14ac:dyDescent="0.2">
      <c r="A627" s="152"/>
      <c r="B627" s="73"/>
      <c r="C627" s="51" t="s">
        <v>937</v>
      </c>
      <c r="D627" s="89" t="s">
        <v>513</v>
      </c>
      <c r="E627" s="89"/>
      <c r="F627" s="89"/>
      <c r="G627" s="89"/>
      <c r="H627" s="89"/>
      <c r="I627" s="89"/>
      <c r="J627" s="212"/>
      <c r="K627" s="212"/>
      <c r="L627" s="212"/>
      <c r="M627" s="212"/>
      <c r="N627" s="212">
        <f t="shared" si="27"/>
        <v>0</v>
      </c>
    </row>
    <row r="628" spans="1:14" s="407" customFormat="1" ht="12.75" x14ac:dyDescent="0.2">
      <c r="A628" s="152"/>
      <c r="B628" s="73"/>
      <c r="C628" s="51" t="s">
        <v>932</v>
      </c>
      <c r="D628" s="89" t="s">
        <v>513</v>
      </c>
      <c r="E628" s="89"/>
      <c r="F628" s="89"/>
      <c r="G628" s="89"/>
      <c r="H628" s="89"/>
      <c r="I628" s="89"/>
      <c r="J628" s="212"/>
      <c r="K628" s="212"/>
      <c r="L628" s="212"/>
      <c r="M628" s="212"/>
      <c r="N628" s="212">
        <f t="shared" si="27"/>
        <v>600</v>
      </c>
    </row>
    <row r="629" spans="1:14" s="407" customFormat="1" ht="12.75" x14ac:dyDescent="0.2">
      <c r="A629" s="152"/>
      <c r="B629" s="73"/>
      <c r="C629" s="51" t="s">
        <v>933</v>
      </c>
      <c r="D629" s="89" t="s">
        <v>513</v>
      </c>
      <c r="E629" s="89"/>
      <c r="F629" s="89"/>
      <c r="G629" s="89"/>
      <c r="H629" s="89"/>
      <c r="I629" s="89"/>
      <c r="J629" s="212"/>
      <c r="K629" s="212"/>
      <c r="L629" s="212"/>
      <c r="M629" s="212"/>
      <c r="N629" s="212">
        <f t="shared" si="27"/>
        <v>600</v>
      </c>
    </row>
    <row r="630" spans="1:14" s="407" customFormat="1" ht="12.75" x14ac:dyDescent="0.2">
      <c r="A630" s="152"/>
      <c r="B630" s="73"/>
      <c r="C630" s="51" t="s">
        <v>952</v>
      </c>
      <c r="D630" s="89" t="s">
        <v>513</v>
      </c>
      <c r="E630" s="89"/>
      <c r="F630" s="89"/>
      <c r="G630" s="89"/>
      <c r="H630" s="89"/>
      <c r="I630" s="89"/>
      <c r="J630" s="212"/>
      <c r="K630" s="212"/>
      <c r="L630" s="212"/>
      <c r="M630" s="212"/>
      <c r="N630" s="212">
        <f t="shared" si="27"/>
        <v>0</v>
      </c>
    </row>
    <row r="631" spans="1:14" s="407" customFormat="1" ht="12.75" x14ac:dyDescent="0.2">
      <c r="A631" s="152"/>
      <c r="B631" s="73"/>
      <c r="C631" s="51" t="s">
        <v>923</v>
      </c>
      <c r="D631" s="89" t="s">
        <v>513</v>
      </c>
      <c r="E631" s="89"/>
      <c r="F631" s="89"/>
      <c r="G631" s="89"/>
      <c r="H631" s="89"/>
      <c r="I631" s="89"/>
      <c r="J631" s="212"/>
      <c r="K631" s="212"/>
      <c r="L631" s="212"/>
      <c r="M631" s="212"/>
      <c r="N631" s="212">
        <f t="shared" si="27"/>
        <v>0</v>
      </c>
    </row>
    <row r="632" spans="1:14" s="407" customFormat="1" ht="12.75" x14ac:dyDescent="0.2">
      <c r="A632" s="152"/>
      <c r="B632" s="73"/>
      <c r="C632" s="51" t="s">
        <v>925</v>
      </c>
      <c r="D632" s="89" t="s">
        <v>513</v>
      </c>
      <c r="E632" s="89"/>
      <c r="F632" s="89"/>
      <c r="G632" s="89"/>
      <c r="H632" s="89"/>
      <c r="I632" s="89"/>
      <c r="J632" s="212"/>
      <c r="K632" s="212"/>
      <c r="L632" s="212"/>
      <c r="M632" s="212"/>
      <c r="N632" s="212">
        <f t="shared" si="27"/>
        <v>0</v>
      </c>
    </row>
    <row r="633" spans="1:14" s="407" customFormat="1" ht="12.75" x14ac:dyDescent="0.2">
      <c r="A633" s="152"/>
      <c r="B633" s="73"/>
      <c r="C633" s="51" t="s">
        <v>950</v>
      </c>
      <c r="D633" s="89" t="s">
        <v>513</v>
      </c>
      <c r="E633" s="89"/>
      <c r="F633" s="89"/>
      <c r="G633" s="89"/>
      <c r="H633" s="89"/>
      <c r="I633" s="89"/>
      <c r="J633" s="212"/>
      <c r="K633" s="212"/>
      <c r="L633" s="212"/>
      <c r="M633" s="212"/>
      <c r="N633" s="212">
        <f t="shared" si="27"/>
        <v>0</v>
      </c>
    </row>
    <row r="634" spans="1:14" s="407" customFormat="1" ht="12.75" x14ac:dyDescent="0.2">
      <c r="A634" s="152"/>
      <c r="B634" s="73"/>
      <c r="C634" s="51" t="s">
        <v>1054</v>
      </c>
      <c r="D634" s="89" t="s">
        <v>513</v>
      </c>
      <c r="E634" s="89"/>
      <c r="F634" s="89"/>
      <c r="G634" s="89"/>
      <c r="H634" s="89"/>
      <c r="I634" s="89"/>
      <c r="J634" s="212"/>
      <c r="K634" s="212"/>
      <c r="L634" s="212"/>
      <c r="M634" s="212"/>
      <c r="N634" s="212">
        <f t="shared" si="27"/>
        <v>0</v>
      </c>
    </row>
    <row r="635" spans="1:14" s="407" customFormat="1" ht="12.75" x14ac:dyDescent="0.2">
      <c r="A635" s="152"/>
      <c r="B635" s="73"/>
      <c r="C635" s="51" t="s">
        <v>921</v>
      </c>
      <c r="D635" s="89" t="s">
        <v>513</v>
      </c>
      <c r="E635" s="89"/>
      <c r="F635" s="89"/>
      <c r="G635" s="89"/>
      <c r="H635" s="89"/>
      <c r="I635" s="89"/>
      <c r="J635" s="212"/>
      <c r="K635" s="212"/>
      <c r="L635" s="212"/>
      <c r="M635" s="212"/>
      <c r="N635" s="212">
        <f t="shared" si="27"/>
        <v>0</v>
      </c>
    </row>
    <row r="636" spans="1:14" s="407" customFormat="1" ht="12.75" x14ac:dyDescent="0.2">
      <c r="A636" s="152"/>
      <c r="B636" s="73"/>
      <c r="C636" s="51" t="s">
        <v>1022</v>
      </c>
      <c r="D636" s="89" t="s">
        <v>513</v>
      </c>
      <c r="E636" s="89"/>
      <c r="F636" s="89"/>
      <c r="G636" s="89"/>
      <c r="H636" s="89"/>
      <c r="I636" s="89"/>
      <c r="J636" s="212"/>
      <c r="K636" s="212"/>
      <c r="L636" s="212"/>
      <c r="M636" s="212"/>
      <c r="N636" s="212">
        <f t="shared" si="27"/>
        <v>0</v>
      </c>
    </row>
    <row r="637" spans="1:14" s="407" customFormat="1" ht="12.75" x14ac:dyDescent="0.2">
      <c r="A637" s="152"/>
      <c r="B637" s="73"/>
      <c r="C637" s="51" t="s">
        <v>1023</v>
      </c>
      <c r="D637" s="89" t="s">
        <v>513</v>
      </c>
      <c r="E637" s="89"/>
      <c r="F637" s="89"/>
      <c r="G637" s="89"/>
      <c r="H637" s="89"/>
      <c r="I637" s="89"/>
      <c r="J637" s="212"/>
      <c r="K637" s="212"/>
      <c r="L637" s="212"/>
      <c r="M637" s="212"/>
      <c r="N637" s="212">
        <f t="shared" si="27"/>
        <v>0</v>
      </c>
    </row>
    <row r="638" spans="1:14" s="407" customFormat="1" ht="12.75" x14ac:dyDescent="0.2">
      <c r="A638" s="152"/>
      <c r="B638" s="73"/>
      <c r="C638" s="51" t="s">
        <v>137</v>
      </c>
      <c r="D638" s="89" t="s">
        <v>513</v>
      </c>
      <c r="E638" s="89"/>
      <c r="F638" s="89"/>
      <c r="G638" s="89"/>
      <c r="H638" s="89"/>
      <c r="I638" s="89"/>
      <c r="J638" s="212"/>
      <c r="K638" s="212"/>
      <c r="L638" s="212"/>
      <c r="M638" s="212"/>
      <c r="N638" s="212">
        <f t="shared" si="27"/>
        <v>0</v>
      </c>
    </row>
    <row r="639" spans="1:14" s="407" customFormat="1" ht="12.75" x14ac:dyDescent="0.2">
      <c r="A639" s="152"/>
      <c r="B639" s="73"/>
      <c r="C639" s="51" t="s">
        <v>956</v>
      </c>
      <c r="D639" s="89" t="s">
        <v>513</v>
      </c>
      <c r="E639" s="89"/>
      <c r="F639" s="89"/>
      <c r="G639" s="89"/>
      <c r="H639" s="89"/>
      <c r="I639" s="89"/>
      <c r="J639" s="212"/>
      <c r="K639" s="212"/>
      <c r="L639" s="212"/>
      <c r="M639" s="212"/>
      <c r="N639" s="212">
        <f t="shared" si="27"/>
        <v>0</v>
      </c>
    </row>
    <row r="640" spans="1:14" s="407" customFormat="1" ht="12.75" x14ac:dyDescent="0.2">
      <c r="A640" s="152"/>
      <c r="B640" s="73"/>
      <c r="C640" s="51" t="s">
        <v>1045</v>
      </c>
      <c r="D640" s="89" t="s">
        <v>513</v>
      </c>
      <c r="E640" s="89"/>
      <c r="F640" s="89"/>
      <c r="G640" s="89"/>
      <c r="H640" s="89"/>
      <c r="I640" s="89"/>
      <c r="J640" s="212"/>
      <c r="K640" s="212"/>
      <c r="L640" s="212"/>
      <c r="M640" s="212"/>
      <c r="N640" s="212">
        <f t="shared" si="27"/>
        <v>0</v>
      </c>
    </row>
    <row r="641" spans="1:14" s="407" customFormat="1" ht="12.75" x14ac:dyDescent="0.2">
      <c r="A641" s="152"/>
      <c r="B641" s="73"/>
      <c r="C641" s="51" t="s">
        <v>1046</v>
      </c>
      <c r="D641" s="89" t="s">
        <v>513</v>
      </c>
      <c r="E641" s="89"/>
      <c r="F641" s="89"/>
      <c r="G641" s="89"/>
      <c r="H641" s="89"/>
      <c r="I641" s="89"/>
      <c r="J641" s="212"/>
      <c r="K641" s="212"/>
      <c r="L641" s="212"/>
      <c r="M641" s="212"/>
      <c r="N641" s="212">
        <f t="shared" si="27"/>
        <v>0</v>
      </c>
    </row>
    <row r="642" spans="1:14" s="407" customFormat="1" ht="12.75" x14ac:dyDescent="0.2">
      <c r="A642" s="152"/>
      <c r="B642" s="73"/>
      <c r="C642" s="51" t="s">
        <v>1036</v>
      </c>
      <c r="D642" s="89" t="s">
        <v>513</v>
      </c>
      <c r="E642" s="89"/>
      <c r="F642" s="89"/>
      <c r="G642" s="89"/>
      <c r="H642" s="89"/>
      <c r="I642" s="89"/>
      <c r="J642" s="212"/>
      <c r="K642" s="212"/>
      <c r="L642" s="212"/>
      <c r="M642" s="212"/>
      <c r="N642" s="212">
        <f t="shared" si="27"/>
        <v>0</v>
      </c>
    </row>
    <row r="643" spans="1:14" s="407" customFormat="1" ht="12.75" x14ac:dyDescent="0.2">
      <c r="A643" s="152"/>
      <c r="B643" s="73"/>
      <c r="C643" s="51" t="s">
        <v>1037</v>
      </c>
      <c r="D643" s="89" t="s">
        <v>513</v>
      </c>
      <c r="E643" s="89"/>
      <c r="F643" s="89"/>
      <c r="G643" s="89"/>
      <c r="H643" s="89"/>
      <c r="I643" s="89"/>
      <c r="J643" s="212"/>
      <c r="K643" s="212"/>
      <c r="L643" s="212"/>
      <c r="M643" s="212"/>
      <c r="N643" s="212">
        <f t="shared" si="27"/>
        <v>0</v>
      </c>
    </row>
    <row r="644" spans="1:14" s="407" customFormat="1" ht="12.75" x14ac:dyDescent="0.2">
      <c r="A644" s="152"/>
      <c r="B644" s="73"/>
      <c r="C644" s="51" t="s">
        <v>990</v>
      </c>
      <c r="D644" s="89" t="s">
        <v>513</v>
      </c>
      <c r="E644" s="89"/>
      <c r="F644" s="89"/>
      <c r="G644" s="89"/>
      <c r="H644" s="89"/>
      <c r="I644" s="89"/>
      <c r="J644" s="212"/>
      <c r="K644" s="212"/>
      <c r="L644" s="212"/>
      <c r="M644" s="212"/>
      <c r="N644" s="212">
        <f t="shared" si="27"/>
        <v>0</v>
      </c>
    </row>
    <row r="645" spans="1:14" s="407" customFormat="1" ht="12.75" x14ac:dyDescent="0.2">
      <c r="A645" s="152"/>
      <c r="B645" s="73"/>
      <c r="C645" s="51" t="s">
        <v>1040</v>
      </c>
      <c r="D645" s="89" t="s">
        <v>513</v>
      </c>
      <c r="E645" s="89"/>
      <c r="F645" s="89"/>
      <c r="G645" s="89"/>
      <c r="H645" s="89"/>
      <c r="I645" s="89"/>
      <c r="J645" s="212"/>
      <c r="K645" s="212"/>
      <c r="L645" s="212"/>
      <c r="M645" s="212"/>
      <c r="N645" s="212">
        <f t="shared" si="27"/>
        <v>0</v>
      </c>
    </row>
    <row r="646" spans="1:14" s="407" customFormat="1" ht="12.75" x14ac:dyDescent="0.2">
      <c r="A646" s="152"/>
      <c r="B646" s="73"/>
      <c r="C646" s="51" t="s">
        <v>991</v>
      </c>
      <c r="D646" s="89" t="s">
        <v>513</v>
      </c>
      <c r="E646" s="89"/>
      <c r="F646" s="89"/>
      <c r="G646" s="89"/>
      <c r="H646" s="89"/>
      <c r="I646" s="89"/>
      <c r="J646" s="212"/>
      <c r="K646" s="212"/>
      <c r="L646" s="212"/>
      <c r="M646" s="212"/>
      <c r="N646" s="212">
        <f t="shared" si="27"/>
        <v>0</v>
      </c>
    </row>
    <row r="647" spans="1:14" s="407" customFormat="1" ht="12.75" x14ac:dyDescent="0.2">
      <c r="A647" s="152"/>
      <c r="B647" s="73"/>
      <c r="C647" s="51" t="s">
        <v>959</v>
      </c>
      <c r="D647" s="89" t="s">
        <v>513</v>
      </c>
      <c r="E647" s="89"/>
      <c r="F647" s="89"/>
      <c r="G647" s="89"/>
      <c r="H647" s="89"/>
      <c r="I647" s="89"/>
      <c r="J647" s="212"/>
      <c r="K647" s="212"/>
      <c r="L647" s="212"/>
      <c r="M647" s="212"/>
      <c r="N647" s="212">
        <f t="shared" si="27"/>
        <v>0</v>
      </c>
    </row>
    <row r="648" spans="1:14" s="407" customFormat="1" ht="12.75" x14ac:dyDescent="0.2">
      <c r="A648" s="152"/>
      <c r="B648" s="73"/>
      <c r="C648" s="51" t="s">
        <v>964</v>
      </c>
      <c r="D648" s="89" t="s">
        <v>513</v>
      </c>
      <c r="E648" s="89"/>
      <c r="F648" s="89"/>
      <c r="G648" s="89"/>
      <c r="H648" s="89"/>
      <c r="I648" s="89"/>
      <c r="J648" s="212"/>
      <c r="K648" s="212"/>
      <c r="L648" s="212"/>
      <c r="M648" s="212"/>
      <c r="N648" s="212">
        <f t="shared" si="27"/>
        <v>0</v>
      </c>
    </row>
    <row r="649" spans="1:14" s="407" customFormat="1" ht="12.75" x14ac:dyDescent="0.2">
      <c r="A649" s="152"/>
      <c r="B649" s="73"/>
      <c r="C649" s="51" t="s">
        <v>1003</v>
      </c>
      <c r="D649" s="89" t="s">
        <v>513</v>
      </c>
      <c r="E649" s="89"/>
      <c r="F649" s="89"/>
      <c r="G649" s="89"/>
      <c r="H649" s="89"/>
      <c r="I649" s="89"/>
      <c r="J649" s="212"/>
      <c r="K649" s="212"/>
      <c r="L649" s="212"/>
      <c r="M649" s="212"/>
      <c r="N649" s="212">
        <f t="shared" ref="N649:N712" si="28">SUMIFS(N$26:N$154,$C$26:$C$154,$C649,$D$26:$D$154,$D649)</f>
        <v>0</v>
      </c>
    </row>
    <row r="650" spans="1:14" s="407" customFormat="1" ht="12.75" x14ac:dyDescent="0.2">
      <c r="A650" s="152"/>
      <c r="B650" s="73"/>
      <c r="C650" s="51" t="s">
        <v>992</v>
      </c>
      <c r="D650" s="89" t="s">
        <v>513</v>
      </c>
      <c r="E650" s="89"/>
      <c r="F650" s="89"/>
      <c r="G650" s="89"/>
      <c r="H650" s="89"/>
      <c r="I650" s="89"/>
      <c r="J650" s="212"/>
      <c r="K650" s="212"/>
      <c r="L650" s="212"/>
      <c r="M650" s="212"/>
      <c r="N650" s="212">
        <f t="shared" si="28"/>
        <v>0</v>
      </c>
    </row>
    <row r="651" spans="1:14" s="407" customFormat="1" ht="12.75" x14ac:dyDescent="0.2">
      <c r="A651" s="152"/>
      <c r="B651" s="73"/>
      <c r="C651" s="51" t="s">
        <v>994</v>
      </c>
      <c r="D651" s="89" t="s">
        <v>513</v>
      </c>
      <c r="E651" s="89"/>
      <c r="F651" s="89"/>
      <c r="G651" s="89"/>
      <c r="H651" s="89"/>
      <c r="I651" s="89"/>
      <c r="J651" s="212"/>
      <c r="K651" s="212"/>
      <c r="L651" s="212"/>
      <c r="M651" s="212"/>
      <c r="N651" s="212">
        <f t="shared" si="28"/>
        <v>0</v>
      </c>
    </row>
    <row r="652" spans="1:14" s="407" customFormat="1" ht="12.75" x14ac:dyDescent="0.2">
      <c r="A652" s="152"/>
      <c r="B652" s="73"/>
      <c r="C652" s="51" t="s">
        <v>993</v>
      </c>
      <c r="D652" s="89" t="s">
        <v>513</v>
      </c>
      <c r="E652" s="89"/>
      <c r="F652" s="89"/>
      <c r="G652" s="89"/>
      <c r="H652" s="89"/>
      <c r="I652" s="89"/>
      <c r="J652" s="212"/>
      <c r="K652" s="212"/>
      <c r="L652" s="212"/>
      <c r="M652" s="212"/>
      <c r="N652" s="212">
        <f t="shared" si="28"/>
        <v>0</v>
      </c>
    </row>
    <row r="653" spans="1:14" s="407" customFormat="1" ht="12.75" x14ac:dyDescent="0.2">
      <c r="A653" s="152"/>
      <c r="B653" s="73"/>
      <c r="C653" s="51" t="s">
        <v>995</v>
      </c>
      <c r="D653" s="89" t="s">
        <v>513</v>
      </c>
      <c r="E653" s="89"/>
      <c r="F653" s="89"/>
      <c r="G653" s="89"/>
      <c r="H653" s="89"/>
      <c r="I653" s="89"/>
      <c r="J653" s="212"/>
      <c r="K653" s="212"/>
      <c r="L653" s="212"/>
      <c r="M653" s="212"/>
      <c r="N653" s="212">
        <f t="shared" si="28"/>
        <v>0</v>
      </c>
    </row>
    <row r="654" spans="1:14" s="407" customFormat="1" ht="12.75" x14ac:dyDescent="0.2">
      <c r="A654" s="152"/>
      <c r="B654" s="73"/>
      <c r="C654" s="51" t="s">
        <v>1001</v>
      </c>
      <c r="D654" s="89" t="s">
        <v>513</v>
      </c>
      <c r="E654" s="89"/>
      <c r="F654" s="89"/>
      <c r="G654" s="89"/>
      <c r="H654" s="89"/>
      <c r="I654" s="89"/>
      <c r="J654" s="212"/>
      <c r="K654" s="212"/>
      <c r="L654" s="212"/>
      <c r="M654" s="212"/>
      <c r="N654" s="212">
        <f t="shared" si="28"/>
        <v>0</v>
      </c>
    </row>
    <row r="655" spans="1:14" s="407" customFormat="1" ht="12.75" x14ac:dyDescent="0.2">
      <c r="A655" s="152"/>
      <c r="B655" s="73"/>
      <c r="C655" s="51" t="s">
        <v>978</v>
      </c>
      <c r="D655" s="89" t="s">
        <v>513</v>
      </c>
      <c r="E655" s="89"/>
      <c r="F655" s="89"/>
      <c r="G655" s="89"/>
      <c r="H655" s="89"/>
      <c r="I655" s="89"/>
      <c r="J655" s="212"/>
      <c r="K655" s="212"/>
      <c r="L655" s="212"/>
      <c r="M655" s="212"/>
      <c r="N655" s="212">
        <f t="shared" si="28"/>
        <v>0</v>
      </c>
    </row>
    <row r="656" spans="1:14" s="407" customFormat="1" ht="12.75" x14ac:dyDescent="0.2">
      <c r="A656" s="152"/>
      <c r="B656" s="73"/>
      <c r="C656" s="51" t="s">
        <v>494</v>
      </c>
      <c r="D656" s="89" t="s">
        <v>513</v>
      </c>
      <c r="E656" s="89"/>
      <c r="F656" s="89"/>
      <c r="G656" s="89"/>
      <c r="H656" s="89"/>
      <c r="I656" s="89"/>
      <c r="J656" s="212"/>
      <c r="K656" s="212"/>
      <c r="L656" s="212"/>
      <c r="M656" s="212"/>
      <c r="N656" s="212">
        <f t="shared" si="28"/>
        <v>0</v>
      </c>
    </row>
    <row r="657" spans="1:14" s="407" customFormat="1" ht="12.75" x14ac:dyDescent="0.2">
      <c r="A657" s="152"/>
      <c r="B657" s="73"/>
      <c r="C657" s="51" t="s">
        <v>976</v>
      </c>
      <c r="D657" s="89" t="s">
        <v>513</v>
      </c>
      <c r="E657" s="89"/>
      <c r="F657" s="89"/>
      <c r="G657" s="89"/>
      <c r="H657" s="89"/>
      <c r="I657" s="89"/>
      <c r="J657" s="212"/>
      <c r="K657" s="212"/>
      <c r="L657" s="212"/>
      <c r="M657" s="212"/>
      <c r="N657" s="212">
        <f t="shared" si="28"/>
        <v>0</v>
      </c>
    </row>
    <row r="658" spans="1:14" s="407" customFormat="1" ht="12.75" x14ac:dyDescent="0.2">
      <c r="A658" s="152"/>
      <c r="B658" s="73"/>
      <c r="C658" s="51" t="s">
        <v>1002</v>
      </c>
      <c r="D658" s="89" t="s">
        <v>513</v>
      </c>
      <c r="E658" s="89"/>
      <c r="F658" s="89"/>
      <c r="G658" s="89"/>
      <c r="H658" s="89"/>
      <c r="I658" s="89"/>
      <c r="J658" s="212"/>
      <c r="K658" s="212"/>
      <c r="L658" s="212"/>
      <c r="M658" s="212"/>
      <c r="N658" s="212">
        <f t="shared" si="28"/>
        <v>0</v>
      </c>
    </row>
    <row r="659" spans="1:14" s="407" customFormat="1" ht="12.75" x14ac:dyDescent="0.2">
      <c r="A659" s="152"/>
      <c r="B659" s="73"/>
      <c r="C659" s="51" t="s">
        <v>1014</v>
      </c>
      <c r="D659" s="89" t="s">
        <v>513</v>
      </c>
      <c r="E659" s="89"/>
      <c r="F659" s="89"/>
      <c r="G659" s="89"/>
      <c r="H659" s="89"/>
      <c r="I659" s="89"/>
      <c r="J659" s="212"/>
      <c r="K659" s="212"/>
      <c r="L659" s="212"/>
      <c r="M659" s="212"/>
      <c r="N659" s="212">
        <f t="shared" si="28"/>
        <v>0</v>
      </c>
    </row>
    <row r="660" spans="1:14" s="407" customFormat="1" ht="12.75" x14ac:dyDescent="0.2">
      <c r="A660" s="152"/>
      <c r="B660" s="73"/>
      <c r="C660" s="51" t="s">
        <v>998</v>
      </c>
      <c r="D660" s="89" t="s">
        <v>513</v>
      </c>
      <c r="E660" s="89"/>
      <c r="F660" s="89"/>
      <c r="G660" s="89"/>
      <c r="H660" s="89"/>
      <c r="I660" s="89"/>
      <c r="J660" s="212"/>
      <c r="K660" s="212"/>
      <c r="L660" s="212"/>
      <c r="M660" s="212"/>
      <c r="N660" s="212">
        <f t="shared" si="28"/>
        <v>0</v>
      </c>
    </row>
    <row r="661" spans="1:14" s="407" customFormat="1" ht="12.75" x14ac:dyDescent="0.2">
      <c r="A661" s="152"/>
      <c r="B661" s="73"/>
      <c r="C661" s="51" t="s">
        <v>996</v>
      </c>
      <c r="D661" s="89" t="s">
        <v>513</v>
      </c>
      <c r="E661" s="89"/>
      <c r="F661" s="89"/>
      <c r="G661" s="89"/>
      <c r="H661" s="89"/>
      <c r="I661" s="89"/>
      <c r="J661" s="212"/>
      <c r="K661" s="212"/>
      <c r="L661" s="212"/>
      <c r="M661" s="212"/>
      <c r="N661" s="212">
        <f t="shared" si="28"/>
        <v>0</v>
      </c>
    </row>
    <row r="662" spans="1:14" s="407" customFormat="1" ht="12.75" x14ac:dyDescent="0.2">
      <c r="A662" s="152"/>
      <c r="B662" s="73"/>
      <c r="C662" s="51" t="s">
        <v>1043</v>
      </c>
      <c r="D662" s="89" t="s">
        <v>513</v>
      </c>
      <c r="E662" s="89"/>
      <c r="F662" s="89"/>
      <c r="G662" s="89"/>
      <c r="H662" s="89"/>
      <c r="I662" s="89"/>
      <c r="J662" s="212"/>
      <c r="K662" s="212"/>
      <c r="L662" s="212"/>
      <c r="M662" s="212"/>
      <c r="N662" s="212">
        <f t="shared" si="28"/>
        <v>0</v>
      </c>
    </row>
    <row r="663" spans="1:14" s="407" customFormat="1" ht="12.75" x14ac:dyDescent="0.2">
      <c r="A663" s="152"/>
      <c r="B663" s="73"/>
      <c r="C663" s="51" t="s">
        <v>1044</v>
      </c>
      <c r="D663" s="89" t="s">
        <v>513</v>
      </c>
      <c r="E663" s="89"/>
      <c r="F663" s="89"/>
      <c r="G663" s="89"/>
      <c r="H663" s="89"/>
      <c r="I663" s="89"/>
      <c r="J663" s="212"/>
      <c r="K663" s="212"/>
      <c r="L663" s="212"/>
      <c r="M663" s="212"/>
      <c r="N663" s="212">
        <f t="shared" si="28"/>
        <v>50</v>
      </c>
    </row>
    <row r="664" spans="1:14" s="407" customFormat="1" ht="12.75" x14ac:dyDescent="0.2">
      <c r="A664" s="152"/>
      <c r="B664" s="73"/>
      <c r="C664" s="51" t="s">
        <v>1039</v>
      </c>
      <c r="D664" s="89" t="s">
        <v>513</v>
      </c>
      <c r="E664" s="89"/>
      <c r="F664" s="89"/>
      <c r="G664" s="89"/>
      <c r="H664" s="89"/>
      <c r="I664" s="89"/>
      <c r="J664" s="212"/>
      <c r="K664" s="212"/>
      <c r="L664" s="212"/>
      <c r="M664" s="212"/>
      <c r="N664" s="212">
        <f t="shared" si="28"/>
        <v>0</v>
      </c>
    </row>
    <row r="665" spans="1:14" s="407" customFormat="1" ht="12.75" x14ac:dyDescent="0.2">
      <c r="A665" s="152"/>
      <c r="B665" s="73"/>
      <c r="C665" s="51" t="s">
        <v>1028</v>
      </c>
      <c r="D665" s="89" t="s">
        <v>513</v>
      </c>
      <c r="E665" s="89"/>
      <c r="F665" s="89"/>
      <c r="G665" s="89"/>
      <c r="H665" s="89"/>
      <c r="I665" s="89"/>
      <c r="J665" s="212"/>
      <c r="K665" s="212"/>
      <c r="L665" s="212"/>
      <c r="M665" s="212"/>
      <c r="N665" s="212">
        <f t="shared" si="28"/>
        <v>0</v>
      </c>
    </row>
    <row r="666" spans="1:14" s="407" customFormat="1" ht="12.75" x14ac:dyDescent="0.2">
      <c r="A666" s="152"/>
      <c r="B666" s="73"/>
      <c r="C666" s="51" t="s">
        <v>1029</v>
      </c>
      <c r="D666" s="89" t="s">
        <v>513</v>
      </c>
      <c r="E666" s="89"/>
      <c r="F666" s="89"/>
      <c r="G666" s="89"/>
      <c r="H666" s="89"/>
      <c r="I666" s="89"/>
      <c r="J666" s="212"/>
      <c r="K666" s="212"/>
      <c r="L666" s="212"/>
      <c r="M666" s="212"/>
      <c r="N666" s="212">
        <f t="shared" si="28"/>
        <v>0</v>
      </c>
    </row>
    <row r="667" spans="1:14" s="407" customFormat="1" ht="12.75" x14ac:dyDescent="0.2">
      <c r="A667" s="152"/>
      <c r="B667" s="73"/>
      <c r="C667" s="51" t="s">
        <v>113</v>
      </c>
      <c r="D667" s="89" t="s">
        <v>513</v>
      </c>
      <c r="E667" s="89"/>
      <c r="F667" s="89"/>
      <c r="G667" s="89"/>
      <c r="H667" s="89"/>
      <c r="I667" s="89"/>
      <c r="J667" s="212"/>
      <c r="K667" s="212"/>
      <c r="L667" s="212"/>
      <c r="M667" s="212"/>
      <c r="N667" s="212">
        <f t="shared" si="28"/>
        <v>0</v>
      </c>
    </row>
    <row r="668" spans="1:14" s="407" customFormat="1" ht="12.75" x14ac:dyDescent="0.2">
      <c r="A668" s="152"/>
      <c r="B668" s="73"/>
      <c r="C668" s="51" t="s">
        <v>1038</v>
      </c>
      <c r="D668" s="89" t="s">
        <v>513</v>
      </c>
      <c r="E668" s="89"/>
      <c r="F668" s="89"/>
      <c r="G668" s="89"/>
      <c r="H668" s="89"/>
      <c r="I668" s="89"/>
      <c r="J668" s="212"/>
      <c r="K668" s="212"/>
      <c r="L668" s="212"/>
      <c r="M668" s="212"/>
      <c r="N668" s="212">
        <f t="shared" si="28"/>
        <v>0</v>
      </c>
    </row>
    <row r="669" spans="1:14" s="407" customFormat="1" ht="12.75" x14ac:dyDescent="0.2">
      <c r="A669" s="152"/>
      <c r="B669" s="73"/>
      <c r="C669" s="51" t="s">
        <v>1033</v>
      </c>
      <c r="D669" s="89" t="s">
        <v>513</v>
      </c>
      <c r="E669" s="89"/>
      <c r="F669" s="89"/>
      <c r="G669" s="89"/>
      <c r="H669" s="89"/>
      <c r="I669" s="89"/>
      <c r="J669" s="212"/>
      <c r="K669" s="212"/>
      <c r="L669" s="212"/>
      <c r="M669" s="212"/>
      <c r="N669" s="212">
        <f t="shared" si="28"/>
        <v>0</v>
      </c>
    </row>
    <row r="670" spans="1:14" s="407" customFormat="1" ht="12.75" x14ac:dyDescent="0.2">
      <c r="A670" s="152"/>
      <c r="B670" s="73"/>
      <c r="C670" s="51" t="s">
        <v>1007</v>
      </c>
      <c r="D670" s="89" t="s">
        <v>513</v>
      </c>
      <c r="E670" s="89"/>
      <c r="F670" s="89"/>
      <c r="G670" s="89"/>
      <c r="H670" s="89"/>
      <c r="I670" s="89"/>
      <c r="J670" s="212"/>
      <c r="K670" s="212"/>
      <c r="L670" s="212"/>
      <c r="M670" s="212"/>
      <c r="N670" s="212">
        <f t="shared" si="28"/>
        <v>0</v>
      </c>
    </row>
    <row r="671" spans="1:14" s="407" customFormat="1" ht="12.75" x14ac:dyDescent="0.2">
      <c r="A671" s="152"/>
      <c r="B671" s="73"/>
      <c r="C671" s="51" t="s">
        <v>969</v>
      </c>
      <c r="D671" s="89" t="s">
        <v>513</v>
      </c>
      <c r="E671" s="89"/>
      <c r="F671" s="89"/>
      <c r="G671" s="89"/>
      <c r="H671" s="89"/>
      <c r="I671" s="89"/>
      <c r="J671" s="212"/>
      <c r="K671" s="212"/>
      <c r="L671" s="212"/>
      <c r="M671" s="212"/>
      <c r="N671" s="212">
        <f t="shared" si="28"/>
        <v>0</v>
      </c>
    </row>
    <row r="672" spans="1:14" s="407" customFormat="1" ht="12.75" x14ac:dyDescent="0.2">
      <c r="A672" s="152"/>
      <c r="B672" s="73"/>
      <c r="C672" s="51" t="s">
        <v>987</v>
      </c>
      <c r="D672" s="89" t="s">
        <v>513</v>
      </c>
      <c r="E672" s="89"/>
      <c r="F672" s="89"/>
      <c r="G672" s="89"/>
      <c r="H672" s="89"/>
      <c r="I672" s="89"/>
      <c r="J672" s="212"/>
      <c r="K672" s="212"/>
      <c r="L672" s="212"/>
      <c r="M672" s="212"/>
      <c r="N672" s="212">
        <f t="shared" si="28"/>
        <v>0</v>
      </c>
    </row>
    <row r="673" spans="1:14" s="407" customFormat="1" ht="12.75" x14ac:dyDescent="0.2">
      <c r="A673" s="152"/>
      <c r="B673" s="73"/>
      <c r="C673" s="51" t="s">
        <v>1000</v>
      </c>
      <c r="D673" s="89" t="s">
        <v>513</v>
      </c>
      <c r="E673" s="89"/>
      <c r="F673" s="89"/>
      <c r="G673" s="89"/>
      <c r="H673" s="89"/>
      <c r="I673" s="89"/>
      <c r="J673" s="212"/>
      <c r="K673" s="212"/>
      <c r="L673" s="212"/>
      <c r="M673" s="212"/>
      <c r="N673" s="212">
        <f t="shared" si="28"/>
        <v>0</v>
      </c>
    </row>
    <row r="674" spans="1:14" s="407" customFormat="1" ht="12.75" x14ac:dyDescent="0.2">
      <c r="A674" s="152"/>
      <c r="B674" s="73"/>
      <c r="C674" s="51" t="s">
        <v>116</v>
      </c>
      <c r="D674" s="89" t="s">
        <v>513</v>
      </c>
      <c r="E674" s="89"/>
      <c r="F674" s="89"/>
      <c r="G674" s="89"/>
      <c r="H674" s="89"/>
      <c r="I674" s="89"/>
      <c r="J674" s="212"/>
      <c r="K674" s="212"/>
      <c r="L674" s="212"/>
      <c r="M674" s="212"/>
      <c r="N674" s="212">
        <f t="shared" si="28"/>
        <v>0</v>
      </c>
    </row>
    <row r="675" spans="1:14" s="407" customFormat="1" ht="12.75" x14ac:dyDescent="0.2">
      <c r="A675" s="152"/>
      <c r="B675" s="73"/>
      <c r="C675" s="51" t="s">
        <v>114</v>
      </c>
      <c r="D675" s="89" t="s">
        <v>513</v>
      </c>
      <c r="E675" s="89"/>
      <c r="F675" s="89"/>
      <c r="G675" s="89"/>
      <c r="H675" s="89"/>
      <c r="I675" s="89"/>
      <c r="J675" s="212"/>
      <c r="K675" s="212"/>
      <c r="L675" s="212"/>
      <c r="M675" s="212"/>
      <c r="N675" s="212">
        <f t="shared" si="28"/>
        <v>0</v>
      </c>
    </row>
    <row r="676" spans="1:14" s="407" customFormat="1" ht="12.75" x14ac:dyDescent="0.2">
      <c r="A676" s="152"/>
      <c r="B676" s="73"/>
      <c r="C676" s="51" t="s">
        <v>111</v>
      </c>
      <c r="D676" s="89" t="s">
        <v>513</v>
      </c>
      <c r="E676" s="89"/>
      <c r="F676" s="89"/>
      <c r="G676" s="89"/>
      <c r="H676" s="89"/>
      <c r="I676" s="89"/>
      <c r="J676" s="212"/>
      <c r="K676" s="212"/>
      <c r="L676" s="212"/>
      <c r="M676" s="212"/>
      <c r="N676" s="212">
        <f t="shared" si="28"/>
        <v>0</v>
      </c>
    </row>
    <row r="677" spans="1:14" s="407" customFormat="1" ht="12.75" x14ac:dyDescent="0.2">
      <c r="A677" s="152"/>
      <c r="B677" s="73"/>
      <c r="C677" s="51" t="s">
        <v>117</v>
      </c>
      <c r="D677" s="89" t="s">
        <v>513</v>
      </c>
      <c r="E677" s="89"/>
      <c r="F677" s="89"/>
      <c r="G677" s="89"/>
      <c r="H677" s="89"/>
      <c r="I677" s="89"/>
      <c r="J677" s="212"/>
      <c r="K677" s="212"/>
      <c r="L677" s="212"/>
      <c r="M677" s="212"/>
      <c r="N677" s="212">
        <f t="shared" si="28"/>
        <v>0</v>
      </c>
    </row>
    <row r="678" spans="1:14" s="407" customFormat="1" ht="12.75" x14ac:dyDescent="0.2">
      <c r="A678" s="152"/>
      <c r="B678" s="73"/>
      <c r="C678" s="51" t="s">
        <v>112</v>
      </c>
      <c r="D678" s="89" t="s">
        <v>513</v>
      </c>
      <c r="E678" s="89"/>
      <c r="F678" s="89"/>
      <c r="G678" s="89"/>
      <c r="H678" s="89"/>
      <c r="I678" s="89"/>
      <c r="J678" s="212"/>
      <c r="K678" s="212"/>
      <c r="L678" s="212"/>
      <c r="M678" s="212"/>
      <c r="N678" s="212">
        <f t="shared" si="28"/>
        <v>0</v>
      </c>
    </row>
    <row r="679" spans="1:14" s="407" customFormat="1" ht="12.75" x14ac:dyDescent="0.2">
      <c r="A679" s="152"/>
      <c r="B679" s="73"/>
      <c r="C679" s="51" t="s">
        <v>136</v>
      </c>
      <c r="D679" s="89" t="s">
        <v>513</v>
      </c>
      <c r="E679" s="89"/>
      <c r="F679" s="89"/>
      <c r="G679" s="89"/>
      <c r="H679" s="89"/>
      <c r="I679" s="89"/>
      <c r="J679" s="212"/>
      <c r="K679" s="212"/>
      <c r="L679" s="212"/>
      <c r="M679" s="212"/>
      <c r="N679" s="212">
        <f t="shared" si="28"/>
        <v>0</v>
      </c>
    </row>
    <row r="680" spans="1:14" s="407" customFormat="1" ht="12.75" x14ac:dyDescent="0.2">
      <c r="A680" s="152"/>
      <c r="B680" s="73"/>
      <c r="C680" s="51" t="s">
        <v>962</v>
      </c>
      <c r="D680" s="89" t="s">
        <v>513</v>
      </c>
      <c r="E680" s="89"/>
      <c r="F680" s="89"/>
      <c r="G680" s="89"/>
      <c r="H680" s="89"/>
      <c r="I680" s="89"/>
      <c r="J680" s="212"/>
      <c r="K680" s="212"/>
      <c r="L680" s="212"/>
      <c r="M680" s="212"/>
      <c r="N680" s="212">
        <f t="shared" si="28"/>
        <v>0</v>
      </c>
    </row>
    <row r="681" spans="1:14" s="407" customFormat="1" ht="12.75" x14ac:dyDescent="0.2">
      <c r="A681" s="152"/>
      <c r="B681" s="73"/>
      <c r="C681" s="51" t="s">
        <v>115</v>
      </c>
      <c r="D681" s="89" t="s">
        <v>513</v>
      </c>
      <c r="E681" s="89"/>
      <c r="F681" s="89"/>
      <c r="G681" s="89"/>
      <c r="H681" s="89"/>
      <c r="I681" s="89"/>
      <c r="J681" s="212"/>
      <c r="K681" s="212"/>
      <c r="L681" s="212"/>
      <c r="M681" s="212"/>
      <c r="N681" s="212">
        <f t="shared" si="28"/>
        <v>0</v>
      </c>
    </row>
    <row r="682" spans="1:14" s="407" customFormat="1" ht="12.75" x14ac:dyDescent="0.2">
      <c r="A682" s="152"/>
      <c r="B682" s="73"/>
      <c r="C682" s="51" t="s">
        <v>997</v>
      </c>
      <c r="D682" s="89" t="s">
        <v>513</v>
      </c>
      <c r="E682" s="89"/>
      <c r="F682" s="89"/>
      <c r="G682" s="89"/>
      <c r="H682" s="89"/>
      <c r="I682" s="89"/>
      <c r="J682" s="212"/>
      <c r="K682" s="212"/>
      <c r="L682" s="212"/>
      <c r="M682" s="212"/>
      <c r="N682" s="212">
        <f t="shared" si="28"/>
        <v>0</v>
      </c>
    </row>
    <row r="683" spans="1:14" s="407" customFormat="1" ht="12.75" x14ac:dyDescent="0.2">
      <c r="A683" s="152"/>
      <c r="B683" s="73"/>
      <c r="C683" s="51" t="s">
        <v>999</v>
      </c>
      <c r="D683" s="89" t="s">
        <v>513</v>
      </c>
      <c r="E683" s="89"/>
      <c r="F683" s="89"/>
      <c r="G683" s="89"/>
      <c r="H683" s="89"/>
      <c r="I683" s="89"/>
      <c r="J683" s="212"/>
      <c r="K683" s="212"/>
      <c r="L683" s="212"/>
      <c r="M683" s="212"/>
      <c r="N683" s="212">
        <f t="shared" si="28"/>
        <v>0</v>
      </c>
    </row>
    <row r="684" spans="1:14" s="407" customFormat="1" ht="12.75" x14ac:dyDescent="0.2">
      <c r="A684" s="152"/>
      <c r="B684" s="73"/>
      <c r="C684" s="51" t="s">
        <v>1049</v>
      </c>
      <c r="D684" s="89" t="s">
        <v>513</v>
      </c>
      <c r="E684" s="89"/>
      <c r="F684" s="89"/>
      <c r="G684" s="89"/>
      <c r="H684" s="89"/>
      <c r="I684" s="89"/>
      <c r="J684" s="212"/>
      <c r="K684" s="212"/>
      <c r="L684" s="212"/>
      <c r="M684" s="212"/>
      <c r="N684" s="212">
        <f t="shared" si="28"/>
        <v>0</v>
      </c>
    </row>
    <row r="685" spans="1:14" s="407" customFormat="1" ht="12.75" x14ac:dyDescent="0.2">
      <c r="A685" s="152"/>
      <c r="B685" s="73"/>
      <c r="C685" s="51" t="s">
        <v>96</v>
      </c>
      <c r="D685" s="89" t="s">
        <v>513</v>
      </c>
      <c r="E685" s="89"/>
      <c r="F685" s="89"/>
      <c r="G685" s="89"/>
      <c r="H685" s="89"/>
      <c r="I685" s="89"/>
      <c r="J685" s="212"/>
      <c r="K685" s="212"/>
      <c r="L685" s="212"/>
      <c r="M685" s="212"/>
      <c r="N685" s="212">
        <f t="shared" si="28"/>
        <v>0</v>
      </c>
    </row>
    <row r="686" spans="1:14" s="407" customFormat="1" ht="12.75" x14ac:dyDescent="0.2">
      <c r="A686" s="152"/>
      <c r="B686" s="73"/>
      <c r="C686" s="51" t="s">
        <v>983</v>
      </c>
      <c r="D686" s="89" t="s">
        <v>513</v>
      </c>
      <c r="E686" s="89"/>
      <c r="F686" s="89"/>
      <c r="G686" s="89"/>
      <c r="H686" s="89"/>
      <c r="I686" s="89"/>
      <c r="J686" s="212"/>
      <c r="K686" s="212"/>
      <c r="L686" s="212"/>
      <c r="M686" s="212"/>
      <c r="N686" s="212">
        <f t="shared" si="28"/>
        <v>0</v>
      </c>
    </row>
    <row r="687" spans="1:14" s="407" customFormat="1" ht="12.75" x14ac:dyDescent="0.2">
      <c r="A687" s="152"/>
      <c r="B687" s="73"/>
      <c r="C687" s="51" t="s">
        <v>1042</v>
      </c>
      <c r="D687" s="89" t="s">
        <v>513</v>
      </c>
      <c r="E687" s="89"/>
      <c r="F687" s="89"/>
      <c r="G687" s="89"/>
      <c r="H687" s="89"/>
      <c r="I687" s="89"/>
      <c r="J687" s="212"/>
      <c r="K687" s="212"/>
      <c r="L687" s="212"/>
      <c r="M687" s="212"/>
      <c r="N687" s="212">
        <f t="shared" si="28"/>
        <v>0</v>
      </c>
    </row>
    <row r="688" spans="1:14" s="407" customFormat="1" ht="12.75" x14ac:dyDescent="0.2">
      <c r="A688" s="152"/>
      <c r="B688" s="73"/>
      <c r="C688" s="51" t="s">
        <v>979</v>
      </c>
      <c r="D688" s="89" t="s">
        <v>513</v>
      </c>
      <c r="E688" s="89"/>
      <c r="F688" s="89"/>
      <c r="G688" s="89"/>
      <c r="H688" s="89"/>
      <c r="I688" s="89"/>
      <c r="J688" s="212"/>
      <c r="K688" s="212"/>
      <c r="L688" s="212"/>
      <c r="M688" s="212"/>
      <c r="N688" s="212">
        <f t="shared" si="28"/>
        <v>0</v>
      </c>
    </row>
    <row r="689" spans="1:14" s="407" customFormat="1" ht="12.75" x14ac:dyDescent="0.2">
      <c r="A689" s="152"/>
      <c r="B689" s="73"/>
      <c r="C689" s="51" t="s">
        <v>47</v>
      </c>
      <c r="D689" s="89" t="s">
        <v>513</v>
      </c>
      <c r="E689" s="89"/>
      <c r="F689" s="89"/>
      <c r="G689" s="89"/>
      <c r="H689" s="89"/>
      <c r="I689" s="89"/>
      <c r="J689" s="212"/>
      <c r="K689" s="212"/>
      <c r="L689" s="212"/>
      <c r="M689" s="212"/>
      <c r="N689" s="212">
        <f t="shared" si="28"/>
        <v>0</v>
      </c>
    </row>
    <row r="690" spans="1:14" s="407" customFormat="1" ht="12.75" x14ac:dyDescent="0.2">
      <c r="A690" s="152"/>
      <c r="B690" s="73"/>
      <c r="C690" s="51" t="s">
        <v>48</v>
      </c>
      <c r="D690" s="89" t="s">
        <v>513</v>
      </c>
      <c r="E690" s="89"/>
      <c r="F690" s="89"/>
      <c r="G690" s="89"/>
      <c r="H690" s="89"/>
      <c r="I690" s="89"/>
      <c r="J690" s="212"/>
      <c r="K690" s="212"/>
      <c r="L690" s="212"/>
      <c r="M690" s="212"/>
      <c r="N690" s="212">
        <f t="shared" si="28"/>
        <v>0</v>
      </c>
    </row>
    <row r="691" spans="1:14" s="407" customFormat="1" ht="12.75" x14ac:dyDescent="0.2">
      <c r="A691" s="152"/>
      <c r="B691" s="73"/>
      <c r="C691" s="51" t="s">
        <v>1051</v>
      </c>
      <c r="D691" s="89" t="s">
        <v>513</v>
      </c>
      <c r="E691" s="89"/>
      <c r="F691" s="89"/>
      <c r="G691" s="89"/>
      <c r="H691" s="89"/>
      <c r="I691" s="89"/>
      <c r="J691" s="212"/>
      <c r="K691" s="212"/>
      <c r="L691" s="212"/>
      <c r="M691" s="212"/>
      <c r="N691" s="212">
        <f t="shared" si="28"/>
        <v>0</v>
      </c>
    </row>
    <row r="692" spans="1:14" s="407" customFormat="1" ht="12.75" x14ac:dyDescent="0.2">
      <c r="A692" s="152"/>
      <c r="B692" s="73"/>
      <c r="C692" s="51" t="s">
        <v>929</v>
      </c>
      <c r="D692" s="89" t="s">
        <v>513</v>
      </c>
      <c r="E692" s="89"/>
      <c r="F692" s="89"/>
      <c r="G692" s="89"/>
      <c r="H692" s="89"/>
      <c r="I692" s="89"/>
      <c r="J692" s="212"/>
      <c r="K692" s="212"/>
      <c r="L692" s="212"/>
      <c r="M692" s="212"/>
      <c r="N692" s="212">
        <f t="shared" si="28"/>
        <v>0</v>
      </c>
    </row>
    <row r="693" spans="1:14" s="407" customFormat="1" ht="12.75" x14ac:dyDescent="0.2">
      <c r="A693" s="152"/>
      <c r="B693" s="73"/>
      <c r="C693" s="51" t="s">
        <v>970</v>
      </c>
      <c r="D693" s="89" t="s">
        <v>513</v>
      </c>
      <c r="E693" s="89"/>
      <c r="F693" s="89"/>
      <c r="G693" s="89"/>
      <c r="H693" s="89"/>
      <c r="I693" s="89"/>
      <c r="J693" s="212"/>
      <c r="K693" s="212"/>
      <c r="L693" s="212"/>
      <c r="M693" s="212"/>
      <c r="N693" s="212">
        <f t="shared" si="28"/>
        <v>0</v>
      </c>
    </row>
    <row r="694" spans="1:14" s="407" customFormat="1" ht="12.75" x14ac:dyDescent="0.2">
      <c r="A694" s="152"/>
      <c r="B694" s="73"/>
      <c r="C694" s="51" t="s">
        <v>122</v>
      </c>
      <c r="D694" s="89" t="s">
        <v>513</v>
      </c>
      <c r="E694" s="89"/>
      <c r="F694" s="89"/>
      <c r="G694" s="89"/>
      <c r="H694" s="89"/>
      <c r="I694" s="89"/>
      <c r="J694" s="212"/>
      <c r="K694" s="212"/>
      <c r="L694" s="212"/>
      <c r="M694" s="212"/>
      <c r="N694" s="212">
        <f t="shared" si="28"/>
        <v>0</v>
      </c>
    </row>
    <row r="695" spans="1:14" s="407" customFormat="1" ht="12.75" x14ac:dyDescent="0.2">
      <c r="A695" s="152"/>
      <c r="B695" s="73"/>
      <c r="C695" s="51" t="s">
        <v>135</v>
      </c>
      <c r="D695" s="89" t="s">
        <v>513</v>
      </c>
      <c r="E695" s="89"/>
      <c r="F695" s="89"/>
      <c r="G695" s="89"/>
      <c r="H695" s="89"/>
      <c r="I695" s="89"/>
      <c r="J695" s="212"/>
      <c r="K695" s="212"/>
      <c r="L695" s="212"/>
      <c r="M695" s="212"/>
      <c r="N695" s="212">
        <f t="shared" si="28"/>
        <v>0</v>
      </c>
    </row>
    <row r="696" spans="1:14" s="407" customFormat="1" ht="12.75" x14ac:dyDescent="0.2">
      <c r="A696" s="152"/>
      <c r="B696" s="73"/>
      <c r="C696" s="51" t="s">
        <v>123</v>
      </c>
      <c r="D696" s="89" t="s">
        <v>513</v>
      </c>
      <c r="E696" s="89"/>
      <c r="F696" s="89"/>
      <c r="G696" s="89"/>
      <c r="H696" s="89"/>
      <c r="I696" s="89"/>
      <c r="J696" s="212"/>
      <c r="K696" s="212"/>
      <c r="L696" s="212"/>
      <c r="M696" s="212"/>
      <c r="N696" s="212">
        <f t="shared" si="28"/>
        <v>0</v>
      </c>
    </row>
    <row r="697" spans="1:14" s="407" customFormat="1" ht="12.75" x14ac:dyDescent="0.2">
      <c r="A697" s="152"/>
      <c r="B697" s="73"/>
      <c r="C697" s="51" t="s">
        <v>974</v>
      </c>
      <c r="D697" s="89" t="s">
        <v>513</v>
      </c>
      <c r="E697" s="89"/>
      <c r="F697" s="89"/>
      <c r="G697" s="89"/>
      <c r="H697" s="89"/>
      <c r="I697" s="89"/>
      <c r="J697" s="212"/>
      <c r="K697" s="212"/>
      <c r="L697" s="212"/>
      <c r="M697" s="212"/>
      <c r="N697" s="212">
        <f t="shared" si="28"/>
        <v>0</v>
      </c>
    </row>
    <row r="698" spans="1:14" s="407" customFormat="1" ht="12.75" x14ac:dyDescent="0.2">
      <c r="A698" s="152"/>
      <c r="B698" s="73"/>
      <c r="C698" s="51" t="s">
        <v>975</v>
      </c>
      <c r="D698" s="89" t="s">
        <v>513</v>
      </c>
      <c r="E698" s="89"/>
      <c r="F698" s="89"/>
      <c r="G698" s="89"/>
      <c r="H698" s="89"/>
      <c r="I698" s="89"/>
      <c r="J698" s="212"/>
      <c r="K698" s="212"/>
      <c r="L698" s="212"/>
      <c r="M698" s="212"/>
      <c r="N698" s="212">
        <f t="shared" si="28"/>
        <v>0</v>
      </c>
    </row>
    <row r="699" spans="1:14" s="407" customFormat="1" ht="12.75" x14ac:dyDescent="0.2">
      <c r="A699" s="152"/>
      <c r="B699" s="73"/>
      <c r="C699" s="51" t="s">
        <v>126</v>
      </c>
      <c r="D699" s="89" t="s">
        <v>513</v>
      </c>
      <c r="E699" s="89"/>
      <c r="F699" s="89"/>
      <c r="G699" s="89"/>
      <c r="H699" s="89"/>
      <c r="I699" s="89"/>
      <c r="J699" s="212"/>
      <c r="K699" s="212"/>
      <c r="L699" s="212"/>
      <c r="M699" s="212"/>
      <c r="N699" s="212">
        <f t="shared" si="28"/>
        <v>0</v>
      </c>
    </row>
    <row r="700" spans="1:14" s="407" customFormat="1" ht="12.75" x14ac:dyDescent="0.2">
      <c r="A700" s="152"/>
      <c r="B700" s="73"/>
      <c r="C700" s="51" t="s">
        <v>127</v>
      </c>
      <c r="D700" s="89" t="s">
        <v>513</v>
      </c>
      <c r="E700" s="89"/>
      <c r="F700" s="89"/>
      <c r="G700" s="89"/>
      <c r="H700" s="89"/>
      <c r="I700" s="89"/>
      <c r="J700" s="212"/>
      <c r="K700" s="212"/>
      <c r="L700" s="212"/>
      <c r="M700" s="212"/>
      <c r="N700" s="212">
        <f t="shared" si="28"/>
        <v>0</v>
      </c>
    </row>
    <row r="701" spans="1:14" s="407" customFormat="1" ht="12.75" x14ac:dyDescent="0.2">
      <c r="A701" s="152"/>
      <c r="B701" s="73"/>
      <c r="C701" s="51" t="s">
        <v>130</v>
      </c>
      <c r="D701" s="89" t="s">
        <v>513</v>
      </c>
      <c r="E701" s="89"/>
      <c r="F701" s="89"/>
      <c r="G701" s="89"/>
      <c r="H701" s="89"/>
      <c r="I701" s="89"/>
      <c r="J701" s="212"/>
      <c r="K701" s="212"/>
      <c r="L701" s="212"/>
      <c r="M701" s="212"/>
      <c r="N701" s="212">
        <f t="shared" si="28"/>
        <v>0</v>
      </c>
    </row>
    <row r="702" spans="1:14" s="407" customFormat="1" ht="12.75" x14ac:dyDescent="0.2">
      <c r="A702" s="152"/>
      <c r="B702" s="73"/>
      <c r="C702" s="51" t="s">
        <v>125</v>
      </c>
      <c r="D702" s="89" t="s">
        <v>513</v>
      </c>
      <c r="E702" s="89"/>
      <c r="F702" s="89"/>
      <c r="G702" s="89"/>
      <c r="H702" s="89"/>
      <c r="I702" s="89"/>
      <c r="J702" s="212"/>
      <c r="K702" s="212"/>
      <c r="L702" s="212"/>
      <c r="M702" s="212"/>
      <c r="N702" s="212">
        <f t="shared" si="28"/>
        <v>0</v>
      </c>
    </row>
    <row r="703" spans="1:14" s="407" customFormat="1" ht="12.75" x14ac:dyDescent="0.2">
      <c r="A703" s="152"/>
      <c r="B703" s="73"/>
      <c r="C703" s="51" t="s">
        <v>128</v>
      </c>
      <c r="D703" s="89" t="s">
        <v>513</v>
      </c>
      <c r="E703" s="89"/>
      <c r="F703" s="89"/>
      <c r="G703" s="89"/>
      <c r="H703" s="89"/>
      <c r="I703" s="89"/>
      <c r="J703" s="212"/>
      <c r="K703" s="212"/>
      <c r="L703" s="212"/>
      <c r="M703" s="212"/>
      <c r="N703" s="212">
        <f t="shared" si="28"/>
        <v>0</v>
      </c>
    </row>
    <row r="704" spans="1:14" s="407" customFormat="1" ht="12.75" x14ac:dyDescent="0.2">
      <c r="A704" s="152"/>
      <c r="B704" s="73"/>
      <c r="C704" s="51" t="s">
        <v>1016</v>
      </c>
      <c r="D704" s="89" t="s">
        <v>513</v>
      </c>
      <c r="E704" s="89"/>
      <c r="F704" s="89"/>
      <c r="G704" s="89"/>
      <c r="H704" s="89"/>
      <c r="I704" s="89"/>
      <c r="J704" s="212"/>
      <c r="K704" s="212"/>
      <c r="L704" s="212"/>
      <c r="M704" s="212"/>
      <c r="N704" s="212">
        <f t="shared" si="28"/>
        <v>0</v>
      </c>
    </row>
    <row r="705" spans="1:14" s="407" customFormat="1" ht="12.75" x14ac:dyDescent="0.2">
      <c r="A705" s="152"/>
      <c r="B705" s="73"/>
      <c r="C705" s="51" t="s">
        <v>1015</v>
      </c>
      <c r="D705" s="89" t="s">
        <v>513</v>
      </c>
      <c r="E705" s="89"/>
      <c r="F705" s="89"/>
      <c r="G705" s="89"/>
      <c r="H705" s="89"/>
      <c r="I705" s="89"/>
      <c r="J705" s="212"/>
      <c r="K705" s="212"/>
      <c r="L705" s="212"/>
      <c r="M705" s="212"/>
      <c r="N705" s="212">
        <f t="shared" si="28"/>
        <v>0</v>
      </c>
    </row>
    <row r="706" spans="1:14" s="407" customFormat="1" ht="12.75" x14ac:dyDescent="0.2">
      <c r="A706" s="152"/>
      <c r="B706" s="73"/>
      <c r="C706" s="51" t="s">
        <v>930</v>
      </c>
      <c r="D706" s="89" t="s">
        <v>513</v>
      </c>
      <c r="E706" s="89"/>
      <c r="F706" s="89"/>
      <c r="G706" s="89"/>
      <c r="H706" s="89"/>
      <c r="I706" s="89"/>
      <c r="J706" s="212"/>
      <c r="K706" s="212"/>
      <c r="L706" s="212"/>
      <c r="M706" s="212"/>
      <c r="N706" s="212">
        <f t="shared" si="28"/>
        <v>0</v>
      </c>
    </row>
    <row r="707" spans="1:14" s="407" customFormat="1" ht="12.75" x14ac:dyDescent="0.2">
      <c r="A707" s="152"/>
      <c r="B707" s="73"/>
      <c r="C707" s="51" t="s">
        <v>931</v>
      </c>
      <c r="D707" s="89" t="s">
        <v>513</v>
      </c>
      <c r="E707" s="89"/>
      <c r="F707" s="89"/>
      <c r="G707" s="89"/>
      <c r="H707" s="89"/>
      <c r="I707" s="89"/>
      <c r="J707" s="212"/>
      <c r="K707" s="212"/>
      <c r="L707" s="212"/>
      <c r="M707" s="212"/>
      <c r="N707" s="212">
        <f t="shared" si="28"/>
        <v>0</v>
      </c>
    </row>
    <row r="708" spans="1:14" s="407" customFormat="1" ht="12.75" x14ac:dyDescent="0.2">
      <c r="A708" s="152"/>
      <c r="B708" s="73"/>
      <c r="C708" s="51" t="s">
        <v>926</v>
      </c>
      <c r="D708" s="89" t="s">
        <v>513</v>
      </c>
      <c r="E708" s="89"/>
      <c r="F708" s="89"/>
      <c r="G708" s="89"/>
      <c r="H708" s="89"/>
      <c r="I708" s="89"/>
      <c r="J708" s="212"/>
      <c r="K708" s="212"/>
      <c r="L708" s="212"/>
      <c r="M708" s="212"/>
      <c r="N708" s="212">
        <f t="shared" si="28"/>
        <v>0</v>
      </c>
    </row>
    <row r="709" spans="1:14" s="407" customFormat="1" ht="12.75" x14ac:dyDescent="0.2">
      <c r="A709" s="152"/>
      <c r="B709" s="73"/>
      <c r="C709" s="51" t="s">
        <v>110</v>
      </c>
      <c r="D709" s="89" t="s">
        <v>513</v>
      </c>
      <c r="E709" s="89"/>
      <c r="F709" s="89"/>
      <c r="G709" s="89"/>
      <c r="H709" s="89"/>
      <c r="I709" s="89"/>
      <c r="J709" s="212"/>
      <c r="K709" s="212"/>
      <c r="L709" s="212"/>
      <c r="M709" s="212"/>
      <c r="N709" s="212">
        <f t="shared" si="28"/>
        <v>0</v>
      </c>
    </row>
    <row r="710" spans="1:14" s="407" customFormat="1" ht="12.75" x14ac:dyDescent="0.2">
      <c r="A710" s="152"/>
      <c r="B710" s="73"/>
      <c r="C710" s="51" t="s">
        <v>133</v>
      </c>
      <c r="D710" s="89" t="s">
        <v>513</v>
      </c>
      <c r="E710" s="89"/>
      <c r="F710" s="89"/>
      <c r="G710" s="89"/>
      <c r="H710" s="89"/>
      <c r="I710" s="89"/>
      <c r="J710" s="212"/>
      <c r="K710" s="212"/>
      <c r="L710" s="212"/>
      <c r="M710" s="212"/>
      <c r="N710" s="212">
        <f t="shared" si="28"/>
        <v>0</v>
      </c>
    </row>
    <row r="711" spans="1:14" s="407" customFormat="1" ht="12.75" x14ac:dyDescent="0.2">
      <c r="A711" s="152"/>
      <c r="B711" s="73"/>
      <c r="C711" s="51" t="s">
        <v>134</v>
      </c>
      <c r="D711" s="89" t="s">
        <v>513</v>
      </c>
      <c r="E711" s="89"/>
      <c r="F711" s="89"/>
      <c r="G711" s="89"/>
      <c r="H711" s="89"/>
      <c r="I711" s="89"/>
      <c r="J711" s="212"/>
      <c r="K711" s="212"/>
      <c r="L711" s="212"/>
      <c r="M711" s="212"/>
      <c r="N711" s="212">
        <f t="shared" si="28"/>
        <v>0</v>
      </c>
    </row>
    <row r="712" spans="1:14" s="407" customFormat="1" ht="12.75" x14ac:dyDescent="0.2">
      <c r="A712" s="152"/>
      <c r="B712" s="73"/>
      <c r="C712" s="51" t="s">
        <v>138</v>
      </c>
      <c r="D712" s="89" t="s">
        <v>513</v>
      </c>
      <c r="E712" s="89"/>
      <c r="F712" s="89"/>
      <c r="G712" s="89"/>
      <c r="H712" s="89"/>
      <c r="I712" s="89"/>
      <c r="J712" s="212"/>
      <c r="K712" s="212"/>
      <c r="L712" s="212"/>
      <c r="M712" s="212"/>
      <c r="N712" s="212">
        <f t="shared" si="28"/>
        <v>0</v>
      </c>
    </row>
    <row r="713" spans="1:14" s="407" customFormat="1" ht="12.75" x14ac:dyDescent="0.2">
      <c r="A713" s="152"/>
      <c r="B713" s="73"/>
      <c r="C713" s="51" t="s">
        <v>106</v>
      </c>
      <c r="D713" s="89" t="s">
        <v>513</v>
      </c>
      <c r="E713" s="89"/>
      <c r="F713" s="89"/>
      <c r="G713" s="89"/>
      <c r="H713" s="89"/>
      <c r="I713" s="89"/>
      <c r="J713" s="212"/>
      <c r="K713" s="212"/>
      <c r="L713" s="212"/>
      <c r="M713" s="212"/>
      <c r="N713" s="212">
        <f t="shared" ref="N713:N776" si="29">SUMIFS(N$26:N$154,$C$26:$C$154,$C713,$D$26:$D$154,$D713)</f>
        <v>0</v>
      </c>
    </row>
    <row r="714" spans="1:14" s="407" customFormat="1" ht="12.75" x14ac:dyDescent="0.2">
      <c r="A714" s="152"/>
      <c r="B714" s="73"/>
      <c r="C714" s="51" t="s">
        <v>1024</v>
      </c>
      <c r="D714" s="89" t="s">
        <v>513</v>
      </c>
      <c r="E714" s="89"/>
      <c r="F714" s="89"/>
      <c r="G714" s="89"/>
      <c r="H714" s="89"/>
      <c r="I714" s="89"/>
      <c r="J714" s="212"/>
      <c r="K714" s="212"/>
      <c r="L714" s="212"/>
      <c r="M714" s="212"/>
      <c r="N714" s="212">
        <f t="shared" si="29"/>
        <v>0</v>
      </c>
    </row>
    <row r="715" spans="1:14" s="407" customFormat="1" ht="12.75" x14ac:dyDescent="0.2">
      <c r="A715" s="152"/>
      <c r="B715" s="73"/>
      <c r="C715" s="51" t="s">
        <v>1025</v>
      </c>
      <c r="D715" s="89" t="s">
        <v>513</v>
      </c>
      <c r="E715" s="89"/>
      <c r="F715" s="89"/>
      <c r="G715" s="89"/>
      <c r="H715" s="89"/>
      <c r="I715" s="89"/>
      <c r="J715" s="212"/>
      <c r="K715" s="212"/>
      <c r="L715" s="212"/>
      <c r="M715" s="212"/>
      <c r="N715" s="212">
        <f t="shared" si="29"/>
        <v>0</v>
      </c>
    </row>
    <row r="716" spans="1:14" s="407" customFormat="1" ht="12.75" x14ac:dyDescent="0.2">
      <c r="A716" s="152"/>
      <c r="B716" s="73"/>
      <c r="C716" s="51" t="s">
        <v>960</v>
      </c>
      <c r="D716" s="89" t="s">
        <v>513</v>
      </c>
      <c r="E716" s="89"/>
      <c r="F716" s="89"/>
      <c r="G716" s="89"/>
      <c r="H716" s="89"/>
      <c r="I716" s="89"/>
      <c r="J716" s="212"/>
      <c r="K716" s="212"/>
      <c r="L716" s="212"/>
      <c r="M716" s="212"/>
      <c r="N716" s="212">
        <f t="shared" si="29"/>
        <v>0</v>
      </c>
    </row>
    <row r="717" spans="1:14" s="407" customFormat="1" ht="12.75" x14ac:dyDescent="0.2">
      <c r="A717" s="152"/>
      <c r="B717" s="73"/>
      <c r="C717" s="51" t="s">
        <v>961</v>
      </c>
      <c r="D717" s="89" t="s">
        <v>513</v>
      </c>
      <c r="E717" s="89"/>
      <c r="F717" s="89"/>
      <c r="G717" s="89"/>
      <c r="H717" s="89"/>
      <c r="I717" s="89"/>
      <c r="J717" s="212"/>
      <c r="K717" s="212"/>
      <c r="L717" s="212"/>
      <c r="M717" s="212"/>
      <c r="N717" s="212">
        <f t="shared" si="29"/>
        <v>0</v>
      </c>
    </row>
    <row r="718" spans="1:14" s="407" customFormat="1" ht="12.75" x14ac:dyDescent="0.2">
      <c r="A718" s="152"/>
      <c r="B718" s="73"/>
      <c r="C718" s="51" t="s">
        <v>948</v>
      </c>
      <c r="D718" s="89" t="s">
        <v>513</v>
      </c>
      <c r="E718" s="89"/>
      <c r="F718" s="89"/>
      <c r="G718" s="89"/>
      <c r="H718" s="89"/>
      <c r="I718" s="89"/>
      <c r="J718" s="212"/>
      <c r="K718" s="212"/>
      <c r="L718" s="212"/>
      <c r="M718" s="212"/>
      <c r="N718" s="212">
        <f t="shared" si="29"/>
        <v>0</v>
      </c>
    </row>
    <row r="719" spans="1:14" s="407" customFormat="1" ht="12.75" x14ac:dyDescent="0.2">
      <c r="A719" s="152"/>
      <c r="B719" s="73"/>
      <c r="C719" s="51" t="s">
        <v>949</v>
      </c>
      <c r="D719" s="89" t="s">
        <v>513</v>
      </c>
      <c r="E719" s="89"/>
      <c r="F719" s="89"/>
      <c r="G719" s="89"/>
      <c r="H719" s="89"/>
      <c r="I719" s="89"/>
      <c r="J719" s="212"/>
      <c r="K719" s="212"/>
      <c r="L719" s="212"/>
      <c r="M719" s="212"/>
      <c r="N719" s="212">
        <f t="shared" si="29"/>
        <v>0</v>
      </c>
    </row>
    <row r="720" spans="1:14" s="407" customFormat="1" ht="12.75" x14ac:dyDescent="0.2">
      <c r="A720" s="152"/>
      <c r="B720" s="73"/>
      <c r="C720" s="51" t="s">
        <v>132</v>
      </c>
      <c r="D720" s="89" t="s">
        <v>513</v>
      </c>
      <c r="E720" s="89"/>
      <c r="F720" s="89"/>
      <c r="G720" s="89"/>
      <c r="H720" s="89"/>
      <c r="I720" s="89"/>
      <c r="J720" s="212"/>
      <c r="K720" s="212"/>
      <c r="L720" s="212"/>
      <c r="M720" s="212"/>
      <c r="N720" s="212">
        <f t="shared" si="29"/>
        <v>0</v>
      </c>
    </row>
    <row r="721" spans="1:14" s="407" customFormat="1" ht="12.75" x14ac:dyDescent="0.2">
      <c r="A721" s="152"/>
      <c r="B721" s="73"/>
      <c r="C721" s="51" t="s">
        <v>121</v>
      </c>
      <c r="D721" s="89" t="s">
        <v>513</v>
      </c>
      <c r="E721" s="89"/>
      <c r="F721" s="89"/>
      <c r="G721" s="89"/>
      <c r="H721" s="89"/>
      <c r="I721" s="89"/>
      <c r="J721" s="212"/>
      <c r="K721" s="212"/>
      <c r="L721" s="212"/>
      <c r="M721" s="212"/>
      <c r="N721" s="212">
        <f t="shared" si="29"/>
        <v>0</v>
      </c>
    </row>
    <row r="722" spans="1:14" s="407" customFormat="1" ht="12.75" x14ac:dyDescent="0.2">
      <c r="A722" s="152"/>
      <c r="B722" s="73"/>
      <c r="C722" s="51" t="s">
        <v>131</v>
      </c>
      <c r="D722" s="89" t="s">
        <v>513</v>
      </c>
      <c r="E722" s="89"/>
      <c r="F722" s="89"/>
      <c r="G722" s="89"/>
      <c r="H722" s="89"/>
      <c r="I722" s="89"/>
      <c r="J722" s="212"/>
      <c r="K722" s="212"/>
      <c r="L722" s="212"/>
      <c r="M722" s="212"/>
      <c r="N722" s="212">
        <f t="shared" si="29"/>
        <v>0</v>
      </c>
    </row>
    <row r="723" spans="1:14" s="407" customFormat="1" ht="12.75" x14ac:dyDescent="0.2">
      <c r="A723" s="152"/>
      <c r="B723" s="73"/>
      <c r="C723" s="51" t="s">
        <v>967</v>
      </c>
      <c r="D723" s="89" t="s">
        <v>513</v>
      </c>
      <c r="E723" s="89"/>
      <c r="F723" s="89"/>
      <c r="G723" s="89"/>
      <c r="H723" s="89"/>
      <c r="I723" s="89"/>
      <c r="J723" s="212"/>
      <c r="K723" s="212"/>
      <c r="L723" s="212"/>
      <c r="M723" s="212"/>
      <c r="N723" s="212">
        <f t="shared" si="29"/>
        <v>0</v>
      </c>
    </row>
    <row r="724" spans="1:14" s="407" customFormat="1" ht="12.75" x14ac:dyDescent="0.2">
      <c r="A724" s="152"/>
      <c r="B724" s="73"/>
      <c r="C724" s="51" t="s">
        <v>118</v>
      </c>
      <c r="D724" s="89" t="s">
        <v>513</v>
      </c>
      <c r="E724" s="89"/>
      <c r="F724" s="89"/>
      <c r="G724" s="89"/>
      <c r="H724" s="89"/>
      <c r="I724" s="89"/>
      <c r="J724" s="212"/>
      <c r="K724" s="212"/>
      <c r="L724" s="212"/>
      <c r="M724" s="212"/>
      <c r="N724" s="212">
        <f t="shared" si="29"/>
        <v>0</v>
      </c>
    </row>
    <row r="725" spans="1:14" s="407" customFormat="1" ht="12.75" x14ac:dyDescent="0.2">
      <c r="A725" s="152"/>
      <c r="B725" s="73"/>
      <c r="C725" s="51" t="s">
        <v>971</v>
      </c>
      <c r="D725" s="89" t="s">
        <v>513</v>
      </c>
      <c r="E725" s="89"/>
      <c r="F725" s="89"/>
      <c r="G725" s="89"/>
      <c r="H725" s="89"/>
      <c r="I725" s="89"/>
      <c r="J725" s="212"/>
      <c r="K725" s="212"/>
      <c r="L725" s="212"/>
      <c r="M725" s="212"/>
      <c r="N725" s="212">
        <f t="shared" si="29"/>
        <v>0</v>
      </c>
    </row>
    <row r="726" spans="1:14" s="407" customFormat="1" ht="12.75" x14ac:dyDescent="0.2">
      <c r="A726" s="152"/>
      <c r="B726" s="73"/>
      <c r="C726" s="51" t="s">
        <v>957</v>
      </c>
      <c r="D726" s="89" t="s">
        <v>513</v>
      </c>
      <c r="E726" s="89"/>
      <c r="F726" s="89"/>
      <c r="G726" s="89"/>
      <c r="H726" s="89"/>
      <c r="I726" s="89"/>
      <c r="J726" s="212"/>
      <c r="K726" s="212"/>
      <c r="L726" s="212"/>
      <c r="M726" s="212"/>
      <c r="N726" s="212">
        <f t="shared" si="29"/>
        <v>0</v>
      </c>
    </row>
    <row r="727" spans="1:14" s="407" customFormat="1" ht="12.75" x14ac:dyDescent="0.2">
      <c r="A727" s="152"/>
      <c r="B727" s="73"/>
      <c r="C727" s="51" t="s">
        <v>97</v>
      </c>
      <c r="D727" s="89" t="s">
        <v>513</v>
      </c>
      <c r="E727" s="89"/>
      <c r="F727" s="89"/>
      <c r="G727" s="89"/>
      <c r="H727" s="89"/>
      <c r="I727" s="89"/>
      <c r="J727" s="212"/>
      <c r="K727" s="212"/>
      <c r="L727" s="212"/>
      <c r="M727" s="212"/>
      <c r="N727" s="212">
        <f t="shared" si="29"/>
        <v>0</v>
      </c>
    </row>
    <row r="728" spans="1:14" s="407" customFormat="1" ht="12.75" x14ac:dyDescent="0.2">
      <c r="A728" s="152"/>
      <c r="B728" s="73"/>
      <c r="C728" s="51" t="s">
        <v>49</v>
      </c>
      <c r="D728" s="89" t="s">
        <v>513</v>
      </c>
      <c r="E728" s="89"/>
      <c r="F728" s="89"/>
      <c r="G728" s="89"/>
      <c r="H728" s="89"/>
      <c r="I728" s="89"/>
      <c r="J728" s="212"/>
      <c r="K728" s="212"/>
      <c r="L728" s="212"/>
      <c r="M728" s="212"/>
      <c r="N728" s="212">
        <f t="shared" si="29"/>
        <v>0</v>
      </c>
    </row>
    <row r="729" spans="1:14" s="407" customFormat="1" ht="12.75" x14ac:dyDescent="0.2">
      <c r="A729" s="152"/>
      <c r="B729" s="73"/>
      <c r="C729" s="51" t="s">
        <v>1017</v>
      </c>
      <c r="D729" s="89" t="s">
        <v>513</v>
      </c>
      <c r="E729" s="89"/>
      <c r="F729" s="89"/>
      <c r="G729" s="89"/>
      <c r="H729" s="89"/>
      <c r="I729" s="89"/>
      <c r="J729" s="212"/>
      <c r="K729" s="212"/>
      <c r="L729" s="212"/>
      <c r="M729" s="212"/>
      <c r="N729" s="212">
        <f t="shared" si="29"/>
        <v>0</v>
      </c>
    </row>
    <row r="730" spans="1:14" s="407" customFormat="1" ht="12.75" x14ac:dyDescent="0.2">
      <c r="A730" s="152"/>
      <c r="B730" s="73"/>
      <c r="C730" s="51" t="s">
        <v>1018</v>
      </c>
      <c r="D730" s="89" t="s">
        <v>513</v>
      </c>
      <c r="E730" s="89"/>
      <c r="F730" s="89"/>
      <c r="G730" s="89"/>
      <c r="H730" s="89"/>
      <c r="I730" s="89"/>
      <c r="J730" s="212"/>
      <c r="K730" s="212"/>
      <c r="L730" s="212"/>
      <c r="M730" s="212"/>
      <c r="N730" s="212">
        <f t="shared" si="29"/>
        <v>0</v>
      </c>
    </row>
    <row r="731" spans="1:14" s="407" customFormat="1" ht="12.75" x14ac:dyDescent="0.2">
      <c r="A731" s="152"/>
      <c r="B731" s="73"/>
      <c r="C731" s="51" t="s">
        <v>928</v>
      </c>
      <c r="D731" s="89" t="s">
        <v>513</v>
      </c>
      <c r="E731" s="89"/>
      <c r="F731" s="89"/>
      <c r="G731" s="89"/>
      <c r="H731" s="89"/>
      <c r="I731" s="89"/>
      <c r="J731" s="212"/>
      <c r="K731" s="212"/>
      <c r="L731" s="212"/>
      <c r="M731" s="212"/>
      <c r="N731" s="212">
        <f t="shared" si="29"/>
        <v>0</v>
      </c>
    </row>
    <row r="732" spans="1:14" s="407" customFormat="1" ht="12.75" x14ac:dyDescent="0.2">
      <c r="A732" s="152"/>
      <c r="B732" s="73"/>
      <c r="C732" s="51" t="s">
        <v>946</v>
      </c>
      <c r="D732" s="89" t="s">
        <v>513</v>
      </c>
      <c r="E732" s="89"/>
      <c r="F732" s="89"/>
      <c r="G732" s="89"/>
      <c r="H732" s="89"/>
      <c r="I732" s="89"/>
      <c r="J732" s="212"/>
      <c r="K732" s="212"/>
      <c r="L732" s="212"/>
      <c r="M732" s="212"/>
      <c r="N732" s="212">
        <f t="shared" si="29"/>
        <v>0</v>
      </c>
    </row>
    <row r="733" spans="1:14" s="407" customFormat="1" ht="12.75" x14ac:dyDescent="0.2">
      <c r="A733" s="152"/>
      <c r="B733" s="73"/>
      <c r="C733" s="51" t="s">
        <v>947</v>
      </c>
      <c r="D733" s="89" t="s">
        <v>513</v>
      </c>
      <c r="E733" s="89"/>
      <c r="F733" s="89"/>
      <c r="G733" s="89"/>
      <c r="H733" s="89"/>
      <c r="I733" s="89"/>
      <c r="J733" s="212"/>
      <c r="K733" s="212"/>
      <c r="L733" s="212"/>
      <c r="M733" s="212"/>
      <c r="N733" s="212">
        <f t="shared" si="29"/>
        <v>0</v>
      </c>
    </row>
    <row r="734" spans="1:14" s="407" customFormat="1" ht="12.75" x14ac:dyDescent="0.2">
      <c r="A734" s="152"/>
      <c r="B734" s="73"/>
      <c r="C734" s="51" t="s">
        <v>1020</v>
      </c>
      <c r="D734" s="89" t="s">
        <v>513</v>
      </c>
      <c r="E734" s="89"/>
      <c r="F734" s="89"/>
      <c r="G734" s="89"/>
      <c r="H734" s="89"/>
      <c r="I734" s="89"/>
      <c r="J734" s="212"/>
      <c r="K734" s="212"/>
      <c r="L734" s="212"/>
      <c r="M734" s="212"/>
      <c r="N734" s="212">
        <f t="shared" si="29"/>
        <v>0</v>
      </c>
    </row>
    <row r="735" spans="1:14" s="407" customFormat="1" ht="12.75" x14ac:dyDescent="0.2">
      <c r="A735" s="152"/>
      <c r="B735" s="73"/>
      <c r="C735" s="51" t="s">
        <v>1021</v>
      </c>
      <c r="D735" s="89" t="s">
        <v>513</v>
      </c>
      <c r="E735" s="89"/>
      <c r="F735" s="89"/>
      <c r="G735" s="89"/>
      <c r="H735" s="89"/>
      <c r="I735" s="89"/>
      <c r="J735" s="212"/>
      <c r="K735" s="212"/>
      <c r="L735" s="212"/>
      <c r="M735" s="212"/>
      <c r="N735" s="212">
        <f t="shared" si="29"/>
        <v>0</v>
      </c>
    </row>
    <row r="736" spans="1:14" s="407" customFormat="1" ht="12.75" x14ac:dyDescent="0.2">
      <c r="A736" s="152"/>
      <c r="B736" s="73"/>
      <c r="C736" s="51" t="s">
        <v>489</v>
      </c>
      <c r="D736" s="89" t="s">
        <v>513</v>
      </c>
      <c r="E736" s="89"/>
      <c r="F736" s="89"/>
      <c r="G736" s="89"/>
      <c r="H736" s="89"/>
      <c r="I736" s="89"/>
      <c r="J736" s="212"/>
      <c r="K736" s="212"/>
      <c r="L736" s="212"/>
      <c r="M736" s="212"/>
      <c r="N736" s="212">
        <f t="shared" si="29"/>
        <v>0</v>
      </c>
    </row>
    <row r="737" spans="1:14" s="407" customFormat="1" ht="12.75" x14ac:dyDescent="0.2">
      <c r="A737" s="152"/>
      <c r="B737" s="73"/>
      <c r="C737" s="51" t="s">
        <v>968</v>
      </c>
      <c r="D737" s="89" t="s">
        <v>513</v>
      </c>
      <c r="E737" s="89"/>
      <c r="F737" s="89"/>
      <c r="G737" s="89"/>
      <c r="H737" s="89"/>
      <c r="I737" s="89"/>
      <c r="J737" s="212"/>
      <c r="K737" s="212"/>
      <c r="L737" s="212"/>
      <c r="M737" s="212"/>
      <c r="N737" s="212">
        <f t="shared" si="29"/>
        <v>0</v>
      </c>
    </row>
    <row r="738" spans="1:14" s="407" customFormat="1" ht="12.75" x14ac:dyDescent="0.2">
      <c r="A738" s="152"/>
      <c r="B738" s="73"/>
      <c r="C738" s="51" t="s">
        <v>98</v>
      </c>
      <c r="D738" s="89" t="s">
        <v>513</v>
      </c>
      <c r="E738" s="89"/>
      <c r="F738" s="89"/>
      <c r="G738" s="89"/>
      <c r="H738" s="89"/>
      <c r="I738" s="89"/>
      <c r="J738" s="212"/>
      <c r="K738" s="212"/>
      <c r="L738" s="212"/>
      <c r="M738" s="212"/>
      <c r="N738" s="212">
        <f t="shared" si="29"/>
        <v>0</v>
      </c>
    </row>
    <row r="739" spans="1:14" s="407" customFormat="1" ht="12.75" x14ac:dyDescent="0.2">
      <c r="A739" s="152"/>
      <c r="B739" s="73"/>
      <c r="C739" s="51" t="s">
        <v>1048</v>
      </c>
      <c r="D739" s="89" t="s">
        <v>513</v>
      </c>
      <c r="E739" s="89"/>
      <c r="F739" s="89"/>
      <c r="G739" s="89"/>
      <c r="H739" s="89"/>
      <c r="I739" s="89"/>
      <c r="J739" s="212"/>
      <c r="K739" s="212"/>
      <c r="L739" s="212"/>
      <c r="M739" s="212"/>
      <c r="N739" s="212">
        <f t="shared" si="29"/>
        <v>0</v>
      </c>
    </row>
    <row r="740" spans="1:14" s="407" customFormat="1" ht="12.75" x14ac:dyDescent="0.2">
      <c r="A740" s="152"/>
      <c r="B740" s="73"/>
      <c r="C740" s="51" t="s">
        <v>1030</v>
      </c>
      <c r="D740" s="89" t="s">
        <v>513</v>
      </c>
      <c r="E740" s="89"/>
      <c r="F740" s="89"/>
      <c r="G740" s="89"/>
      <c r="H740" s="89"/>
      <c r="I740" s="89"/>
      <c r="J740" s="212"/>
      <c r="K740" s="212"/>
      <c r="L740" s="212"/>
      <c r="M740" s="212"/>
      <c r="N740" s="212">
        <f t="shared" si="29"/>
        <v>0</v>
      </c>
    </row>
    <row r="741" spans="1:14" s="407" customFormat="1" ht="12.75" x14ac:dyDescent="0.2">
      <c r="A741" s="152"/>
      <c r="B741" s="73"/>
      <c r="C741" s="51" t="s">
        <v>977</v>
      </c>
      <c r="D741" s="89" t="s">
        <v>513</v>
      </c>
      <c r="E741" s="89"/>
      <c r="F741" s="89"/>
      <c r="G741" s="89"/>
      <c r="H741" s="89"/>
      <c r="I741" s="89"/>
      <c r="J741" s="212"/>
      <c r="K741" s="212"/>
      <c r="L741" s="212"/>
      <c r="M741" s="212"/>
      <c r="N741" s="212">
        <f t="shared" si="29"/>
        <v>0</v>
      </c>
    </row>
    <row r="742" spans="1:14" s="407" customFormat="1" ht="12.75" x14ac:dyDescent="0.2">
      <c r="A742" s="152"/>
      <c r="B742" s="73"/>
      <c r="C742" s="51" t="s">
        <v>99</v>
      </c>
      <c r="D742" s="89" t="s">
        <v>513</v>
      </c>
      <c r="E742" s="89"/>
      <c r="F742" s="89"/>
      <c r="G742" s="89"/>
      <c r="H742" s="89"/>
      <c r="I742" s="89"/>
      <c r="J742" s="212"/>
      <c r="K742" s="212"/>
      <c r="L742" s="212"/>
      <c r="M742" s="212"/>
      <c r="N742" s="212">
        <f t="shared" si="29"/>
        <v>2000</v>
      </c>
    </row>
    <row r="743" spans="1:14" s="407" customFormat="1" ht="12.75" x14ac:dyDescent="0.2">
      <c r="A743" s="152"/>
      <c r="B743" s="73"/>
      <c r="C743" s="51" t="s">
        <v>1047</v>
      </c>
      <c r="D743" s="89" t="s">
        <v>513</v>
      </c>
      <c r="E743" s="89"/>
      <c r="F743" s="89"/>
      <c r="G743" s="89"/>
      <c r="H743" s="89"/>
      <c r="I743" s="89"/>
      <c r="J743" s="212"/>
      <c r="K743" s="212"/>
      <c r="L743" s="212"/>
      <c r="M743" s="212"/>
      <c r="N743" s="212">
        <f t="shared" si="29"/>
        <v>0</v>
      </c>
    </row>
    <row r="744" spans="1:14" s="407" customFormat="1" ht="12.75" x14ac:dyDescent="0.2">
      <c r="A744" s="152"/>
      <c r="B744" s="73"/>
      <c r="C744" s="51" t="s">
        <v>1041</v>
      </c>
      <c r="D744" s="89" t="s">
        <v>513</v>
      </c>
      <c r="E744" s="89"/>
      <c r="F744" s="89"/>
      <c r="G744" s="89"/>
      <c r="H744" s="89"/>
      <c r="I744" s="89"/>
      <c r="J744" s="212"/>
      <c r="K744" s="212"/>
      <c r="L744" s="212"/>
      <c r="M744" s="212"/>
      <c r="N744" s="212">
        <f t="shared" si="29"/>
        <v>0</v>
      </c>
    </row>
    <row r="745" spans="1:14" s="407" customFormat="1" ht="12.75" x14ac:dyDescent="0.2">
      <c r="A745" s="152"/>
      <c r="B745" s="73"/>
      <c r="C745" s="51" t="s">
        <v>102</v>
      </c>
      <c r="D745" s="89" t="s">
        <v>513</v>
      </c>
      <c r="E745" s="89"/>
      <c r="F745" s="89"/>
      <c r="G745" s="89"/>
      <c r="H745" s="89"/>
      <c r="I745" s="89"/>
      <c r="J745" s="212"/>
      <c r="K745" s="212"/>
      <c r="L745" s="212"/>
      <c r="M745" s="212"/>
      <c r="N745" s="212">
        <f t="shared" si="29"/>
        <v>0</v>
      </c>
    </row>
    <row r="746" spans="1:14" s="407" customFormat="1" ht="12.75" x14ac:dyDescent="0.2">
      <c r="A746" s="152"/>
      <c r="B746" s="73"/>
      <c r="C746" s="51" t="s">
        <v>124</v>
      </c>
      <c r="D746" s="89" t="s">
        <v>513</v>
      </c>
      <c r="E746" s="89"/>
      <c r="F746" s="89"/>
      <c r="G746" s="89"/>
      <c r="H746" s="89"/>
      <c r="I746" s="89"/>
      <c r="J746" s="212"/>
      <c r="K746" s="212"/>
      <c r="L746" s="212"/>
      <c r="M746" s="212"/>
      <c r="N746" s="212">
        <f t="shared" si="29"/>
        <v>0</v>
      </c>
    </row>
    <row r="747" spans="1:14" s="407" customFormat="1" ht="12.75" x14ac:dyDescent="0.2">
      <c r="A747" s="152"/>
      <c r="B747" s="73"/>
      <c r="C747" s="51" t="s">
        <v>103</v>
      </c>
      <c r="D747" s="89" t="s">
        <v>513</v>
      </c>
      <c r="E747" s="89"/>
      <c r="F747" s="89"/>
      <c r="G747" s="89"/>
      <c r="H747" s="89"/>
      <c r="I747" s="89"/>
      <c r="J747" s="212"/>
      <c r="K747" s="212"/>
      <c r="L747" s="212"/>
      <c r="M747" s="212"/>
      <c r="N747" s="212">
        <f t="shared" si="29"/>
        <v>15000</v>
      </c>
    </row>
    <row r="748" spans="1:14" s="407" customFormat="1" ht="12.75" x14ac:dyDescent="0.2">
      <c r="A748" s="152"/>
      <c r="B748" s="73"/>
      <c r="C748" s="51" t="s">
        <v>104</v>
      </c>
      <c r="D748" s="89" t="s">
        <v>513</v>
      </c>
      <c r="E748" s="89"/>
      <c r="F748" s="89"/>
      <c r="G748" s="89"/>
      <c r="H748" s="89"/>
      <c r="I748" s="89"/>
      <c r="J748" s="212"/>
      <c r="K748" s="212"/>
      <c r="L748" s="212"/>
      <c r="M748" s="212"/>
      <c r="N748" s="212">
        <f t="shared" si="29"/>
        <v>0</v>
      </c>
    </row>
    <row r="749" spans="1:14" s="407" customFormat="1" ht="12.75" x14ac:dyDescent="0.2">
      <c r="A749" s="152"/>
      <c r="B749" s="73"/>
      <c r="C749" s="51" t="s">
        <v>491</v>
      </c>
      <c r="D749" s="89" t="s">
        <v>513</v>
      </c>
      <c r="E749" s="89"/>
      <c r="F749" s="89"/>
      <c r="G749" s="89"/>
      <c r="H749" s="89"/>
      <c r="I749" s="89"/>
      <c r="J749" s="212"/>
      <c r="K749" s="212"/>
      <c r="L749" s="212"/>
      <c r="M749" s="212"/>
      <c r="N749" s="212">
        <f t="shared" si="29"/>
        <v>0</v>
      </c>
    </row>
    <row r="750" spans="1:14" s="407" customFormat="1" ht="12.75" x14ac:dyDescent="0.2">
      <c r="A750" s="152"/>
      <c r="B750" s="73"/>
      <c r="C750" s="51" t="s">
        <v>105</v>
      </c>
      <c r="D750" s="89" t="s">
        <v>513</v>
      </c>
      <c r="E750" s="89"/>
      <c r="F750" s="89"/>
      <c r="G750" s="89"/>
      <c r="H750" s="89"/>
      <c r="I750" s="89"/>
      <c r="J750" s="212"/>
      <c r="K750" s="212"/>
      <c r="L750" s="212"/>
      <c r="M750" s="212"/>
      <c r="N750" s="212">
        <f t="shared" si="29"/>
        <v>0</v>
      </c>
    </row>
    <row r="751" spans="1:14" s="407" customFormat="1" ht="12.75" x14ac:dyDescent="0.2">
      <c r="A751" s="152"/>
      <c r="B751" s="73"/>
      <c r="C751" s="51" t="s">
        <v>129</v>
      </c>
      <c r="D751" s="89" t="s">
        <v>513</v>
      </c>
      <c r="E751" s="89"/>
      <c r="F751" s="89"/>
      <c r="G751" s="89"/>
      <c r="H751" s="89"/>
      <c r="I751" s="89"/>
      <c r="J751" s="212"/>
      <c r="K751" s="212"/>
      <c r="L751" s="212"/>
      <c r="M751" s="212"/>
      <c r="N751" s="212">
        <f t="shared" si="29"/>
        <v>0</v>
      </c>
    </row>
    <row r="752" spans="1:14" s="407" customFormat="1" ht="12.75" x14ac:dyDescent="0.2">
      <c r="A752" s="152"/>
      <c r="B752" s="73"/>
      <c r="C752" s="73" t="s">
        <v>108</v>
      </c>
      <c r="D752" s="89" t="s">
        <v>513</v>
      </c>
      <c r="E752" s="89"/>
      <c r="F752" s="89"/>
      <c r="G752" s="89"/>
      <c r="H752" s="89"/>
      <c r="I752" s="89"/>
      <c r="J752" s="212"/>
      <c r="K752" s="212"/>
      <c r="L752" s="212"/>
      <c r="M752" s="212"/>
      <c r="N752" s="212">
        <f t="shared" si="29"/>
        <v>0</v>
      </c>
    </row>
    <row r="753" spans="1:14" s="407" customFormat="1" ht="12.75" x14ac:dyDescent="0.2">
      <c r="A753" s="152"/>
      <c r="B753" s="73"/>
      <c r="C753" s="51" t="s">
        <v>119</v>
      </c>
      <c r="D753" s="89" t="s">
        <v>513</v>
      </c>
      <c r="E753" s="89"/>
      <c r="F753" s="89"/>
      <c r="G753" s="89"/>
      <c r="H753" s="89"/>
      <c r="I753" s="89"/>
      <c r="J753" s="212"/>
      <c r="K753" s="212"/>
      <c r="L753" s="212"/>
      <c r="M753" s="212"/>
      <c r="N753" s="212">
        <f t="shared" si="29"/>
        <v>0</v>
      </c>
    </row>
    <row r="754" spans="1:14" s="407" customFormat="1" ht="12.75" x14ac:dyDescent="0.2">
      <c r="A754" s="152"/>
      <c r="B754" s="73"/>
      <c r="C754" s="51" t="s">
        <v>954</v>
      </c>
      <c r="D754" s="89" t="s">
        <v>513</v>
      </c>
      <c r="E754" s="89"/>
      <c r="F754" s="89"/>
      <c r="G754" s="89"/>
      <c r="H754" s="89"/>
      <c r="I754" s="89"/>
      <c r="J754" s="212"/>
      <c r="K754" s="212"/>
      <c r="L754" s="212"/>
      <c r="M754" s="212"/>
      <c r="N754" s="212">
        <f t="shared" si="29"/>
        <v>850</v>
      </c>
    </row>
    <row r="755" spans="1:14" s="407" customFormat="1" ht="12.75" x14ac:dyDescent="0.2">
      <c r="A755" s="152"/>
      <c r="B755" s="73"/>
      <c r="C755" s="51" t="s">
        <v>1031</v>
      </c>
      <c r="D755" s="89" t="s">
        <v>513</v>
      </c>
      <c r="E755" s="89"/>
      <c r="F755" s="89"/>
      <c r="G755" s="89"/>
      <c r="H755" s="89"/>
      <c r="I755" s="89"/>
      <c r="J755" s="212"/>
      <c r="K755" s="212"/>
      <c r="L755" s="212"/>
      <c r="M755" s="212"/>
      <c r="N755" s="212">
        <f t="shared" si="29"/>
        <v>0</v>
      </c>
    </row>
    <row r="756" spans="1:14" s="407" customFormat="1" ht="12.75" x14ac:dyDescent="0.2">
      <c r="A756" s="152"/>
      <c r="B756" s="73"/>
      <c r="C756" s="51" t="s">
        <v>1009</v>
      </c>
      <c r="D756" s="89" t="s">
        <v>513</v>
      </c>
      <c r="E756" s="89"/>
      <c r="F756" s="89"/>
      <c r="G756" s="89"/>
      <c r="H756" s="89"/>
      <c r="I756" s="89"/>
      <c r="J756" s="212"/>
      <c r="K756" s="212"/>
      <c r="L756" s="212"/>
      <c r="M756" s="212"/>
      <c r="N756" s="212">
        <f t="shared" si="29"/>
        <v>0</v>
      </c>
    </row>
    <row r="757" spans="1:14" s="407" customFormat="1" ht="12.75" x14ac:dyDescent="0.2">
      <c r="A757" s="152"/>
      <c r="B757" s="73"/>
      <c r="C757" s="51" t="s">
        <v>107</v>
      </c>
      <c r="D757" s="89" t="s">
        <v>513</v>
      </c>
      <c r="E757" s="89"/>
      <c r="F757" s="89"/>
      <c r="G757" s="89"/>
      <c r="H757" s="89"/>
      <c r="I757" s="89"/>
      <c r="J757" s="212"/>
      <c r="K757" s="212"/>
      <c r="L757" s="212"/>
      <c r="M757" s="212"/>
      <c r="N757" s="212">
        <f t="shared" si="29"/>
        <v>0</v>
      </c>
    </row>
    <row r="758" spans="1:14" s="407" customFormat="1" ht="12.75" x14ac:dyDescent="0.2">
      <c r="A758" s="152"/>
      <c r="B758" s="73"/>
      <c r="C758" s="51" t="s">
        <v>1026</v>
      </c>
      <c r="D758" s="89" t="s">
        <v>513</v>
      </c>
      <c r="E758" s="89"/>
      <c r="F758" s="89"/>
      <c r="G758" s="89"/>
      <c r="H758" s="89"/>
      <c r="I758" s="89"/>
      <c r="J758" s="212"/>
      <c r="K758" s="212"/>
      <c r="L758" s="212"/>
      <c r="M758" s="212"/>
      <c r="N758" s="212">
        <f t="shared" si="29"/>
        <v>0</v>
      </c>
    </row>
    <row r="759" spans="1:14" s="407" customFormat="1" ht="12.75" x14ac:dyDescent="0.2">
      <c r="A759" s="152"/>
      <c r="B759" s="73"/>
      <c r="C759" s="51" t="s">
        <v>1027</v>
      </c>
      <c r="D759" s="89" t="s">
        <v>513</v>
      </c>
      <c r="E759" s="89"/>
      <c r="F759" s="89"/>
      <c r="G759" s="89"/>
      <c r="H759" s="89"/>
      <c r="I759" s="89"/>
      <c r="J759" s="212"/>
      <c r="K759" s="212"/>
      <c r="L759" s="212"/>
      <c r="M759" s="212"/>
      <c r="N759" s="212">
        <f t="shared" si="29"/>
        <v>0</v>
      </c>
    </row>
    <row r="760" spans="1:14" s="407" customFormat="1" ht="12.75" x14ac:dyDescent="0.2">
      <c r="A760" s="152"/>
      <c r="B760" s="73"/>
      <c r="C760" s="51" t="s">
        <v>955</v>
      </c>
      <c r="D760" s="89" t="s">
        <v>513</v>
      </c>
      <c r="E760" s="89"/>
      <c r="F760" s="89"/>
      <c r="G760" s="89"/>
      <c r="H760" s="89"/>
      <c r="I760" s="89"/>
      <c r="J760" s="212"/>
      <c r="K760" s="212"/>
      <c r="L760" s="212"/>
      <c r="M760" s="212"/>
      <c r="N760" s="212">
        <f t="shared" si="29"/>
        <v>0</v>
      </c>
    </row>
    <row r="761" spans="1:14" s="407" customFormat="1" ht="12.75" x14ac:dyDescent="0.2">
      <c r="A761" s="152"/>
      <c r="B761" s="73"/>
      <c r="C761" s="51" t="s">
        <v>958</v>
      </c>
      <c r="D761" s="89" t="s">
        <v>513</v>
      </c>
      <c r="E761" s="89"/>
      <c r="F761" s="89"/>
      <c r="G761" s="89"/>
      <c r="H761" s="89"/>
      <c r="I761" s="89"/>
      <c r="J761" s="212"/>
      <c r="K761" s="212"/>
      <c r="L761" s="212"/>
      <c r="M761" s="212"/>
      <c r="N761" s="212">
        <f t="shared" si="29"/>
        <v>100</v>
      </c>
    </row>
    <row r="762" spans="1:14" s="407" customFormat="1" ht="12.75" x14ac:dyDescent="0.2">
      <c r="A762" s="152"/>
      <c r="B762" s="73"/>
      <c r="C762" s="51" t="s">
        <v>1032</v>
      </c>
      <c r="D762" s="89" t="s">
        <v>513</v>
      </c>
      <c r="E762" s="89"/>
      <c r="F762" s="89"/>
      <c r="G762" s="89"/>
      <c r="H762" s="89"/>
      <c r="I762" s="89"/>
      <c r="J762" s="212"/>
      <c r="K762" s="212"/>
      <c r="L762" s="212"/>
      <c r="M762" s="212"/>
      <c r="N762" s="212">
        <f t="shared" si="29"/>
        <v>0</v>
      </c>
    </row>
    <row r="763" spans="1:14" s="407" customFormat="1" ht="12.75" x14ac:dyDescent="0.2">
      <c r="A763" s="152"/>
      <c r="B763" s="73"/>
      <c r="C763" s="51" t="s">
        <v>109</v>
      </c>
      <c r="D763" s="89" t="s">
        <v>513</v>
      </c>
      <c r="E763" s="89"/>
      <c r="F763" s="89"/>
      <c r="G763" s="89"/>
      <c r="H763" s="89"/>
      <c r="I763" s="89"/>
      <c r="J763" s="212"/>
      <c r="K763" s="212"/>
      <c r="L763" s="212"/>
      <c r="M763" s="212"/>
      <c r="N763" s="212">
        <f t="shared" si="29"/>
        <v>0</v>
      </c>
    </row>
    <row r="764" spans="1:14" s="407" customFormat="1" ht="12.75" x14ac:dyDescent="0.2">
      <c r="A764" s="152"/>
      <c r="B764" s="73"/>
      <c r="C764" s="51" t="s">
        <v>966</v>
      </c>
      <c r="D764" s="89" t="s">
        <v>513</v>
      </c>
      <c r="E764" s="89"/>
      <c r="F764" s="89"/>
      <c r="G764" s="89"/>
      <c r="H764" s="89"/>
      <c r="I764" s="89"/>
      <c r="J764" s="212"/>
      <c r="K764" s="212"/>
      <c r="L764" s="212"/>
      <c r="M764" s="212"/>
      <c r="N764" s="212">
        <f t="shared" si="29"/>
        <v>0</v>
      </c>
    </row>
    <row r="765" spans="1:14" s="407" customFormat="1" ht="12.75" x14ac:dyDescent="0.2">
      <c r="A765" s="152"/>
      <c r="B765" s="73"/>
      <c r="C765" s="51" t="s">
        <v>981</v>
      </c>
      <c r="D765" s="89" t="s">
        <v>513</v>
      </c>
      <c r="E765" s="89"/>
      <c r="F765" s="89"/>
      <c r="G765" s="89"/>
      <c r="H765" s="89"/>
      <c r="I765" s="89"/>
      <c r="J765" s="212"/>
      <c r="K765" s="212"/>
      <c r="L765" s="212"/>
      <c r="M765" s="212"/>
      <c r="N765" s="212">
        <f t="shared" si="29"/>
        <v>0</v>
      </c>
    </row>
    <row r="766" spans="1:14" s="407" customFormat="1" ht="12.75" x14ac:dyDescent="0.2">
      <c r="A766" s="152"/>
      <c r="B766" s="73"/>
      <c r="C766" s="51" t="s">
        <v>963</v>
      </c>
      <c r="D766" s="89" t="s">
        <v>513</v>
      </c>
      <c r="E766" s="89"/>
      <c r="F766" s="89"/>
      <c r="G766" s="89"/>
      <c r="H766" s="89"/>
      <c r="I766" s="89"/>
      <c r="J766" s="212"/>
      <c r="K766" s="212"/>
      <c r="L766" s="212"/>
      <c r="M766" s="212"/>
      <c r="N766" s="212">
        <f t="shared" si="29"/>
        <v>0</v>
      </c>
    </row>
    <row r="767" spans="1:14" s="407" customFormat="1" ht="12.75" x14ac:dyDescent="0.2">
      <c r="A767" s="152"/>
      <c r="B767" s="73"/>
      <c r="C767" s="51" t="s">
        <v>120</v>
      </c>
      <c r="D767" s="89" t="s">
        <v>513</v>
      </c>
      <c r="E767" s="89"/>
      <c r="F767" s="89"/>
      <c r="G767" s="89"/>
      <c r="H767" s="89"/>
      <c r="I767" s="89"/>
      <c r="J767" s="212"/>
      <c r="K767" s="212"/>
      <c r="L767" s="212"/>
      <c r="M767" s="212"/>
      <c r="N767" s="212">
        <f t="shared" si="29"/>
        <v>0</v>
      </c>
    </row>
    <row r="768" spans="1:14" s="407" customFormat="1" ht="12.75" x14ac:dyDescent="0.2">
      <c r="A768" s="152"/>
      <c r="B768" s="73"/>
      <c r="C768" s="51" t="s">
        <v>989</v>
      </c>
      <c r="D768" s="89" t="s">
        <v>513</v>
      </c>
      <c r="E768" s="89"/>
      <c r="F768" s="89"/>
      <c r="G768" s="89"/>
      <c r="H768" s="89"/>
      <c r="I768" s="89"/>
      <c r="J768" s="212"/>
      <c r="K768" s="212"/>
      <c r="L768" s="212"/>
      <c r="M768" s="212"/>
      <c r="N768" s="212">
        <f t="shared" si="29"/>
        <v>0</v>
      </c>
    </row>
    <row r="769" spans="1:14" s="407" customFormat="1" ht="12.75" x14ac:dyDescent="0.2">
      <c r="A769" s="152"/>
      <c r="B769" s="73"/>
      <c r="C769" s="51" t="s">
        <v>986</v>
      </c>
      <c r="D769" s="89" t="s">
        <v>497</v>
      </c>
      <c r="E769" s="89"/>
      <c r="F769" s="89"/>
      <c r="G769" s="89"/>
      <c r="H769" s="89"/>
      <c r="I769" s="89"/>
      <c r="J769" s="212"/>
      <c r="K769" s="212"/>
      <c r="L769" s="212"/>
      <c r="M769" s="212"/>
      <c r="N769" s="212">
        <f t="shared" si="29"/>
        <v>0</v>
      </c>
    </row>
    <row r="770" spans="1:14" s="407" customFormat="1" ht="12.75" x14ac:dyDescent="0.2">
      <c r="A770" s="152"/>
      <c r="B770" s="73"/>
      <c r="C770" s="51" t="s">
        <v>988</v>
      </c>
      <c r="D770" s="89" t="s">
        <v>497</v>
      </c>
      <c r="E770" s="89"/>
      <c r="F770" s="89"/>
      <c r="G770" s="89"/>
      <c r="H770" s="89"/>
      <c r="I770" s="89"/>
      <c r="J770" s="212"/>
      <c r="K770" s="212"/>
      <c r="L770" s="212"/>
      <c r="M770" s="212"/>
      <c r="N770" s="212">
        <f t="shared" si="29"/>
        <v>0</v>
      </c>
    </row>
    <row r="771" spans="1:14" s="407" customFormat="1" ht="12.75" x14ac:dyDescent="0.2">
      <c r="A771" s="152"/>
      <c r="B771" s="73"/>
      <c r="C771" s="51" t="s">
        <v>1058</v>
      </c>
      <c r="D771" s="89" t="s">
        <v>497</v>
      </c>
      <c r="E771" s="89"/>
      <c r="F771" s="89"/>
      <c r="G771" s="89"/>
      <c r="H771" s="89"/>
      <c r="I771" s="89"/>
      <c r="J771" s="212"/>
      <c r="K771" s="212"/>
      <c r="L771" s="212"/>
      <c r="M771" s="212"/>
      <c r="N771" s="212">
        <f t="shared" si="29"/>
        <v>0</v>
      </c>
    </row>
    <row r="772" spans="1:14" s="407" customFormat="1" ht="12.75" x14ac:dyDescent="0.2">
      <c r="A772" s="152"/>
      <c r="B772" s="73"/>
      <c r="C772" s="51" t="s">
        <v>972</v>
      </c>
      <c r="D772" s="89" t="s">
        <v>497</v>
      </c>
      <c r="E772" s="89"/>
      <c r="F772" s="89"/>
      <c r="G772" s="89"/>
      <c r="H772" s="89"/>
      <c r="I772" s="89"/>
      <c r="J772" s="212"/>
      <c r="K772" s="212"/>
      <c r="L772" s="212"/>
      <c r="M772" s="212"/>
      <c r="N772" s="212">
        <f t="shared" si="29"/>
        <v>0</v>
      </c>
    </row>
    <row r="773" spans="1:14" s="407" customFormat="1" ht="12.75" x14ac:dyDescent="0.2">
      <c r="A773" s="152"/>
      <c r="B773" s="73"/>
      <c r="C773" s="51" t="s">
        <v>973</v>
      </c>
      <c r="D773" s="89" t="s">
        <v>497</v>
      </c>
      <c r="E773" s="89"/>
      <c r="F773" s="89"/>
      <c r="G773" s="89"/>
      <c r="H773" s="89"/>
      <c r="I773" s="89"/>
      <c r="J773" s="212"/>
      <c r="K773" s="212"/>
      <c r="L773" s="212"/>
      <c r="M773" s="212"/>
      <c r="N773" s="212">
        <f t="shared" si="29"/>
        <v>0</v>
      </c>
    </row>
    <row r="774" spans="1:14" s="407" customFormat="1" ht="12.75" x14ac:dyDescent="0.2">
      <c r="A774" s="152"/>
      <c r="B774" s="73"/>
      <c r="C774" s="51" t="s">
        <v>980</v>
      </c>
      <c r="D774" s="89" t="s">
        <v>497</v>
      </c>
      <c r="E774" s="89"/>
      <c r="F774" s="89"/>
      <c r="G774" s="89"/>
      <c r="H774" s="89"/>
      <c r="I774" s="89"/>
      <c r="J774" s="212"/>
      <c r="K774" s="212"/>
      <c r="L774" s="212"/>
      <c r="M774" s="212"/>
      <c r="N774" s="212">
        <f t="shared" si="29"/>
        <v>0</v>
      </c>
    </row>
    <row r="775" spans="1:14" s="407" customFormat="1" ht="12.75" x14ac:dyDescent="0.2">
      <c r="A775" s="152"/>
      <c r="B775" s="73"/>
      <c r="C775" s="51" t="s">
        <v>982</v>
      </c>
      <c r="D775" s="89" t="s">
        <v>497</v>
      </c>
      <c r="E775" s="89"/>
      <c r="F775" s="89"/>
      <c r="G775" s="89"/>
      <c r="H775" s="89"/>
      <c r="I775" s="89"/>
      <c r="J775" s="212"/>
      <c r="K775" s="212"/>
      <c r="L775" s="212"/>
      <c r="M775" s="212"/>
      <c r="N775" s="212">
        <f t="shared" si="29"/>
        <v>0</v>
      </c>
    </row>
    <row r="776" spans="1:14" s="407" customFormat="1" ht="12.75" x14ac:dyDescent="0.2">
      <c r="A776" s="152"/>
      <c r="B776" s="73"/>
      <c r="C776" s="51" t="s">
        <v>46</v>
      </c>
      <c r="D776" s="89" t="s">
        <v>497</v>
      </c>
      <c r="E776" s="89"/>
      <c r="F776" s="89"/>
      <c r="G776" s="89"/>
      <c r="H776" s="89"/>
      <c r="I776" s="89"/>
      <c r="J776" s="212"/>
      <c r="K776" s="212"/>
      <c r="L776" s="212"/>
      <c r="M776" s="212"/>
      <c r="N776" s="212">
        <f t="shared" si="29"/>
        <v>0</v>
      </c>
    </row>
    <row r="777" spans="1:14" s="407" customFormat="1" ht="12.75" x14ac:dyDescent="0.2">
      <c r="A777" s="152"/>
      <c r="B777" s="73"/>
      <c r="C777" s="51" t="s">
        <v>1019</v>
      </c>
      <c r="D777" s="89" t="s">
        <v>497</v>
      </c>
      <c r="E777" s="89"/>
      <c r="F777" s="89"/>
      <c r="G777" s="89"/>
      <c r="H777" s="89"/>
      <c r="I777" s="89"/>
      <c r="J777" s="212"/>
      <c r="K777" s="212"/>
      <c r="L777" s="212"/>
      <c r="M777" s="212"/>
      <c r="N777" s="212">
        <f t="shared" ref="N777:N840" si="30">SUMIFS(N$26:N$154,$C$26:$C$154,$C777,$D$26:$D$154,$D777)</f>
        <v>0</v>
      </c>
    </row>
    <row r="778" spans="1:14" s="407" customFormat="1" ht="12.75" x14ac:dyDescent="0.2">
      <c r="A778" s="152"/>
      <c r="B778" s="73"/>
      <c r="C778" s="51" t="s">
        <v>1050</v>
      </c>
      <c r="D778" s="89" t="s">
        <v>497</v>
      </c>
      <c r="E778" s="89"/>
      <c r="F778" s="89"/>
      <c r="G778" s="89"/>
      <c r="H778" s="89"/>
      <c r="I778" s="89"/>
      <c r="J778" s="212"/>
      <c r="K778" s="212"/>
      <c r="L778" s="212"/>
      <c r="M778" s="212"/>
      <c r="N778" s="212">
        <f t="shared" si="30"/>
        <v>0</v>
      </c>
    </row>
    <row r="779" spans="1:14" s="407" customFormat="1" ht="12.75" x14ac:dyDescent="0.2">
      <c r="A779" s="152"/>
      <c r="B779" s="73"/>
      <c r="C779" s="51" t="s">
        <v>100</v>
      </c>
      <c r="D779" s="89" t="s">
        <v>497</v>
      </c>
      <c r="E779" s="89"/>
      <c r="F779" s="89"/>
      <c r="G779" s="89"/>
      <c r="H779" s="89"/>
      <c r="I779" s="89"/>
      <c r="J779" s="212"/>
      <c r="K779" s="212"/>
      <c r="L779" s="212"/>
      <c r="M779" s="212"/>
      <c r="N779" s="212">
        <f t="shared" si="30"/>
        <v>0</v>
      </c>
    </row>
    <row r="780" spans="1:14" s="407" customFormat="1" ht="12.75" x14ac:dyDescent="0.2">
      <c r="A780" s="152"/>
      <c r="B780" s="73"/>
      <c r="C780" s="51" t="s">
        <v>101</v>
      </c>
      <c r="D780" s="89" t="s">
        <v>497</v>
      </c>
      <c r="E780" s="89"/>
      <c r="F780" s="89"/>
      <c r="G780" s="89"/>
      <c r="H780" s="89"/>
      <c r="I780" s="89"/>
      <c r="J780" s="212"/>
      <c r="K780" s="212"/>
      <c r="L780" s="212"/>
      <c r="M780" s="212"/>
      <c r="N780" s="212">
        <f t="shared" si="30"/>
        <v>0</v>
      </c>
    </row>
    <row r="781" spans="1:14" s="407" customFormat="1" ht="12.75" x14ac:dyDescent="0.2">
      <c r="A781" s="152"/>
      <c r="B781" s="73"/>
      <c r="C781" s="51" t="s">
        <v>1056</v>
      </c>
      <c r="D781" s="89" t="s">
        <v>497</v>
      </c>
      <c r="E781" s="89"/>
      <c r="F781" s="89"/>
      <c r="G781" s="89"/>
      <c r="H781" s="89"/>
      <c r="I781" s="89"/>
      <c r="J781" s="212"/>
      <c r="K781" s="212"/>
      <c r="L781" s="212"/>
      <c r="M781" s="212"/>
      <c r="N781" s="212">
        <f t="shared" si="30"/>
        <v>0</v>
      </c>
    </row>
    <row r="782" spans="1:14" s="407" customFormat="1" ht="12.75" x14ac:dyDescent="0.2">
      <c r="A782" s="152"/>
      <c r="B782" s="73"/>
      <c r="C782" s="51" t="s">
        <v>1057</v>
      </c>
      <c r="D782" s="89" t="s">
        <v>497</v>
      </c>
      <c r="E782" s="89"/>
      <c r="F782" s="89"/>
      <c r="G782" s="89"/>
      <c r="H782" s="89"/>
      <c r="I782" s="89"/>
      <c r="J782" s="212"/>
      <c r="K782" s="212"/>
      <c r="L782" s="212"/>
      <c r="M782" s="212"/>
      <c r="N782" s="212">
        <f t="shared" si="30"/>
        <v>0</v>
      </c>
    </row>
    <row r="783" spans="1:14" s="407" customFormat="1" ht="12.75" x14ac:dyDescent="0.2">
      <c r="A783" s="152"/>
      <c r="B783" s="73"/>
      <c r="C783" s="51" t="s">
        <v>944</v>
      </c>
      <c r="D783" s="89" t="s">
        <v>497</v>
      </c>
      <c r="E783" s="89"/>
      <c r="F783" s="89"/>
      <c r="G783" s="89"/>
      <c r="H783" s="89"/>
      <c r="I783" s="89"/>
      <c r="J783" s="212"/>
      <c r="K783" s="212"/>
      <c r="L783" s="212"/>
      <c r="M783" s="212"/>
      <c r="N783" s="212">
        <f t="shared" si="30"/>
        <v>0</v>
      </c>
    </row>
    <row r="784" spans="1:14" s="407" customFormat="1" ht="12.75" x14ac:dyDescent="0.2">
      <c r="A784" s="152"/>
      <c r="B784" s="73"/>
      <c r="C784" s="51" t="s">
        <v>945</v>
      </c>
      <c r="D784" s="89" t="s">
        <v>497</v>
      </c>
      <c r="E784" s="89"/>
      <c r="F784" s="89"/>
      <c r="G784" s="89"/>
      <c r="H784" s="89"/>
      <c r="I784" s="89"/>
      <c r="J784" s="212"/>
      <c r="K784" s="212"/>
      <c r="L784" s="212"/>
      <c r="M784" s="212"/>
      <c r="N784" s="212">
        <f t="shared" si="30"/>
        <v>0</v>
      </c>
    </row>
    <row r="785" spans="1:14" s="407" customFormat="1" ht="12.75" x14ac:dyDescent="0.2">
      <c r="A785" s="152"/>
      <c r="B785" s="73"/>
      <c r="C785" s="51" t="s">
        <v>965</v>
      </c>
      <c r="D785" s="89" t="s">
        <v>497</v>
      </c>
      <c r="E785" s="89"/>
      <c r="F785" s="89"/>
      <c r="G785" s="89"/>
      <c r="H785" s="89"/>
      <c r="I785" s="89"/>
      <c r="J785" s="212"/>
      <c r="K785" s="212"/>
      <c r="L785" s="212"/>
      <c r="M785" s="212"/>
      <c r="N785" s="212">
        <f t="shared" si="30"/>
        <v>0</v>
      </c>
    </row>
    <row r="786" spans="1:14" s="407" customFormat="1" ht="12.75" x14ac:dyDescent="0.2">
      <c r="A786" s="152"/>
      <c r="B786" s="73"/>
      <c r="C786" s="51" t="s">
        <v>1011</v>
      </c>
      <c r="D786" s="89" t="s">
        <v>497</v>
      </c>
      <c r="E786" s="89"/>
      <c r="F786" s="89"/>
      <c r="G786" s="89"/>
      <c r="H786" s="89"/>
      <c r="I786" s="89"/>
      <c r="J786" s="212"/>
      <c r="K786" s="212"/>
      <c r="L786" s="212"/>
      <c r="M786" s="212"/>
      <c r="N786" s="212">
        <f t="shared" si="30"/>
        <v>0</v>
      </c>
    </row>
    <row r="787" spans="1:14" s="407" customFormat="1" ht="12.75" x14ac:dyDescent="0.2">
      <c r="A787" s="152"/>
      <c r="B787" s="73"/>
      <c r="C787" s="51" t="s">
        <v>1010</v>
      </c>
      <c r="D787" s="89" t="s">
        <v>497</v>
      </c>
      <c r="E787" s="89"/>
      <c r="F787" s="89"/>
      <c r="G787" s="89"/>
      <c r="H787" s="89"/>
      <c r="I787" s="89"/>
      <c r="J787" s="212"/>
      <c r="K787" s="212"/>
      <c r="L787" s="212"/>
      <c r="M787" s="212"/>
      <c r="N787" s="212">
        <f t="shared" si="30"/>
        <v>0</v>
      </c>
    </row>
    <row r="788" spans="1:14" s="407" customFormat="1" ht="12.75" x14ac:dyDescent="0.2">
      <c r="A788" s="152"/>
      <c r="B788" s="73"/>
      <c r="C788" s="51" t="s">
        <v>1013</v>
      </c>
      <c r="D788" s="89" t="s">
        <v>497</v>
      </c>
      <c r="E788" s="89"/>
      <c r="F788" s="89"/>
      <c r="G788" s="89"/>
      <c r="H788" s="89"/>
      <c r="I788" s="89"/>
      <c r="J788" s="212"/>
      <c r="K788" s="212"/>
      <c r="L788" s="212"/>
      <c r="M788" s="212"/>
      <c r="N788" s="212">
        <f t="shared" si="30"/>
        <v>0</v>
      </c>
    </row>
    <row r="789" spans="1:14" s="407" customFormat="1" ht="12.75" x14ac:dyDescent="0.2">
      <c r="A789" s="152"/>
      <c r="B789" s="73"/>
      <c r="C789" s="51" t="s">
        <v>1012</v>
      </c>
      <c r="D789" s="89" t="s">
        <v>497</v>
      </c>
      <c r="E789" s="89"/>
      <c r="F789" s="89"/>
      <c r="G789" s="89"/>
      <c r="H789" s="89"/>
      <c r="I789" s="89"/>
      <c r="J789" s="212"/>
      <c r="K789" s="212"/>
      <c r="L789" s="212"/>
      <c r="M789" s="212"/>
      <c r="N789" s="212">
        <f t="shared" si="30"/>
        <v>0</v>
      </c>
    </row>
    <row r="790" spans="1:14" s="407" customFormat="1" ht="12.75" x14ac:dyDescent="0.2">
      <c r="A790" s="152"/>
      <c r="B790" s="73"/>
      <c r="C790" s="51" t="s">
        <v>1052</v>
      </c>
      <c r="D790" s="89" t="s">
        <v>497</v>
      </c>
      <c r="E790" s="89"/>
      <c r="F790" s="89"/>
      <c r="G790" s="89"/>
      <c r="H790" s="89"/>
      <c r="I790" s="89"/>
      <c r="J790" s="212"/>
      <c r="K790" s="212"/>
      <c r="L790" s="212"/>
      <c r="M790" s="212"/>
      <c r="N790" s="212">
        <f t="shared" si="30"/>
        <v>0</v>
      </c>
    </row>
    <row r="791" spans="1:14" s="407" customFormat="1" ht="12.75" x14ac:dyDescent="0.2">
      <c r="A791" s="152"/>
      <c r="B791" s="73"/>
      <c r="C791" s="51" t="s">
        <v>1053</v>
      </c>
      <c r="D791" s="89" t="s">
        <v>497</v>
      </c>
      <c r="E791" s="89"/>
      <c r="F791" s="89"/>
      <c r="G791" s="89"/>
      <c r="H791" s="89"/>
      <c r="I791" s="89"/>
      <c r="J791" s="212"/>
      <c r="K791" s="212"/>
      <c r="L791" s="212"/>
      <c r="M791" s="212"/>
      <c r="N791" s="212">
        <f t="shared" si="30"/>
        <v>0</v>
      </c>
    </row>
    <row r="792" spans="1:14" s="407" customFormat="1" ht="12.75" x14ac:dyDescent="0.2">
      <c r="A792" s="152"/>
      <c r="B792" s="73"/>
      <c r="C792" s="51" t="s">
        <v>984</v>
      </c>
      <c r="D792" s="89" t="s">
        <v>497</v>
      </c>
      <c r="E792" s="89"/>
      <c r="F792" s="89"/>
      <c r="G792" s="89"/>
      <c r="H792" s="89"/>
      <c r="I792" s="89"/>
      <c r="J792" s="212"/>
      <c r="K792" s="212"/>
      <c r="L792" s="212"/>
      <c r="M792" s="212"/>
      <c r="N792" s="212">
        <f t="shared" si="30"/>
        <v>0</v>
      </c>
    </row>
    <row r="793" spans="1:14" s="407" customFormat="1" ht="12.75" x14ac:dyDescent="0.2">
      <c r="A793" s="152"/>
      <c r="B793" s="73"/>
      <c r="C793" s="51" t="s">
        <v>985</v>
      </c>
      <c r="D793" s="89" t="s">
        <v>497</v>
      </c>
      <c r="E793" s="89"/>
      <c r="F793" s="89"/>
      <c r="G793" s="89"/>
      <c r="H793" s="89"/>
      <c r="I793" s="89"/>
      <c r="J793" s="212"/>
      <c r="K793" s="212"/>
      <c r="L793" s="212"/>
      <c r="M793" s="212"/>
      <c r="N793" s="212">
        <f t="shared" si="30"/>
        <v>0</v>
      </c>
    </row>
    <row r="794" spans="1:14" s="407" customFormat="1" ht="12.75" x14ac:dyDescent="0.2">
      <c r="A794" s="152"/>
      <c r="B794" s="73"/>
      <c r="C794" s="51" t="s">
        <v>1005</v>
      </c>
      <c r="D794" s="89" t="s">
        <v>497</v>
      </c>
      <c r="E794" s="89"/>
      <c r="F794" s="89"/>
      <c r="G794" s="89"/>
      <c r="H794" s="89"/>
      <c r="I794" s="89"/>
      <c r="J794" s="212"/>
      <c r="K794" s="212"/>
      <c r="L794" s="212"/>
      <c r="M794" s="212"/>
      <c r="N794" s="212">
        <f t="shared" si="30"/>
        <v>0</v>
      </c>
    </row>
    <row r="795" spans="1:14" s="407" customFormat="1" ht="12.75" x14ac:dyDescent="0.2">
      <c r="A795" s="152"/>
      <c r="B795" s="73"/>
      <c r="C795" s="51" t="s">
        <v>1004</v>
      </c>
      <c r="D795" s="89" t="s">
        <v>497</v>
      </c>
      <c r="E795" s="89"/>
      <c r="F795" s="89"/>
      <c r="G795" s="89"/>
      <c r="H795" s="89"/>
      <c r="I795" s="89"/>
      <c r="J795" s="212"/>
      <c r="K795" s="212"/>
      <c r="L795" s="212"/>
      <c r="M795" s="212"/>
      <c r="N795" s="212">
        <f t="shared" si="30"/>
        <v>0</v>
      </c>
    </row>
    <row r="796" spans="1:14" s="407" customFormat="1" ht="12.75" x14ac:dyDescent="0.2">
      <c r="A796" s="152"/>
      <c r="B796" s="73"/>
      <c r="C796" s="51" t="s">
        <v>1008</v>
      </c>
      <c r="D796" s="89" t="s">
        <v>497</v>
      </c>
      <c r="E796" s="89"/>
      <c r="F796" s="89"/>
      <c r="G796" s="89"/>
      <c r="H796" s="89"/>
      <c r="I796" s="89"/>
      <c r="J796" s="212"/>
      <c r="K796" s="212"/>
      <c r="L796" s="212"/>
      <c r="M796" s="212"/>
      <c r="N796" s="212">
        <f t="shared" si="30"/>
        <v>0</v>
      </c>
    </row>
    <row r="797" spans="1:14" s="407" customFormat="1" ht="12.75" x14ac:dyDescent="0.2">
      <c r="A797" s="152"/>
      <c r="B797" s="73"/>
      <c r="C797" s="51" t="s">
        <v>1006</v>
      </c>
      <c r="D797" s="89" t="s">
        <v>497</v>
      </c>
      <c r="E797" s="89"/>
      <c r="F797" s="89"/>
      <c r="G797" s="89"/>
      <c r="H797" s="89"/>
      <c r="I797" s="89"/>
      <c r="J797" s="212"/>
      <c r="K797" s="212"/>
      <c r="L797" s="212"/>
      <c r="M797" s="212"/>
      <c r="N797" s="212">
        <f t="shared" si="30"/>
        <v>0</v>
      </c>
    </row>
    <row r="798" spans="1:14" s="407" customFormat="1" ht="12.75" x14ac:dyDescent="0.2">
      <c r="A798" s="152"/>
      <c r="B798" s="73"/>
      <c r="C798" s="51" t="s">
        <v>1034</v>
      </c>
      <c r="D798" s="89" t="s">
        <v>497</v>
      </c>
      <c r="E798" s="89"/>
      <c r="F798" s="89"/>
      <c r="G798" s="89"/>
      <c r="H798" s="89"/>
      <c r="I798" s="89"/>
      <c r="J798" s="212"/>
      <c r="K798" s="212"/>
      <c r="L798" s="212"/>
      <c r="M798" s="212"/>
      <c r="N798" s="212">
        <f t="shared" si="30"/>
        <v>0</v>
      </c>
    </row>
    <row r="799" spans="1:14" s="407" customFormat="1" ht="12.75" x14ac:dyDescent="0.2">
      <c r="A799" s="152"/>
      <c r="B799" s="73"/>
      <c r="C799" s="51" t="s">
        <v>1035</v>
      </c>
      <c r="D799" s="89" t="s">
        <v>497</v>
      </c>
      <c r="E799" s="89"/>
      <c r="F799" s="89"/>
      <c r="G799" s="89"/>
      <c r="H799" s="89"/>
      <c r="I799" s="89"/>
      <c r="J799" s="212"/>
      <c r="K799" s="212"/>
      <c r="L799" s="212"/>
      <c r="M799" s="212"/>
      <c r="N799" s="212">
        <f t="shared" si="30"/>
        <v>0</v>
      </c>
    </row>
    <row r="800" spans="1:14" s="407" customFormat="1" ht="12.75" x14ac:dyDescent="0.2">
      <c r="A800" s="152"/>
      <c r="B800" s="73"/>
      <c r="C800" s="51" t="s">
        <v>922</v>
      </c>
      <c r="D800" s="89" t="s">
        <v>497</v>
      </c>
      <c r="E800" s="89"/>
      <c r="F800" s="89"/>
      <c r="G800" s="89"/>
      <c r="H800" s="89"/>
      <c r="I800" s="89"/>
      <c r="J800" s="212"/>
      <c r="K800" s="212"/>
      <c r="L800" s="212"/>
      <c r="M800" s="212"/>
      <c r="N800" s="212">
        <f t="shared" si="30"/>
        <v>0</v>
      </c>
    </row>
    <row r="801" spans="1:14" s="407" customFormat="1" ht="12.75" x14ac:dyDescent="0.2">
      <c r="A801" s="152"/>
      <c r="B801" s="73"/>
      <c r="C801" s="51" t="s">
        <v>942</v>
      </c>
      <c r="D801" s="89" t="s">
        <v>497</v>
      </c>
      <c r="E801" s="89"/>
      <c r="F801" s="89"/>
      <c r="G801" s="89"/>
      <c r="H801" s="89"/>
      <c r="I801" s="89"/>
      <c r="J801" s="212"/>
      <c r="K801" s="212"/>
      <c r="L801" s="212"/>
      <c r="M801" s="212"/>
      <c r="N801" s="212">
        <f t="shared" si="30"/>
        <v>0</v>
      </c>
    </row>
    <row r="802" spans="1:14" s="407" customFormat="1" ht="12.75" x14ac:dyDescent="0.2">
      <c r="A802" s="152"/>
      <c r="B802" s="73"/>
      <c r="C802" s="51" t="s">
        <v>943</v>
      </c>
      <c r="D802" s="89" t="s">
        <v>497</v>
      </c>
      <c r="E802" s="89"/>
      <c r="F802" s="89"/>
      <c r="G802" s="89"/>
      <c r="H802" s="89"/>
      <c r="I802" s="89"/>
      <c r="J802" s="212"/>
      <c r="K802" s="212"/>
      <c r="L802" s="212"/>
      <c r="M802" s="212"/>
      <c r="N802" s="212">
        <f t="shared" si="30"/>
        <v>0</v>
      </c>
    </row>
    <row r="803" spans="1:14" s="407" customFormat="1" ht="12.75" x14ac:dyDescent="0.2">
      <c r="A803" s="152"/>
      <c r="B803" s="73"/>
      <c r="C803" s="51" t="s">
        <v>938</v>
      </c>
      <c r="D803" s="89" t="s">
        <v>497</v>
      </c>
      <c r="E803" s="89"/>
      <c r="F803" s="89"/>
      <c r="G803" s="89"/>
      <c r="H803" s="89"/>
      <c r="I803" s="89"/>
      <c r="J803" s="212"/>
      <c r="K803" s="212"/>
      <c r="L803" s="212"/>
      <c r="M803" s="212"/>
      <c r="N803" s="212">
        <f t="shared" si="30"/>
        <v>0</v>
      </c>
    </row>
    <row r="804" spans="1:14" s="407" customFormat="1" ht="12.75" x14ac:dyDescent="0.2">
      <c r="A804" s="152"/>
      <c r="B804" s="73"/>
      <c r="C804" s="51" t="s">
        <v>939</v>
      </c>
      <c r="D804" s="89" t="s">
        <v>497</v>
      </c>
      <c r="E804" s="89"/>
      <c r="F804" s="89"/>
      <c r="G804" s="89"/>
      <c r="H804" s="89"/>
      <c r="I804" s="89"/>
      <c r="J804" s="212"/>
      <c r="K804" s="212"/>
      <c r="L804" s="212"/>
      <c r="M804" s="212"/>
      <c r="N804" s="212">
        <f t="shared" si="30"/>
        <v>0</v>
      </c>
    </row>
    <row r="805" spans="1:14" s="407" customFormat="1" ht="12.75" x14ac:dyDescent="0.2">
      <c r="A805" s="152"/>
      <c r="B805" s="73"/>
      <c r="C805" s="51" t="s">
        <v>934</v>
      </c>
      <c r="D805" s="89" t="s">
        <v>497</v>
      </c>
      <c r="E805" s="89"/>
      <c r="F805" s="89"/>
      <c r="G805" s="89"/>
      <c r="H805" s="89"/>
      <c r="I805" s="89"/>
      <c r="J805" s="212"/>
      <c r="K805" s="212"/>
      <c r="L805" s="212"/>
      <c r="M805" s="212"/>
      <c r="N805" s="212">
        <f t="shared" si="30"/>
        <v>0</v>
      </c>
    </row>
    <row r="806" spans="1:14" s="407" customFormat="1" ht="12.75" x14ac:dyDescent="0.2">
      <c r="A806" s="152"/>
      <c r="B806" s="73"/>
      <c r="C806" s="51" t="s">
        <v>935</v>
      </c>
      <c r="D806" s="89" t="s">
        <v>497</v>
      </c>
      <c r="E806" s="89"/>
      <c r="F806" s="89"/>
      <c r="G806" s="89"/>
      <c r="H806" s="89"/>
      <c r="I806" s="89"/>
      <c r="J806" s="212"/>
      <c r="K806" s="212"/>
      <c r="L806" s="212"/>
      <c r="M806" s="212"/>
      <c r="N806" s="212">
        <f t="shared" si="30"/>
        <v>0</v>
      </c>
    </row>
    <row r="807" spans="1:14" s="407" customFormat="1" ht="12.75" x14ac:dyDescent="0.2">
      <c r="A807" s="152"/>
      <c r="B807" s="73"/>
      <c r="C807" s="51" t="s">
        <v>953</v>
      </c>
      <c r="D807" s="89" t="s">
        <v>497</v>
      </c>
      <c r="E807" s="89"/>
      <c r="F807" s="89"/>
      <c r="G807" s="89"/>
      <c r="H807" s="89"/>
      <c r="I807" s="89"/>
      <c r="J807" s="212"/>
      <c r="K807" s="212"/>
      <c r="L807" s="212"/>
      <c r="M807" s="212"/>
      <c r="N807" s="212">
        <f t="shared" si="30"/>
        <v>0</v>
      </c>
    </row>
    <row r="808" spans="1:14" s="407" customFormat="1" ht="12.75" x14ac:dyDescent="0.2">
      <c r="A808" s="152"/>
      <c r="B808" s="73"/>
      <c r="C808" s="51" t="s">
        <v>924</v>
      </c>
      <c r="D808" s="89" t="s">
        <v>497</v>
      </c>
      <c r="E808" s="89"/>
      <c r="F808" s="89"/>
      <c r="G808" s="89"/>
      <c r="H808" s="89"/>
      <c r="I808" s="89"/>
      <c r="J808" s="212"/>
      <c r="K808" s="212"/>
      <c r="L808" s="212"/>
      <c r="M808" s="212"/>
      <c r="N808" s="212">
        <f t="shared" si="30"/>
        <v>0</v>
      </c>
    </row>
    <row r="809" spans="1:14" s="407" customFormat="1" ht="12.75" x14ac:dyDescent="0.2">
      <c r="A809" s="152"/>
      <c r="B809" s="73"/>
      <c r="C809" s="51" t="s">
        <v>927</v>
      </c>
      <c r="D809" s="89" t="s">
        <v>497</v>
      </c>
      <c r="E809" s="89"/>
      <c r="F809" s="89"/>
      <c r="G809" s="89"/>
      <c r="H809" s="89"/>
      <c r="I809" s="89"/>
      <c r="J809" s="212"/>
      <c r="K809" s="212"/>
      <c r="L809" s="212"/>
      <c r="M809" s="212"/>
      <c r="N809" s="212">
        <f t="shared" si="30"/>
        <v>0</v>
      </c>
    </row>
    <row r="810" spans="1:14" s="407" customFormat="1" ht="12.75" x14ac:dyDescent="0.2">
      <c r="A810" s="152"/>
      <c r="B810" s="73"/>
      <c r="C810" s="51" t="s">
        <v>951</v>
      </c>
      <c r="D810" s="89" t="s">
        <v>497</v>
      </c>
      <c r="E810" s="89"/>
      <c r="F810" s="89"/>
      <c r="G810" s="89"/>
      <c r="H810" s="89"/>
      <c r="I810" s="89"/>
      <c r="J810" s="212"/>
      <c r="K810" s="212"/>
      <c r="L810" s="212"/>
      <c r="M810" s="212"/>
      <c r="N810" s="212">
        <f t="shared" si="30"/>
        <v>0</v>
      </c>
    </row>
    <row r="811" spans="1:14" s="407" customFormat="1" ht="12.75" x14ac:dyDescent="0.2">
      <c r="A811" s="152"/>
      <c r="B811" s="73"/>
      <c r="C811" s="51" t="s">
        <v>1055</v>
      </c>
      <c r="D811" s="89" t="s">
        <v>497</v>
      </c>
      <c r="E811" s="89"/>
      <c r="F811" s="89"/>
      <c r="G811" s="89"/>
      <c r="H811" s="89"/>
      <c r="I811" s="89"/>
      <c r="J811" s="212"/>
      <c r="K811" s="212"/>
      <c r="L811" s="212"/>
      <c r="M811" s="212"/>
      <c r="N811" s="212">
        <f t="shared" si="30"/>
        <v>0</v>
      </c>
    </row>
    <row r="812" spans="1:14" s="407" customFormat="1" ht="12.75" x14ac:dyDescent="0.2">
      <c r="A812" s="152"/>
      <c r="B812" s="73"/>
      <c r="C812" s="51" t="s">
        <v>940</v>
      </c>
      <c r="D812" s="89" t="s">
        <v>497</v>
      </c>
      <c r="E812" s="89"/>
      <c r="F812" s="89"/>
      <c r="G812" s="89"/>
      <c r="H812" s="89"/>
      <c r="I812" s="89"/>
      <c r="J812" s="212"/>
      <c r="K812" s="212"/>
      <c r="L812" s="212"/>
      <c r="M812" s="212"/>
      <c r="N812" s="212">
        <f t="shared" si="30"/>
        <v>0</v>
      </c>
    </row>
    <row r="813" spans="1:14" s="407" customFormat="1" ht="12.75" x14ac:dyDescent="0.2">
      <c r="A813" s="152"/>
      <c r="B813" s="73"/>
      <c r="C813" s="51" t="s">
        <v>941</v>
      </c>
      <c r="D813" s="89" t="s">
        <v>497</v>
      </c>
      <c r="E813" s="89"/>
      <c r="F813" s="89"/>
      <c r="G813" s="89"/>
      <c r="H813" s="89"/>
      <c r="I813" s="89"/>
      <c r="J813" s="212"/>
      <c r="K813" s="212"/>
      <c r="L813" s="212"/>
      <c r="M813" s="212"/>
      <c r="N813" s="212">
        <f t="shared" si="30"/>
        <v>0</v>
      </c>
    </row>
    <row r="814" spans="1:14" s="407" customFormat="1" ht="12.75" x14ac:dyDescent="0.2">
      <c r="A814" s="152"/>
      <c r="B814" s="73"/>
      <c r="C814" s="51" t="s">
        <v>936</v>
      </c>
      <c r="D814" s="89" t="s">
        <v>497</v>
      </c>
      <c r="E814" s="89"/>
      <c r="F814" s="89"/>
      <c r="G814" s="89"/>
      <c r="H814" s="89"/>
      <c r="I814" s="89"/>
      <c r="J814" s="212"/>
      <c r="K814" s="212"/>
      <c r="L814" s="212"/>
      <c r="M814" s="212"/>
      <c r="N814" s="212">
        <f t="shared" si="30"/>
        <v>0</v>
      </c>
    </row>
    <row r="815" spans="1:14" s="407" customFormat="1" ht="12.75" x14ac:dyDescent="0.2">
      <c r="A815" s="152"/>
      <c r="B815" s="73"/>
      <c r="C815" s="51" t="s">
        <v>937</v>
      </c>
      <c r="D815" s="89" t="s">
        <v>497</v>
      </c>
      <c r="E815" s="89"/>
      <c r="F815" s="89"/>
      <c r="G815" s="89"/>
      <c r="H815" s="89"/>
      <c r="I815" s="89"/>
      <c r="J815" s="212"/>
      <c r="K815" s="212"/>
      <c r="L815" s="212"/>
      <c r="M815" s="212"/>
      <c r="N815" s="212">
        <f t="shared" si="30"/>
        <v>0</v>
      </c>
    </row>
    <row r="816" spans="1:14" s="407" customFormat="1" ht="12.75" x14ac:dyDescent="0.2">
      <c r="A816" s="152"/>
      <c r="B816" s="73"/>
      <c r="C816" s="51" t="s">
        <v>932</v>
      </c>
      <c r="D816" s="89" t="s">
        <v>497</v>
      </c>
      <c r="E816" s="89"/>
      <c r="F816" s="89"/>
      <c r="G816" s="89"/>
      <c r="H816" s="89"/>
      <c r="I816" s="89"/>
      <c r="J816" s="212"/>
      <c r="K816" s="212"/>
      <c r="L816" s="212"/>
      <c r="M816" s="212"/>
      <c r="N816" s="212">
        <f t="shared" si="30"/>
        <v>0</v>
      </c>
    </row>
    <row r="817" spans="1:14" s="407" customFormat="1" ht="12.75" x14ac:dyDescent="0.2">
      <c r="A817" s="152"/>
      <c r="B817" s="73"/>
      <c r="C817" s="51" t="s">
        <v>933</v>
      </c>
      <c r="D817" s="89" t="s">
        <v>497</v>
      </c>
      <c r="E817" s="89"/>
      <c r="F817" s="89"/>
      <c r="G817" s="89"/>
      <c r="H817" s="89"/>
      <c r="I817" s="89"/>
      <c r="J817" s="212"/>
      <c r="K817" s="212"/>
      <c r="L817" s="212"/>
      <c r="M817" s="212"/>
      <c r="N817" s="212">
        <f t="shared" si="30"/>
        <v>0</v>
      </c>
    </row>
    <row r="818" spans="1:14" s="407" customFormat="1" ht="12.75" x14ac:dyDescent="0.2">
      <c r="A818" s="152"/>
      <c r="B818" s="73"/>
      <c r="C818" s="51" t="s">
        <v>952</v>
      </c>
      <c r="D818" s="89" t="s">
        <v>497</v>
      </c>
      <c r="E818" s="89"/>
      <c r="F818" s="89"/>
      <c r="G818" s="89"/>
      <c r="H818" s="89"/>
      <c r="I818" s="89"/>
      <c r="J818" s="212"/>
      <c r="K818" s="212"/>
      <c r="L818" s="212"/>
      <c r="M818" s="212"/>
      <c r="N818" s="212">
        <f t="shared" si="30"/>
        <v>0</v>
      </c>
    </row>
    <row r="819" spans="1:14" s="407" customFormat="1" ht="12.75" x14ac:dyDescent="0.2">
      <c r="A819" s="152"/>
      <c r="B819" s="73"/>
      <c r="C819" s="51" t="s">
        <v>923</v>
      </c>
      <c r="D819" s="89" t="s">
        <v>497</v>
      </c>
      <c r="E819" s="89"/>
      <c r="F819" s="89"/>
      <c r="G819" s="89"/>
      <c r="H819" s="89"/>
      <c r="I819" s="89"/>
      <c r="J819" s="212"/>
      <c r="K819" s="212"/>
      <c r="L819" s="212"/>
      <c r="M819" s="212"/>
      <c r="N819" s="212">
        <f t="shared" si="30"/>
        <v>0</v>
      </c>
    </row>
    <row r="820" spans="1:14" s="407" customFormat="1" ht="12.75" x14ac:dyDescent="0.2">
      <c r="A820" s="152"/>
      <c r="B820" s="73"/>
      <c r="C820" s="51" t="s">
        <v>925</v>
      </c>
      <c r="D820" s="89" t="s">
        <v>497</v>
      </c>
      <c r="E820" s="89"/>
      <c r="F820" s="89"/>
      <c r="G820" s="89"/>
      <c r="H820" s="89"/>
      <c r="I820" s="89"/>
      <c r="J820" s="212"/>
      <c r="K820" s="212"/>
      <c r="L820" s="212"/>
      <c r="M820" s="212"/>
      <c r="N820" s="212">
        <f t="shared" si="30"/>
        <v>0</v>
      </c>
    </row>
    <row r="821" spans="1:14" s="407" customFormat="1" ht="12.75" x14ac:dyDescent="0.2">
      <c r="A821" s="152"/>
      <c r="B821" s="73"/>
      <c r="C821" s="51" t="s">
        <v>950</v>
      </c>
      <c r="D821" s="89" t="s">
        <v>497</v>
      </c>
      <c r="E821" s="89"/>
      <c r="F821" s="89"/>
      <c r="G821" s="89"/>
      <c r="H821" s="89"/>
      <c r="I821" s="89"/>
      <c r="J821" s="212"/>
      <c r="K821" s="212"/>
      <c r="L821" s="212"/>
      <c r="M821" s="212"/>
      <c r="N821" s="212">
        <f t="shared" si="30"/>
        <v>0</v>
      </c>
    </row>
    <row r="822" spans="1:14" s="407" customFormat="1" ht="12.75" x14ac:dyDescent="0.2">
      <c r="A822" s="152"/>
      <c r="B822" s="73"/>
      <c r="C822" s="51" t="s">
        <v>1054</v>
      </c>
      <c r="D822" s="89" t="s">
        <v>497</v>
      </c>
      <c r="E822" s="89"/>
      <c r="F822" s="89"/>
      <c r="G822" s="89"/>
      <c r="H822" s="89"/>
      <c r="I822" s="89"/>
      <c r="J822" s="212"/>
      <c r="K822" s="212"/>
      <c r="L822" s="212"/>
      <c r="M822" s="212"/>
      <c r="N822" s="212">
        <f t="shared" si="30"/>
        <v>0</v>
      </c>
    </row>
    <row r="823" spans="1:14" s="407" customFormat="1" ht="12.75" x14ac:dyDescent="0.2">
      <c r="A823" s="152"/>
      <c r="B823" s="73"/>
      <c r="C823" s="51" t="s">
        <v>921</v>
      </c>
      <c r="D823" s="89" t="s">
        <v>497</v>
      </c>
      <c r="E823" s="89"/>
      <c r="F823" s="89"/>
      <c r="G823" s="89"/>
      <c r="H823" s="89"/>
      <c r="I823" s="89"/>
      <c r="J823" s="212"/>
      <c r="K823" s="212"/>
      <c r="L823" s="212"/>
      <c r="M823" s="212"/>
      <c r="N823" s="212">
        <f t="shared" si="30"/>
        <v>0</v>
      </c>
    </row>
    <row r="824" spans="1:14" s="407" customFormat="1" ht="12.75" x14ac:dyDescent="0.2">
      <c r="A824" s="152"/>
      <c r="B824" s="73"/>
      <c r="C824" s="51" t="s">
        <v>1022</v>
      </c>
      <c r="D824" s="89" t="s">
        <v>497</v>
      </c>
      <c r="E824" s="89"/>
      <c r="F824" s="89"/>
      <c r="G824" s="89"/>
      <c r="H824" s="89"/>
      <c r="I824" s="89"/>
      <c r="J824" s="212"/>
      <c r="K824" s="212"/>
      <c r="L824" s="212"/>
      <c r="M824" s="212"/>
      <c r="N824" s="212">
        <f t="shared" si="30"/>
        <v>0</v>
      </c>
    </row>
    <row r="825" spans="1:14" s="407" customFormat="1" ht="12.75" x14ac:dyDescent="0.2">
      <c r="A825" s="152"/>
      <c r="B825" s="73"/>
      <c r="C825" s="51" t="s">
        <v>1023</v>
      </c>
      <c r="D825" s="89" t="s">
        <v>497</v>
      </c>
      <c r="E825" s="89"/>
      <c r="F825" s="89"/>
      <c r="G825" s="89"/>
      <c r="H825" s="89"/>
      <c r="I825" s="89"/>
      <c r="J825" s="212"/>
      <c r="K825" s="212"/>
      <c r="L825" s="212"/>
      <c r="M825" s="212"/>
      <c r="N825" s="212">
        <f t="shared" si="30"/>
        <v>0</v>
      </c>
    </row>
    <row r="826" spans="1:14" s="407" customFormat="1" ht="12.75" x14ac:dyDescent="0.2">
      <c r="A826" s="152"/>
      <c r="B826" s="73"/>
      <c r="C826" s="51" t="s">
        <v>137</v>
      </c>
      <c r="D826" s="89" t="s">
        <v>497</v>
      </c>
      <c r="E826" s="89"/>
      <c r="F826" s="89"/>
      <c r="G826" s="89"/>
      <c r="H826" s="89"/>
      <c r="I826" s="89"/>
      <c r="J826" s="212"/>
      <c r="K826" s="212"/>
      <c r="L826" s="212"/>
      <c r="M826" s="212"/>
      <c r="N826" s="212">
        <f t="shared" si="30"/>
        <v>0</v>
      </c>
    </row>
    <row r="827" spans="1:14" s="407" customFormat="1" ht="12.75" x14ac:dyDescent="0.2">
      <c r="A827" s="152"/>
      <c r="B827" s="73"/>
      <c r="C827" s="51" t="s">
        <v>956</v>
      </c>
      <c r="D827" s="89" t="s">
        <v>497</v>
      </c>
      <c r="E827" s="89"/>
      <c r="F827" s="89"/>
      <c r="G827" s="89"/>
      <c r="H827" s="89"/>
      <c r="I827" s="89"/>
      <c r="J827" s="212"/>
      <c r="K827" s="212"/>
      <c r="L827" s="212"/>
      <c r="M827" s="212"/>
      <c r="N827" s="212">
        <f t="shared" si="30"/>
        <v>0</v>
      </c>
    </row>
    <row r="828" spans="1:14" s="407" customFormat="1" ht="12.75" x14ac:dyDescent="0.2">
      <c r="A828" s="152"/>
      <c r="B828" s="73"/>
      <c r="C828" s="51" t="s">
        <v>1045</v>
      </c>
      <c r="D828" s="89" t="s">
        <v>497</v>
      </c>
      <c r="E828" s="89"/>
      <c r="F828" s="89"/>
      <c r="G828" s="89"/>
      <c r="H828" s="89"/>
      <c r="I828" s="89"/>
      <c r="J828" s="212"/>
      <c r="K828" s="212"/>
      <c r="L828" s="212"/>
      <c r="M828" s="212"/>
      <c r="N828" s="212">
        <f t="shared" si="30"/>
        <v>0</v>
      </c>
    </row>
    <row r="829" spans="1:14" s="407" customFormat="1" ht="12.75" x14ac:dyDescent="0.2">
      <c r="A829" s="152"/>
      <c r="B829" s="73"/>
      <c r="C829" s="51" t="s">
        <v>1046</v>
      </c>
      <c r="D829" s="89" t="s">
        <v>497</v>
      </c>
      <c r="E829" s="89"/>
      <c r="F829" s="89"/>
      <c r="G829" s="89"/>
      <c r="H829" s="89"/>
      <c r="I829" s="89"/>
      <c r="J829" s="212"/>
      <c r="K829" s="212"/>
      <c r="L829" s="212"/>
      <c r="M829" s="212"/>
      <c r="N829" s="212">
        <f t="shared" si="30"/>
        <v>0</v>
      </c>
    </row>
    <row r="830" spans="1:14" s="407" customFormat="1" ht="12.75" x14ac:dyDescent="0.2">
      <c r="A830" s="152"/>
      <c r="B830" s="73"/>
      <c r="C830" s="51" t="s">
        <v>1036</v>
      </c>
      <c r="D830" s="89" t="s">
        <v>497</v>
      </c>
      <c r="E830" s="89"/>
      <c r="F830" s="89"/>
      <c r="G830" s="89"/>
      <c r="H830" s="89"/>
      <c r="I830" s="89"/>
      <c r="J830" s="212"/>
      <c r="K830" s="212"/>
      <c r="L830" s="212"/>
      <c r="M830" s="212"/>
      <c r="N830" s="212">
        <f t="shared" si="30"/>
        <v>0</v>
      </c>
    </row>
    <row r="831" spans="1:14" s="407" customFormat="1" ht="12.75" x14ac:dyDescent="0.2">
      <c r="A831" s="152"/>
      <c r="B831" s="73"/>
      <c r="C831" s="51" t="s">
        <v>1037</v>
      </c>
      <c r="D831" s="89" t="s">
        <v>497</v>
      </c>
      <c r="E831" s="89"/>
      <c r="F831" s="89"/>
      <c r="G831" s="89"/>
      <c r="H831" s="89"/>
      <c r="I831" s="89"/>
      <c r="J831" s="212"/>
      <c r="K831" s="212"/>
      <c r="L831" s="212"/>
      <c r="M831" s="212"/>
      <c r="N831" s="212">
        <f t="shared" si="30"/>
        <v>0</v>
      </c>
    </row>
    <row r="832" spans="1:14" s="407" customFormat="1" ht="12.75" x14ac:dyDescent="0.2">
      <c r="A832" s="152"/>
      <c r="B832" s="73"/>
      <c r="C832" s="51" t="s">
        <v>990</v>
      </c>
      <c r="D832" s="89" t="s">
        <v>497</v>
      </c>
      <c r="E832" s="89"/>
      <c r="F832" s="89"/>
      <c r="G832" s="89"/>
      <c r="H832" s="89"/>
      <c r="I832" s="89"/>
      <c r="J832" s="212"/>
      <c r="K832" s="212"/>
      <c r="L832" s="212"/>
      <c r="M832" s="212"/>
      <c r="N832" s="212">
        <f t="shared" si="30"/>
        <v>0</v>
      </c>
    </row>
    <row r="833" spans="1:14" s="407" customFormat="1" ht="12.75" x14ac:dyDescent="0.2">
      <c r="A833" s="152"/>
      <c r="B833" s="73"/>
      <c r="C833" s="51" t="s">
        <v>1040</v>
      </c>
      <c r="D833" s="89" t="s">
        <v>497</v>
      </c>
      <c r="E833" s="89"/>
      <c r="F833" s="89"/>
      <c r="G833" s="89"/>
      <c r="H833" s="89"/>
      <c r="I833" s="89"/>
      <c r="J833" s="212"/>
      <c r="K833" s="212"/>
      <c r="L833" s="212"/>
      <c r="M833" s="212"/>
      <c r="N833" s="212">
        <f t="shared" si="30"/>
        <v>0</v>
      </c>
    </row>
    <row r="834" spans="1:14" s="407" customFormat="1" ht="12.75" x14ac:dyDescent="0.2">
      <c r="A834" s="152"/>
      <c r="B834" s="73"/>
      <c r="C834" s="51" t="s">
        <v>991</v>
      </c>
      <c r="D834" s="89" t="s">
        <v>497</v>
      </c>
      <c r="E834" s="89"/>
      <c r="F834" s="89"/>
      <c r="G834" s="89"/>
      <c r="H834" s="89"/>
      <c r="I834" s="89"/>
      <c r="J834" s="212"/>
      <c r="K834" s="212"/>
      <c r="L834" s="212"/>
      <c r="M834" s="212"/>
      <c r="N834" s="212">
        <f t="shared" si="30"/>
        <v>0</v>
      </c>
    </row>
    <row r="835" spans="1:14" s="407" customFormat="1" ht="12.75" x14ac:dyDescent="0.2">
      <c r="A835" s="152"/>
      <c r="B835" s="73"/>
      <c r="C835" s="51" t="s">
        <v>959</v>
      </c>
      <c r="D835" s="89" t="s">
        <v>497</v>
      </c>
      <c r="E835" s="89"/>
      <c r="F835" s="89"/>
      <c r="G835" s="89"/>
      <c r="H835" s="89"/>
      <c r="I835" s="89"/>
      <c r="J835" s="212"/>
      <c r="K835" s="212"/>
      <c r="L835" s="212"/>
      <c r="M835" s="212"/>
      <c r="N835" s="212">
        <f t="shared" si="30"/>
        <v>0</v>
      </c>
    </row>
    <row r="836" spans="1:14" s="407" customFormat="1" ht="12.75" x14ac:dyDescent="0.2">
      <c r="A836" s="152"/>
      <c r="B836" s="73"/>
      <c r="C836" s="51" t="s">
        <v>964</v>
      </c>
      <c r="D836" s="89" t="s">
        <v>497</v>
      </c>
      <c r="E836" s="89"/>
      <c r="F836" s="89"/>
      <c r="G836" s="89"/>
      <c r="H836" s="89"/>
      <c r="I836" s="89"/>
      <c r="J836" s="212"/>
      <c r="K836" s="212"/>
      <c r="L836" s="212"/>
      <c r="M836" s="212"/>
      <c r="N836" s="212">
        <f t="shared" si="30"/>
        <v>0</v>
      </c>
    </row>
    <row r="837" spans="1:14" s="407" customFormat="1" ht="12.75" x14ac:dyDescent="0.2">
      <c r="A837" s="152"/>
      <c r="B837" s="73"/>
      <c r="C837" s="51" t="s">
        <v>1003</v>
      </c>
      <c r="D837" s="89" t="s">
        <v>497</v>
      </c>
      <c r="E837" s="89"/>
      <c r="F837" s="89"/>
      <c r="G837" s="89"/>
      <c r="H837" s="89"/>
      <c r="I837" s="89"/>
      <c r="J837" s="212"/>
      <c r="K837" s="212"/>
      <c r="L837" s="212"/>
      <c r="M837" s="212"/>
      <c r="N837" s="212">
        <f t="shared" si="30"/>
        <v>0</v>
      </c>
    </row>
    <row r="838" spans="1:14" s="407" customFormat="1" ht="12.75" x14ac:dyDescent="0.2">
      <c r="A838" s="152"/>
      <c r="B838" s="73"/>
      <c r="C838" s="51" t="s">
        <v>992</v>
      </c>
      <c r="D838" s="89" t="s">
        <v>497</v>
      </c>
      <c r="E838" s="89"/>
      <c r="F838" s="89"/>
      <c r="G838" s="89"/>
      <c r="H838" s="89"/>
      <c r="I838" s="89"/>
      <c r="J838" s="212"/>
      <c r="K838" s="212"/>
      <c r="L838" s="212"/>
      <c r="M838" s="212"/>
      <c r="N838" s="212">
        <f t="shared" si="30"/>
        <v>0</v>
      </c>
    </row>
    <row r="839" spans="1:14" s="407" customFormat="1" ht="12.75" x14ac:dyDescent="0.2">
      <c r="A839" s="152"/>
      <c r="B839" s="73"/>
      <c r="C839" s="51" t="s">
        <v>994</v>
      </c>
      <c r="D839" s="89" t="s">
        <v>497</v>
      </c>
      <c r="E839" s="89"/>
      <c r="F839" s="89"/>
      <c r="G839" s="89"/>
      <c r="H839" s="89"/>
      <c r="I839" s="89"/>
      <c r="J839" s="212"/>
      <c r="K839" s="212"/>
      <c r="L839" s="212"/>
      <c r="M839" s="212"/>
      <c r="N839" s="212">
        <f t="shared" si="30"/>
        <v>0</v>
      </c>
    </row>
    <row r="840" spans="1:14" s="407" customFormat="1" ht="12.75" x14ac:dyDescent="0.2">
      <c r="A840" s="152"/>
      <c r="B840" s="73"/>
      <c r="C840" s="51" t="s">
        <v>993</v>
      </c>
      <c r="D840" s="89" t="s">
        <v>497</v>
      </c>
      <c r="E840" s="89"/>
      <c r="F840" s="89"/>
      <c r="G840" s="89"/>
      <c r="H840" s="89"/>
      <c r="I840" s="89"/>
      <c r="J840" s="212"/>
      <c r="K840" s="212"/>
      <c r="L840" s="212"/>
      <c r="M840" s="212"/>
      <c r="N840" s="212">
        <f t="shared" si="30"/>
        <v>0</v>
      </c>
    </row>
    <row r="841" spans="1:14" s="407" customFormat="1" ht="12.75" x14ac:dyDescent="0.2">
      <c r="A841" s="152"/>
      <c r="B841" s="73"/>
      <c r="C841" s="51" t="s">
        <v>995</v>
      </c>
      <c r="D841" s="89" t="s">
        <v>497</v>
      </c>
      <c r="E841" s="89"/>
      <c r="F841" s="89"/>
      <c r="G841" s="89"/>
      <c r="H841" s="89"/>
      <c r="I841" s="89"/>
      <c r="J841" s="212"/>
      <c r="K841" s="212"/>
      <c r="L841" s="212"/>
      <c r="M841" s="212"/>
      <c r="N841" s="212">
        <f t="shared" ref="N841:N904" si="31">SUMIFS(N$26:N$154,$C$26:$C$154,$C841,$D$26:$D$154,$D841)</f>
        <v>0</v>
      </c>
    </row>
    <row r="842" spans="1:14" s="407" customFormat="1" ht="12.75" x14ac:dyDescent="0.2">
      <c r="A842" s="152"/>
      <c r="B842" s="73"/>
      <c r="C842" s="51" t="s">
        <v>1001</v>
      </c>
      <c r="D842" s="89" t="s">
        <v>497</v>
      </c>
      <c r="E842" s="89"/>
      <c r="F842" s="89"/>
      <c r="G842" s="89"/>
      <c r="H842" s="89"/>
      <c r="I842" s="89"/>
      <c r="J842" s="212"/>
      <c r="K842" s="212"/>
      <c r="L842" s="212"/>
      <c r="M842" s="212"/>
      <c r="N842" s="212">
        <f t="shared" si="31"/>
        <v>0</v>
      </c>
    </row>
    <row r="843" spans="1:14" s="407" customFormat="1" ht="12.75" x14ac:dyDescent="0.2">
      <c r="A843" s="152"/>
      <c r="B843" s="73"/>
      <c r="C843" s="51" t="s">
        <v>978</v>
      </c>
      <c r="D843" s="89" t="s">
        <v>497</v>
      </c>
      <c r="E843" s="89"/>
      <c r="F843" s="89"/>
      <c r="G843" s="89"/>
      <c r="H843" s="89"/>
      <c r="I843" s="89"/>
      <c r="J843" s="212"/>
      <c r="K843" s="212"/>
      <c r="L843" s="212"/>
      <c r="M843" s="212"/>
      <c r="N843" s="212">
        <f t="shared" si="31"/>
        <v>0</v>
      </c>
    </row>
    <row r="844" spans="1:14" s="407" customFormat="1" ht="12.75" x14ac:dyDescent="0.2">
      <c r="A844" s="152"/>
      <c r="B844" s="73"/>
      <c r="C844" s="51" t="s">
        <v>494</v>
      </c>
      <c r="D844" s="89" t="s">
        <v>497</v>
      </c>
      <c r="E844" s="89"/>
      <c r="F844" s="89"/>
      <c r="G844" s="89"/>
      <c r="H844" s="89"/>
      <c r="I844" s="89"/>
      <c r="J844" s="212"/>
      <c r="K844" s="212"/>
      <c r="L844" s="212"/>
      <c r="M844" s="212"/>
      <c r="N844" s="212">
        <f t="shared" si="31"/>
        <v>0</v>
      </c>
    </row>
    <row r="845" spans="1:14" s="407" customFormat="1" ht="12.75" x14ac:dyDescent="0.2">
      <c r="A845" s="152"/>
      <c r="B845" s="73"/>
      <c r="C845" s="51" t="s">
        <v>976</v>
      </c>
      <c r="D845" s="89" t="s">
        <v>497</v>
      </c>
      <c r="E845" s="89"/>
      <c r="F845" s="89"/>
      <c r="G845" s="89"/>
      <c r="H845" s="89"/>
      <c r="I845" s="89"/>
      <c r="J845" s="212"/>
      <c r="K845" s="212"/>
      <c r="L845" s="212"/>
      <c r="M845" s="212"/>
      <c r="N845" s="212">
        <f t="shared" si="31"/>
        <v>0</v>
      </c>
    </row>
    <row r="846" spans="1:14" s="407" customFormat="1" ht="12.75" x14ac:dyDescent="0.2">
      <c r="A846" s="152"/>
      <c r="B846" s="73"/>
      <c r="C846" s="51" t="s">
        <v>1002</v>
      </c>
      <c r="D846" s="89" t="s">
        <v>497</v>
      </c>
      <c r="E846" s="89"/>
      <c r="F846" s="89"/>
      <c r="G846" s="89"/>
      <c r="H846" s="89"/>
      <c r="I846" s="89"/>
      <c r="J846" s="212"/>
      <c r="K846" s="212"/>
      <c r="L846" s="212"/>
      <c r="M846" s="212"/>
      <c r="N846" s="212">
        <f t="shared" si="31"/>
        <v>0</v>
      </c>
    </row>
    <row r="847" spans="1:14" s="407" customFormat="1" ht="12.75" x14ac:dyDescent="0.2">
      <c r="A847" s="152"/>
      <c r="B847" s="73"/>
      <c r="C847" s="51" t="s">
        <v>1014</v>
      </c>
      <c r="D847" s="89" t="s">
        <v>497</v>
      </c>
      <c r="E847" s="89"/>
      <c r="F847" s="89"/>
      <c r="G847" s="89"/>
      <c r="H847" s="89"/>
      <c r="I847" s="89"/>
      <c r="J847" s="212"/>
      <c r="K847" s="212"/>
      <c r="L847" s="212"/>
      <c r="M847" s="212"/>
      <c r="N847" s="212">
        <f t="shared" si="31"/>
        <v>0</v>
      </c>
    </row>
    <row r="848" spans="1:14" s="407" customFormat="1" ht="12.75" x14ac:dyDescent="0.2">
      <c r="A848" s="152"/>
      <c r="B848" s="73"/>
      <c r="C848" s="51" t="s">
        <v>998</v>
      </c>
      <c r="D848" s="89" t="s">
        <v>497</v>
      </c>
      <c r="E848" s="89"/>
      <c r="F848" s="89"/>
      <c r="G848" s="89"/>
      <c r="H848" s="89"/>
      <c r="I848" s="89"/>
      <c r="J848" s="212"/>
      <c r="K848" s="212"/>
      <c r="L848" s="212"/>
      <c r="M848" s="212"/>
      <c r="N848" s="212">
        <f t="shared" si="31"/>
        <v>0</v>
      </c>
    </row>
    <row r="849" spans="1:14" s="407" customFormat="1" ht="12.75" x14ac:dyDescent="0.2">
      <c r="A849" s="152"/>
      <c r="B849" s="73"/>
      <c r="C849" s="51" t="s">
        <v>996</v>
      </c>
      <c r="D849" s="89" t="s">
        <v>497</v>
      </c>
      <c r="E849" s="89"/>
      <c r="F849" s="89"/>
      <c r="G849" s="89"/>
      <c r="H849" s="89"/>
      <c r="I849" s="89"/>
      <c r="J849" s="212"/>
      <c r="K849" s="212"/>
      <c r="L849" s="212"/>
      <c r="M849" s="212"/>
      <c r="N849" s="212">
        <f t="shared" si="31"/>
        <v>0</v>
      </c>
    </row>
    <row r="850" spans="1:14" s="407" customFormat="1" ht="12.75" x14ac:dyDescent="0.2">
      <c r="A850" s="152"/>
      <c r="B850" s="73"/>
      <c r="C850" s="51" t="s">
        <v>1043</v>
      </c>
      <c r="D850" s="89" t="s">
        <v>497</v>
      </c>
      <c r="E850" s="89"/>
      <c r="F850" s="89"/>
      <c r="G850" s="89"/>
      <c r="H850" s="89"/>
      <c r="I850" s="89"/>
      <c r="J850" s="212"/>
      <c r="K850" s="212"/>
      <c r="L850" s="212"/>
      <c r="M850" s="212"/>
      <c r="N850" s="212">
        <f t="shared" si="31"/>
        <v>0</v>
      </c>
    </row>
    <row r="851" spans="1:14" s="407" customFormat="1" ht="12.75" x14ac:dyDescent="0.2">
      <c r="A851" s="152"/>
      <c r="B851" s="73"/>
      <c r="C851" s="51" t="s">
        <v>1044</v>
      </c>
      <c r="D851" s="89" t="s">
        <v>497</v>
      </c>
      <c r="E851" s="89"/>
      <c r="F851" s="89"/>
      <c r="G851" s="89"/>
      <c r="H851" s="89"/>
      <c r="I851" s="89"/>
      <c r="J851" s="212"/>
      <c r="K851" s="212"/>
      <c r="L851" s="212"/>
      <c r="M851" s="212"/>
      <c r="N851" s="212">
        <f t="shared" si="31"/>
        <v>0</v>
      </c>
    </row>
    <row r="852" spans="1:14" s="407" customFormat="1" ht="12.75" x14ac:dyDescent="0.2">
      <c r="A852" s="152"/>
      <c r="B852" s="73"/>
      <c r="C852" s="51" t="s">
        <v>1039</v>
      </c>
      <c r="D852" s="89" t="s">
        <v>497</v>
      </c>
      <c r="E852" s="89"/>
      <c r="F852" s="89"/>
      <c r="G852" s="89"/>
      <c r="H852" s="89"/>
      <c r="I852" s="89"/>
      <c r="J852" s="212"/>
      <c r="K852" s="212"/>
      <c r="L852" s="212"/>
      <c r="M852" s="212"/>
      <c r="N852" s="212">
        <f t="shared" si="31"/>
        <v>0</v>
      </c>
    </row>
    <row r="853" spans="1:14" s="407" customFormat="1" ht="12.75" x14ac:dyDescent="0.2">
      <c r="A853" s="152"/>
      <c r="B853" s="73"/>
      <c r="C853" s="51" t="s">
        <v>1028</v>
      </c>
      <c r="D853" s="89" t="s">
        <v>497</v>
      </c>
      <c r="E853" s="89"/>
      <c r="F853" s="89"/>
      <c r="G853" s="89"/>
      <c r="H853" s="89"/>
      <c r="I853" s="89"/>
      <c r="J853" s="212"/>
      <c r="K853" s="212"/>
      <c r="L853" s="212"/>
      <c r="M853" s="212"/>
      <c r="N853" s="212">
        <f t="shared" si="31"/>
        <v>0</v>
      </c>
    </row>
    <row r="854" spans="1:14" s="407" customFormat="1" ht="12.75" x14ac:dyDescent="0.2">
      <c r="A854" s="152"/>
      <c r="B854" s="73"/>
      <c r="C854" s="51" t="s">
        <v>1029</v>
      </c>
      <c r="D854" s="89" t="s">
        <v>497</v>
      </c>
      <c r="E854" s="89"/>
      <c r="F854" s="89"/>
      <c r="G854" s="89"/>
      <c r="H854" s="89"/>
      <c r="I854" s="89"/>
      <c r="J854" s="212"/>
      <c r="K854" s="212"/>
      <c r="L854" s="212"/>
      <c r="M854" s="212"/>
      <c r="N854" s="212">
        <f t="shared" si="31"/>
        <v>0</v>
      </c>
    </row>
    <row r="855" spans="1:14" s="407" customFormat="1" ht="12.75" x14ac:dyDescent="0.2">
      <c r="A855" s="152"/>
      <c r="B855" s="73"/>
      <c r="C855" s="51" t="s">
        <v>113</v>
      </c>
      <c r="D855" s="89" t="s">
        <v>497</v>
      </c>
      <c r="E855" s="89"/>
      <c r="F855" s="89"/>
      <c r="G855" s="89"/>
      <c r="H855" s="89"/>
      <c r="I855" s="89"/>
      <c r="J855" s="212"/>
      <c r="K855" s="212"/>
      <c r="L855" s="212"/>
      <c r="M855" s="212"/>
      <c r="N855" s="212">
        <f t="shared" si="31"/>
        <v>0</v>
      </c>
    </row>
    <row r="856" spans="1:14" s="407" customFormat="1" ht="12.75" x14ac:dyDescent="0.2">
      <c r="A856" s="152"/>
      <c r="B856" s="73"/>
      <c r="C856" s="51" t="s">
        <v>1038</v>
      </c>
      <c r="D856" s="89" t="s">
        <v>497</v>
      </c>
      <c r="E856" s="89"/>
      <c r="F856" s="89"/>
      <c r="G856" s="89"/>
      <c r="H856" s="89"/>
      <c r="I856" s="89"/>
      <c r="J856" s="212"/>
      <c r="K856" s="212"/>
      <c r="L856" s="212"/>
      <c r="M856" s="212"/>
      <c r="N856" s="212">
        <f t="shared" si="31"/>
        <v>0</v>
      </c>
    </row>
    <row r="857" spans="1:14" s="407" customFormat="1" ht="12.75" x14ac:dyDescent="0.2">
      <c r="A857" s="152"/>
      <c r="B857" s="73"/>
      <c r="C857" s="51" t="s">
        <v>1033</v>
      </c>
      <c r="D857" s="89" t="s">
        <v>497</v>
      </c>
      <c r="E857" s="89"/>
      <c r="F857" s="89"/>
      <c r="G857" s="89"/>
      <c r="H857" s="89"/>
      <c r="I857" s="89"/>
      <c r="J857" s="212"/>
      <c r="K857" s="212"/>
      <c r="L857" s="212"/>
      <c r="M857" s="212"/>
      <c r="N857" s="212">
        <f t="shared" si="31"/>
        <v>0</v>
      </c>
    </row>
    <row r="858" spans="1:14" s="407" customFormat="1" ht="12.75" x14ac:dyDescent="0.2">
      <c r="A858" s="152"/>
      <c r="B858" s="73"/>
      <c r="C858" s="51" t="s">
        <v>1007</v>
      </c>
      <c r="D858" s="89" t="s">
        <v>497</v>
      </c>
      <c r="E858" s="89"/>
      <c r="F858" s="89"/>
      <c r="G858" s="89"/>
      <c r="H858" s="89"/>
      <c r="I858" s="89"/>
      <c r="J858" s="212"/>
      <c r="K858" s="212"/>
      <c r="L858" s="212"/>
      <c r="M858" s="212"/>
      <c r="N858" s="212">
        <f t="shared" si="31"/>
        <v>0</v>
      </c>
    </row>
    <row r="859" spans="1:14" s="407" customFormat="1" ht="12.75" x14ac:dyDescent="0.2">
      <c r="A859" s="152"/>
      <c r="B859" s="73"/>
      <c r="C859" s="51" t="s">
        <v>969</v>
      </c>
      <c r="D859" s="89" t="s">
        <v>497</v>
      </c>
      <c r="E859" s="89"/>
      <c r="F859" s="89"/>
      <c r="G859" s="89"/>
      <c r="H859" s="89"/>
      <c r="I859" s="89"/>
      <c r="J859" s="212"/>
      <c r="K859" s="212"/>
      <c r="L859" s="212"/>
      <c r="M859" s="212"/>
      <c r="N859" s="212">
        <f t="shared" si="31"/>
        <v>0</v>
      </c>
    </row>
    <row r="860" spans="1:14" s="407" customFormat="1" ht="12.75" x14ac:dyDescent="0.2">
      <c r="A860" s="152"/>
      <c r="B860" s="73"/>
      <c r="C860" s="51" t="s">
        <v>987</v>
      </c>
      <c r="D860" s="89" t="s">
        <v>497</v>
      </c>
      <c r="E860" s="89"/>
      <c r="F860" s="89"/>
      <c r="G860" s="89"/>
      <c r="H860" s="89"/>
      <c r="I860" s="89"/>
      <c r="J860" s="212"/>
      <c r="K860" s="212"/>
      <c r="L860" s="212"/>
      <c r="M860" s="212"/>
      <c r="N860" s="212">
        <f t="shared" si="31"/>
        <v>0</v>
      </c>
    </row>
    <row r="861" spans="1:14" s="407" customFormat="1" ht="12.75" x14ac:dyDescent="0.2">
      <c r="A861" s="152"/>
      <c r="B861" s="73"/>
      <c r="C861" s="51" t="s">
        <v>1000</v>
      </c>
      <c r="D861" s="89" t="s">
        <v>497</v>
      </c>
      <c r="E861" s="89"/>
      <c r="F861" s="89"/>
      <c r="G861" s="89"/>
      <c r="H861" s="89"/>
      <c r="I861" s="89"/>
      <c r="J861" s="212"/>
      <c r="K861" s="212"/>
      <c r="L861" s="212"/>
      <c r="M861" s="212"/>
      <c r="N861" s="212">
        <f t="shared" si="31"/>
        <v>0</v>
      </c>
    </row>
    <row r="862" spans="1:14" s="407" customFormat="1" ht="12.75" x14ac:dyDescent="0.2">
      <c r="A862" s="152"/>
      <c r="B862" s="73"/>
      <c r="C862" s="51" t="s">
        <v>116</v>
      </c>
      <c r="D862" s="89" t="s">
        <v>497</v>
      </c>
      <c r="E862" s="89"/>
      <c r="F862" s="89"/>
      <c r="G862" s="89"/>
      <c r="H862" s="89"/>
      <c r="I862" s="89"/>
      <c r="J862" s="212"/>
      <c r="K862" s="212"/>
      <c r="L862" s="212"/>
      <c r="M862" s="212"/>
      <c r="N862" s="212">
        <f t="shared" si="31"/>
        <v>0</v>
      </c>
    </row>
    <row r="863" spans="1:14" s="407" customFormat="1" ht="12.75" x14ac:dyDescent="0.2">
      <c r="A863" s="152"/>
      <c r="B863" s="73"/>
      <c r="C863" s="51" t="s">
        <v>114</v>
      </c>
      <c r="D863" s="89" t="s">
        <v>497</v>
      </c>
      <c r="E863" s="89"/>
      <c r="F863" s="89"/>
      <c r="G863" s="89"/>
      <c r="H863" s="89"/>
      <c r="I863" s="89"/>
      <c r="J863" s="212"/>
      <c r="K863" s="212"/>
      <c r="L863" s="212"/>
      <c r="M863" s="212"/>
      <c r="N863" s="212">
        <f t="shared" si="31"/>
        <v>0</v>
      </c>
    </row>
    <row r="864" spans="1:14" s="407" customFormat="1" ht="12.75" x14ac:dyDescent="0.2">
      <c r="A864" s="152"/>
      <c r="B864" s="73"/>
      <c r="C864" s="51" t="s">
        <v>111</v>
      </c>
      <c r="D864" s="89" t="s">
        <v>497</v>
      </c>
      <c r="E864" s="89"/>
      <c r="F864" s="89"/>
      <c r="G864" s="89"/>
      <c r="H864" s="89"/>
      <c r="I864" s="89"/>
      <c r="J864" s="212"/>
      <c r="K864" s="212"/>
      <c r="L864" s="212"/>
      <c r="M864" s="212"/>
      <c r="N864" s="212">
        <f t="shared" si="31"/>
        <v>0</v>
      </c>
    </row>
    <row r="865" spans="1:14" s="407" customFormat="1" ht="12.75" x14ac:dyDescent="0.2">
      <c r="A865" s="152"/>
      <c r="B865" s="73"/>
      <c r="C865" s="51" t="s">
        <v>117</v>
      </c>
      <c r="D865" s="89" t="s">
        <v>497</v>
      </c>
      <c r="E865" s="89"/>
      <c r="F865" s="89"/>
      <c r="G865" s="89"/>
      <c r="H865" s="89"/>
      <c r="I865" s="89"/>
      <c r="J865" s="212"/>
      <c r="K865" s="212"/>
      <c r="L865" s="212"/>
      <c r="M865" s="212"/>
      <c r="N865" s="212">
        <f t="shared" si="31"/>
        <v>0</v>
      </c>
    </row>
    <row r="866" spans="1:14" s="407" customFormat="1" ht="12.75" x14ac:dyDescent="0.2">
      <c r="A866" s="152"/>
      <c r="B866" s="73"/>
      <c r="C866" s="51" t="s">
        <v>112</v>
      </c>
      <c r="D866" s="89" t="s">
        <v>497</v>
      </c>
      <c r="E866" s="89"/>
      <c r="F866" s="89"/>
      <c r="G866" s="89"/>
      <c r="H866" s="89"/>
      <c r="I866" s="89"/>
      <c r="J866" s="212"/>
      <c r="K866" s="212"/>
      <c r="L866" s="212"/>
      <c r="M866" s="212"/>
      <c r="N866" s="212">
        <f t="shared" si="31"/>
        <v>0</v>
      </c>
    </row>
    <row r="867" spans="1:14" s="407" customFormat="1" ht="12.75" x14ac:dyDescent="0.2">
      <c r="A867" s="152"/>
      <c r="B867" s="73"/>
      <c r="C867" s="51" t="s">
        <v>136</v>
      </c>
      <c r="D867" s="89" t="s">
        <v>497</v>
      </c>
      <c r="E867" s="89"/>
      <c r="F867" s="89"/>
      <c r="G867" s="89"/>
      <c r="H867" s="89"/>
      <c r="I867" s="89"/>
      <c r="J867" s="212"/>
      <c r="K867" s="212"/>
      <c r="L867" s="212"/>
      <c r="M867" s="212"/>
      <c r="N867" s="212">
        <f t="shared" si="31"/>
        <v>0</v>
      </c>
    </row>
    <row r="868" spans="1:14" s="407" customFormat="1" ht="12.75" x14ac:dyDescent="0.2">
      <c r="A868" s="152"/>
      <c r="B868" s="73"/>
      <c r="C868" s="51" t="s">
        <v>962</v>
      </c>
      <c r="D868" s="89" t="s">
        <v>497</v>
      </c>
      <c r="E868" s="89"/>
      <c r="F868" s="89"/>
      <c r="G868" s="89"/>
      <c r="H868" s="89"/>
      <c r="I868" s="89"/>
      <c r="J868" s="212"/>
      <c r="K868" s="212"/>
      <c r="L868" s="212"/>
      <c r="M868" s="212"/>
      <c r="N868" s="212">
        <f t="shared" si="31"/>
        <v>0</v>
      </c>
    </row>
    <row r="869" spans="1:14" s="407" customFormat="1" ht="12.75" x14ac:dyDescent="0.2">
      <c r="A869" s="152"/>
      <c r="B869" s="73"/>
      <c r="C869" s="51" t="s">
        <v>115</v>
      </c>
      <c r="D869" s="89" t="s">
        <v>497</v>
      </c>
      <c r="E869" s="89"/>
      <c r="F869" s="89"/>
      <c r="G869" s="89"/>
      <c r="H869" s="89"/>
      <c r="I869" s="89"/>
      <c r="J869" s="212"/>
      <c r="K869" s="212"/>
      <c r="L869" s="212"/>
      <c r="M869" s="212"/>
      <c r="N869" s="212">
        <f t="shared" si="31"/>
        <v>0</v>
      </c>
    </row>
    <row r="870" spans="1:14" s="407" customFormat="1" ht="12.75" x14ac:dyDescent="0.2">
      <c r="A870" s="152"/>
      <c r="B870" s="73"/>
      <c r="C870" s="51" t="s">
        <v>997</v>
      </c>
      <c r="D870" s="89" t="s">
        <v>497</v>
      </c>
      <c r="E870" s="89"/>
      <c r="F870" s="89"/>
      <c r="G870" s="89"/>
      <c r="H870" s="89"/>
      <c r="I870" s="89"/>
      <c r="J870" s="212"/>
      <c r="K870" s="212"/>
      <c r="L870" s="212"/>
      <c r="M870" s="212"/>
      <c r="N870" s="212">
        <f t="shared" si="31"/>
        <v>0</v>
      </c>
    </row>
    <row r="871" spans="1:14" s="407" customFormat="1" ht="12.75" x14ac:dyDescent="0.2">
      <c r="A871" s="152"/>
      <c r="B871" s="73"/>
      <c r="C871" s="51" t="s">
        <v>999</v>
      </c>
      <c r="D871" s="89" t="s">
        <v>497</v>
      </c>
      <c r="E871" s="89"/>
      <c r="F871" s="89"/>
      <c r="G871" s="89"/>
      <c r="H871" s="89"/>
      <c r="I871" s="89"/>
      <c r="J871" s="212"/>
      <c r="K871" s="212"/>
      <c r="L871" s="212"/>
      <c r="M871" s="212"/>
      <c r="N871" s="212">
        <f t="shared" si="31"/>
        <v>0</v>
      </c>
    </row>
    <row r="872" spans="1:14" s="407" customFormat="1" ht="12.75" x14ac:dyDescent="0.2">
      <c r="A872" s="152"/>
      <c r="B872" s="73"/>
      <c r="C872" s="51" t="s">
        <v>1049</v>
      </c>
      <c r="D872" s="89" t="s">
        <v>497</v>
      </c>
      <c r="E872" s="89"/>
      <c r="F872" s="89"/>
      <c r="G872" s="89"/>
      <c r="H872" s="89"/>
      <c r="I872" s="89"/>
      <c r="J872" s="212"/>
      <c r="K872" s="212"/>
      <c r="L872" s="212"/>
      <c r="M872" s="212"/>
      <c r="N872" s="212">
        <f t="shared" si="31"/>
        <v>0</v>
      </c>
    </row>
    <row r="873" spans="1:14" s="407" customFormat="1" ht="12.75" x14ac:dyDescent="0.2">
      <c r="A873" s="152"/>
      <c r="B873" s="73"/>
      <c r="C873" s="51" t="s">
        <v>96</v>
      </c>
      <c r="D873" s="89" t="s">
        <v>497</v>
      </c>
      <c r="E873" s="89"/>
      <c r="F873" s="89"/>
      <c r="G873" s="89"/>
      <c r="H873" s="89"/>
      <c r="I873" s="89"/>
      <c r="J873" s="212"/>
      <c r="K873" s="212"/>
      <c r="L873" s="212"/>
      <c r="M873" s="212"/>
      <c r="N873" s="212">
        <f t="shared" si="31"/>
        <v>0</v>
      </c>
    </row>
    <row r="874" spans="1:14" s="407" customFormat="1" ht="12.75" x14ac:dyDescent="0.2">
      <c r="A874" s="152"/>
      <c r="B874" s="73"/>
      <c r="C874" s="51" t="s">
        <v>983</v>
      </c>
      <c r="D874" s="89" t="s">
        <v>497</v>
      </c>
      <c r="E874" s="89"/>
      <c r="F874" s="89"/>
      <c r="G874" s="89"/>
      <c r="H874" s="89"/>
      <c r="I874" s="89"/>
      <c r="J874" s="212"/>
      <c r="K874" s="212"/>
      <c r="L874" s="212"/>
      <c r="M874" s="212"/>
      <c r="N874" s="212">
        <f t="shared" si="31"/>
        <v>0</v>
      </c>
    </row>
    <row r="875" spans="1:14" s="407" customFormat="1" ht="12.75" x14ac:dyDescent="0.2">
      <c r="A875" s="152"/>
      <c r="B875" s="73"/>
      <c r="C875" s="51" t="s">
        <v>1042</v>
      </c>
      <c r="D875" s="89" t="s">
        <v>497</v>
      </c>
      <c r="E875" s="89"/>
      <c r="F875" s="89"/>
      <c r="G875" s="89"/>
      <c r="H875" s="89"/>
      <c r="I875" s="89"/>
      <c r="J875" s="212"/>
      <c r="K875" s="212"/>
      <c r="L875" s="212"/>
      <c r="M875" s="212"/>
      <c r="N875" s="212">
        <f t="shared" si="31"/>
        <v>0</v>
      </c>
    </row>
    <row r="876" spans="1:14" s="407" customFormat="1" ht="12.75" x14ac:dyDescent="0.2">
      <c r="A876" s="152"/>
      <c r="B876" s="73"/>
      <c r="C876" s="51" t="s">
        <v>979</v>
      </c>
      <c r="D876" s="89" t="s">
        <v>497</v>
      </c>
      <c r="E876" s="89"/>
      <c r="F876" s="89"/>
      <c r="G876" s="89"/>
      <c r="H876" s="89"/>
      <c r="I876" s="89"/>
      <c r="J876" s="212"/>
      <c r="K876" s="212"/>
      <c r="L876" s="212"/>
      <c r="M876" s="212"/>
      <c r="N876" s="212">
        <f t="shared" si="31"/>
        <v>0</v>
      </c>
    </row>
    <row r="877" spans="1:14" s="407" customFormat="1" ht="12.75" x14ac:dyDescent="0.2">
      <c r="A877" s="152"/>
      <c r="B877" s="73"/>
      <c r="C877" s="51" t="s">
        <v>47</v>
      </c>
      <c r="D877" s="89" t="s">
        <v>497</v>
      </c>
      <c r="E877" s="89"/>
      <c r="F877" s="89"/>
      <c r="G877" s="89"/>
      <c r="H877" s="89"/>
      <c r="I877" s="89"/>
      <c r="J877" s="212"/>
      <c r="K877" s="212"/>
      <c r="L877" s="212"/>
      <c r="M877" s="212"/>
      <c r="N877" s="212">
        <f t="shared" si="31"/>
        <v>0</v>
      </c>
    </row>
    <row r="878" spans="1:14" s="407" customFormat="1" ht="12.75" x14ac:dyDescent="0.2">
      <c r="A878" s="152"/>
      <c r="B878" s="73"/>
      <c r="C878" s="51" t="s">
        <v>48</v>
      </c>
      <c r="D878" s="89" t="s">
        <v>497</v>
      </c>
      <c r="E878" s="89"/>
      <c r="F878" s="89"/>
      <c r="G878" s="89"/>
      <c r="H878" s="89"/>
      <c r="I878" s="89"/>
      <c r="J878" s="212"/>
      <c r="K878" s="212"/>
      <c r="L878" s="212"/>
      <c r="M878" s="212"/>
      <c r="N878" s="212">
        <f t="shared" si="31"/>
        <v>0</v>
      </c>
    </row>
    <row r="879" spans="1:14" s="407" customFormat="1" ht="12.75" x14ac:dyDescent="0.2">
      <c r="A879" s="152"/>
      <c r="B879" s="73"/>
      <c r="C879" s="51" t="s">
        <v>1051</v>
      </c>
      <c r="D879" s="89" t="s">
        <v>497</v>
      </c>
      <c r="E879" s="89"/>
      <c r="F879" s="89"/>
      <c r="G879" s="89"/>
      <c r="H879" s="89"/>
      <c r="I879" s="89"/>
      <c r="J879" s="212"/>
      <c r="K879" s="212"/>
      <c r="L879" s="212"/>
      <c r="M879" s="212"/>
      <c r="N879" s="212">
        <f t="shared" si="31"/>
        <v>0</v>
      </c>
    </row>
    <row r="880" spans="1:14" s="407" customFormat="1" ht="12.75" x14ac:dyDescent="0.2">
      <c r="A880" s="152"/>
      <c r="B880" s="73"/>
      <c r="C880" s="51" t="s">
        <v>929</v>
      </c>
      <c r="D880" s="89" t="s">
        <v>497</v>
      </c>
      <c r="E880" s="89"/>
      <c r="F880" s="89"/>
      <c r="G880" s="89"/>
      <c r="H880" s="89"/>
      <c r="I880" s="89"/>
      <c r="J880" s="212"/>
      <c r="K880" s="212"/>
      <c r="L880" s="212"/>
      <c r="M880" s="212"/>
      <c r="N880" s="212">
        <f t="shared" si="31"/>
        <v>0</v>
      </c>
    </row>
    <row r="881" spans="1:14" s="407" customFormat="1" ht="12.75" x14ac:dyDescent="0.2">
      <c r="A881" s="152"/>
      <c r="B881" s="73"/>
      <c r="C881" s="51" t="s">
        <v>970</v>
      </c>
      <c r="D881" s="89" t="s">
        <v>497</v>
      </c>
      <c r="E881" s="89"/>
      <c r="F881" s="89"/>
      <c r="G881" s="89"/>
      <c r="H881" s="89"/>
      <c r="I881" s="89"/>
      <c r="J881" s="212"/>
      <c r="K881" s="212"/>
      <c r="L881" s="212"/>
      <c r="M881" s="212"/>
      <c r="N881" s="212">
        <f t="shared" si="31"/>
        <v>0</v>
      </c>
    </row>
    <row r="882" spans="1:14" s="407" customFormat="1" ht="12.75" x14ac:dyDescent="0.2">
      <c r="A882" s="152"/>
      <c r="B882" s="73"/>
      <c r="C882" s="51" t="s">
        <v>122</v>
      </c>
      <c r="D882" s="89" t="s">
        <v>497</v>
      </c>
      <c r="E882" s="89"/>
      <c r="F882" s="89"/>
      <c r="G882" s="89"/>
      <c r="H882" s="89"/>
      <c r="I882" s="89"/>
      <c r="J882" s="212"/>
      <c r="K882" s="212"/>
      <c r="L882" s="212"/>
      <c r="M882" s="212"/>
      <c r="N882" s="212">
        <f t="shared" si="31"/>
        <v>0</v>
      </c>
    </row>
    <row r="883" spans="1:14" s="407" customFormat="1" ht="12.75" x14ac:dyDescent="0.2">
      <c r="A883" s="152"/>
      <c r="B883" s="73"/>
      <c r="C883" s="51" t="s">
        <v>135</v>
      </c>
      <c r="D883" s="89" t="s">
        <v>497</v>
      </c>
      <c r="E883" s="89"/>
      <c r="F883" s="89"/>
      <c r="G883" s="89"/>
      <c r="H883" s="89"/>
      <c r="I883" s="89"/>
      <c r="J883" s="212"/>
      <c r="K883" s="212"/>
      <c r="L883" s="212"/>
      <c r="M883" s="212"/>
      <c r="N883" s="212">
        <f t="shared" si="31"/>
        <v>0</v>
      </c>
    </row>
    <row r="884" spans="1:14" s="407" customFormat="1" ht="12.75" x14ac:dyDescent="0.2">
      <c r="A884" s="152"/>
      <c r="B884" s="73"/>
      <c r="C884" s="51" t="s">
        <v>123</v>
      </c>
      <c r="D884" s="89" t="s">
        <v>497</v>
      </c>
      <c r="E884" s="89"/>
      <c r="F884" s="89"/>
      <c r="G884" s="89"/>
      <c r="H884" s="89"/>
      <c r="I884" s="89"/>
      <c r="J884" s="212"/>
      <c r="K884" s="212"/>
      <c r="L884" s="212"/>
      <c r="M884" s="212"/>
      <c r="N884" s="212">
        <f t="shared" si="31"/>
        <v>0</v>
      </c>
    </row>
    <row r="885" spans="1:14" s="407" customFormat="1" ht="12.75" x14ac:dyDescent="0.2">
      <c r="A885" s="152"/>
      <c r="B885" s="73"/>
      <c r="C885" s="51" t="s">
        <v>974</v>
      </c>
      <c r="D885" s="89" t="s">
        <v>497</v>
      </c>
      <c r="E885" s="89"/>
      <c r="F885" s="89"/>
      <c r="G885" s="89"/>
      <c r="H885" s="89"/>
      <c r="I885" s="89"/>
      <c r="J885" s="212"/>
      <c r="K885" s="212"/>
      <c r="L885" s="212"/>
      <c r="M885" s="212"/>
      <c r="N885" s="212">
        <f t="shared" si="31"/>
        <v>0</v>
      </c>
    </row>
    <row r="886" spans="1:14" s="407" customFormat="1" ht="12.75" x14ac:dyDescent="0.2">
      <c r="A886" s="152"/>
      <c r="B886" s="73"/>
      <c r="C886" s="51" t="s">
        <v>975</v>
      </c>
      <c r="D886" s="89" t="s">
        <v>497</v>
      </c>
      <c r="E886" s="89"/>
      <c r="F886" s="89"/>
      <c r="G886" s="89"/>
      <c r="H886" s="89"/>
      <c r="I886" s="89"/>
      <c r="J886" s="212"/>
      <c r="K886" s="212"/>
      <c r="L886" s="212"/>
      <c r="M886" s="212"/>
      <c r="N886" s="212">
        <f t="shared" si="31"/>
        <v>0</v>
      </c>
    </row>
    <row r="887" spans="1:14" s="407" customFormat="1" ht="12.75" x14ac:dyDescent="0.2">
      <c r="A887" s="152"/>
      <c r="B887" s="73"/>
      <c r="C887" s="51" t="s">
        <v>126</v>
      </c>
      <c r="D887" s="89" t="s">
        <v>497</v>
      </c>
      <c r="E887" s="89"/>
      <c r="F887" s="89"/>
      <c r="G887" s="89"/>
      <c r="H887" s="89"/>
      <c r="I887" s="89"/>
      <c r="J887" s="212"/>
      <c r="K887" s="212"/>
      <c r="L887" s="212"/>
      <c r="M887" s="212"/>
      <c r="N887" s="212">
        <f t="shared" si="31"/>
        <v>0</v>
      </c>
    </row>
    <row r="888" spans="1:14" s="407" customFormat="1" ht="12.75" x14ac:dyDescent="0.2">
      <c r="A888" s="152"/>
      <c r="B888" s="73"/>
      <c r="C888" s="51" t="s">
        <v>127</v>
      </c>
      <c r="D888" s="89" t="s">
        <v>497</v>
      </c>
      <c r="E888" s="89"/>
      <c r="F888" s="89"/>
      <c r="G888" s="89"/>
      <c r="H888" s="89"/>
      <c r="I888" s="89"/>
      <c r="J888" s="212"/>
      <c r="K888" s="212"/>
      <c r="L888" s="212"/>
      <c r="M888" s="212"/>
      <c r="N888" s="212">
        <f t="shared" si="31"/>
        <v>0</v>
      </c>
    </row>
    <row r="889" spans="1:14" s="407" customFormat="1" ht="12.75" x14ac:dyDescent="0.2">
      <c r="A889" s="152"/>
      <c r="B889" s="73"/>
      <c r="C889" s="51" t="s">
        <v>130</v>
      </c>
      <c r="D889" s="89" t="s">
        <v>497</v>
      </c>
      <c r="E889" s="89"/>
      <c r="F889" s="89"/>
      <c r="G889" s="89"/>
      <c r="H889" s="89"/>
      <c r="I889" s="89"/>
      <c r="J889" s="212"/>
      <c r="K889" s="212"/>
      <c r="L889" s="212"/>
      <c r="M889" s="212"/>
      <c r="N889" s="212">
        <f t="shared" si="31"/>
        <v>0</v>
      </c>
    </row>
    <row r="890" spans="1:14" s="407" customFormat="1" ht="12.75" x14ac:dyDescent="0.2">
      <c r="A890" s="152"/>
      <c r="B890" s="73"/>
      <c r="C890" s="51" t="s">
        <v>125</v>
      </c>
      <c r="D890" s="89" t="s">
        <v>497</v>
      </c>
      <c r="E890" s="89"/>
      <c r="F890" s="89"/>
      <c r="G890" s="89"/>
      <c r="H890" s="89"/>
      <c r="I890" s="89"/>
      <c r="J890" s="212"/>
      <c r="K890" s="212"/>
      <c r="L890" s="212"/>
      <c r="M890" s="212"/>
      <c r="N890" s="212">
        <f t="shared" si="31"/>
        <v>0</v>
      </c>
    </row>
    <row r="891" spans="1:14" s="407" customFormat="1" ht="12.75" x14ac:dyDescent="0.2">
      <c r="A891" s="152"/>
      <c r="B891" s="73"/>
      <c r="C891" s="51" t="s">
        <v>128</v>
      </c>
      <c r="D891" s="89" t="s">
        <v>497</v>
      </c>
      <c r="E891" s="89"/>
      <c r="F891" s="89"/>
      <c r="G891" s="89"/>
      <c r="H891" s="89"/>
      <c r="I891" s="89"/>
      <c r="J891" s="212"/>
      <c r="K891" s="212"/>
      <c r="L891" s="212"/>
      <c r="M891" s="212"/>
      <c r="N891" s="212">
        <f t="shared" si="31"/>
        <v>0</v>
      </c>
    </row>
    <row r="892" spans="1:14" s="407" customFormat="1" ht="12.75" x14ac:dyDescent="0.2">
      <c r="A892" s="152"/>
      <c r="B892" s="73"/>
      <c r="C892" s="51" t="s">
        <v>1016</v>
      </c>
      <c r="D892" s="89" t="s">
        <v>497</v>
      </c>
      <c r="E892" s="89"/>
      <c r="F892" s="89"/>
      <c r="G892" s="89"/>
      <c r="H892" s="89"/>
      <c r="I892" s="89"/>
      <c r="J892" s="212"/>
      <c r="K892" s="212"/>
      <c r="L892" s="212"/>
      <c r="M892" s="212"/>
      <c r="N892" s="212">
        <f t="shared" si="31"/>
        <v>0</v>
      </c>
    </row>
    <row r="893" spans="1:14" s="407" customFormat="1" ht="12.75" x14ac:dyDescent="0.2">
      <c r="A893" s="152"/>
      <c r="B893" s="73"/>
      <c r="C893" s="51" t="s">
        <v>1015</v>
      </c>
      <c r="D893" s="89" t="s">
        <v>497</v>
      </c>
      <c r="E893" s="89"/>
      <c r="F893" s="89"/>
      <c r="G893" s="89"/>
      <c r="H893" s="89"/>
      <c r="I893" s="89"/>
      <c r="J893" s="212"/>
      <c r="K893" s="212"/>
      <c r="L893" s="212"/>
      <c r="M893" s="212"/>
      <c r="N893" s="212">
        <f t="shared" si="31"/>
        <v>0</v>
      </c>
    </row>
    <row r="894" spans="1:14" s="407" customFormat="1" ht="12.75" x14ac:dyDescent="0.2">
      <c r="A894" s="152"/>
      <c r="B894" s="73"/>
      <c r="C894" s="51" t="s">
        <v>930</v>
      </c>
      <c r="D894" s="89" t="s">
        <v>497</v>
      </c>
      <c r="E894" s="89"/>
      <c r="F894" s="89"/>
      <c r="G894" s="89"/>
      <c r="H894" s="89"/>
      <c r="I894" s="89"/>
      <c r="J894" s="212"/>
      <c r="K894" s="212"/>
      <c r="L894" s="212"/>
      <c r="M894" s="212"/>
      <c r="N894" s="212">
        <f t="shared" si="31"/>
        <v>0</v>
      </c>
    </row>
    <row r="895" spans="1:14" s="407" customFormat="1" ht="12.75" x14ac:dyDescent="0.2">
      <c r="A895" s="152"/>
      <c r="B895" s="73"/>
      <c r="C895" s="51" t="s">
        <v>931</v>
      </c>
      <c r="D895" s="89" t="s">
        <v>497</v>
      </c>
      <c r="E895" s="89"/>
      <c r="F895" s="89"/>
      <c r="G895" s="89"/>
      <c r="H895" s="89"/>
      <c r="I895" s="89"/>
      <c r="J895" s="212"/>
      <c r="K895" s="212"/>
      <c r="L895" s="212"/>
      <c r="M895" s="212"/>
      <c r="N895" s="212">
        <f t="shared" si="31"/>
        <v>0</v>
      </c>
    </row>
    <row r="896" spans="1:14" s="407" customFormat="1" ht="12.75" x14ac:dyDescent="0.2">
      <c r="A896" s="152"/>
      <c r="B896" s="73"/>
      <c r="C896" s="51" t="s">
        <v>926</v>
      </c>
      <c r="D896" s="89" t="s">
        <v>497</v>
      </c>
      <c r="E896" s="89"/>
      <c r="F896" s="89"/>
      <c r="G896" s="89"/>
      <c r="H896" s="89"/>
      <c r="I896" s="89"/>
      <c r="J896" s="212"/>
      <c r="K896" s="212"/>
      <c r="L896" s="212"/>
      <c r="M896" s="212"/>
      <c r="N896" s="212">
        <f t="shared" si="31"/>
        <v>0</v>
      </c>
    </row>
    <row r="897" spans="1:14" s="407" customFormat="1" ht="12.75" x14ac:dyDescent="0.2">
      <c r="A897" s="152"/>
      <c r="B897" s="73"/>
      <c r="C897" s="51" t="s">
        <v>110</v>
      </c>
      <c r="D897" s="89" t="s">
        <v>497</v>
      </c>
      <c r="E897" s="89"/>
      <c r="F897" s="89"/>
      <c r="G897" s="89"/>
      <c r="H897" s="89"/>
      <c r="I897" s="89"/>
      <c r="J897" s="212"/>
      <c r="K897" s="212"/>
      <c r="L897" s="212"/>
      <c r="M897" s="212"/>
      <c r="N897" s="212">
        <f t="shared" si="31"/>
        <v>0</v>
      </c>
    </row>
    <row r="898" spans="1:14" s="407" customFormat="1" ht="12.75" x14ac:dyDescent="0.2">
      <c r="A898" s="152"/>
      <c r="B898" s="73"/>
      <c r="C898" s="51" t="s">
        <v>133</v>
      </c>
      <c r="D898" s="89" t="s">
        <v>497</v>
      </c>
      <c r="E898" s="89"/>
      <c r="F898" s="89"/>
      <c r="G898" s="89"/>
      <c r="H898" s="89"/>
      <c r="I898" s="89"/>
      <c r="J898" s="212"/>
      <c r="K898" s="212"/>
      <c r="L898" s="212"/>
      <c r="M898" s="212"/>
      <c r="N898" s="212">
        <f t="shared" si="31"/>
        <v>0</v>
      </c>
    </row>
    <row r="899" spans="1:14" s="407" customFormat="1" ht="12.75" x14ac:dyDescent="0.2">
      <c r="A899" s="152"/>
      <c r="B899" s="73"/>
      <c r="C899" s="51" t="s">
        <v>134</v>
      </c>
      <c r="D899" s="89" t="s">
        <v>497</v>
      </c>
      <c r="E899" s="89"/>
      <c r="F899" s="89"/>
      <c r="G899" s="89"/>
      <c r="H899" s="89"/>
      <c r="I899" s="89"/>
      <c r="J899" s="212"/>
      <c r="K899" s="212"/>
      <c r="L899" s="212"/>
      <c r="M899" s="212"/>
      <c r="N899" s="212">
        <f t="shared" si="31"/>
        <v>0</v>
      </c>
    </row>
    <row r="900" spans="1:14" s="407" customFormat="1" ht="12.75" x14ac:dyDescent="0.2">
      <c r="A900" s="152"/>
      <c r="B900" s="73"/>
      <c r="C900" s="51" t="s">
        <v>138</v>
      </c>
      <c r="D900" s="89" t="s">
        <v>497</v>
      </c>
      <c r="E900" s="89"/>
      <c r="F900" s="89"/>
      <c r="G900" s="89"/>
      <c r="H900" s="89"/>
      <c r="I900" s="89"/>
      <c r="J900" s="212"/>
      <c r="K900" s="212"/>
      <c r="L900" s="212"/>
      <c r="M900" s="212"/>
      <c r="N900" s="212">
        <f t="shared" si="31"/>
        <v>0</v>
      </c>
    </row>
    <row r="901" spans="1:14" s="407" customFormat="1" ht="12.75" x14ac:dyDescent="0.2">
      <c r="A901" s="152"/>
      <c r="B901" s="73"/>
      <c r="C901" s="51" t="s">
        <v>106</v>
      </c>
      <c r="D901" s="89" t="s">
        <v>497</v>
      </c>
      <c r="E901" s="89"/>
      <c r="F901" s="89"/>
      <c r="G901" s="89"/>
      <c r="H901" s="89"/>
      <c r="I901" s="89"/>
      <c r="J901" s="212"/>
      <c r="K901" s="212"/>
      <c r="L901" s="212"/>
      <c r="M901" s="212"/>
      <c r="N901" s="212">
        <f t="shared" si="31"/>
        <v>0</v>
      </c>
    </row>
    <row r="902" spans="1:14" s="407" customFormat="1" ht="12.75" x14ac:dyDescent="0.2">
      <c r="A902" s="152"/>
      <c r="B902" s="73"/>
      <c r="C902" s="51" t="s">
        <v>1024</v>
      </c>
      <c r="D902" s="89" t="s">
        <v>497</v>
      </c>
      <c r="E902" s="89"/>
      <c r="F902" s="89"/>
      <c r="G902" s="89"/>
      <c r="H902" s="89"/>
      <c r="I902" s="89"/>
      <c r="J902" s="212"/>
      <c r="K902" s="212"/>
      <c r="L902" s="212"/>
      <c r="M902" s="212"/>
      <c r="N902" s="212">
        <f t="shared" si="31"/>
        <v>0</v>
      </c>
    </row>
    <row r="903" spans="1:14" s="407" customFormat="1" ht="12.75" x14ac:dyDescent="0.2">
      <c r="A903" s="152"/>
      <c r="B903" s="73"/>
      <c r="C903" s="51" t="s">
        <v>1025</v>
      </c>
      <c r="D903" s="89" t="s">
        <v>497</v>
      </c>
      <c r="E903" s="89"/>
      <c r="F903" s="89"/>
      <c r="G903" s="89"/>
      <c r="H903" s="89"/>
      <c r="I903" s="89"/>
      <c r="J903" s="212"/>
      <c r="K903" s="212"/>
      <c r="L903" s="212"/>
      <c r="M903" s="212"/>
      <c r="N903" s="212">
        <f t="shared" si="31"/>
        <v>0</v>
      </c>
    </row>
    <row r="904" spans="1:14" s="407" customFormat="1" ht="12.75" x14ac:dyDescent="0.2">
      <c r="A904" s="152"/>
      <c r="B904" s="73"/>
      <c r="C904" s="51" t="s">
        <v>960</v>
      </c>
      <c r="D904" s="89" t="s">
        <v>497</v>
      </c>
      <c r="E904" s="89"/>
      <c r="F904" s="89"/>
      <c r="G904" s="89"/>
      <c r="H904" s="89"/>
      <c r="I904" s="89"/>
      <c r="J904" s="212"/>
      <c r="K904" s="212"/>
      <c r="L904" s="212"/>
      <c r="M904" s="212"/>
      <c r="N904" s="212">
        <f t="shared" si="31"/>
        <v>0</v>
      </c>
    </row>
    <row r="905" spans="1:14" s="407" customFormat="1" ht="12.75" x14ac:dyDescent="0.2">
      <c r="A905" s="152"/>
      <c r="B905" s="73"/>
      <c r="C905" s="51" t="s">
        <v>961</v>
      </c>
      <c r="D905" s="89" t="s">
        <v>497</v>
      </c>
      <c r="E905" s="89"/>
      <c r="F905" s="89"/>
      <c r="G905" s="89"/>
      <c r="H905" s="89"/>
      <c r="I905" s="89"/>
      <c r="J905" s="212"/>
      <c r="K905" s="212"/>
      <c r="L905" s="212"/>
      <c r="M905" s="212"/>
      <c r="N905" s="212">
        <f t="shared" ref="N905:N968" si="32">SUMIFS(N$26:N$154,$C$26:$C$154,$C905,$D$26:$D$154,$D905)</f>
        <v>0</v>
      </c>
    </row>
    <row r="906" spans="1:14" s="407" customFormat="1" ht="12.75" x14ac:dyDescent="0.2">
      <c r="A906" s="152"/>
      <c r="B906" s="73"/>
      <c r="C906" s="51" t="s">
        <v>948</v>
      </c>
      <c r="D906" s="89" t="s">
        <v>497</v>
      </c>
      <c r="E906" s="89"/>
      <c r="F906" s="89"/>
      <c r="G906" s="89"/>
      <c r="H906" s="89"/>
      <c r="I906" s="89"/>
      <c r="J906" s="212"/>
      <c r="K906" s="212"/>
      <c r="L906" s="212"/>
      <c r="M906" s="212"/>
      <c r="N906" s="212">
        <f t="shared" si="32"/>
        <v>0</v>
      </c>
    </row>
    <row r="907" spans="1:14" s="407" customFormat="1" ht="12.75" x14ac:dyDescent="0.2">
      <c r="A907" s="152"/>
      <c r="B907" s="73"/>
      <c r="C907" s="51" t="s">
        <v>949</v>
      </c>
      <c r="D907" s="89" t="s">
        <v>497</v>
      </c>
      <c r="E907" s="89"/>
      <c r="F907" s="89"/>
      <c r="G907" s="89"/>
      <c r="H907" s="89"/>
      <c r="I907" s="89"/>
      <c r="J907" s="212"/>
      <c r="K907" s="212"/>
      <c r="L907" s="212"/>
      <c r="M907" s="212"/>
      <c r="N907" s="212">
        <f t="shared" si="32"/>
        <v>0</v>
      </c>
    </row>
    <row r="908" spans="1:14" s="407" customFormat="1" ht="12.75" x14ac:dyDescent="0.2">
      <c r="A908" s="152"/>
      <c r="B908" s="73"/>
      <c r="C908" s="51" t="s">
        <v>132</v>
      </c>
      <c r="D908" s="89" t="s">
        <v>497</v>
      </c>
      <c r="E908" s="89"/>
      <c r="F908" s="89"/>
      <c r="G908" s="89"/>
      <c r="H908" s="89"/>
      <c r="I908" s="89"/>
      <c r="J908" s="212"/>
      <c r="K908" s="212"/>
      <c r="L908" s="212"/>
      <c r="M908" s="212"/>
      <c r="N908" s="212">
        <f t="shared" si="32"/>
        <v>0</v>
      </c>
    </row>
    <row r="909" spans="1:14" s="407" customFormat="1" ht="12.75" x14ac:dyDescent="0.2">
      <c r="A909" s="152"/>
      <c r="B909" s="73"/>
      <c r="C909" s="51" t="s">
        <v>121</v>
      </c>
      <c r="D909" s="89" t="s">
        <v>497</v>
      </c>
      <c r="E909" s="89"/>
      <c r="F909" s="89"/>
      <c r="G909" s="89"/>
      <c r="H909" s="89"/>
      <c r="I909" s="89"/>
      <c r="J909" s="212"/>
      <c r="K909" s="212"/>
      <c r="L909" s="212"/>
      <c r="M909" s="212"/>
      <c r="N909" s="212">
        <f t="shared" si="32"/>
        <v>0</v>
      </c>
    </row>
    <row r="910" spans="1:14" s="407" customFormat="1" ht="12.75" x14ac:dyDescent="0.2">
      <c r="A910" s="152"/>
      <c r="B910" s="73"/>
      <c r="C910" s="51" t="s">
        <v>131</v>
      </c>
      <c r="D910" s="89" t="s">
        <v>497</v>
      </c>
      <c r="E910" s="89"/>
      <c r="F910" s="89"/>
      <c r="G910" s="89"/>
      <c r="H910" s="89"/>
      <c r="I910" s="89"/>
      <c r="J910" s="212"/>
      <c r="K910" s="212"/>
      <c r="L910" s="212"/>
      <c r="M910" s="212"/>
      <c r="N910" s="212">
        <f t="shared" si="32"/>
        <v>0</v>
      </c>
    </row>
    <row r="911" spans="1:14" s="407" customFormat="1" ht="12.75" x14ac:dyDescent="0.2">
      <c r="A911" s="152"/>
      <c r="B911" s="73"/>
      <c r="C911" s="51" t="s">
        <v>967</v>
      </c>
      <c r="D911" s="89" t="s">
        <v>497</v>
      </c>
      <c r="E911" s="89"/>
      <c r="F911" s="89"/>
      <c r="G911" s="89"/>
      <c r="H911" s="89"/>
      <c r="I911" s="89"/>
      <c r="J911" s="212"/>
      <c r="K911" s="212"/>
      <c r="L911" s="212"/>
      <c r="M911" s="212"/>
      <c r="N911" s="212">
        <f t="shared" si="32"/>
        <v>0</v>
      </c>
    </row>
    <row r="912" spans="1:14" s="407" customFormat="1" ht="12.75" x14ac:dyDescent="0.2">
      <c r="A912" s="152"/>
      <c r="B912" s="73"/>
      <c r="C912" s="51" t="s">
        <v>118</v>
      </c>
      <c r="D912" s="89" t="s">
        <v>497</v>
      </c>
      <c r="E912" s="89"/>
      <c r="F912" s="89"/>
      <c r="G912" s="89"/>
      <c r="H912" s="89"/>
      <c r="I912" s="89"/>
      <c r="J912" s="212"/>
      <c r="K912" s="212"/>
      <c r="L912" s="212"/>
      <c r="M912" s="212"/>
      <c r="N912" s="212">
        <f t="shared" si="32"/>
        <v>0</v>
      </c>
    </row>
    <row r="913" spans="1:14" s="407" customFormat="1" ht="12.75" x14ac:dyDescent="0.2">
      <c r="A913" s="152"/>
      <c r="B913" s="73"/>
      <c r="C913" s="51" t="s">
        <v>971</v>
      </c>
      <c r="D913" s="89" t="s">
        <v>497</v>
      </c>
      <c r="E913" s="89"/>
      <c r="F913" s="89"/>
      <c r="G913" s="89"/>
      <c r="H913" s="89"/>
      <c r="I913" s="89"/>
      <c r="J913" s="212"/>
      <c r="K913" s="212"/>
      <c r="L913" s="212"/>
      <c r="M913" s="212"/>
      <c r="N913" s="212">
        <f t="shared" si="32"/>
        <v>0</v>
      </c>
    </row>
    <row r="914" spans="1:14" s="407" customFormat="1" ht="12.75" x14ac:dyDescent="0.2">
      <c r="A914" s="152"/>
      <c r="B914" s="73"/>
      <c r="C914" s="51" t="s">
        <v>957</v>
      </c>
      <c r="D914" s="89" t="s">
        <v>497</v>
      </c>
      <c r="E914" s="89"/>
      <c r="F914" s="89"/>
      <c r="G914" s="89"/>
      <c r="H914" s="89"/>
      <c r="I914" s="89"/>
      <c r="J914" s="212"/>
      <c r="K914" s="212"/>
      <c r="L914" s="212"/>
      <c r="M914" s="212"/>
      <c r="N914" s="212">
        <f t="shared" si="32"/>
        <v>0</v>
      </c>
    </row>
    <row r="915" spans="1:14" s="407" customFormat="1" ht="12.75" x14ac:dyDescent="0.2">
      <c r="A915" s="152"/>
      <c r="B915" s="73"/>
      <c r="C915" s="51" t="s">
        <v>97</v>
      </c>
      <c r="D915" s="89" t="s">
        <v>497</v>
      </c>
      <c r="E915" s="89"/>
      <c r="F915" s="89"/>
      <c r="G915" s="89"/>
      <c r="H915" s="89"/>
      <c r="I915" s="89"/>
      <c r="J915" s="212"/>
      <c r="K915" s="212"/>
      <c r="L915" s="212"/>
      <c r="M915" s="212"/>
      <c r="N915" s="212">
        <f t="shared" si="32"/>
        <v>0</v>
      </c>
    </row>
    <row r="916" spans="1:14" s="407" customFormat="1" ht="12.75" x14ac:dyDescent="0.2">
      <c r="A916" s="152"/>
      <c r="B916" s="73"/>
      <c r="C916" s="51" t="s">
        <v>49</v>
      </c>
      <c r="D916" s="89" t="s">
        <v>497</v>
      </c>
      <c r="E916" s="89"/>
      <c r="F916" s="89"/>
      <c r="G916" s="89"/>
      <c r="H916" s="89"/>
      <c r="I916" s="89"/>
      <c r="J916" s="212"/>
      <c r="K916" s="212"/>
      <c r="L916" s="212"/>
      <c r="M916" s="212"/>
      <c r="N916" s="212">
        <f t="shared" si="32"/>
        <v>0</v>
      </c>
    </row>
    <row r="917" spans="1:14" s="407" customFormat="1" ht="12.75" x14ac:dyDescent="0.2">
      <c r="A917" s="152"/>
      <c r="B917" s="73"/>
      <c r="C917" s="51" t="s">
        <v>1017</v>
      </c>
      <c r="D917" s="89" t="s">
        <v>497</v>
      </c>
      <c r="E917" s="89"/>
      <c r="F917" s="89"/>
      <c r="G917" s="89"/>
      <c r="H917" s="89"/>
      <c r="I917" s="89"/>
      <c r="J917" s="212"/>
      <c r="K917" s="212"/>
      <c r="L917" s="212"/>
      <c r="M917" s="212"/>
      <c r="N917" s="212">
        <f t="shared" si="32"/>
        <v>0</v>
      </c>
    </row>
    <row r="918" spans="1:14" s="407" customFormat="1" ht="12.75" x14ac:dyDescent="0.2">
      <c r="A918" s="152"/>
      <c r="B918" s="73"/>
      <c r="C918" s="51" t="s">
        <v>1018</v>
      </c>
      <c r="D918" s="89" t="s">
        <v>497</v>
      </c>
      <c r="E918" s="89"/>
      <c r="F918" s="89"/>
      <c r="G918" s="89"/>
      <c r="H918" s="89"/>
      <c r="I918" s="89"/>
      <c r="J918" s="212"/>
      <c r="K918" s="212"/>
      <c r="L918" s="212"/>
      <c r="M918" s="212"/>
      <c r="N918" s="212">
        <f t="shared" si="32"/>
        <v>0</v>
      </c>
    </row>
    <row r="919" spans="1:14" s="407" customFormat="1" ht="12.75" x14ac:dyDescent="0.2">
      <c r="A919" s="152"/>
      <c r="B919" s="73"/>
      <c r="C919" s="51" t="s">
        <v>928</v>
      </c>
      <c r="D919" s="89" t="s">
        <v>497</v>
      </c>
      <c r="E919" s="89"/>
      <c r="F919" s="89"/>
      <c r="G919" s="89"/>
      <c r="H919" s="89"/>
      <c r="I919" s="89"/>
      <c r="J919" s="212"/>
      <c r="K919" s="212"/>
      <c r="L919" s="212"/>
      <c r="M919" s="212"/>
      <c r="N919" s="212">
        <f t="shared" si="32"/>
        <v>0</v>
      </c>
    </row>
    <row r="920" spans="1:14" s="407" customFormat="1" ht="12.75" x14ac:dyDescent="0.2">
      <c r="A920" s="152"/>
      <c r="B920" s="73"/>
      <c r="C920" s="51" t="s">
        <v>946</v>
      </c>
      <c r="D920" s="89" t="s">
        <v>497</v>
      </c>
      <c r="E920" s="89"/>
      <c r="F920" s="89"/>
      <c r="G920" s="89"/>
      <c r="H920" s="89"/>
      <c r="I920" s="89"/>
      <c r="J920" s="212"/>
      <c r="K920" s="212"/>
      <c r="L920" s="212"/>
      <c r="M920" s="212"/>
      <c r="N920" s="212">
        <f t="shared" si="32"/>
        <v>0</v>
      </c>
    </row>
    <row r="921" spans="1:14" s="407" customFormat="1" ht="12.75" x14ac:dyDescent="0.2">
      <c r="A921" s="152"/>
      <c r="B921" s="73"/>
      <c r="C921" s="51" t="s">
        <v>947</v>
      </c>
      <c r="D921" s="89" t="s">
        <v>497</v>
      </c>
      <c r="E921" s="89"/>
      <c r="F921" s="89"/>
      <c r="G921" s="89"/>
      <c r="H921" s="89"/>
      <c r="I921" s="89"/>
      <c r="J921" s="212"/>
      <c r="K921" s="212"/>
      <c r="L921" s="212"/>
      <c r="M921" s="212"/>
      <c r="N921" s="212">
        <f t="shared" si="32"/>
        <v>0</v>
      </c>
    </row>
    <row r="922" spans="1:14" s="407" customFormat="1" ht="12.75" x14ac:dyDescent="0.2">
      <c r="A922" s="152"/>
      <c r="B922" s="73"/>
      <c r="C922" s="51" t="s">
        <v>1020</v>
      </c>
      <c r="D922" s="89" t="s">
        <v>497</v>
      </c>
      <c r="E922" s="89"/>
      <c r="F922" s="89"/>
      <c r="G922" s="89"/>
      <c r="H922" s="89"/>
      <c r="I922" s="89"/>
      <c r="J922" s="212"/>
      <c r="K922" s="212"/>
      <c r="L922" s="212"/>
      <c r="M922" s="212"/>
      <c r="N922" s="212">
        <f t="shared" si="32"/>
        <v>0</v>
      </c>
    </row>
    <row r="923" spans="1:14" s="407" customFormat="1" ht="12.75" x14ac:dyDescent="0.2">
      <c r="A923" s="152"/>
      <c r="B923" s="73"/>
      <c r="C923" s="51" t="s">
        <v>1021</v>
      </c>
      <c r="D923" s="89" t="s">
        <v>497</v>
      </c>
      <c r="E923" s="89"/>
      <c r="F923" s="89"/>
      <c r="G923" s="89"/>
      <c r="H923" s="89"/>
      <c r="I923" s="89"/>
      <c r="J923" s="212"/>
      <c r="K923" s="212"/>
      <c r="L923" s="212"/>
      <c r="M923" s="212"/>
      <c r="N923" s="212">
        <f t="shared" si="32"/>
        <v>0</v>
      </c>
    </row>
    <row r="924" spans="1:14" s="407" customFormat="1" ht="12.75" x14ac:dyDescent="0.2">
      <c r="A924" s="152"/>
      <c r="B924" s="73"/>
      <c r="C924" s="51" t="s">
        <v>489</v>
      </c>
      <c r="D924" s="89" t="s">
        <v>497</v>
      </c>
      <c r="E924" s="89"/>
      <c r="F924" s="89"/>
      <c r="G924" s="89"/>
      <c r="H924" s="89"/>
      <c r="I924" s="89"/>
      <c r="J924" s="212"/>
      <c r="K924" s="212"/>
      <c r="L924" s="212"/>
      <c r="M924" s="212"/>
      <c r="N924" s="212">
        <f t="shared" si="32"/>
        <v>0</v>
      </c>
    </row>
    <row r="925" spans="1:14" s="407" customFormat="1" ht="12.75" x14ac:dyDescent="0.2">
      <c r="A925" s="152"/>
      <c r="B925" s="73"/>
      <c r="C925" s="51" t="s">
        <v>968</v>
      </c>
      <c r="D925" s="89" t="s">
        <v>497</v>
      </c>
      <c r="E925" s="89"/>
      <c r="F925" s="89"/>
      <c r="G925" s="89"/>
      <c r="H925" s="89"/>
      <c r="I925" s="89"/>
      <c r="J925" s="212"/>
      <c r="K925" s="212"/>
      <c r="L925" s="212"/>
      <c r="M925" s="212"/>
      <c r="N925" s="212">
        <f t="shared" si="32"/>
        <v>0</v>
      </c>
    </row>
    <row r="926" spans="1:14" s="407" customFormat="1" ht="12.75" x14ac:dyDescent="0.2">
      <c r="A926" s="152"/>
      <c r="B926" s="73"/>
      <c r="C926" s="51" t="s">
        <v>98</v>
      </c>
      <c r="D926" s="89" t="s">
        <v>497</v>
      </c>
      <c r="E926" s="89"/>
      <c r="F926" s="89"/>
      <c r="G926" s="89"/>
      <c r="H926" s="89"/>
      <c r="I926" s="89"/>
      <c r="J926" s="212"/>
      <c r="K926" s="212"/>
      <c r="L926" s="212"/>
      <c r="M926" s="212"/>
      <c r="N926" s="212">
        <f t="shared" si="32"/>
        <v>0</v>
      </c>
    </row>
    <row r="927" spans="1:14" s="407" customFormat="1" ht="12.75" x14ac:dyDescent="0.2">
      <c r="A927" s="152"/>
      <c r="B927" s="73"/>
      <c r="C927" s="51" t="s">
        <v>1048</v>
      </c>
      <c r="D927" s="89" t="s">
        <v>497</v>
      </c>
      <c r="E927" s="89"/>
      <c r="F927" s="89"/>
      <c r="G927" s="89"/>
      <c r="H927" s="89"/>
      <c r="I927" s="89"/>
      <c r="J927" s="212"/>
      <c r="K927" s="212"/>
      <c r="L927" s="212"/>
      <c r="M927" s="212"/>
      <c r="N927" s="212">
        <f t="shared" si="32"/>
        <v>0</v>
      </c>
    </row>
    <row r="928" spans="1:14" s="407" customFormat="1" ht="12.75" x14ac:dyDescent="0.2">
      <c r="A928" s="152"/>
      <c r="B928" s="73"/>
      <c r="C928" s="51" t="s">
        <v>1030</v>
      </c>
      <c r="D928" s="89" t="s">
        <v>497</v>
      </c>
      <c r="E928" s="89"/>
      <c r="F928" s="89"/>
      <c r="G928" s="89"/>
      <c r="H928" s="89"/>
      <c r="I928" s="89"/>
      <c r="J928" s="212"/>
      <c r="K928" s="212"/>
      <c r="L928" s="212"/>
      <c r="M928" s="212"/>
      <c r="N928" s="212">
        <f t="shared" si="32"/>
        <v>0</v>
      </c>
    </row>
    <row r="929" spans="1:14" s="407" customFormat="1" ht="12.75" x14ac:dyDescent="0.2">
      <c r="A929" s="152"/>
      <c r="B929" s="73"/>
      <c r="C929" s="51" t="s">
        <v>977</v>
      </c>
      <c r="D929" s="89" t="s">
        <v>497</v>
      </c>
      <c r="E929" s="89"/>
      <c r="F929" s="89"/>
      <c r="G929" s="89"/>
      <c r="H929" s="89"/>
      <c r="I929" s="89"/>
      <c r="J929" s="212"/>
      <c r="K929" s="212"/>
      <c r="L929" s="212"/>
      <c r="M929" s="212"/>
      <c r="N929" s="212">
        <f t="shared" si="32"/>
        <v>0</v>
      </c>
    </row>
    <row r="930" spans="1:14" s="407" customFormat="1" ht="12.75" x14ac:dyDescent="0.2">
      <c r="A930" s="152"/>
      <c r="B930" s="73"/>
      <c r="C930" s="51" t="s">
        <v>99</v>
      </c>
      <c r="D930" s="89" t="s">
        <v>497</v>
      </c>
      <c r="E930" s="89"/>
      <c r="F930" s="89"/>
      <c r="G930" s="89"/>
      <c r="H930" s="89"/>
      <c r="I930" s="89"/>
      <c r="J930" s="212"/>
      <c r="K930" s="212"/>
      <c r="L930" s="212"/>
      <c r="M930" s="212"/>
      <c r="N930" s="212">
        <f t="shared" si="32"/>
        <v>0</v>
      </c>
    </row>
    <row r="931" spans="1:14" s="407" customFormat="1" ht="12.75" x14ac:dyDescent="0.2">
      <c r="A931" s="152"/>
      <c r="B931" s="73"/>
      <c r="C931" s="51" t="s">
        <v>1047</v>
      </c>
      <c r="D931" s="89" t="s">
        <v>497</v>
      </c>
      <c r="E931" s="89"/>
      <c r="F931" s="89"/>
      <c r="G931" s="89"/>
      <c r="H931" s="89"/>
      <c r="I931" s="89"/>
      <c r="J931" s="212"/>
      <c r="K931" s="212"/>
      <c r="L931" s="212"/>
      <c r="M931" s="212"/>
      <c r="N931" s="212">
        <f t="shared" si="32"/>
        <v>0</v>
      </c>
    </row>
    <row r="932" spans="1:14" s="407" customFormat="1" ht="12.75" x14ac:dyDescent="0.2">
      <c r="A932" s="152"/>
      <c r="B932" s="73"/>
      <c r="C932" s="51" t="s">
        <v>1041</v>
      </c>
      <c r="D932" s="89" t="s">
        <v>497</v>
      </c>
      <c r="E932" s="89"/>
      <c r="F932" s="89"/>
      <c r="G932" s="89"/>
      <c r="H932" s="89"/>
      <c r="I932" s="89"/>
      <c r="J932" s="212"/>
      <c r="K932" s="212"/>
      <c r="L932" s="212"/>
      <c r="M932" s="212"/>
      <c r="N932" s="212">
        <f t="shared" si="32"/>
        <v>0</v>
      </c>
    </row>
    <row r="933" spans="1:14" s="407" customFormat="1" ht="12.75" x14ac:dyDescent="0.2">
      <c r="A933" s="152"/>
      <c r="B933" s="73"/>
      <c r="C933" s="51" t="s">
        <v>102</v>
      </c>
      <c r="D933" s="89" t="s">
        <v>497</v>
      </c>
      <c r="E933" s="89"/>
      <c r="F933" s="89"/>
      <c r="G933" s="89"/>
      <c r="H933" s="89"/>
      <c r="I933" s="89"/>
      <c r="J933" s="212"/>
      <c r="K933" s="212"/>
      <c r="L933" s="212"/>
      <c r="M933" s="212"/>
      <c r="N933" s="212">
        <f t="shared" si="32"/>
        <v>0</v>
      </c>
    </row>
    <row r="934" spans="1:14" s="407" customFormat="1" ht="12.75" x14ac:dyDescent="0.2">
      <c r="A934" s="152"/>
      <c r="B934" s="73"/>
      <c r="C934" s="51" t="s">
        <v>124</v>
      </c>
      <c r="D934" s="89" t="s">
        <v>497</v>
      </c>
      <c r="E934" s="89"/>
      <c r="F934" s="89"/>
      <c r="G934" s="89"/>
      <c r="H934" s="89"/>
      <c r="I934" s="89"/>
      <c r="J934" s="212"/>
      <c r="K934" s="212"/>
      <c r="L934" s="212"/>
      <c r="M934" s="212"/>
      <c r="N934" s="212">
        <f t="shared" si="32"/>
        <v>0</v>
      </c>
    </row>
    <row r="935" spans="1:14" s="407" customFormat="1" ht="12.75" x14ac:dyDescent="0.2">
      <c r="A935" s="152"/>
      <c r="B935" s="73"/>
      <c r="C935" s="51" t="s">
        <v>103</v>
      </c>
      <c r="D935" s="89" t="s">
        <v>497</v>
      </c>
      <c r="E935" s="89"/>
      <c r="F935" s="89"/>
      <c r="G935" s="89"/>
      <c r="H935" s="89"/>
      <c r="I935" s="89"/>
      <c r="J935" s="212"/>
      <c r="K935" s="212"/>
      <c r="L935" s="212"/>
      <c r="M935" s="212"/>
      <c r="N935" s="212">
        <f t="shared" si="32"/>
        <v>0</v>
      </c>
    </row>
    <row r="936" spans="1:14" s="407" customFormat="1" ht="12.75" x14ac:dyDescent="0.2">
      <c r="A936" s="152"/>
      <c r="B936" s="73"/>
      <c r="C936" s="51" t="s">
        <v>104</v>
      </c>
      <c r="D936" s="89" t="s">
        <v>497</v>
      </c>
      <c r="E936" s="89"/>
      <c r="F936" s="89"/>
      <c r="G936" s="89"/>
      <c r="H936" s="89"/>
      <c r="I936" s="89"/>
      <c r="J936" s="212"/>
      <c r="K936" s="212"/>
      <c r="L936" s="212"/>
      <c r="M936" s="212"/>
      <c r="N936" s="212">
        <f t="shared" si="32"/>
        <v>0</v>
      </c>
    </row>
    <row r="937" spans="1:14" s="407" customFormat="1" ht="12.75" x14ac:dyDescent="0.2">
      <c r="A937" s="152"/>
      <c r="B937" s="73"/>
      <c r="C937" s="51" t="s">
        <v>491</v>
      </c>
      <c r="D937" s="89" t="s">
        <v>497</v>
      </c>
      <c r="E937" s="89"/>
      <c r="F937" s="89"/>
      <c r="G937" s="89"/>
      <c r="H937" s="89"/>
      <c r="I937" s="89"/>
      <c r="J937" s="212"/>
      <c r="K937" s="212"/>
      <c r="L937" s="212"/>
      <c r="M937" s="212"/>
      <c r="N937" s="212">
        <f t="shared" si="32"/>
        <v>0</v>
      </c>
    </row>
    <row r="938" spans="1:14" s="407" customFormat="1" ht="12.75" x14ac:dyDescent="0.2">
      <c r="A938" s="152"/>
      <c r="B938" s="73"/>
      <c r="C938" s="51" t="s">
        <v>105</v>
      </c>
      <c r="D938" s="89" t="s">
        <v>497</v>
      </c>
      <c r="E938" s="89"/>
      <c r="F938" s="89"/>
      <c r="G938" s="89"/>
      <c r="H938" s="89"/>
      <c r="I938" s="89"/>
      <c r="J938" s="212"/>
      <c r="K938" s="212"/>
      <c r="L938" s="212"/>
      <c r="M938" s="212"/>
      <c r="N938" s="212">
        <f t="shared" si="32"/>
        <v>0</v>
      </c>
    </row>
    <row r="939" spans="1:14" s="407" customFormat="1" ht="12.75" x14ac:dyDescent="0.2">
      <c r="A939" s="152"/>
      <c r="B939" s="73"/>
      <c r="C939" s="51" t="s">
        <v>129</v>
      </c>
      <c r="D939" s="89" t="s">
        <v>497</v>
      </c>
      <c r="E939" s="89"/>
      <c r="F939" s="89"/>
      <c r="G939" s="89"/>
      <c r="H939" s="89"/>
      <c r="I939" s="89"/>
      <c r="J939" s="212"/>
      <c r="K939" s="212"/>
      <c r="L939" s="212"/>
      <c r="M939" s="212"/>
      <c r="N939" s="212">
        <f t="shared" si="32"/>
        <v>0</v>
      </c>
    </row>
    <row r="940" spans="1:14" s="407" customFormat="1" ht="12.75" x14ac:dyDescent="0.2">
      <c r="A940" s="152"/>
      <c r="B940" s="73"/>
      <c r="C940" s="73" t="s">
        <v>108</v>
      </c>
      <c r="D940" s="89" t="s">
        <v>497</v>
      </c>
      <c r="E940" s="89"/>
      <c r="F940" s="89"/>
      <c r="G940" s="89"/>
      <c r="H940" s="89"/>
      <c r="I940" s="89"/>
      <c r="J940" s="212"/>
      <c r="K940" s="212"/>
      <c r="L940" s="212"/>
      <c r="M940" s="212"/>
      <c r="N940" s="212">
        <f t="shared" si="32"/>
        <v>0</v>
      </c>
    </row>
    <row r="941" spans="1:14" s="407" customFormat="1" ht="12.75" x14ac:dyDescent="0.2">
      <c r="A941" s="152"/>
      <c r="B941" s="73"/>
      <c r="C941" s="51" t="s">
        <v>119</v>
      </c>
      <c r="D941" s="89" t="s">
        <v>497</v>
      </c>
      <c r="E941" s="89"/>
      <c r="F941" s="89"/>
      <c r="G941" s="89"/>
      <c r="H941" s="89"/>
      <c r="I941" s="89"/>
      <c r="J941" s="212"/>
      <c r="K941" s="212"/>
      <c r="L941" s="212"/>
      <c r="M941" s="212"/>
      <c r="N941" s="212">
        <f t="shared" si="32"/>
        <v>0</v>
      </c>
    </row>
    <row r="942" spans="1:14" s="407" customFormat="1" ht="12.75" x14ac:dyDescent="0.2">
      <c r="A942" s="152"/>
      <c r="B942" s="73"/>
      <c r="C942" s="51" t="s">
        <v>954</v>
      </c>
      <c r="D942" s="89" t="s">
        <v>497</v>
      </c>
      <c r="E942" s="89"/>
      <c r="F942" s="89"/>
      <c r="G942" s="89"/>
      <c r="H942" s="89"/>
      <c r="I942" s="89"/>
      <c r="J942" s="212"/>
      <c r="K942" s="212"/>
      <c r="L942" s="212"/>
      <c r="M942" s="212"/>
      <c r="N942" s="212">
        <f t="shared" si="32"/>
        <v>0</v>
      </c>
    </row>
    <row r="943" spans="1:14" s="407" customFormat="1" ht="12.75" x14ac:dyDescent="0.2">
      <c r="A943" s="152"/>
      <c r="B943" s="73"/>
      <c r="C943" s="51" t="s">
        <v>1031</v>
      </c>
      <c r="D943" s="89" t="s">
        <v>497</v>
      </c>
      <c r="E943" s="89"/>
      <c r="F943" s="89"/>
      <c r="G943" s="89"/>
      <c r="H943" s="89"/>
      <c r="I943" s="89"/>
      <c r="J943" s="212"/>
      <c r="K943" s="212"/>
      <c r="L943" s="212"/>
      <c r="M943" s="212"/>
      <c r="N943" s="212">
        <f t="shared" si="32"/>
        <v>0</v>
      </c>
    </row>
    <row r="944" spans="1:14" s="407" customFormat="1" ht="12.75" x14ac:dyDescent="0.2">
      <c r="A944" s="152"/>
      <c r="B944" s="73"/>
      <c r="C944" s="51" t="s">
        <v>1009</v>
      </c>
      <c r="D944" s="89" t="s">
        <v>497</v>
      </c>
      <c r="E944" s="89"/>
      <c r="F944" s="89"/>
      <c r="G944" s="89"/>
      <c r="H944" s="89"/>
      <c r="I944" s="89"/>
      <c r="J944" s="212"/>
      <c r="K944" s="212"/>
      <c r="L944" s="212"/>
      <c r="M944" s="212"/>
      <c r="N944" s="212">
        <f t="shared" si="32"/>
        <v>0</v>
      </c>
    </row>
    <row r="945" spans="1:14" s="407" customFormat="1" ht="12.75" x14ac:dyDescent="0.2">
      <c r="A945" s="152"/>
      <c r="B945" s="73"/>
      <c r="C945" s="51" t="s">
        <v>107</v>
      </c>
      <c r="D945" s="89" t="s">
        <v>497</v>
      </c>
      <c r="E945" s="89"/>
      <c r="F945" s="89"/>
      <c r="G945" s="89"/>
      <c r="H945" s="89"/>
      <c r="I945" s="89"/>
      <c r="J945" s="212"/>
      <c r="K945" s="212"/>
      <c r="L945" s="212"/>
      <c r="M945" s="212"/>
      <c r="N945" s="212">
        <f t="shared" si="32"/>
        <v>0</v>
      </c>
    </row>
    <row r="946" spans="1:14" s="407" customFormat="1" ht="12.75" x14ac:dyDescent="0.2">
      <c r="A946" s="152"/>
      <c r="B946" s="73"/>
      <c r="C946" s="51" t="s">
        <v>1026</v>
      </c>
      <c r="D946" s="89" t="s">
        <v>497</v>
      </c>
      <c r="E946" s="89"/>
      <c r="F946" s="89"/>
      <c r="G946" s="89"/>
      <c r="H946" s="89"/>
      <c r="I946" s="89"/>
      <c r="J946" s="212"/>
      <c r="K946" s="212"/>
      <c r="L946" s="212"/>
      <c r="M946" s="212"/>
      <c r="N946" s="212">
        <f t="shared" si="32"/>
        <v>0</v>
      </c>
    </row>
    <row r="947" spans="1:14" s="407" customFormat="1" ht="12.75" x14ac:dyDescent="0.2">
      <c r="A947" s="152"/>
      <c r="B947" s="73"/>
      <c r="C947" s="51" t="s">
        <v>1027</v>
      </c>
      <c r="D947" s="89" t="s">
        <v>497</v>
      </c>
      <c r="E947" s="89"/>
      <c r="F947" s="89"/>
      <c r="G947" s="89"/>
      <c r="H947" s="89"/>
      <c r="I947" s="89"/>
      <c r="J947" s="212"/>
      <c r="K947" s="212"/>
      <c r="L947" s="212"/>
      <c r="M947" s="212"/>
      <c r="N947" s="212">
        <f t="shared" si="32"/>
        <v>0</v>
      </c>
    </row>
    <row r="948" spans="1:14" s="407" customFormat="1" ht="12.75" x14ac:dyDescent="0.2">
      <c r="A948" s="152"/>
      <c r="B948" s="73"/>
      <c r="C948" s="51" t="s">
        <v>955</v>
      </c>
      <c r="D948" s="89" t="s">
        <v>497</v>
      </c>
      <c r="E948" s="89"/>
      <c r="F948" s="89"/>
      <c r="G948" s="89"/>
      <c r="H948" s="89"/>
      <c r="I948" s="89"/>
      <c r="J948" s="212"/>
      <c r="K948" s="212"/>
      <c r="L948" s="212"/>
      <c r="M948" s="212"/>
      <c r="N948" s="212">
        <f t="shared" si="32"/>
        <v>0</v>
      </c>
    </row>
    <row r="949" spans="1:14" s="407" customFormat="1" ht="12.75" x14ac:dyDescent="0.2">
      <c r="A949" s="152"/>
      <c r="B949" s="73"/>
      <c r="C949" s="51" t="s">
        <v>958</v>
      </c>
      <c r="D949" s="89" t="s">
        <v>497</v>
      </c>
      <c r="E949" s="89"/>
      <c r="F949" s="89"/>
      <c r="G949" s="89"/>
      <c r="H949" s="89"/>
      <c r="I949" s="89"/>
      <c r="J949" s="212"/>
      <c r="K949" s="212"/>
      <c r="L949" s="212"/>
      <c r="M949" s="212"/>
      <c r="N949" s="212">
        <f t="shared" si="32"/>
        <v>0</v>
      </c>
    </row>
    <row r="950" spans="1:14" s="407" customFormat="1" ht="12.75" x14ac:dyDescent="0.2">
      <c r="A950" s="152"/>
      <c r="B950" s="73"/>
      <c r="C950" s="51" t="s">
        <v>1032</v>
      </c>
      <c r="D950" s="89" t="s">
        <v>497</v>
      </c>
      <c r="E950" s="89"/>
      <c r="F950" s="89"/>
      <c r="G950" s="89"/>
      <c r="H950" s="89"/>
      <c r="I950" s="89"/>
      <c r="J950" s="212"/>
      <c r="K950" s="212"/>
      <c r="L950" s="212"/>
      <c r="M950" s="212"/>
      <c r="N950" s="212">
        <f t="shared" si="32"/>
        <v>0</v>
      </c>
    </row>
    <row r="951" spans="1:14" s="407" customFormat="1" ht="12.75" x14ac:dyDescent="0.2">
      <c r="A951" s="152"/>
      <c r="B951" s="73"/>
      <c r="C951" s="51" t="s">
        <v>109</v>
      </c>
      <c r="D951" s="89" t="s">
        <v>497</v>
      </c>
      <c r="E951" s="89"/>
      <c r="F951" s="89"/>
      <c r="G951" s="89"/>
      <c r="H951" s="89"/>
      <c r="I951" s="89"/>
      <c r="J951" s="212"/>
      <c r="K951" s="212"/>
      <c r="L951" s="212"/>
      <c r="M951" s="212"/>
      <c r="N951" s="212">
        <f t="shared" si="32"/>
        <v>0</v>
      </c>
    </row>
    <row r="952" spans="1:14" s="407" customFormat="1" ht="12.75" x14ac:dyDescent="0.2">
      <c r="A952" s="152"/>
      <c r="B952" s="73"/>
      <c r="C952" s="51" t="s">
        <v>966</v>
      </c>
      <c r="D952" s="89" t="s">
        <v>497</v>
      </c>
      <c r="E952" s="89"/>
      <c r="F952" s="89"/>
      <c r="G952" s="89"/>
      <c r="H952" s="89"/>
      <c r="I952" s="89"/>
      <c r="J952" s="212"/>
      <c r="K952" s="212"/>
      <c r="L952" s="212"/>
      <c r="M952" s="212"/>
      <c r="N952" s="212">
        <f t="shared" si="32"/>
        <v>0</v>
      </c>
    </row>
    <row r="953" spans="1:14" s="407" customFormat="1" ht="12.75" x14ac:dyDescent="0.2">
      <c r="A953" s="152"/>
      <c r="B953" s="73"/>
      <c r="C953" s="51" t="s">
        <v>981</v>
      </c>
      <c r="D953" s="89" t="s">
        <v>497</v>
      </c>
      <c r="E953" s="89"/>
      <c r="F953" s="89"/>
      <c r="G953" s="89"/>
      <c r="H953" s="89"/>
      <c r="I953" s="89"/>
      <c r="J953" s="212"/>
      <c r="K953" s="212"/>
      <c r="L953" s="212"/>
      <c r="M953" s="212"/>
      <c r="N953" s="212">
        <f t="shared" si="32"/>
        <v>0</v>
      </c>
    </row>
    <row r="954" spans="1:14" s="407" customFormat="1" ht="12.75" x14ac:dyDescent="0.2">
      <c r="A954" s="152"/>
      <c r="B954" s="73"/>
      <c r="C954" s="51" t="s">
        <v>963</v>
      </c>
      <c r="D954" s="89" t="s">
        <v>497</v>
      </c>
      <c r="E954" s="89"/>
      <c r="F954" s="89"/>
      <c r="G954" s="89"/>
      <c r="H954" s="89"/>
      <c r="I954" s="89"/>
      <c r="J954" s="212"/>
      <c r="K954" s="212"/>
      <c r="L954" s="212"/>
      <c r="M954" s="212"/>
      <c r="N954" s="212">
        <f t="shared" si="32"/>
        <v>0</v>
      </c>
    </row>
    <row r="955" spans="1:14" s="407" customFormat="1" ht="12.75" x14ac:dyDescent="0.2">
      <c r="A955" s="152"/>
      <c r="B955" s="73"/>
      <c r="C955" s="51" t="s">
        <v>120</v>
      </c>
      <c r="D955" s="89" t="s">
        <v>497</v>
      </c>
      <c r="E955" s="89"/>
      <c r="F955" s="89"/>
      <c r="G955" s="89"/>
      <c r="H955" s="89"/>
      <c r="I955" s="89"/>
      <c r="J955" s="212"/>
      <c r="K955" s="212"/>
      <c r="L955" s="212"/>
      <c r="M955" s="212"/>
      <c r="N955" s="212">
        <f t="shared" si="32"/>
        <v>0</v>
      </c>
    </row>
    <row r="956" spans="1:14" s="407" customFormat="1" ht="12.75" x14ac:dyDescent="0.2">
      <c r="A956" s="152"/>
      <c r="B956" s="73"/>
      <c r="C956" s="51" t="s">
        <v>989</v>
      </c>
      <c r="D956" s="89" t="s">
        <v>497</v>
      </c>
      <c r="E956" s="89"/>
      <c r="F956" s="89"/>
      <c r="G956" s="89"/>
      <c r="H956" s="89"/>
      <c r="I956" s="89"/>
      <c r="J956" s="212"/>
      <c r="K956" s="212"/>
      <c r="L956" s="212"/>
      <c r="M956" s="212"/>
      <c r="N956" s="212">
        <f t="shared" si="32"/>
        <v>0</v>
      </c>
    </row>
    <row r="957" spans="1:14" s="407" customFormat="1" ht="12.75" x14ac:dyDescent="0.2">
      <c r="A957" s="152"/>
      <c r="B957" s="73"/>
      <c r="C957" s="51" t="s">
        <v>986</v>
      </c>
      <c r="D957" s="89" t="s">
        <v>808</v>
      </c>
      <c r="E957" s="89"/>
      <c r="F957" s="89"/>
      <c r="G957" s="89"/>
      <c r="H957" s="89"/>
      <c r="I957" s="89"/>
      <c r="J957" s="212"/>
      <c r="K957" s="212"/>
      <c r="L957" s="212"/>
      <c r="M957" s="212"/>
      <c r="N957" s="212">
        <f t="shared" si="32"/>
        <v>0</v>
      </c>
    </row>
    <row r="958" spans="1:14" s="407" customFormat="1" ht="12.75" x14ac:dyDescent="0.2">
      <c r="A958" s="152"/>
      <c r="B958" s="73"/>
      <c r="C958" s="51" t="s">
        <v>988</v>
      </c>
      <c r="D958" s="89" t="s">
        <v>808</v>
      </c>
      <c r="E958" s="89"/>
      <c r="F958" s="89"/>
      <c r="G958" s="89"/>
      <c r="H958" s="89"/>
      <c r="I958" s="89"/>
      <c r="J958" s="212"/>
      <c r="K958" s="212"/>
      <c r="L958" s="212"/>
      <c r="M958" s="212"/>
      <c r="N958" s="212">
        <f t="shared" si="32"/>
        <v>0</v>
      </c>
    </row>
    <row r="959" spans="1:14" s="407" customFormat="1" ht="12.75" x14ac:dyDescent="0.2">
      <c r="A959" s="152"/>
      <c r="B959" s="73"/>
      <c r="C959" s="51" t="s">
        <v>1058</v>
      </c>
      <c r="D959" s="89" t="s">
        <v>808</v>
      </c>
      <c r="E959" s="89"/>
      <c r="F959" s="89"/>
      <c r="G959" s="89"/>
      <c r="H959" s="89"/>
      <c r="I959" s="89"/>
      <c r="J959" s="212"/>
      <c r="K959" s="212"/>
      <c r="L959" s="212"/>
      <c r="M959" s="212"/>
      <c r="N959" s="212">
        <f t="shared" si="32"/>
        <v>0</v>
      </c>
    </row>
    <row r="960" spans="1:14" s="407" customFormat="1" ht="12.75" x14ac:dyDescent="0.2">
      <c r="A960" s="152"/>
      <c r="B960" s="73"/>
      <c r="C960" s="51" t="s">
        <v>972</v>
      </c>
      <c r="D960" s="89" t="s">
        <v>808</v>
      </c>
      <c r="E960" s="89"/>
      <c r="F960" s="89"/>
      <c r="G960" s="89"/>
      <c r="H960" s="89"/>
      <c r="I960" s="89"/>
      <c r="J960" s="212"/>
      <c r="K960" s="212"/>
      <c r="L960" s="212"/>
      <c r="M960" s="212"/>
      <c r="N960" s="212">
        <f t="shared" si="32"/>
        <v>0</v>
      </c>
    </row>
    <row r="961" spans="1:14" s="407" customFormat="1" ht="12.75" x14ac:dyDescent="0.2">
      <c r="A961" s="152"/>
      <c r="B961" s="73"/>
      <c r="C961" s="51" t="s">
        <v>973</v>
      </c>
      <c r="D961" s="89" t="s">
        <v>808</v>
      </c>
      <c r="E961" s="89"/>
      <c r="F961" s="89"/>
      <c r="G961" s="89"/>
      <c r="H961" s="89"/>
      <c r="I961" s="89"/>
      <c r="J961" s="212"/>
      <c r="K961" s="212"/>
      <c r="L961" s="212"/>
      <c r="M961" s="212"/>
      <c r="N961" s="212">
        <f t="shared" si="32"/>
        <v>0</v>
      </c>
    </row>
    <row r="962" spans="1:14" s="407" customFormat="1" ht="12.75" x14ac:dyDescent="0.2">
      <c r="A962" s="152"/>
      <c r="B962" s="73"/>
      <c r="C962" s="51" t="s">
        <v>980</v>
      </c>
      <c r="D962" s="89" t="s">
        <v>808</v>
      </c>
      <c r="E962" s="89"/>
      <c r="F962" s="89"/>
      <c r="G962" s="89"/>
      <c r="H962" s="89"/>
      <c r="I962" s="89"/>
      <c r="J962" s="212"/>
      <c r="K962" s="212"/>
      <c r="L962" s="212"/>
      <c r="M962" s="212"/>
      <c r="N962" s="212">
        <f t="shared" si="32"/>
        <v>0</v>
      </c>
    </row>
    <row r="963" spans="1:14" s="407" customFormat="1" ht="12.75" x14ac:dyDescent="0.2">
      <c r="A963" s="152"/>
      <c r="B963" s="73"/>
      <c r="C963" s="51" t="s">
        <v>982</v>
      </c>
      <c r="D963" s="89" t="s">
        <v>808</v>
      </c>
      <c r="E963" s="89"/>
      <c r="F963" s="89"/>
      <c r="G963" s="89"/>
      <c r="H963" s="89"/>
      <c r="I963" s="89"/>
      <c r="J963" s="212"/>
      <c r="K963" s="212"/>
      <c r="L963" s="212"/>
      <c r="M963" s="212"/>
      <c r="N963" s="212">
        <f t="shared" si="32"/>
        <v>0</v>
      </c>
    </row>
    <row r="964" spans="1:14" s="407" customFormat="1" ht="12.75" x14ac:dyDescent="0.2">
      <c r="A964" s="152"/>
      <c r="B964" s="73"/>
      <c r="C964" s="51" t="s">
        <v>46</v>
      </c>
      <c r="D964" s="89" t="s">
        <v>808</v>
      </c>
      <c r="E964" s="89"/>
      <c r="F964" s="89"/>
      <c r="G964" s="89"/>
      <c r="H964" s="89"/>
      <c r="I964" s="89"/>
      <c r="J964" s="212"/>
      <c r="K964" s="212"/>
      <c r="L964" s="212"/>
      <c r="M964" s="212"/>
      <c r="N964" s="212">
        <f t="shared" si="32"/>
        <v>0</v>
      </c>
    </row>
    <row r="965" spans="1:14" s="407" customFormat="1" ht="12.75" x14ac:dyDescent="0.2">
      <c r="A965" s="152"/>
      <c r="B965" s="73"/>
      <c r="C965" s="51" t="s">
        <v>1019</v>
      </c>
      <c r="D965" s="89" t="s">
        <v>808</v>
      </c>
      <c r="E965" s="89"/>
      <c r="F965" s="89"/>
      <c r="G965" s="89"/>
      <c r="H965" s="89"/>
      <c r="I965" s="89"/>
      <c r="J965" s="212"/>
      <c r="K965" s="212"/>
      <c r="L965" s="212"/>
      <c r="M965" s="212"/>
      <c r="N965" s="212">
        <f t="shared" si="32"/>
        <v>0</v>
      </c>
    </row>
    <row r="966" spans="1:14" s="407" customFormat="1" ht="12.75" x14ac:dyDescent="0.2">
      <c r="A966" s="152"/>
      <c r="B966" s="73"/>
      <c r="C966" s="51" t="s">
        <v>1050</v>
      </c>
      <c r="D966" s="89" t="s">
        <v>808</v>
      </c>
      <c r="E966" s="89"/>
      <c r="F966" s="89"/>
      <c r="G966" s="89"/>
      <c r="H966" s="89"/>
      <c r="I966" s="89"/>
      <c r="J966" s="212"/>
      <c r="K966" s="212"/>
      <c r="L966" s="212"/>
      <c r="M966" s="212"/>
      <c r="N966" s="212">
        <f t="shared" si="32"/>
        <v>0</v>
      </c>
    </row>
    <row r="967" spans="1:14" s="407" customFormat="1" ht="12.75" x14ac:dyDescent="0.2">
      <c r="A967" s="152"/>
      <c r="B967" s="73"/>
      <c r="C967" s="51" t="s">
        <v>100</v>
      </c>
      <c r="D967" s="89" t="s">
        <v>808</v>
      </c>
      <c r="E967" s="89"/>
      <c r="F967" s="89"/>
      <c r="G967" s="89"/>
      <c r="H967" s="89"/>
      <c r="I967" s="89"/>
      <c r="J967" s="212"/>
      <c r="K967" s="212"/>
      <c r="L967" s="212"/>
      <c r="M967" s="212"/>
      <c r="N967" s="212">
        <f t="shared" si="32"/>
        <v>0</v>
      </c>
    </row>
    <row r="968" spans="1:14" s="407" customFormat="1" ht="12.75" x14ac:dyDescent="0.2">
      <c r="A968" s="152"/>
      <c r="B968" s="73"/>
      <c r="C968" s="51" t="s">
        <v>101</v>
      </c>
      <c r="D968" s="89" t="s">
        <v>808</v>
      </c>
      <c r="E968" s="89"/>
      <c r="F968" s="89"/>
      <c r="G968" s="89"/>
      <c r="H968" s="89"/>
      <c r="I968" s="89"/>
      <c r="J968" s="212"/>
      <c r="K968" s="212"/>
      <c r="L968" s="212"/>
      <c r="M968" s="212"/>
      <c r="N968" s="212">
        <f t="shared" si="32"/>
        <v>0</v>
      </c>
    </row>
    <row r="969" spans="1:14" s="407" customFormat="1" ht="12.75" x14ac:dyDescent="0.2">
      <c r="A969" s="152"/>
      <c r="B969" s="73"/>
      <c r="C969" s="51" t="s">
        <v>1056</v>
      </c>
      <c r="D969" s="89" t="s">
        <v>808</v>
      </c>
      <c r="E969" s="89"/>
      <c r="F969" s="89"/>
      <c r="G969" s="89"/>
      <c r="H969" s="89"/>
      <c r="I969" s="89"/>
      <c r="J969" s="212"/>
      <c r="K969" s="212"/>
      <c r="L969" s="212"/>
      <c r="M969" s="212"/>
      <c r="N969" s="212">
        <f t="shared" ref="N969:N1032" si="33">SUMIFS(N$26:N$154,$C$26:$C$154,$C969,$D$26:$D$154,$D969)</f>
        <v>0</v>
      </c>
    </row>
    <row r="970" spans="1:14" s="407" customFormat="1" ht="12.75" x14ac:dyDescent="0.2">
      <c r="A970" s="152"/>
      <c r="B970" s="73"/>
      <c r="C970" s="51" t="s">
        <v>1057</v>
      </c>
      <c r="D970" s="89" t="s">
        <v>808</v>
      </c>
      <c r="E970" s="89"/>
      <c r="F970" s="89"/>
      <c r="G970" s="89"/>
      <c r="H970" s="89"/>
      <c r="I970" s="89"/>
      <c r="J970" s="212"/>
      <c r="K970" s="212"/>
      <c r="L970" s="212"/>
      <c r="M970" s="212"/>
      <c r="N970" s="212">
        <f t="shared" si="33"/>
        <v>0</v>
      </c>
    </row>
    <row r="971" spans="1:14" s="407" customFormat="1" ht="12.75" x14ac:dyDescent="0.2">
      <c r="A971" s="152"/>
      <c r="B971" s="73"/>
      <c r="C971" s="51" t="s">
        <v>944</v>
      </c>
      <c r="D971" s="89" t="s">
        <v>808</v>
      </c>
      <c r="E971" s="89"/>
      <c r="F971" s="89"/>
      <c r="G971" s="89"/>
      <c r="H971" s="89"/>
      <c r="I971" s="89"/>
      <c r="J971" s="212"/>
      <c r="K971" s="212"/>
      <c r="L971" s="212"/>
      <c r="M971" s="212"/>
      <c r="N971" s="212">
        <f t="shared" si="33"/>
        <v>0</v>
      </c>
    </row>
    <row r="972" spans="1:14" s="407" customFormat="1" ht="12.75" x14ac:dyDescent="0.2">
      <c r="A972" s="152"/>
      <c r="B972" s="73"/>
      <c r="C972" s="51" t="s">
        <v>945</v>
      </c>
      <c r="D972" s="89" t="s">
        <v>808</v>
      </c>
      <c r="E972" s="89"/>
      <c r="F972" s="89"/>
      <c r="G972" s="89"/>
      <c r="H972" s="89"/>
      <c r="I972" s="89"/>
      <c r="J972" s="212"/>
      <c r="K972" s="212"/>
      <c r="L972" s="212"/>
      <c r="M972" s="212"/>
      <c r="N972" s="212">
        <f t="shared" si="33"/>
        <v>0</v>
      </c>
    </row>
    <row r="973" spans="1:14" s="407" customFormat="1" ht="12.75" x14ac:dyDescent="0.2">
      <c r="A973" s="152"/>
      <c r="B973" s="73"/>
      <c r="C973" s="51" t="s">
        <v>965</v>
      </c>
      <c r="D973" s="89" t="s">
        <v>808</v>
      </c>
      <c r="E973" s="89"/>
      <c r="F973" s="89"/>
      <c r="G973" s="89"/>
      <c r="H973" s="89"/>
      <c r="I973" s="89"/>
      <c r="J973" s="212"/>
      <c r="K973" s="212"/>
      <c r="L973" s="212"/>
      <c r="M973" s="212"/>
      <c r="N973" s="212">
        <f t="shared" si="33"/>
        <v>0</v>
      </c>
    </row>
    <row r="974" spans="1:14" s="407" customFormat="1" ht="12.75" x14ac:dyDescent="0.2">
      <c r="A974" s="152"/>
      <c r="B974" s="73"/>
      <c r="C974" s="51" t="s">
        <v>1011</v>
      </c>
      <c r="D974" s="89" t="s">
        <v>808</v>
      </c>
      <c r="E974" s="89"/>
      <c r="F974" s="89"/>
      <c r="G974" s="89"/>
      <c r="H974" s="89"/>
      <c r="I974" s="89"/>
      <c r="J974" s="212"/>
      <c r="K974" s="212"/>
      <c r="L974" s="212"/>
      <c r="M974" s="212"/>
      <c r="N974" s="212">
        <f t="shared" si="33"/>
        <v>0</v>
      </c>
    </row>
    <row r="975" spans="1:14" s="407" customFormat="1" ht="12.75" x14ac:dyDescent="0.2">
      <c r="A975" s="152"/>
      <c r="B975" s="73"/>
      <c r="C975" s="51" t="s">
        <v>1010</v>
      </c>
      <c r="D975" s="89" t="s">
        <v>808</v>
      </c>
      <c r="E975" s="89"/>
      <c r="F975" s="89"/>
      <c r="G975" s="89"/>
      <c r="H975" s="89"/>
      <c r="I975" s="89"/>
      <c r="J975" s="212"/>
      <c r="K975" s="212"/>
      <c r="L975" s="212"/>
      <c r="M975" s="212"/>
      <c r="N975" s="212">
        <f t="shared" si="33"/>
        <v>0</v>
      </c>
    </row>
    <row r="976" spans="1:14" s="407" customFormat="1" ht="12.75" x14ac:dyDescent="0.2">
      <c r="A976" s="152"/>
      <c r="B976" s="73"/>
      <c r="C976" s="51" t="s">
        <v>1013</v>
      </c>
      <c r="D976" s="89" t="s">
        <v>808</v>
      </c>
      <c r="E976" s="89"/>
      <c r="F976" s="89"/>
      <c r="G976" s="89"/>
      <c r="H976" s="89"/>
      <c r="I976" s="89"/>
      <c r="J976" s="212"/>
      <c r="K976" s="212"/>
      <c r="L976" s="212"/>
      <c r="M976" s="212"/>
      <c r="N976" s="212">
        <f t="shared" si="33"/>
        <v>0</v>
      </c>
    </row>
    <row r="977" spans="1:14" s="407" customFormat="1" ht="12.75" x14ac:dyDescent="0.2">
      <c r="A977" s="152"/>
      <c r="B977" s="73"/>
      <c r="C977" s="51" t="s">
        <v>1012</v>
      </c>
      <c r="D977" s="89" t="s">
        <v>808</v>
      </c>
      <c r="E977" s="89"/>
      <c r="F977" s="89"/>
      <c r="G977" s="89"/>
      <c r="H977" s="89"/>
      <c r="I977" s="89"/>
      <c r="J977" s="212"/>
      <c r="K977" s="212"/>
      <c r="L977" s="212"/>
      <c r="M977" s="212"/>
      <c r="N977" s="212">
        <f t="shared" si="33"/>
        <v>0</v>
      </c>
    </row>
    <row r="978" spans="1:14" s="407" customFormat="1" ht="12.75" x14ac:dyDescent="0.2">
      <c r="A978" s="152"/>
      <c r="B978" s="73"/>
      <c r="C978" s="51" t="s">
        <v>1052</v>
      </c>
      <c r="D978" s="89" t="s">
        <v>808</v>
      </c>
      <c r="E978" s="89"/>
      <c r="F978" s="89"/>
      <c r="G978" s="89"/>
      <c r="H978" s="89"/>
      <c r="I978" s="89"/>
      <c r="J978" s="212"/>
      <c r="K978" s="212"/>
      <c r="L978" s="212"/>
      <c r="M978" s="212"/>
      <c r="N978" s="212">
        <f t="shared" si="33"/>
        <v>0</v>
      </c>
    </row>
    <row r="979" spans="1:14" s="407" customFormat="1" ht="12.75" x14ac:dyDescent="0.2">
      <c r="A979" s="152"/>
      <c r="B979" s="73"/>
      <c r="C979" s="51" t="s">
        <v>1053</v>
      </c>
      <c r="D979" s="89" t="s">
        <v>808</v>
      </c>
      <c r="E979" s="89"/>
      <c r="F979" s="89"/>
      <c r="G979" s="89"/>
      <c r="H979" s="89"/>
      <c r="I979" s="89"/>
      <c r="J979" s="212"/>
      <c r="K979" s="212"/>
      <c r="L979" s="212"/>
      <c r="M979" s="212"/>
      <c r="N979" s="212">
        <f t="shared" si="33"/>
        <v>0</v>
      </c>
    </row>
    <row r="980" spans="1:14" s="407" customFormat="1" ht="12.75" x14ac:dyDescent="0.2">
      <c r="A980" s="152"/>
      <c r="B980" s="73"/>
      <c r="C980" s="51" t="s">
        <v>984</v>
      </c>
      <c r="D980" s="89" t="s">
        <v>808</v>
      </c>
      <c r="E980" s="89"/>
      <c r="F980" s="89"/>
      <c r="G980" s="89"/>
      <c r="H980" s="89"/>
      <c r="I980" s="89"/>
      <c r="J980" s="212"/>
      <c r="K980" s="212"/>
      <c r="L980" s="212"/>
      <c r="M980" s="212"/>
      <c r="N980" s="212">
        <f t="shared" si="33"/>
        <v>0</v>
      </c>
    </row>
    <row r="981" spans="1:14" s="407" customFormat="1" ht="12.75" x14ac:dyDescent="0.2">
      <c r="A981" s="152"/>
      <c r="B981" s="73"/>
      <c r="C981" s="51" t="s">
        <v>985</v>
      </c>
      <c r="D981" s="89" t="s">
        <v>808</v>
      </c>
      <c r="E981" s="89"/>
      <c r="F981" s="89"/>
      <c r="G981" s="89"/>
      <c r="H981" s="89"/>
      <c r="I981" s="89"/>
      <c r="J981" s="212"/>
      <c r="K981" s="212"/>
      <c r="L981" s="212"/>
      <c r="M981" s="212"/>
      <c r="N981" s="212">
        <f t="shared" si="33"/>
        <v>0</v>
      </c>
    </row>
    <row r="982" spans="1:14" s="407" customFormat="1" ht="12.75" x14ac:dyDescent="0.2">
      <c r="A982" s="152"/>
      <c r="B982" s="73"/>
      <c r="C982" s="51" t="s">
        <v>1005</v>
      </c>
      <c r="D982" s="89" t="s">
        <v>808</v>
      </c>
      <c r="E982" s="89"/>
      <c r="F982" s="89"/>
      <c r="G982" s="89"/>
      <c r="H982" s="89"/>
      <c r="I982" s="89"/>
      <c r="J982" s="212"/>
      <c r="K982" s="212"/>
      <c r="L982" s="212"/>
      <c r="M982" s="212"/>
      <c r="N982" s="212">
        <f t="shared" si="33"/>
        <v>0</v>
      </c>
    </row>
    <row r="983" spans="1:14" s="407" customFormat="1" ht="12.75" x14ac:dyDescent="0.2">
      <c r="A983" s="152"/>
      <c r="B983" s="73"/>
      <c r="C983" s="51" t="s">
        <v>1004</v>
      </c>
      <c r="D983" s="89" t="s">
        <v>808</v>
      </c>
      <c r="E983" s="89"/>
      <c r="F983" s="89"/>
      <c r="G983" s="89"/>
      <c r="H983" s="89"/>
      <c r="I983" s="89"/>
      <c r="J983" s="212"/>
      <c r="K983" s="212"/>
      <c r="L983" s="212"/>
      <c r="M983" s="212"/>
      <c r="N983" s="212">
        <f t="shared" si="33"/>
        <v>0</v>
      </c>
    </row>
    <row r="984" spans="1:14" s="407" customFormat="1" ht="12.75" x14ac:dyDescent="0.2">
      <c r="A984" s="152"/>
      <c r="B984" s="73"/>
      <c r="C984" s="51" t="s">
        <v>1008</v>
      </c>
      <c r="D984" s="89" t="s">
        <v>808</v>
      </c>
      <c r="E984" s="89"/>
      <c r="F984" s="89"/>
      <c r="G984" s="89"/>
      <c r="H984" s="89"/>
      <c r="I984" s="89"/>
      <c r="J984" s="212"/>
      <c r="K984" s="212"/>
      <c r="L984" s="212"/>
      <c r="M984" s="212"/>
      <c r="N984" s="212">
        <f t="shared" si="33"/>
        <v>0</v>
      </c>
    </row>
    <row r="985" spans="1:14" s="407" customFormat="1" ht="12.75" x14ac:dyDescent="0.2">
      <c r="A985" s="152"/>
      <c r="B985" s="73"/>
      <c r="C985" s="51" t="s">
        <v>1006</v>
      </c>
      <c r="D985" s="89" t="s">
        <v>808</v>
      </c>
      <c r="E985" s="89"/>
      <c r="F985" s="89"/>
      <c r="G985" s="89"/>
      <c r="H985" s="89"/>
      <c r="I985" s="89"/>
      <c r="J985" s="212"/>
      <c r="K985" s="212"/>
      <c r="L985" s="212"/>
      <c r="M985" s="212"/>
      <c r="N985" s="212">
        <f t="shared" si="33"/>
        <v>0</v>
      </c>
    </row>
    <row r="986" spans="1:14" s="407" customFormat="1" ht="12.75" x14ac:dyDescent="0.2">
      <c r="A986" s="152"/>
      <c r="B986" s="73"/>
      <c r="C986" s="51" t="s">
        <v>1034</v>
      </c>
      <c r="D986" s="89" t="s">
        <v>808</v>
      </c>
      <c r="E986" s="89"/>
      <c r="F986" s="89"/>
      <c r="G986" s="89"/>
      <c r="H986" s="89"/>
      <c r="I986" s="89"/>
      <c r="J986" s="212"/>
      <c r="K986" s="212"/>
      <c r="L986" s="212"/>
      <c r="M986" s="212"/>
      <c r="N986" s="212">
        <f t="shared" si="33"/>
        <v>0</v>
      </c>
    </row>
    <row r="987" spans="1:14" s="407" customFormat="1" ht="12.75" x14ac:dyDescent="0.2">
      <c r="A987" s="152"/>
      <c r="B987" s="73"/>
      <c r="C987" s="51" t="s">
        <v>1035</v>
      </c>
      <c r="D987" s="89" t="s">
        <v>808</v>
      </c>
      <c r="E987" s="89"/>
      <c r="F987" s="89"/>
      <c r="G987" s="89"/>
      <c r="H987" s="89"/>
      <c r="I987" s="89"/>
      <c r="J987" s="212"/>
      <c r="K987" s="212"/>
      <c r="L987" s="212"/>
      <c r="M987" s="212"/>
      <c r="N987" s="212">
        <f t="shared" si="33"/>
        <v>0</v>
      </c>
    </row>
    <row r="988" spans="1:14" s="407" customFormat="1" ht="12.75" x14ac:dyDescent="0.2">
      <c r="A988" s="152"/>
      <c r="B988" s="73"/>
      <c r="C988" s="51" t="s">
        <v>922</v>
      </c>
      <c r="D988" s="89" t="s">
        <v>808</v>
      </c>
      <c r="E988" s="89"/>
      <c r="F988" s="89"/>
      <c r="G988" s="89"/>
      <c r="H988" s="89"/>
      <c r="I988" s="89"/>
      <c r="J988" s="212"/>
      <c r="K988" s="212"/>
      <c r="L988" s="212"/>
      <c r="M988" s="212"/>
      <c r="N988" s="212">
        <f t="shared" si="33"/>
        <v>0</v>
      </c>
    </row>
    <row r="989" spans="1:14" s="407" customFormat="1" ht="12.75" x14ac:dyDescent="0.2">
      <c r="A989" s="152"/>
      <c r="B989" s="73"/>
      <c r="C989" s="51" t="s">
        <v>942</v>
      </c>
      <c r="D989" s="89" t="s">
        <v>808</v>
      </c>
      <c r="E989" s="89"/>
      <c r="F989" s="89"/>
      <c r="G989" s="89"/>
      <c r="H989" s="89"/>
      <c r="I989" s="89"/>
      <c r="J989" s="212"/>
      <c r="K989" s="212"/>
      <c r="L989" s="212"/>
      <c r="M989" s="212"/>
      <c r="N989" s="212">
        <f t="shared" si="33"/>
        <v>0</v>
      </c>
    </row>
    <row r="990" spans="1:14" s="407" customFormat="1" ht="12.75" x14ac:dyDescent="0.2">
      <c r="A990" s="152"/>
      <c r="B990" s="73"/>
      <c r="C990" s="51" t="s">
        <v>943</v>
      </c>
      <c r="D990" s="89" t="s">
        <v>808</v>
      </c>
      <c r="E990" s="89"/>
      <c r="F990" s="89"/>
      <c r="G990" s="89"/>
      <c r="H990" s="89"/>
      <c r="I990" s="89"/>
      <c r="J990" s="212"/>
      <c r="K990" s="212"/>
      <c r="L990" s="212"/>
      <c r="M990" s="212"/>
      <c r="N990" s="212">
        <f t="shared" si="33"/>
        <v>0</v>
      </c>
    </row>
    <row r="991" spans="1:14" s="407" customFormat="1" ht="12.75" x14ac:dyDescent="0.2">
      <c r="A991" s="152"/>
      <c r="B991" s="73"/>
      <c r="C991" s="51" t="s">
        <v>938</v>
      </c>
      <c r="D991" s="89" t="s">
        <v>808</v>
      </c>
      <c r="E991" s="89"/>
      <c r="F991" s="89"/>
      <c r="G991" s="89"/>
      <c r="H991" s="89"/>
      <c r="I991" s="89"/>
      <c r="J991" s="212"/>
      <c r="K991" s="212"/>
      <c r="L991" s="212"/>
      <c r="M991" s="212"/>
      <c r="N991" s="212">
        <f t="shared" si="33"/>
        <v>0</v>
      </c>
    </row>
    <row r="992" spans="1:14" s="407" customFormat="1" ht="12.75" x14ac:dyDescent="0.2">
      <c r="A992" s="152"/>
      <c r="B992" s="73"/>
      <c r="C992" s="51" t="s">
        <v>939</v>
      </c>
      <c r="D992" s="89" t="s">
        <v>808</v>
      </c>
      <c r="E992" s="89"/>
      <c r="F992" s="89"/>
      <c r="G992" s="89"/>
      <c r="H992" s="89"/>
      <c r="I992" s="89"/>
      <c r="J992" s="212"/>
      <c r="K992" s="212"/>
      <c r="L992" s="212"/>
      <c r="M992" s="212"/>
      <c r="N992" s="212">
        <f t="shared" si="33"/>
        <v>0</v>
      </c>
    </row>
    <row r="993" spans="1:14" s="407" customFormat="1" ht="12.75" x14ac:dyDescent="0.2">
      <c r="A993" s="152"/>
      <c r="B993" s="73"/>
      <c r="C993" s="51" t="s">
        <v>934</v>
      </c>
      <c r="D993" s="89" t="s">
        <v>808</v>
      </c>
      <c r="E993" s="89"/>
      <c r="F993" s="89"/>
      <c r="G993" s="89"/>
      <c r="H993" s="89"/>
      <c r="I993" s="89"/>
      <c r="J993" s="212"/>
      <c r="K993" s="212"/>
      <c r="L993" s="212"/>
      <c r="M993" s="212"/>
      <c r="N993" s="212">
        <f t="shared" si="33"/>
        <v>0</v>
      </c>
    </row>
    <row r="994" spans="1:14" s="407" customFormat="1" ht="12.75" x14ac:dyDescent="0.2">
      <c r="A994" s="152"/>
      <c r="B994" s="73"/>
      <c r="C994" s="51" t="s">
        <v>935</v>
      </c>
      <c r="D994" s="89" t="s">
        <v>808</v>
      </c>
      <c r="E994" s="89"/>
      <c r="F994" s="89"/>
      <c r="G994" s="89"/>
      <c r="H994" s="89"/>
      <c r="I994" s="89"/>
      <c r="J994" s="212"/>
      <c r="K994" s="212"/>
      <c r="L994" s="212"/>
      <c r="M994" s="212"/>
      <c r="N994" s="212">
        <f t="shared" si="33"/>
        <v>0</v>
      </c>
    </row>
    <row r="995" spans="1:14" s="407" customFormat="1" ht="12.75" x14ac:dyDescent="0.2">
      <c r="A995" s="152"/>
      <c r="B995" s="73"/>
      <c r="C995" s="51" t="s">
        <v>953</v>
      </c>
      <c r="D995" s="89" t="s">
        <v>808</v>
      </c>
      <c r="E995" s="89"/>
      <c r="F995" s="89"/>
      <c r="G995" s="89"/>
      <c r="H995" s="89"/>
      <c r="I995" s="89"/>
      <c r="J995" s="212"/>
      <c r="K995" s="212"/>
      <c r="L995" s="212"/>
      <c r="M995" s="212"/>
      <c r="N995" s="212">
        <f t="shared" si="33"/>
        <v>0</v>
      </c>
    </row>
    <row r="996" spans="1:14" s="407" customFormat="1" ht="12.75" x14ac:dyDescent="0.2">
      <c r="A996" s="152"/>
      <c r="B996" s="73"/>
      <c r="C996" s="51" t="s">
        <v>924</v>
      </c>
      <c r="D996" s="89" t="s">
        <v>808</v>
      </c>
      <c r="E996" s="89"/>
      <c r="F996" s="89"/>
      <c r="G996" s="89"/>
      <c r="H996" s="89"/>
      <c r="I996" s="89"/>
      <c r="J996" s="212"/>
      <c r="K996" s="212"/>
      <c r="L996" s="212"/>
      <c r="M996" s="212"/>
      <c r="N996" s="212">
        <f t="shared" si="33"/>
        <v>0</v>
      </c>
    </row>
    <row r="997" spans="1:14" s="407" customFormat="1" ht="12.75" x14ac:dyDescent="0.2">
      <c r="A997" s="152"/>
      <c r="B997" s="73"/>
      <c r="C997" s="51" t="s">
        <v>927</v>
      </c>
      <c r="D997" s="89" t="s">
        <v>808</v>
      </c>
      <c r="E997" s="89"/>
      <c r="F997" s="89"/>
      <c r="G997" s="89"/>
      <c r="H997" s="89"/>
      <c r="I997" s="89"/>
      <c r="J997" s="212"/>
      <c r="K997" s="212"/>
      <c r="L997" s="212"/>
      <c r="M997" s="212"/>
      <c r="N997" s="212">
        <f t="shared" si="33"/>
        <v>0</v>
      </c>
    </row>
    <row r="998" spans="1:14" s="407" customFormat="1" ht="12.75" x14ac:dyDescent="0.2">
      <c r="A998" s="152"/>
      <c r="B998" s="73"/>
      <c r="C998" s="51" t="s">
        <v>951</v>
      </c>
      <c r="D998" s="89" t="s">
        <v>808</v>
      </c>
      <c r="E998" s="89"/>
      <c r="F998" s="89"/>
      <c r="G998" s="89"/>
      <c r="H998" s="89"/>
      <c r="I998" s="89"/>
      <c r="J998" s="212"/>
      <c r="K998" s="212"/>
      <c r="L998" s="212"/>
      <c r="M998" s="212"/>
      <c r="N998" s="212">
        <f t="shared" si="33"/>
        <v>0</v>
      </c>
    </row>
    <row r="999" spans="1:14" s="407" customFormat="1" ht="12.75" x14ac:dyDescent="0.2">
      <c r="A999" s="152"/>
      <c r="B999" s="73"/>
      <c r="C999" s="51" t="s">
        <v>1055</v>
      </c>
      <c r="D999" s="89" t="s">
        <v>808</v>
      </c>
      <c r="E999" s="89"/>
      <c r="F999" s="89"/>
      <c r="G999" s="89"/>
      <c r="H999" s="89"/>
      <c r="I999" s="89"/>
      <c r="J999" s="212"/>
      <c r="K999" s="212"/>
      <c r="L999" s="212"/>
      <c r="M999" s="212"/>
      <c r="N999" s="212">
        <f t="shared" si="33"/>
        <v>0</v>
      </c>
    </row>
    <row r="1000" spans="1:14" s="407" customFormat="1" ht="12.75" x14ac:dyDescent="0.2">
      <c r="A1000" s="152"/>
      <c r="B1000" s="73"/>
      <c r="C1000" s="51" t="s">
        <v>940</v>
      </c>
      <c r="D1000" s="89" t="s">
        <v>808</v>
      </c>
      <c r="E1000" s="89"/>
      <c r="F1000" s="89"/>
      <c r="G1000" s="89"/>
      <c r="H1000" s="89"/>
      <c r="I1000" s="89"/>
      <c r="J1000" s="212"/>
      <c r="K1000" s="212"/>
      <c r="L1000" s="212"/>
      <c r="M1000" s="212"/>
      <c r="N1000" s="212">
        <f t="shared" si="33"/>
        <v>0</v>
      </c>
    </row>
    <row r="1001" spans="1:14" s="407" customFormat="1" ht="12.75" x14ac:dyDescent="0.2">
      <c r="A1001" s="152"/>
      <c r="B1001" s="73"/>
      <c r="C1001" s="51" t="s">
        <v>941</v>
      </c>
      <c r="D1001" s="89" t="s">
        <v>808</v>
      </c>
      <c r="E1001" s="89"/>
      <c r="F1001" s="89"/>
      <c r="G1001" s="89"/>
      <c r="H1001" s="89"/>
      <c r="I1001" s="89"/>
      <c r="J1001" s="212"/>
      <c r="K1001" s="212"/>
      <c r="L1001" s="212"/>
      <c r="M1001" s="212"/>
      <c r="N1001" s="212">
        <f t="shared" si="33"/>
        <v>0</v>
      </c>
    </row>
    <row r="1002" spans="1:14" s="407" customFormat="1" ht="12.75" x14ac:dyDescent="0.2">
      <c r="A1002" s="152"/>
      <c r="B1002" s="73"/>
      <c r="C1002" s="51" t="s">
        <v>936</v>
      </c>
      <c r="D1002" s="89" t="s">
        <v>808</v>
      </c>
      <c r="E1002" s="89"/>
      <c r="F1002" s="89"/>
      <c r="G1002" s="89"/>
      <c r="H1002" s="89"/>
      <c r="I1002" s="89"/>
      <c r="J1002" s="212"/>
      <c r="K1002" s="212"/>
      <c r="L1002" s="212"/>
      <c r="M1002" s="212"/>
      <c r="N1002" s="212">
        <f t="shared" si="33"/>
        <v>0</v>
      </c>
    </row>
    <row r="1003" spans="1:14" s="407" customFormat="1" ht="12.75" x14ac:dyDescent="0.2">
      <c r="A1003" s="152"/>
      <c r="B1003" s="73"/>
      <c r="C1003" s="51" t="s">
        <v>937</v>
      </c>
      <c r="D1003" s="89" t="s">
        <v>808</v>
      </c>
      <c r="E1003" s="89"/>
      <c r="F1003" s="89"/>
      <c r="G1003" s="89"/>
      <c r="H1003" s="89"/>
      <c r="I1003" s="89"/>
      <c r="J1003" s="212"/>
      <c r="K1003" s="212"/>
      <c r="L1003" s="212"/>
      <c r="M1003" s="212"/>
      <c r="N1003" s="212">
        <f t="shared" si="33"/>
        <v>0</v>
      </c>
    </row>
    <row r="1004" spans="1:14" s="407" customFormat="1" ht="12.75" x14ac:dyDescent="0.2">
      <c r="A1004" s="152"/>
      <c r="B1004" s="73"/>
      <c r="C1004" s="51" t="s">
        <v>932</v>
      </c>
      <c r="D1004" s="89" t="s">
        <v>808</v>
      </c>
      <c r="E1004" s="89"/>
      <c r="F1004" s="89"/>
      <c r="G1004" s="89"/>
      <c r="H1004" s="89"/>
      <c r="I1004" s="89"/>
      <c r="J1004" s="212"/>
      <c r="K1004" s="212"/>
      <c r="L1004" s="212"/>
      <c r="M1004" s="212"/>
      <c r="N1004" s="212">
        <f t="shared" si="33"/>
        <v>0</v>
      </c>
    </row>
    <row r="1005" spans="1:14" s="407" customFormat="1" ht="12.75" x14ac:dyDescent="0.2">
      <c r="A1005" s="152"/>
      <c r="B1005" s="73"/>
      <c r="C1005" s="51" t="s">
        <v>933</v>
      </c>
      <c r="D1005" s="89" t="s">
        <v>808</v>
      </c>
      <c r="E1005" s="89"/>
      <c r="F1005" s="89"/>
      <c r="G1005" s="89"/>
      <c r="H1005" s="89"/>
      <c r="I1005" s="89"/>
      <c r="J1005" s="212"/>
      <c r="K1005" s="212"/>
      <c r="L1005" s="212"/>
      <c r="M1005" s="212"/>
      <c r="N1005" s="212">
        <f t="shared" si="33"/>
        <v>0</v>
      </c>
    </row>
    <row r="1006" spans="1:14" s="407" customFormat="1" ht="12.75" x14ac:dyDescent="0.2">
      <c r="A1006" s="152"/>
      <c r="B1006" s="73"/>
      <c r="C1006" s="51" t="s">
        <v>952</v>
      </c>
      <c r="D1006" s="89" t="s">
        <v>808</v>
      </c>
      <c r="E1006" s="89"/>
      <c r="F1006" s="89"/>
      <c r="G1006" s="89"/>
      <c r="H1006" s="89"/>
      <c r="I1006" s="89"/>
      <c r="J1006" s="212"/>
      <c r="K1006" s="212"/>
      <c r="L1006" s="212"/>
      <c r="M1006" s="212"/>
      <c r="N1006" s="212">
        <f t="shared" si="33"/>
        <v>0</v>
      </c>
    </row>
    <row r="1007" spans="1:14" s="407" customFormat="1" ht="12.75" x14ac:dyDescent="0.2">
      <c r="A1007" s="152"/>
      <c r="B1007" s="73"/>
      <c r="C1007" s="51" t="s">
        <v>923</v>
      </c>
      <c r="D1007" s="89" t="s">
        <v>808</v>
      </c>
      <c r="E1007" s="89"/>
      <c r="F1007" s="89"/>
      <c r="G1007" s="89"/>
      <c r="H1007" s="89"/>
      <c r="I1007" s="89"/>
      <c r="J1007" s="212"/>
      <c r="K1007" s="212"/>
      <c r="L1007" s="212"/>
      <c r="M1007" s="212"/>
      <c r="N1007" s="212">
        <f t="shared" si="33"/>
        <v>0</v>
      </c>
    </row>
    <row r="1008" spans="1:14" s="407" customFormat="1" ht="12.75" x14ac:dyDescent="0.2">
      <c r="A1008" s="152"/>
      <c r="B1008" s="73"/>
      <c r="C1008" s="51" t="s">
        <v>925</v>
      </c>
      <c r="D1008" s="89" t="s">
        <v>808</v>
      </c>
      <c r="E1008" s="89"/>
      <c r="F1008" s="89"/>
      <c r="G1008" s="89"/>
      <c r="H1008" s="89"/>
      <c r="I1008" s="89"/>
      <c r="J1008" s="212"/>
      <c r="K1008" s="212"/>
      <c r="L1008" s="212"/>
      <c r="M1008" s="212"/>
      <c r="N1008" s="212">
        <f t="shared" si="33"/>
        <v>0</v>
      </c>
    </row>
    <row r="1009" spans="1:14" s="407" customFormat="1" ht="12.75" x14ac:dyDescent="0.2">
      <c r="A1009" s="152"/>
      <c r="B1009" s="73"/>
      <c r="C1009" s="51" t="s">
        <v>950</v>
      </c>
      <c r="D1009" s="89" t="s">
        <v>808</v>
      </c>
      <c r="E1009" s="89"/>
      <c r="F1009" s="89"/>
      <c r="G1009" s="89"/>
      <c r="H1009" s="89"/>
      <c r="I1009" s="89"/>
      <c r="J1009" s="212"/>
      <c r="K1009" s="212"/>
      <c r="L1009" s="212"/>
      <c r="M1009" s="212"/>
      <c r="N1009" s="212">
        <f t="shared" si="33"/>
        <v>0</v>
      </c>
    </row>
    <row r="1010" spans="1:14" s="407" customFormat="1" ht="12.75" x14ac:dyDescent="0.2">
      <c r="A1010" s="152"/>
      <c r="B1010" s="73"/>
      <c r="C1010" s="51" t="s">
        <v>1054</v>
      </c>
      <c r="D1010" s="89" t="s">
        <v>808</v>
      </c>
      <c r="E1010" s="89"/>
      <c r="F1010" s="89"/>
      <c r="G1010" s="89"/>
      <c r="H1010" s="89"/>
      <c r="I1010" s="89"/>
      <c r="J1010" s="212"/>
      <c r="K1010" s="212"/>
      <c r="L1010" s="212"/>
      <c r="M1010" s="212"/>
      <c r="N1010" s="212">
        <f t="shared" si="33"/>
        <v>0</v>
      </c>
    </row>
    <row r="1011" spans="1:14" s="407" customFormat="1" ht="12.75" x14ac:dyDescent="0.2">
      <c r="A1011" s="152"/>
      <c r="B1011" s="73"/>
      <c r="C1011" s="51" t="s">
        <v>921</v>
      </c>
      <c r="D1011" s="89" t="s">
        <v>808</v>
      </c>
      <c r="E1011" s="89"/>
      <c r="F1011" s="89"/>
      <c r="G1011" s="89"/>
      <c r="H1011" s="89"/>
      <c r="I1011" s="89"/>
      <c r="J1011" s="212"/>
      <c r="K1011" s="212"/>
      <c r="L1011" s="212"/>
      <c r="M1011" s="212"/>
      <c r="N1011" s="212">
        <f t="shared" si="33"/>
        <v>0</v>
      </c>
    </row>
    <row r="1012" spans="1:14" s="407" customFormat="1" ht="12.75" x14ac:dyDescent="0.2">
      <c r="A1012" s="152"/>
      <c r="B1012" s="73"/>
      <c r="C1012" s="51" t="s">
        <v>1022</v>
      </c>
      <c r="D1012" s="89" t="s">
        <v>808</v>
      </c>
      <c r="E1012" s="89"/>
      <c r="F1012" s="89"/>
      <c r="G1012" s="89"/>
      <c r="H1012" s="89"/>
      <c r="I1012" s="89"/>
      <c r="J1012" s="212"/>
      <c r="K1012" s="212"/>
      <c r="L1012" s="212"/>
      <c r="M1012" s="212"/>
      <c r="N1012" s="212">
        <f t="shared" si="33"/>
        <v>0</v>
      </c>
    </row>
    <row r="1013" spans="1:14" s="407" customFormat="1" ht="12.75" x14ac:dyDescent="0.2">
      <c r="A1013" s="152"/>
      <c r="B1013" s="73"/>
      <c r="C1013" s="51" t="s">
        <v>1023</v>
      </c>
      <c r="D1013" s="89" t="s">
        <v>808</v>
      </c>
      <c r="E1013" s="89"/>
      <c r="F1013" s="89"/>
      <c r="G1013" s="89"/>
      <c r="H1013" s="89"/>
      <c r="I1013" s="89"/>
      <c r="J1013" s="212"/>
      <c r="K1013" s="212"/>
      <c r="L1013" s="212"/>
      <c r="M1013" s="212"/>
      <c r="N1013" s="212">
        <f t="shared" si="33"/>
        <v>0</v>
      </c>
    </row>
    <row r="1014" spans="1:14" s="407" customFormat="1" ht="12.75" x14ac:dyDescent="0.2">
      <c r="A1014" s="152"/>
      <c r="B1014" s="73"/>
      <c r="C1014" s="51" t="s">
        <v>137</v>
      </c>
      <c r="D1014" s="89" t="s">
        <v>808</v>
      </c>
      <c r="E1014" s="89"/>
      <c r="F1014" s="89"/>
      <c r="G1014" s="89"/>
      <c r="H1014" s="89"/>
      <c r="I1014" s="89"/>
      <c r="J1014" s="212"/>
      <c r="K1014" s="212"/>
      <c r="L1014" s="212"/>
      <c r="M1014" s="212"/>
      <c r="N1014" s="212">
        <f t="shared" si="33"/>
        <v>0</v>
      </c>
    </row>
    <row r="1015" spans="1:14" s="407" customFormat="1" ht="12.75" x14ac:dyDescent="0.2">
      <c r="A1015" s="152"/>
      <c r="B1015" s="73"/>
      <c r="C1015" s="51" t="s">
        <v>956</v>
      </c>
      <c r="D1015" s="89" t="s">
        <v>808</v>
      </c>
      <c r="E1015" s="89"/>
      <c r="F1015" s="89"/>
      <c r="G1015" s="89"/>
      <c r="H1015" s="89"/>
      <c r="I1015" s="89"/>
      <c r="J1015" s="212"/>
      <c r="K1015" s="212"/>
      <c r="L1015" s="212"/>
      <c r="M1015" s="212"/>
      <c r="N1015" s="212">
        <f t="shared" si="33"/>
        <v>0</v>
      </c>
    </row>
    <row r="1016" spans="1:14" s="407" customFormat="1" ht="12.75" x14ac:dyDescent="0.2">
      <c r="A1016" s="152"/>
      <c r="B1016" s="73"/>
      <c r="C1016" s="51" t="s">
        <v>1045</v>
      </c>
      <c r="D1016" s="89" t="s">
        <v>808</v>
      </c>
      <c r="E1016" s="89"/>
      <c r="F1016" s="89"/>
      <c r="G1016" s="89"/>
      <c r="H1016" s="89"/>
      <c r="I1016" s="89"/>
      <c r="J1016" s="212"/>
      <c r="K1016" s="212"/>
      <c r="L1016" s="212"/>
      <c r="M1016" s="212"/>
      <c r="N1016" s="212">
        <f t="shared" si="33"/>
        <v>0</v>
      </c>
    </row>
    <row r="1017" spans="1:14" s="407" customFormat="1" ht="12.75" x14ac:dyDescent="0.2">
      <c r="A1017" s="152"/>
      <c r="B1017" s="73"/>
      <c r="C1017" s="51" t="s">
        <v>1046</v>
      </c>
      <c r="D1017" s="89" t="s">
        <v>808</v>
      </c>
      <c r="E1017" s="89"/>
      <c r="F1017" s="89"/>
      <c r="G1017" s="89"/>
      <c r="H1017" s="89"/>
      <c r="I1017" s="89"/>
      <c r="J1017" s="212"/>
      <c r="K1017" s="212"/>
      <c r="L1017" s="212"/>
      <c r="M1017" s="212"/>
      <c r="N1017" s="212">
        <f t="shared" si="33"/>
        <v>0</v>
      </c>
    </row>
    <row r="1018" spans="1:14" s="407" customFormat="1" ht="12.75" x14ac:dyDescent="0.2">
      <c r="A1018" s="152"/>
      <c r="B1018" s="73"/>
      <c r="C1018" s="51" t="s">
        <v>1036</v>
      </c>
      <c r="D1018" s="89" t="s">
        <v>808</v>
      </c>
      <c r="E1018" s="89"/>
      <c r="F1018" s="89"/>
      <c r="G1018" s="89"/>
      <c r="H1018" s="89"/>
      <c r="I1018" s="89"/>
      <c r="J1018" s="212"/>
      <c r="K1018" s="212"/>
      <c r="L1018" s="212"/>
      <c r="M1018" s="212"/>
      <c r="N1018" s="212">
        <f t="shared" si="33"/>
        <v>0</v>
      </c>
    </row>
    <row r="1019" spans="1:14" s="407" customFormat="1" ht="12.75" x14ac:dyDescent="0.2">
      <c r="A1019" s="152"/>
      <c r="B1019" s="73"/>
      <c r="C1019" s="51" t="s">
        <v>1037</v>
      </c>
      <c r="D1019" s="89" t="s">
        <v>808</v>
      </c>
      <c r="E1019" s="89"/>
      <c r="F1019" s="89"/>
      <c r="G1019" s="89"/>
      <c r="H1019" s="89"/>
      <c r="I1019" s="89"/>
      <c r="J1019" s="212"/>
      <c r="K1019" s="212"/>
      <c r="L1019" s="212"/>
      <c r="M1019" s="212"/>
      <c r="N1019" s="212">
        <f t="shared" si="33"/>
        <v>0</v>
      </c>
    </row>
    <row r="1020" spans="1:14" s="407" customFormat="1" ht="12.75" x14ac:dyDescent="0.2">
      <c r="A1020" s="152"/>
      <c r="B1020" s="73"/>
      <c r="C1020" s="51" t="s">
        <v>990</v>
      </c>
      <c r="D1020" s="89" t="s">
        <v>808</v>
      </c>
      <c r="E1020" s="89"/>
      <c r="F1020" s="89"/>
      <c r="G1020" s="89"/>
      <c r="H1020" s="89"/>
      <c r="I1020" s="89"/>
      <c r="J1020" s="212"/>
      <c r="K1020" s="212"/>
      <c r="L1020" s="212"/>
      <c r="M1020" s="212"/>
      <c r="N1020" s="212">
        <f t="shared" si="33"/>
        <v>0</v>
      </c>
    </row>
    <row r="1021" spans="1:14" s="407" customFormat="1" ht="12.75" x14ac:dyDescent="0.2">
      <c r="A1021" s="152"/>
      <c r="B1021" s="73"/>
      <c r="C1021" s="51" t="s">
        <v>1040</v>
      </c>
      <c r="D1021" s="89" t="s">
        <v>808</v>
      </c>
      <c r="E1021" s="89"/>
      <c r="F1021" s="89"/>
      <c r="G1021" s="89"/>
      <c r="H1021" s="89"/>
      <c r="I1021" s="89"/>
      <c r="J1021" s="212"/>
      <c r="K1021" s="212"/>
      <c r="L1021" s="212"/>
      <c r="M1021" s="212"/>
      <c r="N1021" s="212">
        <f t="shared" si="33"/>
        <v>0</v>
      </c>
    </row>
    <row r="1022" spans="1:14" s="407" customFormat="1" ht="12.75" x14ac:dyDescent="0.2">
      <c r="A1022" s="152"/>
      <c r="B1022" s="73"/>
      <c r="C1022" s="51" t="s">
        <v>991</v>
      </c>
      <c r="D1022" s="89" t="s">
        <v>808</v>
      </c>
      <c r="E1022" s="89"/>
      <c r="F1022" s="89"/>
      <c r="G1022" s="89"/>
      <c r="H1022" s="89"/>
      <c r="I1022" s="89"/>
      <c r="J1022" s="212"/>
      <c r="K1022" s="212"/>
      <c r="L1022" s="212"/>
      <c r="M1022" s="212"/>
      <c r="N1022" s="212">
        <f t="shared" si="33"/>
        <v>0</v>
      </c>
    </row>
    <row r="1023" spans="1:14" s="407" customFormat="1" ht="12.75" x14ac:dyDescent="0.2">
      <c r="A1023" s="152"/>
      <c r="B1023" s="73"/>
      <c r="C1023" s="51" t="s">
        <v>959</v>
      </c>
      <c r="D1023" s="89" t="s">
        <v>808</v>
      </c>
      <c r="E1023" s="89"/>
      <c r="F1023" s="89"/>
      <c r="G1023" s="89"/>
      <c r="H1023" s="89"/>
      <c r="I1023" s="89"/>
      <c r="J1023" s="212"/>
      <c r="K1023" s="212"/>
      <c r="L1023" s="212"/>
      <c r="M1023" s="212"/>
      <c r="N1023" s="212">
        <f t="shared" si="33"/>
        <v>0</v>
      </c>
    </row>
    <row r="1024" spans="1:14" s="407" customFormat="1" ht="12.75" x14ac:dyDescent="0.2">
      <c r="A1024" s="152"/>
      <c r="B1024" s="73"/>
      <c r="C1024" s="51" t="s">
        <v>964</v>
      </c>
      <c r="D1024" s="89" t="s">
        <v>808</v>
      </c>
      <c r="E1024" s="89"/>
      <c r="F1024" s="89"/>
      <c r="G1024" s="89"/>
      <c r="H1024" s="89"/>
      <c r="I1024" s="89"/>
      <c r="J1024" s="212"/>
      <c r="K1024" s="212"/>
      <c r="L1024" s="212"/>
      <c r="M1024" s="212"/>
      <c r="N1024" s="212">
        <f t="shared" si="33"/>
        <v>0</v>
      </c>
    </row>
    <row r="1025" spans="1:14" s="407" customFormat="1" ht="12.75" x14ac:dyDescent="0.2">
      <c r="A1025" s="152"/>
      <c r="B1025" s="73"/>
      <c r="C1025" s="51" t="s">
        <v>1003</v>
      </c>
      <c r="D1025" s="89" t="s">
        <v>808</v>
      </c>
      <c r="E1025" s="89"/>
      <c r="F1025" s="89"/>
      <c r="G1025" s="89"/>
      <c r="H1025" s="89"/>
      <c r="I1025" s="89"/>
      <c r="J1025" s="212"/>
      <c r="K1025" s="212"/>
      <c r="L1025" s="212"/>
      <c r="M1025" s="212"/>
      <c r="N1025" s="212">
        <f t="shared" si="33"/>
        <v>0</v>
      </c>
    </row>
    <row r="1026" spans="1:14" s="407" customFormat="1" ht="12.75" x14ac:dyDescent="0.2">
      <c r="A1026" s="152"/>
      <c r="B1026" s="73"/>
      <c r="C1026" s="51" t="s">
        <v>992</v>
      </c>
      <c r="D1026" s="89" t="s">
        <v>808</v>
      </c>
      <c r="E1026" s="89"/>
      <c r="F1026" s="89"/>
      <c r="G1026" s="89"/>
      <c r="H1026" s="89"/>
      <c r="I1026" s="89"/>
      <c r="J1026" s="212"/>
      <c r="K1026" s="212"/>
      <c r="L1026" s="212"/>
      <c r="M1026" s="212"/>
      <c r="N1026" s="212">
        <f t="shared" si="33"/>
        <v>0</v>
      </c>
    </row>
    <row r="1027" spans="1:14" s="407" customFormat="1" ht="12.75" x14ac:dyDescent="0.2">
      <c r="A1027" s="152"/>
      <c r="B1027" s="73"/>
      <c r="C1027" s="51" t="s">
        <v>994</v>
      </c>
      <c r="D1027" s="89" t="s">
        <v>808</v>
      </c>
      <c r="E1027" s="89"/>
      <c r="F1027" s="89"/>
      <c r="G1027" s="89"/>
      <c r="H1027" s="89"/>
      <c r="I1027" s="89"/>
      <c r="J1027" s="212"/>
      <c r="K1027" s="212"/>
      <c r="L1027" s="212"/>
      <c r="M1027" s="212"/>
      <c r="N1027" s="212">
        <f t="shared" si="33"/>
        <v>0</v>
      </c>
    </row>
    <row r="1028" spans="1:14" s="407" customFormat="1" ht="12.75" x14ac:dyDescent="0.2">
      <c r="A1028" s="152"/>
      <c r="B1028" s="73"/>
      <c r="C1028" s="51" t="s">
        <v>993</v>
      </c>
      <c r="D1028" s="89" t="s">
        <v>808</v>
      </c>
      <c r="E1028" s="89"/>
      <c r="F1028" s="89"/>
      <c r="G1028" s="89"/>
      <c r="H1028" s="89"/>
      <c r="I1028" s="89"/>
      <c r="J1028" s="212"/>
      <c r="K1028" s="212"/>
      <c r="L1028" s="212"/>
      <c r="M1028" s="212"/>
      <c r="N1028" s="212">
        <f t="shared" si="33"/>
        <v>0</v>
      </c>
    </row>
    <row r="1029" spans="1:14" s="407" customFormat="1" ht="12.75" x14ac:dyDescent="0.2">
      <c r="A1029" s="152"/>
      <c r="B1029" s="73"/>
      <c r="C1029" s="51" t="s">
        <v>995</v>
      </c>
      <c r="D1029" s="89" t="s">
        <v>808</v>
      </c>
      <c r="E1029" s="89"/>
      <c r="F1029" s="89"/>
      <c r="G1029" s="89"/>
      <c r="H1029" s="89"/>
      <c r="I1029" s="89"/>
      <c r="J1029" s="212"/>
      <c r="K1029" s="212"/>
      <c r="L1029" s="212"/>
      <c r="M1029" s="212"/>
      <c r="N1029" s="212">
        <f t="shared" si="33"/>
        <v>0</v>
      </c>
    </row>
    <row r="1030" spans="1:14" s="407" customFormat="1" ht="12.75" x14ac:dyDescent="0.2">
      <c r="A1030" s="152"/>
      <c r="B1030" s="73"/>
      <c r="C1030" s="51" t="s">
        <v>1001</v>
      </c>
      <c r="D1030" s="89" t="s">
        <v>808</v>
      </c>
      <c r="E1030" s="89"/>
      <c r="F1030" s="89"/>
      <c r="G1030" s="89"/>
      <c r="H1030" s="89"/>
      <c r="I1030" s="89"/>
      <c r="J1030" s="212"/>
      <c r="K1030" s="212"/>
      <c r="L1030" s="212"/>
      <c r="M1030" s="212"/>
      <c r="N1030" s="212">
        <f t="shared" si="33"/>
        <v>0</v>
      </c>
    </row>
    <row r="1031" spans="1:14" s="407" customFormat="1" ht="12.75" x14ac:dyDescent="0.2">
      <c r="A1031" s="152"/>
      <c r="B1031" s="73"/>
      <c r="C1031" s="51" t="s">
        <v>978</v>
      </c>
      <c r="D1031" s="89" t="s">
        <v>808</v>
      </c>
      <c r="E1031" s="89"/>
      <c r="F1031" s="89"/>
      <c r="G1031" s="89"/>
      <c r="H1031" s="89"/>
      <c r="I1031" s="89"/>
      <c r="J1031" s="212"/>
      <c r="K1031" s="212"/>
      <c r="L1031" s="212"/>
      <c r="M1031" s="212"/>
      <c r="N1031" s="212">
        <f t="shared" si="33"/>
        <v>0</v>
      </c>
    </row>
    <row r="1032" spans="1:14" s="407" customFormat="1" ht="12.75" x14ac:dyDescent="0.2">
      <c r="A1032" s="152"/>
      <c r="B1032" s="73"/>
      <c r="C1032" s="51" t="s">
        <v>494</v>
      </c>
      <c r="D1032" s="89" t="s">
        <v>808</v>
      </c>
      <c r="E1032" s="89"/>
      <c r="F1032" s="89"/>
      <c r="G1032" s="89"/>
      <c r="H1032" s="89"/>
      <c r="I1032" s="89"/>
      <c r="J1032" s="212"/>
      <c r="K1032" s="212"/>
      <c r="L1032" s="212"/>
      <c r="M1032" s="212"/>
      <c r="N1032" s="212">
        <f t="shared" si="33"/>
        <v>0</v>
      </c>
    </row>
    <row r="1033" spans="1:14" s="407" customFormat="1" ht="12.75" x14ac:dyDescent="0.2">
      <c r="A1033" s="152"/>
      <c r="B1033" s="73"/>
      <c r="C1033" s="51" t="s">
        <v>976</v>
      </c>
      <c r="D1033" s="89" t="s">
        <v>808</v>
      </c>
      <c r="E1033" s="89"/>
      <c r="F1033" s="89"/>
      <c r="G1033" s="89"/>
      <c r="H1033" s="89"/>
      <c r="I1033" s="89"/>
      <c r="J1033" s="212"/>
      <c r="K1033" s="212"/>
      <c r="L1033" s="212"/>
      <c r="M1033" s="212"/>
      <c r="N1033" s="212">
        <f t="shared" ref="N1033:N1096" si="34">SUMIFS(N$26:N$154,$C$26:$C$154,$C1033,$D$26:$D$154,$D1033)</f>
        <v>0</v>
      </c>
    </row>
    <row r="1034" spans="1:14" s="407" customFormat="1" ht="12.75" x14ac:dyDescent="0.2">
      <c r="A1034" s="152"/>
      <c r="B1034" s="73"/>
      <c r="C1034" s="51" t="s">
        <v>1002</v>
      </c>
      <c r="D1034" s="89" t="s">
        <v>808</v>
      </c>
      <c r="E1034" s="89"/>
      <c r="F1034" s="89"/>
      <c r="G1034" s="89"/>
      <c r="H1034" s="89"/>
      <c r="I1034" s="89"/>
      <c r="J1034" s="212"/>
      <c r="K1034" s="212"/>
      <c r="L1034" s="212"/>
      <c r="M1034" s="212"/>
      <c r="N1034" s="212">
        <f t="shared" si="34"/>
        <v>0</v>
      </c>
    </row>
    <row r="1035" spans="1:14" s="407" customFormat="1" ht="12.75" x14ac:dyDescent="0.2">
      <c r="A1035" s="152"/>
      <c r="B1035" s="73"/>
      <c r="C1035" s="51" t="s">
        <v>1014</v>
      </c>
      <c r="D1035" s="89" t="s">
        <v>808</v>
      </c>
      <c r="E1035" s="89"/>
      <c r="F1035" s="89"/>
      <c r="G1035" s="89"/>
      <c r="H1035" s="89"/>
      <c r="I1035" s="89"/>
      <c r="J1035" s="212"/>
      <c r="K1035" s="212"/>
      <c r="L1035" s="212"/>
      <c r="M1035" s="212"/>
      <c r="N1035" s="212">
        <f t="shared" si="34"/>
        <v>0</v>
      </c>
    </row>
    <row r="1036" spans="1:14" s="407" customFormat="1" ht="12.75" x14ac:dyDescent="0.2">
      <c r="A1036" s="152"/>
      <c r="B1036" s="73"/>
      <c r="C1036" s="51" t="s">
        <v>998</v>
      </c>
      <c r="D1036" s="89" t="s">
        <v>808</v>
      </c>
      <c r="E1036" s="89"/>
      <c r="F1036" s="89"/>
      <c r="G1036" s="89"/>
      <c r="H1036" s="89"/>
      <c r="I1036" s="89"/>
      <c r="J1036" s="212"/>
      <c r="K1036" s="212"/>
      <c r="L1036" s="212"/>
      <c r="M1036" s="212"/>
      <c r="N1036" s="212">
        <f t="shared" si="34"/>
        <v>0</v>
      </c>
    </row>
    <row r="1037" spans="1:14" s="407" customFormat="1" ht="12.75" x14ac:dyDescent="0.2">
      <c r="A1037" s="152"/>
      <c r="B1037" s="73"/>
      <c r="C1037" s="51" t="s">
        <v>996</v>
      </c>
      <c r="D1037" s="89" t="s">
        <v>808</v>
      </c>
      <c r="E1037" s="89"/>
      <c r="F1037" s="89"/>
      <c r="G1037" s="89"/>
      <c r="H1037" s="89"/>
      <c r="I1037" s="89"/>
      <c r="J1037" s="212"/>
      <c r="K1037" s="212"/>
      <c r="L1037" s="212"/>
      <c r="M1037" s="212"/>
      <c r="N1037" s="212">
        <f t="shared" si="34"/>
        <v>0</v>
      </c>
    </row>
    <row r="1038" spans="1:14" s="407" customFormat="1" ht="12.75" x14ac:dyDescent="0.2">
      <c r="A1038" s="152"/>
      <c r="B1038" s="73"/>
      <c r="C1038" s="51" t="s">
        <v>1043</v>
      </c>
      <c r="D1038" s="89" t="s">
        <v>808</v>
      </c>
      <c r="E1038" s="89"/>
      <c r="F1038" s="89"/>
      <c r="G1038" s="89"/>
      <c r="H1038" s="89"/>
      <c r="I1038" s="89"/>
      <c r="J1038" s="212"/>
      <c r="K1038" s="212"/>
      <c r="L1038" s="212"/>
      <c r="M1038" s="212"/>
      <c r="N1038" s="212">
        <f t="shared" si="34"/>
        <v>0</v>
      </c>
    </row>
    <row r="1039" spans="1:14" s="407" customFormat="1" ht="12.75" x14ac:dyDescent="0.2">
      <c r="A1039" s="152"/>
      <c r="B1039" s="73"/>
      <c r="C1039" s="51" t="s">
        <v>1044</v>
      </c>
      <c r="D1039" s="89" t="s">
        <v>808</v>
      </c>
      <c r="E1039" s="89"/>
      <c r="F1039" s="89"/>
      <c r="G1039" s="89"/>
      <c r="H1039" s="89"/>
      <c r="I1039" s="89"/>
      <c r="J1039" s="212"/>
      <c r="K1039" s="212"/>
      <c r="L1039" s="212"/>
      <c r="M1039" s="212"/>
      <c r="N1039" s="212">
        <f t="shared" si="34"/>
        <v>0</v>
      </c>
    </row>
    <row r="1040" spans="1:14" s="407" customFormat="1" ht="12.75" x14ac:dyDescent="0.2">
      <c r="A1040" s="152"/>
      <c r="B1040" s="73"/>
      <c r="C1040" s="51" t="s">
        <v>1039</v>
      </c>
      <c r="D1040" s="89" t="s">
        <v>808</v>
      </c>
      <c r="E1040" s="89"/>
      <c r="F1040" s="89"/>
      <c r="G1040" s="89"/>
      <c r="H1040" s="89"/>
      <c r="I1040" s="89"/>
      <c r="J1040" s="212"/>
      <c r="K1040" s="212"/>
      <c r="L1040" s="212"/>
      <c r="M1040" s="212"/>
      <c r="N1040" s="212">
        <f t="shared" si="34"/>
        <v>0</v>
      </c>
    </row>
    <row r="1041" spans="1:14" s="407" customFormat="1" ht="12.75" x14ac:dyDescent="0.2">
      <c r="A1041" s="152"/>
      <c r="B1041" s="73"/>
      <c r="C1041" s="51" t="s">
        <v>1028</v>
      </c>
      <c r="D1041" s="89" t="s">
        <v>808</v>
      </c>
      <c r="E1041" s="89"/>
      <c r="F1041" s="89"/>
      <c r="G1041" s="89"/>
      <c r="H1041" s="89"/>
      <c r="I1041" s="89"/>
      <c r="J1041" s="212"/>
      <c r="K1041" s="212"/>
      <c r="L1041" s="212"/>
      <c r="M1041" s="212"/>
      <c r="N1041" s="212">
        <f t="shared" si="34"/>
        <v>0</v>
      </c>
    </row>
    <row r="1042" spans="1:14" s="407" customFormat="1" ht="12.75" x14ac:dyDescent="0.2">
      <c r="A1042" s="152"/>
      <c r="B1042" s="73"/>
      <c r="C1042" s="51" t="s">
        <v>1029</v>
      </c>
      <c r="D1042" s="89" t="s">
        <v>808</v>
      </c>
      <c r="E1042" s="89"/>
      <c r="F1042" s="89"/>
      <c r="G1042" s="89"/>
      <c r="H1042" s="89"/>
      <c r="I1042" s="89"/>
      <c r="J1042" s="212"/>
      <c r="K1042" s="212"/>
      <c r="L1042" s="212"/>
      <c r="M1042" s="212"/>
      <c r="N1042" s="212">
        <f t="shared" si="34"/>
        <v>0</v>
      </c>
    </row>
    <row r="1043" spans="1:14" s="407" customFormat="1" ht="12.75" x14ac:dyDescent="0.2">
      <c r="A1043" s="152"/>
      <c r="B1043" s="73"/>
      <c r="C1043" s="51" t="s">
        <v>113</v>
      </c>
      <c r="D1043" s="89" t="s">
        <v>808</v>
      </c>
      <c r="E1043" s="89"/>
      <c r="F1043" s="89"/>
      <c r="G1043" s="89"/>
      <c r="H1043" s="89"/>
      <c r="I1043" s="89"/>
      <c r="J1043" s="212"/>
      <c r="K1043" s="212"/>
      <c r="L1043" s="212"/>
      <c r="M1043" s="212"/>
      <c r="N1043" s="212">
        <f t="shared" si="34"/>
        <v>0</v>
      </c>
    </row>
    <row r="1044" spans="1:14" s="407" customFormat="1" ht="12.75" x14ac:dyDescent="0.2">
      <c r="A1044" s="152"/>
      <c r="B1044" s="73"/>
      <c r="C1044" s="51" t="s">
        <v>1038</v>
      </c>
      <c r="D1044" s="89" t="s">
        <v>808</v>
      </c>
      <c r="E1044" s="89"/>
      <c r="F1044" s="89"/>
      <c r="G1044" s="89"/>
      <c r="H1044" s="89"/>
      <c r="I1044" s="89"/>
      <c r="J1044" s="212"/>
      <c r="K1044" s="212"/>
      <c r="L1044" s="212"/>
      <c r="M1044" s="212"/>
      <c r="N1044" s="212">
        <f t="shared" si="34"/>
        <v>0</v>
      </c>
    </row>
    <row r="1045" spans="1:14" s="407" customFormat="1" ht="12.75" x14ac:dyDescent="0.2">
      <c r="A1045" s="152"/>
      <c r="B1045" s="73"/>
      <c r="C1045" s="51" t="s">
        <v>1033</v>
      </c>
      <c r="D1045" s="89" t="s">
        <v>808</v>
      </c>
      <c r="E1045" s="89"/>
      <c r="F1045" s="89"/>
      <c r="G1045" s="89"/>
      <c r="H1045" s="89"/>
      <c r="I1045" s="89"/>
      <c r="J1045" s="212"/>
      <c r="K1045" s="212"/>
      <c r="L1045" s="212"/>
      <c r="M1045" s="212"/>
      <c r="N1045" s="212">
        <f t="shared" si="34"/>
        <v>0</v>
      </c>
    </row>
    <row r="1046" spans="1:14" s="407" customFormat="1" ht="12.75" x14ac:dyDescent="0.2">
      <c r="A1046" s="152"/>
      <c r="B1046" s="73"/>
      <c r="C1046" s="51" t="s">
        <v>1007</v>
      </c>
      <c r="D1046" s="89" t="s">
        <v>808</v>
      </c>
      <c r="E1046" s="89"/>
      <c r="F1046" s="89"/>
      <c r="G1046" s="89"/>
      <c r="H1046" s="89"/>
      <c r="I1046" s="89"/>
      <c r="J1046" s="212"/>
      <c r="K1046" s="212"/>
      <c r="L1046" s="212"/>
      <c r="M1046" s="212"/>
      <c r="N1046" s="212">
        <f t="shared" si="34"/>
        <v>0</v>
      </c>
    </row>
    <row r="1047" spans="1:14" s="407" customFormat="1" ht="12.75" x14ac:dyDescent="0.2">
      <c r="A1047" s="152"/>
      <c r="B1047" s="73"/>
      <c r="C1047" s="51" t="s">
        <v>969</v>
      </c>
      <c r="D1047" s="89" t="s">
        <v>808</v>
      </c>
      <c r="E1047" s="89"/>
      <c r="F1047" s="89"/>
      <c r="G1047" s="89"/>
      <c r="H1047" s="89"/>
      <c r="I1047" s="89"/>
      <c r="J1047" s="212"/>
      <c r="K1047" s="212"/>
      <c r="L1047" s="212"/>
      <c r="M1047" s="212"/>
      <c r="N1047" s="212">
        <f t="shared" si="34"/>
        <v>0</v>
      </c>
    </row>
    <row r="1048" spans="1:14" s="407" customFormat="1" ht="12.75" x14ac:dyDescent="0.2">
      <c r="A1048" s="152"/>
      <c r="B1048" s="73"/>
      <c r="C1048" s="51" t="s">
        <v>987</v>
      </c>
      <c r="D1048" s="89" t="s">
        <v>808</v>
      </c>
      <c r="E1048" s="89"/>
      <c r="F1048" s="89"/>
      <c r="G1048" s="89"/>
      <c r="H1048" s="89"/>
      <c r="I1048" s="89"/>
      <c r="J1048" s="212"/>
      <c r="K1048" s="212"/>
      <c r="L1048" s="212"/>
      <c r="M1048" s="212"/>
      <c r="N1048" s="212">
        <f t="shared" si="34"/>
        <v>0</v>
      </c>
    </row>
    <row r="1049" spans="1:14" s="407" customFormat="1" ht="12.75" x14ac:dyDescent="0.2">
      <c r="A1049" s="152"/>
      <c r="B1049" s="73"/>
      <c r="C1049" s="51" t="s">
        <v>1000</v>
      </c>
      <c r="D1049" s="89" t="s">
        <v>808</v>
      </c>
      <c r="E1049" s="89"/>
      <c r="F1049" s="89"/>
      <c r="G1049" s="89"/>
      <c r="H1049" s="89"/>
      <c r="I1049" s="89"/>
      <c r="J1049" s="212"/>
      <c r="K1049" s="212"/>
      <c r="L1049" s="212"/>
      <c r="M1049" s="212"/>
      <c r="N1049" s="212">
        <f t="shared" si="34"/>
        <v>0</v>
      </c>
    </row>
    <row r="1050" spans="1:14" s="407" customFormat="1" ht="12.75" x14ac:dyDescent="0.2">
      <c r="A1050" s="152"/>
      <c r="B1050" s="73"/>
      <c r="C1050" s="51" t="s">
        <v>116</v>
      </c>
      <c r="D1050" s="89" t="s">
        <v>808</v>
      </c>
      <c r="E1050" s="89"/>
      <c r="F1050" s="89"/>
      <c r="G1050" s="89"/>
      <c r="H1050" s="89"/>
      <c r="I1050" s="89"/>
      <c r="J1050" s="212"/>
      <c r="K1050" s="212"/>
      <c r="L1050" s="212"/>
      <c r="M1050" s="212"/>
      <c r="N1050" s="212">
        <f t="shared" si="34"/>
        <v>0</v>
      </c>
    </row>
    <row r="1051" spans="1:14" s="407" customFormat="1" ht="12.75" x14ac:dyDescent="0.2">
      <c r="A1051" s="152"/>
      <c r="B1051" s="73"/>
      <c r="C1051" s="51" t="s">
        <v>114</v>
      </c>
      <c r="D1051" s="89" t="s">
        <v>808</v>
      </c>
      <c r="E1051" s="89"/>
      <c r="F1051" s="89"/>
      <c r="G1051" s="89"/>
      <c r="H1051" s="89"/>
      <c r="I1051" s="89"/>
      <c r="J1051" s="212"/>
      <c r="K1051" s="212"/>
      <c r="L1051" s="212"/>
      <c r="M1051" s="212"/>
      <c r="N1051" s="212">
        <f t="shared" si="34"/>
        <v>0</v>
      </c>
    </row>
    <row r="1052" spans="1:14" s="407" customFormat="1" ht="12.75" x14ac:dyDescent="0.2">
      <c r="A1052" s="152"/>
      <c r="B1052" s="73"/>
      <c r="C1052" s="51" t="s">
        <v>111</v>
      </c>
      <c r="D1052" s="89" t="s">
        <v>808</v>
      </c>
      <c r="E1052" s="89"/>
      <c r="F1052" s="89"/>
      <c r="G1052" s="89"/>
      <c r="H1052" s="89"/>
      <c r="I1052" s="89"/>
      <c r="J1052" s="212"/>
      <c r="K1052" s="212"/>
      <c r="L1052" s="212"/>
      <c r="M1052" s="212"/>
      <c r="N1052" s="212">
        <f t="shared" si="34"/>
        <v>0</v>
      </c>
    </row>
    <row r="1053" spans="1:14" s="407" customFormat="1" ht="12.75" x14ac:dyDescent="0.2">
      <c r="A1053" s="152"/>
      <c r="B1053" s="73"/>
      <c r="C1053" s="51" t="s">
        <v>117</v>
      </c>
      <c r="D1053" s="89" t="s">
        <v>808</v>
      </c>
      <c r="E1053" s="89"/>
      <c r="F1053" s="89"/>
      <c r="G1053" s="89"/>
      <c r="H1053" s="89"/>
      <c r="I1053" s="89"/>
      <c r="J1053" s="212"/>
      <c r="K1053" s="212"/>
      <c r="L1053" s="212"/>
      <c r="M1053" s="212"/>
      <c r="N1053" s="212">
        <f t="shared" si="34"/>
        <v>0</v>
      </c>
    </row>
    <row r="1054" spans="1:14" s="407" customFormat="1" ht="12.75" x14ac:dyDescent="0.2">
      <c r="A1054" s="152"/>
      <c r="B1054" s="73"/>
      <c r="C1054" s="51" t="s">
        <v>112</v>
      </c>
      <c r="D1054" s="89" t="s">
        <v>808</v>
      </c>
      <c r="E1054" s="89"/>
      <c r="F1054" s="89"/>
      <c r="G1054" s="89"/>
      <c r="H1054" s="89"/>
      <c r="I1054" s="89"/>
      <c r="J1054" s="212"/>
      <c r="K1054" s="212"/>
      <c r="L1054" s="212"/>
      <c r="M1054" s="212"/>
      <c r="N1054" s="212">
        <f t="shared" si="34"/>
        <v>0</v>
      </c>
    </row>
    <row r="1055" spans="1:14" s="407" customFormat="1" ht="12.75" x14ac:dyDescent="0.2">
      <c r="A1055" s="152"/>
      <c r="B1055" s="73"/>
      <c r="C1055" s="51" t="s">
        <v>136</v>
      </c>
      <c r="D1055" s="89" t="s">
        <v>808</v>
      </c>
      <c r="E1055" s="89"/>
      <c r="F1055" s="89"/>
      <c r="G1055" s="89"/>
      <c r="H1055" s="89"/>
      <c r="I1055" s="89"/>
      <c r="J1055" s="212"/>
      <c r="K1055" s="212"/>
      <c r="L1055" s="212"/>
      <c r="M1055" s="212"/>
      <c r="N1055" s="212">
        <f t="shared" si="34"/>
        <v>0</v>
      </c>
    </row>
    <row r="1056" spans="1:14" s="407" customFormat="1" ht="12.75" x14ac:dyDescent="0.2">
      <c r="A1056" s="152"/>
      <c r="B1056" s="73"/>
      <c r="C1056" s="51" t="s">
        <v>962</v>
      </c>
      <c r="D1056" s="89" t="s">
        <v>808</v>
      </c>
      <c r="E1056" s="89"/>
      <c r="F1056" s="89"/>
      <c r="G1056" s="89"/>
      <c r="H1056" s="89"/>
      <c r="I1056" s="89"/>
      <c r="J1056" s="212"/>
      <c r="K1056" s="212"/>
      <c r="L1056" s="212"/>
      <c r="M1056" s="212"/>
      <c r="N1056" s="212">
        <f t="shared" si="34"/>
        <v>0</v>
      </c>
    </row>
    <row r="1057" spans="1:14" s="407" customFormat="1" ht="12.75" x14ac:dyDescent="0.2">
      <c r="A1057" s="152"/>
      <c r="B1057" s="73"/>
      <c r="C1057" s="51" t="s">
        <v>115</v>
      </c>
      <c r="D1057" s="89" t="s">
        <v>808</v>
      </c>
      <c r="E1057" s="89"/>
      <c r="F1057" s="89"/>
      <c r="G1057" s="89"/>
      <c r="H1057" s="89"/>
      <c r="I1057" s="89"/>
      <c r="J1057" s="212"/>
      <c r="K1057" s="212"/>
      <c r="L1057" s="212"/>
      <c r="M1057" s="212"/>
      <c r="N1057" s="212">
        <f t="shared" si="34"/>
        <v>0</v>
      </c>
    </row>
    <row r="1058" spans="1:14" s="407" customFormat="1" ht="12.75" x14ac:dyDescent="0.2">
      <c r="A1058" s="152"/>
      <c r="B1058" s="73"/>
      <c r="C1058" s="51" t="s">
        <v>997</v>
      </c>
      <c r="D1058" s="89" t="s">
        <v>808</v>
      </c>
      <c r="E1058" s="89"/>
      <c r="F1058" s="89"/>
      <c r="G1058" s="89"/>
      <c r="H1058" s="89"/>
      <c r="I1058" s="89"/>
      <c r="J1058" s="212"/>
      <c r="K1058" s="212"/>
      <c r="L1058" s="212"/>
      <c r="M1058" s="212"/>
      <c r="N1058" s="212">
        <f t="shared" si="34"/>
        <v>0</v>
      </c>
    </row>
    <row r="1059" spans="1:14" s="407" customFormat="1" ht="12.75" x14ac:dyDescent="0.2">
      <c r="A1059" s="152"/>
      <c r="B1059" s="73"/>
      <c r="C1059" s="51" t="s">
        <v>999</v>
      </c>
      <c r="D1059" s="89" t="s">
        <v>808</v>
      </c>
      <c r="E1059" s="89"/>
      <c r="F1059" s="89"/>
      <c r="G1059" s="89"/>
      <c r="H1059" s="89"/>
      <c r="I1059" s="89"/>
      <c r="J1059" s="212"/>
      <c r="K1059" s="212"/>
      <c r="L1059" s="212"/>
      <c r="M1059" s="212"/>
      <c r="N1059" s="212">
        <f t="shared" si="34"/>
        <v>0</v>
      </c>
    </row>
    <row r="1060" spans="1:14" s="407" customFormat="1" ht="12.75" x14ac:dyDescent="0.2">
      <c r="A1060" s="152"/>
      <c r="B1060" s="73"/>
      <c r="C1060" s="51" t="s">
        <v>1049</v>
      </c>
      <c r="D1060" s="89" t="s">
        <v>808</v>
      </c>
      <c r="E1060" s="89"/>
      <c r="F1060" s="89"/>
      <c r="G1060" s="89"/>
      <c r="H1060" s="89"/>
      <c r="I1060" s="89"/>
      <c r="J1060" s="212"/>
      <c r="K1060" s="212"/>
      <c r="L1060" s="212"/>
      <c r="M1060" s="212"/>
      <c r="N1060" s="212">
        <f t="shared" si="34"/>
        <v>0</v>
      </c>
    </row>
    <row r="1061" spans="1:14" s="407" customFormat="1" ht="12.75" x14ac:dyDescent="0.2">
      <c r="A1061" s="152"/>
      <c r="B1061" s="73"/>
      <c r="C1061" s="51" t="s">
        <v>96</v>
      </c>
      <c r="D1061" s="89" t="s">
        <v>808</v>
      </c>
      <c r="E1061" s="89"/>
      <c r="F1061" s="89"/>
      <c r="G1061" s="89"/>
      <c r="H1061" s="89"/>
      <c r="I1061" s="89"/>
      <c r="J1061" s="212"/>
      <c r="K1061" s="212"/>
      <c r="L1061" s="212"/>
      <c r="M1061" s="212"/>
      <c r="N1061" s="212">
        <f t="shared" si="34"/>
        <v>0</v>
      </c>
    </row>
    <row r="1062" spans="1:14" s="407" customFormat="1" ht="12.75" x14ac:dyDescent="0.2">
      <c r="A1062" s="152"/>
      <c r="B1062" s="73"/>
      <c r="C1062" s="51" t="s">
        <v>983</v>
      </c>
      <c r="D1062" s="89" t="s">
        <v>808</v>
      </c>
      <c r="E1062" s="89"/>
      <c r="F1062" s="89"/>
      <c r="G1062" s="89"/>
      <c r="H1062" s="89"/>
      <c r="I1062" s="89"/>
      <c r="J1062" s="212"/>
      <c r="K1062" s="212"/>
      <c r="L1062" s="212"/>
      <c r="M1062" s="212"/>
      <c r="N1062" s="212">
        <f t="shared" si="34"/>
        <v>0</v>
      </c>
    </row>
    <row r="1063" spans="1:14" s="407" customFormat="1" ht="12.75" x14ac:dyDescent="0.2">
      <c r="A1063" s="152"/>
      <c r="B1063" s="73"/>
      <c r="C1063" s="51" t="s">
        <v>1042</v>
      </c>
      <c r="D1063" s="89" t="s">
        <v>808</v>
      </c>
      <c r="E1063" s="89"/>
      <c r="F1063" s="89"/>
      <c r="G1063" s="89"/>
      <c r="H1063" s="89"/>
      <c r="I1063" s="89"/>
      <c r="J1063" s="212"/>
      <c r="K1063" s="212"/>
      <c r="L1063" s="212"/>
      <c r="M1063" s="212"/>
      <c r="N1063" s="212">
        <f t="shared" si="34"/>
        <v>0</v>
      </c>
    </row>
    <row r="1064" spans="1:14" s="407" customFormat="1" ht="12.75" x14ac:dyDescent="0.2">
      <c r="A1064" s="152"/>
      <c r="B1064" s="73"/>
      <c r="C1064" s="51" t="s">
        <v>979</v>
      </c>
      <c r="D1064" s="89" t="s">
        <v>808</v>
      </c>
      <c r="E1064" s="89"/>
      <c r="F1064" s="89"/>
      <c r="G1064" s="89"/>
      <c r="H1064" s="89"/>
      <c r="I1064" s="89"/>
      <c r="J1064" s="212"/>
      <c r="K1064" s="212"/>
      <c r="L1064" s="212"/>
      <c r="M1064" s="212"/>
      <c r="N1064" s="212">
        <f t="shared" si="34"/>
        <v>0</v>
      </c>
    </row>
    <row r="1065" spans="1:14" s="407" customFormat="1" ht="12.75" x14ac:dyDescent="0.2">
      <c r="A1065" s="152"/>
      <c r="B1065" s="73"/>
      <c r="C1065" s="51" t="s">
        <v>47</v>
      </c>
      <c r="D1065" s="89" t="s">
        <v>808</v>
      </c>
      <c r="E1065" s="89"/>
      <c r="F1065" s="89"/>
      <c r="G1065" s="89"/>
      <c r="H1065" s="89"/>
      <c r="I1065" s="89"/>
      <c r="J1065" s="212"/>
      <c r="K1065" s="212"/>
      <c r="L1065" s="212"/>
      <c r="M1065" s="212"/>
      <c r="N1065" s="212">
        <f t="shared" si="34"/>
        <v>0</v>
      </c>
    </row>
    <row r="1066" spans="1:14" s="407" customFormat="1" ht="12.75" x14ac:dyDescent="0.2">
      <c r="A1066" s="152"/>
      <c r="B1066" s="73"/>
      <c r="C1066" s="51" t="s">
        <v>48</v>
      </c>
      <c r="D1066" s="89" t="s">
        <v>808</v>
      </c>
      <c r="E1066" s="89"/>
      <c r="F1066" s="89"/>
      <c r="G1066" s="89"/>
      <c r="H1066" s="89"/>
      <c r="I1066" s="89"/>
      <c r="J1066" s="212"/>
      <c r="K1066" s="212"/>
      <c r="L1066" s="212"/>
      <c r="M1066" s="212"/>
      <c r="N1066" s="212">
        <f t="shared" si="34"/>
        <v>0</v>
      </c>
    </row>
    <row r="1067" spans="1:14" s="407" customFormat="1" ht="12.75" x14ac:dyDescent="0.2">
      <c r="A1067" s="152"/>
      <c r="B1067" s="73"/>
      <c r="C1067" s="51" t="s">
        <v>1051</v>
      </c>
      <c r="D1067" s="89" t="s">
        <v>808</v>
      </c>
      <c r="E1067" s="89"/>
      <c r="F1067" s="89"/>
      <c r="G1067" s="89"/>
      <c r="H1067" s="89"/>
      <c r="I1067" s="89"/>
      <c r="J1067" s="212"/>
      <c r="K1067" s="212"/>
      <c r="L1067" s="212"/>
      <c r="M1067" s="212"/>
      <c r="N1067" s="212">
        <f t="shared" si="34"/>
        <v>0</v>
      </c>
    </row>
    <row r="1068" spans="1:14" s="407" customFormat="1" ht="12.75" x14ac:dyDescent="0.2">
      <c r="A1068" s="152"/>
      <c r="B1068" s="73"/>
      <c r="C1068" s="51" t="s">
        <v>929</v>
      </c>
      <c r="D1068" s="89" t="s">
        <v>808</v>
      </c>
      <c r="E1068" s="89"/>
      <c r="F1068" s="89"/>
      <c r="G1068" s="89"/>
      <c r="H1068" s="89"/>
      <c r="I1068" s="89"/>
      <c r="J1068" s="212"/>
      <c r="K1068" s="212"/>
      <c r="L1068" s="212"/>
      <c r="M1068" s="212"/>
      <c r="N1068" s="212">
        <f t="shared" si="34"/>
        <v>0</v>
      </c>
    </row>
    <row r="1069" spans="1:14" s="407" customFormat="1" ht="12.75" x14ac:dyDescent="0.2">
      <c r="A1069" s="152"/>
      <c r="B1069" s="73"/>
      <c r="C1069" s="51" t="s">
        <v>970</v>
      </c>
      <c r="D1069" s="89" t="s">
        <v>808</v>
      </c>
      <c r="E1069" s="89"/>
      <c r="F1069" s="89"/>
      <c r="G1069" s="89"/>
      <c r="H1069" s="89"/>
      <c r="I1069" s="89"/>
      <c r="J1069" s="212"/>
      <c r="K1069" s="212"/>
      <c r="L1069" s="212"/>
      <c r="M1069" s="212"/>
      <c r="N1069" s="212">
        <f t="shared" si="34"/>
        <v>0</v>
      </c>
    </row>
    <row r="1070" spans="1:14" s="407" customFormat="1" ht="12.75" x14ac:dyDescent="0.2">
      <c r="A1070" s="152"/>
      <c r="B1070" s="73"/>
      <c r="C1070" s="51" t="s">
        <v>122</v>
      </c>
      <c r="D1070" s="89" t="s">
        <v>808</v>
      </c>
      <c r="E1070" s="89"/>
      <c r="F1070" s="89"/>
      <c r="G1070" s="89"/>
      <c r="H1070" s="89"/>
      <c r="I1070" s="89"/>
      <c r="J1070" s="212"/>
      <c r="K1070" s="212"/>
      <c r="L1070" s="212"/>
      <c r="M1070" s="212"/>
      <c r="N1070" s="212">
        <f t="shared" si="34"/>
        <v>0</v>
      </c>
    </row>
    <row r="1071" spans="1:14" s="407" customFormat="1" ht="12.75" x14ac:dyDescent="0.2">
      <c r="A1071" s="152"/>
      <c r="B1071" s="73"/>
      <c r="C1071" s="51" t="s">
        <v>135</v>
      </c>
      <c r="D1071" s="89" t="s">
        <v>808</v>
      </c>
      <c r="E1071" s="89"/>
      <c r="F1071" s="89"/>
      <c r="G1071" s="89"/>
      <c r="H1071" s="89"/>
      <c r="I1071" s="89"/>
      <c r="J1071" s="212"/>
      <c r="K1071" s="212"/>
      <c r="L1071" s="212"/>
      <c r="M1071" s="212"/>
      <c r="N1071" s="212">
        <f t="shared" si="34"/>
        <v>0</v>
      </c>
    </row>
    <row r="1072" spans="1:14" s="407" customFormat="1" ht="12.75" x14ac:dyDescent="0.2">
      <c r="A1072" s="152"/>
      <c r="B1072" s="73"/>
      <c r="C1072" s="51" t="s">
        <v>123</v>
      </c>
      <c r="D1072" s="89" t="s">
        <v>808</v>
      </c>
      <c r="E1072" s="89"/>
      <c r="F1072" s="89"/>
      <c r="G1072" s="89"/>
      <c r="H1072" s="89"/>
      <c r="I1072" s="89"/>
      <c r="J1072" s="212"/>
      <c r="K1072" s="212"/>
      <c r="L1072" s="212"/>
      <c r="M1072" s="212"/>
      <c r="N1072" s="212">
        <f t="shared" si="34"/>
        <v>0</v>
      </c>
    </row>
    <row r="1073" spans="1:14" s="407" customFormat="1" ht="12.75" x14ac:dyDescent="0.2">
      <c r="A1073" s="152"/>
      <c r="B1073" s="73"/>
      <c r="C1073" s="51" t="s">
        <v>974</v>
      </c>
      <c r="D1073" s="89" t="s">
        <v>808</v>
      </c>
      <c r="E1073" s="89"/>
      <c r="F1073" s="89"/>
      <c r="G1073" s="89"/>
      <c r="H1073" s="89"/>
      <c r="I1073" s="89"/>
      <c r="J1073" s="212"/>
      <c r="K1073" s="212"/>
      <c r="L1073" s="212"/>
      <c r="M1073" s="212"/>
      <c r="N1073" s="212">
        <f t="shared" si="34"/>
        <v>0</v>
      </c>
    </row>
    <row r="1074" spans="1:14" s="407" customFormat="1" ht="12.75" x14ac:dyDescent="0.2">
      <c r="A1074" s="152"/>
      <c r="B1074" s="73"/>
      <c r="C1074" s="51" t="s">
        <v>975</v>
      </c>
      <c r="D1074" s="89" t="s">
        <v>808</v>
      </c>
      <c r="E1074" s="89"/>
      <c r="F1074" s="89"/>
      <c r="G1074" s="89"/>
      <c r="H1074" s="89"/>
      <c r="I1074" s="89"/>
      <c r="J1074" s="212"/>
      <c r="K1074" s="212"/>
      <c r="L1074" s="212"/>
      <c r="M1074" s="212"/>
      <c r="N1074" s="212">
        <f t="shared" si="34"/>
        <v>0</v>
      </c>
    </row>
    <row r="1075" spans="1:14" s="407" customFormat="1" ht="12.75" x14ac:dyDescent="0.2">
      <c r="A1075" s="152"/>
      <c r="B1075" s="73"/>
      <c r="C1075" s="51" t="s">
        <v>126</v>
      </c>
      <c r="D1075" s="89" t="s">
        <v>808</v>
      </c>
      <c r="E1075" s="89"/>
      <c r="F1075" s="89"/>
      <c r="G1075" s="89"/>
      <c r="H1075" s="89"/>
      <c r="I1075" s="89"/>
      <c r="J1075" s="212"/>
      <c r="K1075" s="212"/>
      <c r="L1075" s="212"/>
      <c r="M1075" s="212"/>
      <c r="N1075" s="212">
        <f t="shared" si="34"/>
        <v>0</v>
      </c>
    </row>
    <row r="1076" spans="1:14" s="407" customFormat="1" ht="12.75" x14ac:dyDescent="0.2">
      <c r="A1076" s="152"/>
      <c r="B1076" s="73"/>
      <c r="C1076" s="51" t="s">
        <v>127</v>
      </c>
      <c r="D1076" s="89" t="s">
        <v>808</v>
      </c>
      <c r="E1076" s="89"/>
      <c r="F1076" s="89"/>
      <c r="G1076" s="89"/>
      <c r="H1076" s="89"/>
      <c r="I1076" s="89"/>
      <c r="J1076" s="212"/>
      <c r="K1076" s="212"/>
      <c r="L1076" s="212"/>
      <c r="M1076" s="212"/>
      <c r="N1076" s="212">
        <f t="shared" si="34"/>
        <v>0</v>
      </c>
    </row>
    <row r="1077" spans="1:14" s="407" customFormat="1" ht="12.75" x14ac:dyDescent="0.2">
      <c r="A1077" s="152"/>
      <c r="B1077" s="73"/>
      <c r="C1077" s="51" t="s">
        <v>130</v>
      </c>
      <c r="D1077" s="89" t="s">
        <v>808</v>
      </c>
      <c r="E1077" s="89"/>
      <c r="F1077" s="89"/>
      <c r="G1077" s="89"/>
      <c r="H1077" s="89"/>
      <c r="I1077" s="89"/>
      <c r="J1077" s="212"/>
      <c r="K1077" s="212"/>
      <c r="L1077" s="212"/>
      <c r="M1077" s="212"/>
      <c r="N1077" s="212">
        <f t="shared" si="34"/>
        <v>0</v>
      </c>
    </row>
    <row r="1078" spans="1:14" s="407" customFormat="1" ht="12.75" x14ac:dyDescent="0.2">
      <c r="A1078" s="152"/>
      <c r="B1078" s="73"/>
      <c r="C1078" s="51" t="s">
        <v>125</v>
      </c>
      <c r="D1078" s="89" t="s">
        <v>808</v>
      </c>
      <c r="E1078" s="89"/>
      <c r="F1078" s="89"/>
      <c r="G1078" s="89"/>
      <c r="H1078" s="89"/>
      <c r="I1078" s="89"/>
      <c r="J1078" s="212"/>
      <c r="K1078" s="212"/>
      <c r="L1078" s="212"/>
      <c r="M1078" s="212"/>
      <c r="N1078" s="212">
        <f t="shared" si="34"/>
        <v>0</v>
      </c>
    </row>
    <row r="1079" spans="1:14" s="407" customFormat="1" ht="12.75" x14ac:dyDescent="0.2">
      <c r="A1079" s="152"/>
      <c r="B1079" s="73"/>
      <c r="C1079" s="51" t="s">
        <v>128</v>
      </c>
      <c r="D1079" s="89" t="s">
        <v>808</v>
      </c>
      <c r="E1079" s="89"/>
      <c r="F1079" s="89"/>
      <c r="G1079" s="89"/>
      <c r="H1079" s="89"/>
      <c r="I1079" s="89"/>
      <c r="J1079" s="212"/>
      <c r="K1079" s="212"/>
      <c r="L1079" s="212"/>
      <c r="M1079" s="212"/>
      <c r="N1079" s="212">
        <f t="shared" si="34"/>
        <v>0</v>
      </c>
    </row>
    <row r="1080" spans="1:14" s="407" customFormat="1" ht="12.75" x14ac:dyDescent="0.2">
      <c r="A1080" s="152"/>
      <c r="B1080" s="73"/>
      <c r="C1080" s="51" t="s">
        <v>1016</v>
      </c>
      <c r="D1080" s="89" t="s">
        <v>808</v>
      </c>
      <c r="E1080" s="89"/>
      <c r="F1080" s="89"/>
      <c r="G1080" s="89"/>
      <c r="H1080" s="89"/>
      <c r="I1080" s="89"/>
      <c r="J1080" s="212"/>
      <c r="K1080" s="212"/>
      <c r="L1080" s="212"/>
      <c r="M1080" s="212"/>
      <c r="N1080" s="212">
        <f t="shared" si="34"/>
        <v>0</v>
      </c>
    </row>
    <row r="1081" spans="1:14" s="407" customFormat="1" ht="12.75" x14ac:dyDescent="0.2">
      <c r="A1081" s="152"/>
      <c r="B1081" s="73"/>
      <c r="C1081" s="51" t="s">
        <v>1015</v>
      </c>
      <c r="D1081" s="89" t="s">
        <v>808</v>
      </c>
      <c r="E1081" s="89"/>
      <c r="F1081" s="89"/>
      <c r="G1081" s="89"/>
      <c r="H1081" s="89"/>
      <c r="I1081" s="89"/>
      <c r="J1081" s="212"/>
      <c r="K1081" s="212"/>
      <c r="L1081" s="212"/>
      <c r="M1081" s="212"/>
      <c r="N1081" s="212">
        <f t="shared" si="34"/>
        <v>0</v>
      </c>
    </row>
    <row r="1082" spans="1:14" s="407" customFormat="1" ht="12.75" x14ac:dyDescent="0.2">
      <c r="A1082" s="152"/>
      <c r="B1082" s="73"/>
      <c r="C1082" s="51" t="s">
        <v>930</v>
      </c>
      <c r="D1082" s="89" t="s">
        <v>808</v>
      </c>
      <c r="E1082" s="89"/>
      <c r="F1082" s="89"/>
      <c r="G1082" s="89"/>
      <c r="H1082" s="89"/>
      <c r="I1082" s="89"/>
      <c r="J1082" s="212"/>
      <c r="K1082" s="212"/>
      <c r="L1082" s="212"/>
      <c r="M1082" s="212"/>
      <c r="N1082" s="212">
        <f t="shared" si="34"/>
        <v>0</v>
      </c>
    </row>
    <row r="1083" spans="1:14" s="407" customFormat="1" ht="12.75" x14ac:dyDescent="0.2">
      <c r="A1083" s="152"/>
      <c r="B1083" s="73"/>
      <c r="C1083" s="51" t="s">
        <v>931</v>
      </c>
      <c r="D1083" s="89" t="s">
        <v>808</v>
      </c>
      <c r="E1083" s="89"/>
      <c r="F1083" s="89"/>
      <c r="G1083" s="89"/>
      <c r="H1083" s="89"/>
      <c r="I1083" s="89"/>
      <c r="J1083" s="212"/>
      <c r="K1083" s="212"/>
      <c r="L1083" s="212"/>
      <c r="M1083" s="212"/>
      <c r="N1083" s="212">
        <f t="shared" si="34"/>
        <v>0</v>
      </c>
    </row>
    <row r="1084" spans="1:14" s="407" customFormat="1" ht="12.75" x14ac:dyDescent="0.2">
      <c r="A1084" s="152"/>
      <c r="B1084" s="73"/>
      <c r="C1084" s="51" t="s">
        <v>926</v>
      </c>
      <c r="D1084" s="89" t="s">
        <v>808</v>
      </c>
      <c r="E1084" s="89"/>
      <c r="F1084" s="89"/>
      <c r="G1084" s="89"/>
      <c r="H1084" s="89"/>
      <c r="I1084" s="89"/>
      <c r="J1084" s="212"/>
      <c r="K1084" s="212"/>
      <c r="L1084" s="212"/>
      <c r="M1084" s="212"/>
      <c r="N1084" s="212">
        <f t="shared" si="34"/>
        <v>0</v>
      </c>
    </row>
    <row r="1085" spans="1:14" s="407" customFormat="1" ht="12.75" x14ac:dyDescent="0.2">
      <c r="A1085" s="152"/>
      <c r="B1085" s="73"/>
      <c r="C1085" s="51" t="s">
        <v>110</v>
      </c>
      <c r="D1085" s="89" t="s">
        <v>808</v>
      </c>
      <c r="E1085" s="89"/>
      <c r="F1085" s="89"/>
      <c r="G1085" s="89"/>
      <c r="H1085" s="89"/>
      <c r="I1085" s="89"/>
      <c r="J1085" s="212"/>
      <c r="K1085" s="212"/>
      <c r="L1085" s="212"/>
      <c r="M1085" s="212"/>
      <c r="N1085" s="212">
        <f t="shared" si="34"/>
        <v>0</v>
      </c>
    </row>
    <row r="1086" spans="1:14" s="407" customFormat="1" ht="12.75" x14ac:dyDescent="0.2">
      <c r="A1086" s="152"/>
      <c r="B1086" s="73"/>
      <c r="C1086" s="51" t="s">
        <v>133</v>
      </c>
      <c r="D1086" s="89" t="s">
        <v>808</v>
      </c>
      <c r="E1086" s="89"/>
      <c r="F1086" s="89"/>
      <c r="G1086" s="89"/>
      <c r="H1086" s="89"/>
      <c r="I1086" s="89"/>
      <c r="J1086" s="212"/>
      <c r="K1086" s="212"/>
      <c r="L1086" s="212"/>
      <c r="M1086" s="212"/>
      <c r="N1086" s="212">
        <f t="shared" si="34"/>
        <v>0</v>
      </c>
    </row>
    <row r="1087" spans="1:14" s="407" customFormat="1" ht="12.75" x14ac:dyDescent="0.2">
      <c r="A1087" s="152"/>
      <c r="B1087" s="73"/>
      <c r="C1087" s="51" t="s">
        <v>134</v>
      </c>
      <c r="D1087" s="89" t="s">
        <v>808</v>
      </c>
      <c r="E1087" s="89"/>
      <c r="F1087" s="89"/>
      <c r="G1087" s="89"/>
      <c r="H1087" s="89"/>
      <c r="I1087" s="89"/>
      <c r="J1087" s="212"/>
      <c r="K1087" s="212"/>
      <c r="L1087" s="212"/>
      <c r="M1087" s="212"/>
      <c r="N1087" s="212">
        <f t="shared" si="34"/>
        <v>0</v>
      </c>
    </row>
    <row r="1088" spans="1:14" s="407" customFormat="1" ht="12.75" x14ac:dyDescent="0.2">
      <c r="A1088" s="152"/>
      <c r="B1088" s="73"/>
      <c r="C1088" s="51" t="s">
        <v>138</v>
      </c>
      <c r="D1088" s="89" t="s">
        <v>808</v>
      </c>
      <c r="E1088" s="89"/>
      <c r="F1088" s="89"/>
      <c r="G1088" s="89"/>
      <c r="H1088" s="89"/>
      <c r="I1088" s="89"/>
      <c r="J1088" s="212"/>
      <c r="K1088" s="212"/>
      <c r="L1088" s="212"/>
      <c r="M1088" s="212"/>
      <c r="N1088" s="212">
        <f t="shared" si="34"/>
        <v>0</v>
      </c>
    </row>
    <row r="1089" spans="1:14" s="407" customFormat="1" ht="12.75" x14ac:dyDescent="0.2">
      <c r="A1089" s="152"/>
      <c r="B1089" s="73"/>
      <c r="C1089" s="51" t="s">
        <v>106</v>
      </c>
      <c r="D1089" s="89" t="s">
        <v>808</v>
      </c>
      <c r="E1089" s="89"/>
      <c r="F1089" s="89"/>
      <c r="G1089" s="89"/>
      <c r="H1089" s="89"/>
      <c r="I1089" s="89"/>
      <c r="J1089" s="212"/>
      <c r="K1089" s="212"/>
      <c r="L1089" s="212"/>
      <c r="M1089" s="212"/>
      <c r="N1089" s="212">
        <f t="shared" si="34"/>
        <v>0</v>
      </c>
    </row>
    <row r="1090" spans="1:14" s="407" customFormat="1" ht="12.75" x14ac:dyDescent="0.2">
      <c r="A1090" s="152"/>
      <c r="B1090" s="73"/>
      <c r="C1090" s="51" t="s">
        <v>1024</v>
      </c>
      <c r="D1090" s="89" t="s">
        <v>808</v>
      </c>
      <c r="E1090" s="89"/>
      <c r="F1090" s="89"/>
      <c r="G1090" s="89"/>
      <c r="H1090" s="89"/>
      <c r="I1090" s="89"/>
      <c r="J1090" s="212"/>
      <c r="K1090" s="212"/>
      <c r="L1090" s="212"/>
      <c r="M1090" s="212"/>
      <c r="N1090" s="212">
        <f t="shared" si="34"/>
        <v>0</v>
      </c>
    </row>
    <row r="1091" spans="1:14" s="407" customFormat="1" ht="12.75" x14ac:dyDescent="0.2">
      <c r="A1091" s="152"/>
      <c r="B1091" s="73"/>
      <c r="C1091" s="51" t="s">
        <v>1025</v>
      </c>
      <c r="D1091" s="89" t="s">
        <v>808</v>
      </c>
      <c r="E1091" s="89"/>
      <c r="F1091" s="89"/>
      <c r="G1091" s="89"/>
      <c r="H1091" s="89"/>
      <c r="I1091" s="89"/>
      <c r="J1091" s="212"/>
      <c r="K1091" s="212"/>
      <c r="L1091" s="212"/>
      <c r="M1091" s="212"/>
      <c r="N1091" s="212">
        <f t="shared" si="34"/>
        <v>0</v>
      </c>
    </row>
    <row r="1092" spans="1:14" s="407" customFormat="1" ht="12.75" x14ac:dyDescent="0.2">
      <c r="A1092" s="152"/>
      <c r="B1092" s="73"/>
      <c r="C1092" s="51" t="s">
        <v>960</v>
      </c>
      <c r="D1092" s="89" t="s">
        <v>808</v>
      </c>
      <c r="E1092" s="89"/>
      <c r="F1092" s="89"/>
      <c r="G1092" s="89"/>
      <c r="H1092" s="89"/>
      <c r="I1092" s="89"/>
      <c r="J1092" s="212"/>
      <c r="K1092" s="212"/>
      <c r="L1092" s="212"/>
      <c r="M1092" s="212"/>
      <c r="N1092" s="212">
        <f t="shared" si="34"/>
        <v>0</v>
      </c>
    </row>
    <row r="1093" spans="1:14" s="407" customFormat="1" ht="12.75" x14ac:dyDescent="0.2">
      <c r="A1093" s="152"/>
      <c r="B1093" s="73"/>
      <c r="C1093" s="51" t="s">
        <v>961</v>
      </c>
      <c r="D1093" s="89" t="s">
        <v>808</v>
      </c>
      <c r="E1093" s="89"/>
      <c r="F1093" s="89"/>
      <c r="G1093" s="89"/>
      <c r="H1093" s="89"/>
      <c r="I1093" s="89"/>
      <c r="J1093" s="212"/>
      <c r="K1093" s="212"/>
      <c r="L1093" s="212"/>
      <c r="M1093" s="212"/>
      <c r="N1093" s="212">
        <f t="shared" si="34"/>
        <v>0</v>
      </c>
    </row>
    <row r="1094" spans="1:14" s="407" customFormat="1" ht="12.75" x14ac:dyDescent="0.2">
      <c r="A1094" s="152"/>
      <c r="B1094" s="73"/>
      <c r="C1094" s="51" t="s">
        <v>948</v>
      </c>
      <c r="D1094" s="89" t="s">
        <v>808</v>
      </c>
      <c r="E1094" s="89"/>
      <c r="F1094" s="89"/>
      <c r="G1094" s="89"/>
      <c r="H1094" s="89"/>
      <c r="I1094" s="89"/>
      <c r="J1094" s="212"/>
      <c r="K1094" s="212"/>
      <c r="L1094" s="212"/>
      <c r="M1094" s="212"/>
      <c r="N1094" s="212">
        <f t="shared" si="34"/>
        <v>0</v>
      </c>
    </row>
    <row r="1095" spans="1:14" s="407" customFormat="1" ht="12.75" x14ac:dyDescent="0.2">
      <c r="A1095" s="152"/>
      <c r="B1095" s="73"/>
      <c r="C1095" s="51" t="s">
        <v>949</v>
      </c>
      <c r="D1095" s="89" t="s">
        <v>808</v>
      </c>
      <c r="E1095" s="89"/>
      <c r="F1095" s="89"/>
      <c r="G1095" s="89"/>
      <c r="H1095" s="89"/>
      <c r="I1095" s="89"/>
      <c r="J1095" s="212"/>
      <c r="K1095" s="212"/>
      <c r="L1095" s="212"/>
      <c r="M1095" s="212"/>
      <c r="N1095" s="212">
        <f t="shared" si="34"/>
        <v>0</v>
      </c>
    </row>
    <row r="1096" spans="1:14" s="407" customFormat="1" ht="12.75" x14ac:dyDescent="0.2">
      <c r="A1096" s="152"/>
      <c r="B1096" s="73"/>
      <c r="C1096" s="51" t="s">
        <v>132</v>
      </c>
      <c r="D1096" s="89" t="s">
        <v>808</v>
      </c>
      <c r="E1096" s="89"/>
      <c r="F1096" s="89"/>
      <c r="G1096" s="89"/>
      <c r="H1096" s="89"/>
      <c r="I1096" s="89"/>
      <c r="J1096" s="212"/>
      <c r="K1096" s="212"/>
      <c r="L1096" s="212"/>
      <c r="M1096" s="212"/>
      <c r="N1096" s="212">
        <f t="shared" si="34"/>
        <v>0</v>
      </c>
    </row>
    <row r="1097" spans="1:14" s="407" customFormat="1" ht="12.75" x14ac:dyDescent="0.2">
      <c r="A1097" s="152"/>
      <c r="B1097" s="73"/>
      <c r="C1097" s="51" t="s">
        <v>121</v>
      </c>
      <c r="D1097" s="89" t="s">
        <v>808</v>
      </c>
      <c r="E1097" s="89"/>
      <c r="F1097" s="89"/>
      <c r="G1097" s="89"/>
      <c r="H1097" s="89"/>
      <c r="I1097" s="89"/>
      <c r="J1097" s="212"/>
      <c r="K1097" s="212"/>
      <c r="L1097" s="212"/>
      <c r="M1097" s="212"/>
      <c r="N1097" s="212">
        <f t="shared" ref="N1097:N1160" si="35">SUMIFS(N$26:N$154,$C$26:$C$154,$C1097,$D$26:$D$154,$D1097)</f>
        <v>0</v>
      </c>
    </row>
    <row r="1098" spans="1:14" s="407" customFormat="1" ht="12.75" x14ac:dyDescent="0.2">
      <c r="A1098" s="152"/>
      <c r="B1098" s="73"/>
      <c r="C1098" s="51" t="s">
        <v>131</v>
      </c>
      <c r="D1098" s="89" t="s">
        <v>808</v>
      </c>
      <c r="E1098" s="89"/>
      <c r="F1098" s="89"/>
      <c r="G1098" s="89"/>
      <c r="H1098" s="89"/>
      <c r="I1098" s="89"/>
      <c r="J1098" s="212"/>
      <c r="K1098" s="212"/>
      <c r="L1098" s="212"/>
      <c r="M1098" s="212"/>
      <c r="N1098" s="212">
        <f t="shared" si="35"/>
        <v>0</v>
      </c>
    </row>
    <row r="1099" spans="1:14" s="407" customFormat="1" ht="12.75" x14ac:dyDescent="0.2">
      <c r="A1099" s="152"/>
      <c r="B1099" s="73"/>
      <c r="C1099" s="51" t="s">
        <v>967</v>
      </c>
      <c r="D1099" s="89" t="s">
        <v>808</v>
      </c>
      <c r="E1099" s="89"/>
      <c r="F1099" s="89"/>
      <c r="G1099" s="89"/>
      <c r="H1099" s="89"/>
      <c r="I1099" s="89"/>
      <c r="J1099" s="212"/>
      <c r="K1099" s="212"/>
      <c r="L1099" s="212"/>
      <c r="M1099" s="212"/>
      <c r="N1099" s="212">
        <f t="shared" si="35"/>
        <v>0</v>
      </c>
    </row>
    <row r="1100" spans="1:14" s="407" customFormat="1" ht="12.75" x14ac:dyDescent="0.2">
      <c r="A1100" s="152"/>
      <c r="B1100" s="73"/>
      <c r="C1100" s="51" t="s">
        <v>118</v>
      </c>
      <c r="D1100" s="89" t="s">
        <v>808</v>
      </c>
      <c r="E1100" s="89"/>
      <c r="F1100" s="89"/>
      <c r="G1100" s="89"/>
      <c r="H1100" s="89"/>
      <c r="I1100" s="89"/>
      <c r="J1100" s="212"/>
      <c r="K1100" s="212"/>
      <c r="L1100" s="212"/>
      <c r="M1100" s="212"/>
      <c r="N1100" s="212">
        <f t="shared" si="35"/>
        <v>0</v>
      </c>
    </row>
    <row r="1101" spans="1:14" s="407" customFormat="1" ht="12.75" x14ac:dyDescent="0.2">
      <c r="A1101" s="152"/>
      <c r="B1101" s="73"/>
      <c r="C1101" s="51" t="s">
        <v>971</v>
      </c>
      <c r="D1101" s="89" t="s">
        <v>808</v>
      </c>
      <c r="E1101" s="89"/>
      <c r="F1101" s="89"/>
      <c r="G1101" s="89"/>
      <c r="H1101" s="89"/>
      <c r="I1101" s="89"/>
      <c r="J1101" s="212"/>
      <c r="K1101" s="212"/>
      <c r="L1101" s="212"/>
      <c r="M1101" s="212"/>
      <c r="N1101" s="212">
        <f t="shared" si="35"/>
        <v>0</v>
      </c>
    </row>
    <row r="1102" spans="1:14" s="407" customFormat="1" ht="12.75" x14ac:dyDescent="0.2">
      <c r="A1102" s="152"/>
      <c r="B1102" s="73"/>
      <c r="C1102" s="51" t="s">
        <v>957</v>
      </c>
      <c r="D1102" s="89" t="s">
        <v>808</v>
      </c>
      <c r="E1102" s="89"/>
      <c r="F1102" s="89"/>
      <c r="G1102" s="89"/>
      <c r="H1102" s="89"/>
      <c r="I1102" s="89"/>
      <c r="J1102" s="212"/>
      <c r="K1102" s="212"/>
      <c r="L1102" s="212"/>
      <c r="M1102" s="212"/>
      <c r="N1102" s="212">
        <f t="shared" si="35"/>
        <v>0</v>
      </c>
    </row>
    <row r="1103" spans="1:14" s="407" customFormat="1" ht="12.75" x14ac:dyDescent="0.2">
      <c r="A1103" s="152"/>
      <c r="B1103" s="73"/>
      <c r="C1103" s="51" t="s">
        <v>97</v>
      </c>
      <c r="D1103" s="89" t="s">
        <v>808</v>
      </c>
      <c r="E1103" s="89"/>
      <c r="F1103" s="89"/>
      <c r="G1103" s="89"/>
      <c r="H1103" s="89"/>
      <c r="I1103" s="89"/>
      <c r="J1103" s="212"/>
      <c r="K1103" s="212"/>
      <c r="L1103" s="212"/>
      <c r="M1103" s="212"/>
      <c r="N1103" s="212">
        <f t="shared" si="35"/>
        <v>0</v>
      </c>
    </row>
    <row r="1104" spans="1:14" s="407" customFormat="1" ht="12.75" x14ac:dyDescent="0.2">
      <c r="A1104" s="152"/>
      <c r="B1104" s="73"/>
      <c r="C1104" s="51" t="s">
        <v>49</v>
      </c>
      <c r="D1104" s="89" t="s">
        <v>808</v>
      </c>
      <c r="E1104" s="89"/>
      <c r="F1104" s="89"/>
      <c r="G1104" s="89"/>
      <c r="H1104" s="89"/>
      <c r="I1104" s="89"/>
      <c r="J1104" s="212"/>
      <c r="K1104" s="212"/>
      <c r="L1104" s="212"/>
      <c r="M1104" s="212"/>
      <c r="N1104" s="212">
        <f t="shared" si="35"/>
        <v>0</v>
      </c>
    </row>
    <row r="1105" spans="1:14" s="407" customFormat="1" ht="12.75" x14ac:dyDescent="0.2">
      <c r="A1105" s="152"/>
      <c r="B1105" s="73"/>
      <c r="C1105" s="51" t="s">
        <v>1017</v>
      </c>
      <c r="D1105" s="89" t="s">
        <v>808</v>
      </c>
      <c r="E1105" s="89"/>
      <c r="F1105" s="89"/>
      <c r="G1105" s="89"/>
      <c r="H1105" s="89"/>
      <c r="I1105" s="89"/>
      <c r="J1105" s="212"/>
      <c r="K1105" s="212"/>
      <c r="L1105" s="212"/>
      <c r="M1105" s="212"/>
      <c r="N1105" s="212">
        <f t="shared" si="35"/>
        <v>0</v>
      </c>
    </row>
    <row r="1106" spans="1:14" s="407" customFormat="1" ht="12.75" x14ac:dyDescent="0.2">
      <c r="A1106" s="152"/>
      <c r="B1106" s="73"/>
      <c r="C1106" s="51" t="s">
        <v>1018</v>
      </c>
      <c r="D1106" s="89" t="s">
        <v>808</v>
      </c>
      <c r="E1106" s="89"/>
      <c r="F1106" s="89"/>
      <c r="G1106" s="89"/>
      <c r="H1106" s="89"/>
      <c r="I1106" s="89"/>
      <c r="J1106" s="212"/>
      <c r="K1106" s="212"/>
      <c r="L1106" s="212"/>
      <c r="M1106" s="212"/>
      <c r="N1106" s="212">
        <f t="shared" si="35"/>
        <v>0</v>
      </c>
    </row>
    <row r="1107" spans="1:14" s="407" customFormat="1" ht="12.75" x14ac:dyDescent="0.2">
      <c r="A1107" s="152"/>
      <c r="B1107" s="73"/>
      <c r="C1107" s="51" t="s">
        <v>928</v>
      </c>
      <c r="D1107" s="89" t="s">
        <v>808</v>
      </c>
      <c r="E1107" s="89"/>
      <c r="F1107" s="89"/>
      <c r="G1107" s="89"/>
      <c r="H1107" s="89"/>
      <c r="I1107" s="89"/>
      <c r="J1107" s="212"/>
      <c r="K1107" s="212"/>
      <c r="L1107" s="212"/>
      <c r="M1107" s="212"/>
      <c r="N1107" s="212">
        <f t="shared" si="35"/>
        <v>0</v>
      </c>
    </row>
    <row r="1108" spans="1:14" s="407" customFormat="1" ht="12.75" x14ac:dyDescent="0.2">
      <c r="A1108" s="152"/>
      <c r="B1108" s="73"/>
      <c r="C1108" s="51" t="s">
        <v>946</v>
      </c>
      <c r="D1108" s="89" t="s">
        <v>808</v>
      </c>
      <c r="E1108" s="89"/>
      <c r="F1108" s="89"/>
      <c r="G1108" s="89"/>
      <c r="H1108" s="89"/>
      <c r="I1108" s="89"/>
      <c r="J1108" s="212"/>
      <c r="K1108" s="212"/>
      <c r="L1108" s="212"/>
      <c r="M1108" s="212"/>
      <c r="N1108" s="212">
        <f t="shared" si="35"/>
        <v>0</v>
      </c>
    </row>
    <row r="1109" spans="1:14" s="407" customFormat="1" ht="12.75" x14ac:dyDescent="0.2">
      <c r="A1109" s="152"/>
      <c r="B1109" s="73"/>
      <c r="C1109" s="51" t="s">
        <v>947</v>
      </c>
      <c r="D1109" s="89" t="s">
        <v>808</v>
      </c>
      <c r="E1109" s="89"/>
      <c r="F1109" s="89"/>
      <c r="G1109" s="89"/>
      <c r="H1109" s="89"/>
      <c r="I1109" s="89"/>
      <c r="J1109" s="212"/>
      <c r="K1109" s="212"/>
      <c r="L1109" s="212"/>
      <c r="M1109" s="212"/>
      <c r="N1109" s="212">
        <f t="shared" si="35"/>
        <v>0</v>
      </c>
    </row>
    <row r="1110" spans="1:14" s="407" customFormat="1" ht="12.75" x14ac:dyDescent="0.2">
      <c r="A1110" s="152"/>
      <c r="B1110" s="73"/>
      <c r="C1110" s="51" t="s">
        <v>1020</v>
      </c>
      <c r="D1110" s="89" t="s">
        <v>808</v>
      </c>
      <c r="E1110" s="89"/>
      <c r="F1110" s="89"/>
      <c r="G1110" s="89"/>
      <c r="H1110" s="89"/>
      <c r="I1110" s="89"/>
      <c r="J1110" s="212"/>
      <c r="K1110" s="212"/>
      <c r="L1110" s="212"/>
      <c r="M1110" s="212"/>
      <c r="N1110" s="212">
        <f t="shared" si="35"/>
        <v>0</v>
      </c>
    </row>
    <row r="1111" spans="1:14" s="407" customFormat="1" ht="12.75" x14ac:dyDescent="0.2">
      <c r="A1111" s="152"/>
      <c r="B1111" s="73"/>
      <c r="C1111" s="51" t="s">
        <v>1021</v>
      </c>
      <c r="D1111" s="89" t="s">
        <v>808</v>
      </c>
      <c r="E1111" s="89"/>
      <c r="F1111" s="89"/>
      <c r="G1111" s="89"/>
      <c r="H1111" s="89"/>
      <c r="I1111" s="89"/>
      <c r="J1111" s="212"/>
      <c r="K1111" s="212"/>
      <c r="L1111" s="212"/>
      <c r="M1111" s="212"/>
      <c r="N1111" s="212">
        <f t="shared" si="35"/>
        <v>0</v>
      </c>
    </row>
    <row r="1112" spans="1:14" s="407" customFormat="1" ht="12.75" x14ac:dyDescent="0.2">
      <c r="A1112" s="152"/>
      <c r="B1112" s="73"/>
      <c r="C1112" s="51" t="s">
        <v>489</v>
      </c>
      <c r="D1112" s="89" t="s">
        <v>808</v>
      </c>
      <c r="E1112" s="89"/>
      <c r="F1112" s="89"/>
      <c r="G1112" s="89"/>
      <c r="H1112" s="89"/>
      <c r="I1112" s="89"/>
      <c r="J1112" s="212"/>
      <c r="K1112" s="212"/>
      <c r="L1112" s="212"/>
      <c r="M1112" s="212"/>
      <c r="N1112" s="212">
        <f t="shared" si="35"/>
        <v>0</v>
      </c>
    </row>
    <row r="1113" spans="1:14" s="407" customFormat="1" ht="12.75" x14ac:dyDescent="0.2">
      <c r="A1113" s="152"/>
      <c r="B1113" s="73"/>
      <c r="C1113" s="51" t="s">
        <v>968</v>
      </c>
      <c r="D1113" s="89" t="s">
        <v>808</v>
      </c>
      <c r="E1113" s="89"/>
      <c r="F1113" s="89"/>
      <c r="G1113" s="89"/>
      <c r="H1113" s="89"/>
      <c r="I1113" s="89"/>
      <c r="J1113" s="212"/>
      <c r="K1113" s="212"/>
      <c r="L1113" s="212"/>
      <c r="M1113" s="212"/>
      <c r="N1113" s="212">
        <f t="shared" si="35"/>
        <v>0</v>
      </c>
    </row>
    <row r="1114" spans="1:14" s="407" customFormat="1" ht="12.75" x14ac:dyDescent="0.2">
      <c r="A1114" s="152"/>
      <c r="B1114" s="73"/>
      <c r="C1114" s="51" t="s">
        <v>98</v>
      </c>
      <c r="D1114" s="89" t="s">
        <v>808</v>
      </c>
      <c r="E1114" s="89"/>
      <c r="F1114" s="89"/>
      <c r="G1114" s="89"/>
      <c r="H1114" s="89"/>
      <c r="I1114" s="89"/>
      <c r="J1114" s="212"/>
      <c r="K1114" s="212"/>
      <c r="L1114" s="212"/>
      <c r="M1114" s="212"/>
      <c r="N1114" s="212">
        <f t="shared" si="35"/>
        <v>0</v>
      </c>
    </row>
    <row r="1115" spans="1:14" s="407" customFormat="1" ht="12.75" x14ac:dyDescent="0.2">
      <c r="A1115" s="152"/>
      <c r="B1115" s="73"/>
      <c r="C1115" s="51" t="s">
        <v>1048</v>
      </c>
      <c r="D1115" s="89" t="s">
        <v>808</v>
      </c>
      <c r="E1115" s="89"/>
      <c r="F1115" s="89"/>
      <c r="G1115" s="89"/>
      <c r="H1115" s="89"/>
      <c r="I1115" s="89"/>
      <c r="J1115" s="212"/>
      <c r="K1115" s="212"/>
      <c r="L1115" s="212"/>
      <c r="M1115" s="212"/>
      <c r="N1115" s="212">
        <f t="shared" si="35"/>
        <v>0</v>
      </c>
    </row>
    <row r="1116" spans="1:14" s="407" customFormat="1" ht="12.75" x14ac:dyDescent="0.2">
      <c r="A1116" s="152"/>
      <c r="B1116" s="73"/>
      <c r="C1116" s="51" t="s">
        <v>1030</v>
      </c>
      <c r="D1116" s="89" t="s">
        <v>808</v>
      </c>
      <c r="E1116" s="89"/>
      <c r="F1116" s="89"/>
      <c r="G1116" s="89"/>
      <c r="H1116" s="89"/>
      <c r="I1116" s="89"/>
      <c r="J1116" s="212"/>
      <c r="K1116" s="212"/>
      <c r="L1116" s="212"/>
      <c r="M1116" s="212"/>
      <c r="N1116" s="212">
        <f t="shared" si="35"/>
        <v>0</v>
      </c>
    </row>
    <row r="1117" spans="1:14" s="407" customFormat="1" ht="12.75" x14ac:dyDescent="0.2">
      <c r="A1117" s="152"/>
      <c r="B1117" s="73"/>
      <c r="C1117" s="51" t="s">
        <v>977</v>
      </c>
      <c r="D1117" s="89" t="s">
        <v>808</v>
      </c>
      <c r="E1117" s="89"/>
      <c r="F1117" s="89"/>
      <c r="G1117" s="89"/>
      <c r="H1117" s="89"/>
      <c r="I1117" s="89"/>
      <c r="J1117" s="212"/>
      <c r="K1117" s="212"/>
      <c r="L1117" s="212"/>
      <c r="M1117" s="212"/>
      <c r="N1117" s="212">
        <f t="shared" si="35"/>
        <v>0</v>
      </c>
    </row>
    <row r="1118" spans="1:14" s="407" customFormat="1" ht="12.75" x14ac:dyDescent="0.2">
      <c r="A1118" s="152"/>
      <c r="B1118" s="73"/>
      <c r="C1118" s="51" t="s">
        <v>99</v>
      </c>
      <c r="D1118" s="89" t="s">
        <v>808</v>
      </c>
      <c r="E1118" s="89"/>
      <c r="F1118" s="89"/>
      <c r="G1118" s="89"/>
      <c r="H1118" s="89"/>
      <c r="I1118" s="89"/>
      <c r="J1118" s="212"/>
      <c r="K1118" s="212"/>
      <c r="L1118" s="212"/>
      <c r="M1118" s="212"/>
      <c r="N1118" s="212">
        <f t="shared" si="35"/>
        <v>0</v>
      </c>
    </row>
    <row r="1119" spans="1:14" s="407" customFormat="1" ht="12.75" x14ac:dyDescent="0.2">
      <c r="A1119" s="152"/>
      <c r="B1119" s="73"/>
      <c r="C1119" s="51" t="s">
        <v>1047</v>
      </c>
      <c r="D1119" s="89" t="s">
        <v>808</v>
      </c>
      <c r="E1119" s="89"/>
      <c r="F1119" s="89"/>
      <c r="G1119" s="89"/>
      <c r="H1119" s="89"/>
      <c r="I1119" s="89"/>
      <c r="J1119" s="212"/>
      <c r="K1119" s="212"/>
      <c r="L1119" s="212"/>
      <c r="M1119" s="212"/>
      <c r="N1119" s="212">
        <f t="shared" si="35"/>
        <v>0</v>
      </c>
    </row>
    <row r="1120" spans="1:14" s="407" customFormat="1" ht="12.75" x14ac:dyDescent="0.2">
      <c r="A1120" s="152"/>
      <c r="B1120" s="73"/>
      <c r="C1120" s="51" t="s">
        <v>1041</v>
      </c>
      <c r="D1120" s="89" t="s">
        <v>808</v>
      </c>
      <c r="E1120" s="89"/>
      <c r="F1120" s="89"/>
      <c r="G1120" s="89"/>
      <c r="H1120" s="89"/>
      <c r="I1120" s="89"/>
      <c r="J1120" s="212"/>
      <c r="K1120" s="212"/>
      <c r="L1120" s="212"/>
      <c r="M1120" s="212"/>
      <c r="N1120" s="212">
        <f t="shared" si="35"/>
        <v>0</v>
      </c>
    </row>
    <row r="1121" spans="1:14" s="407" customFormat="1" ht="12.75" x14ac:dyDescent="0.2">
      <c r="A1121" s="152"/>
      <c r="B1121" s="73"/>
      <c r="C1121" s="51" t="s">
        <v>102</v>
      </c>
      <c r="D1121" s="89" t="s">
        <v>808</v>
      </c>
      <c r="E1121" s="89"/>
      <c r="F1121" s="89"/>
      <c r="G1121" s="89"/>
      <c r="H1121" s="89"/>
      <c r="I1121" s="89"/>
      <c r="J1121" s="212"/>
      <c r="K1121" s="212"/>
      <c r="L1121" s="212"/>
      <c r="M1121" s="212"/>
      <c r="N1121" s="212">
        <f t="shared" si="35"/>
        <v>0</v>
      </c>
    </row>
    <row r="1122" spans="1:14" s="407" customFormat="1" ht="12.75" x14ac:dyDescent="0.2">
      <c r="A1122" s="152"/>
      <c r="B1122" s="73"/>
      <c r="C1122" s="51" t="s">
        <v>124</v>
      </c>
      <c r="D1122" s="89" t="s">
        <v>808</v>
      </c>
      <c r="E1122" s="89"/>
      <c r="F1122" s="89"/>
      <c r="G1122" s="89"/>
      <c r="H1122" s="89"/>
      <c r="I1122" s="89"/>
      <c r="J1122" s="212"/>
      <c r="K1122" s="212"/>
      <c r="L1122" s="212"/>
      <c r="M1122" s="212"/>
      <c r="N1122" s="212">
        <f t="shared" si="35"/>
        <v>0</v>
      </c>
    </row>
    <row r="1123" spans="1:14" s="407" customFormat="1" ht="12.75" x14ac:dyDescent="0.2">
      <c r="A1123" s="152"/>
      <c r="B1123" s="73"/>
      <c r="C1123" s="51" t="s">
        <v>103</v>
      </c>
      <c r="D1123" s="89" t="s">
        <v>808</v>
      </c>
      <c r="E1123" s="89"/>
      <c r="F1123" s="89"/>
      <c r="G1123" s="89"/>
      <c r="H1123" s="89"/>
      <c r="I1123" s="89"/>
      <c r="J1123" s="212"/>
      <c r="K1123" s="212"/>
      <c r="L1123" s="212"/>
      <c r="M1123" s="212"/>
      <c r="N1123" s="212">
        <f t="shared" si="35"/>
        <v>0</v>
      </c>
    </row>
    <row r="1124" spans="1:14" s="407" customFormat="1" ht="12.75" x14ac:dyDescent="0.2">
      <c r="A1124" s="152"/>
      <c r="B1124" s="73"/>
      <c r="C1124" s="51" t="s">
        <v>104</v>
      </c>
      <c r="D1124" s="89" t="s">
        <v>808</v>
      </c>
      <c r="E1124" s="89"/>
      <c r="F1124" s="89"/>
      <c r="G1124" s="89"/>
      <c r="H1124" s="89"/>
      <c r="I1124" s="89"/>
      <c r="J1124" s="212"/>
      <c r="K1124" s="212"/>
      <c r="L1124" s="212"/>
      <c r="M1124" s="212"/>
      <c r="N1124" s="212">
        <f t="shared" si="35"/>
        <v>0</v>
      </c>
    </row>
    <row r="1125" spans="1:14" s="407" customFormat="1" ht="12.75" x14ac:dyDescent="0.2">
      <c r="A1125" s="152"/>
      <c r="B1125" s="73"/>
      <c r="C1125" s="51" t="s">
        <v>491</v>
      </c>
      <c r="D1125" s="89" t="s">
        <v>808</v>
      </c>
      <c r="E1125" s="89"/>
      <c r="F1125" s="89"/>
      <c r="G1125" s="89"/>
      <c r="H1125" s="89"/>
      <c r="I1125" s="89"/>
      <c r="J1125" s="212"/>
      <c r="K1125" s="212"/>
      <c r="L1125" s="212"/>
      <c r="M1125" s="212"/>
      <c r="N1125" s="212">
        <f t="shared" si="35"/>
        <v>0</v>
      </c>
    </row>
    <row r="1126" spans="1:14" s="407" customFormat="1" ht="12.75" x14ac:dyDescent="0.2">
      <c r="A1126" s="152"/>
      <c r="B1126" s="73"/>
      <c r="C1126" s="51" t="s">
        <v>105</v>
      </c>
      <c r="D1126" s="89" t="s">
        <v>808</v>
      </c>
      <c r="E1126" s="89"/>
      <c r="F1126" s="89"/>
      <c r="G1126" s="89"/>
      <c r="H1126" s="89"/>
      <c r="I1126" s="89"/>
      <c r="J1126" s="212"/>
      <c r="K1126" s="212"/>
      <c r="L1126" s="212"/>
      <c r="M1126" s="212"/>
      <c r="N1126" s="212">
        <f t="shared" si="35"/>
        <v>0</v>
      </c>
    </row>
    <row r="1127" spans="1:14" s="407" customFormat="1" ht="12.75" x14ac:dyDescent="0.2">
      <c r="A1127" s="152"/>
      <c r="B1127" s="73"/>
      <c r="C1127" s="51" t="s">
        <v>129</v>
      </c>
      <c r="D1127" s="89" t="s">
        <v>808</v>
      </c>
      <c r="E1127" s="89"/>
      <c r="F1127" s="89"/>
      <c r="G1127" s="89"/>
      <c r="H1127" s="89"/>
      <c r="I1127" s="89"/>
      <c r="J1127" s="212"/>
      <c r="K1127" s="212"/>
      <c r="L1127" s="212"/>
      <c r="M1127" s="212"/>
      <c r="N1127" s="212">
        <f t="shared" si="35"/>
        <v>0</v>
      </c>
    </row>
    <row r="1128" spans="1:14" s="407" customFormat="1" ht="12.75" x14ac:dyDescent="0.2">
      <c r="A1128" s="152"/>
      <c r="B1128" s="73"/>
      <c r="C1128" s="73" t="s">
        <v>108</v>
      </c>
      <c r="D1128" s="89" t="s">
        <v>808</v>
      </c>
      <c r="E1128" s="89"/>
      <c r="F1128" s="89"/>
      <c r="G1128" s="89"/>
      <c r="H1128" s="89"/>
      <c r="I1128" s="89"/>
      <c r="J1128" s="212"/>
      <c r="K1128" s="212"/>
      <c r="L1128" s="212"/>
      <c r="M1128" s="212"/>
      <c r="N1128" s="212">
        <f t="shared" si="35"/>
        <v>0</v>
      </c>
    </row>
    <row r="1129" spans="1:14" s="407" customFormat="1" ht="12.75" x14ac:dyDescent="0.2">
      <c r="A1129" s="152"/>
      <c r="B1129" s="73"/>
      <c r="C1129" s="51" t="s">
        <v>119</v>
      </c>
      <c r="D1129" s="89" t="s">
        <v>808</v>
      </c>
      <c r="E1129" s="89"/>
      <c r="F1129" s="89"/>
      <c r="G1129" s="89"/>
      <c r="H1129" s="89"/>
      <c r="I1129" s="89"/>
      <c r="J1129" s="212"/>
      <c r="K1129" s="212"/>
      <c r="L1129" s="212"/>
      <c r="M1129" s="212"/>
      <c r="N1129" s="212">
        <f t="shared" si="35"/>
        <v>0</v>
      </c>
    </row>
    <row r="1130" spans="1:14" s="407" customFormat="1" ht="12.75" x14ac:dyDescent="0.2">
      <c r="A1130" s="152"/>
      <c r="B1130" s="73"/>
      <c r="C1130" s="51" t="s">
        <v>954</v>
      </c>
      <c r="D1130" s="89" t="s">
        <v>808</v>
      </c>
      <c r="E1130" s="89"/>
      <c r="F1130" s="89"/>
      <c r="G1130" s="89"/>
      <c r="H1130" s="89"/>
      <c r="I1130" s="89"/>
      <c r="J1130" s="212"/>
      <c r="K1130" s="212"/>
      <c r="L1130" s="212"/>
      <c r="M1130" s="212"/>
      <c r="N1130" s="212">
        <f t="shared" si="35"/>
        <v>0</v>
      </c>
    </row>
    <row r="1131" spans="1:14" s="407" customFormat="1" ht="12.75" x14ac:dyDescent="0.2">
      <c r="A1131" s="152"/>
      <c r="B1131" s="73"/>
      <c r="C1131" s="51" t="s">
        <v>1031</v>
      </c>
      <c r="D1131" s="89" t="s">
        <v>808</v>
      </c>
      <c r="E1131" s="89"/>
      <c r="F1131" s="89"/>
      <c r="G1131" s="89"/>
      <c r="H1131" s="89"/>
      <c r="I1131" s="89"/>
      <c r="J1131" s="212"/>
      <c r="K1131" s="212"/>
      <c r="L1131" s="212"/>
      <c r="M1131" s="212"/>
      <c r="N1131" s="212">
        <f t="shared" si="35"/>
        <v>0</v>
      </c>
    </row>
    <row r="1132" spans="1:14" s="407" customFormat="1" ht="12.75" x14ac:dyDescent="0.2">
      <c r="A1132" s="152"/>
      <c r="B1132" s="73"/>
      <c r="C1132" s="51" t="s">
        <v>1009</v>
      </c>
      <c r="D1132" s="89" t="s">
        <v>808</v>
      </c>
      <c r="E1132" s="89"/>
      <c r="F1132" s="89"/>
      <c r="G1132" s="89"/>
      <c r="H1132" s="89"/>
      <c r="I1132" s="89"/>
      <c r="J1132" s="212"/>
      <c r="K1132" s="212"/>
      <c r="L1132" s="212"/>
      <c r="M1132" s="212"/>
      <c r="N1132" s="212">
        <f t="shared" si="35"/>
        <v>0</v>
      </c>
    </row>
    <row r="1133" spans="1:14" s="407" customFormat="1" ht="12.75" x14ac:dyDescent="0.2">
      <c r="A1133" s="152"/>
      <c r="B1133" s="73"/>
      <c r="C1133" s="51" t="s">
        <v>107</v>
      </c>
      <c r="D1133" s="89" t="s">
        <v>808</v>
      </c>
      <c r="E1133" s="89"/>
      <c r="F1133" s="89"/>
      <c r="G1133" s="89"/>
      <c r="H1133" s="89"/>
      <c r="I1133" s="89"/>
      <c r="J1133" s="212"/>
      <c r="K1133" s="212"/>
      <c r="L1133" s="212"/>
      <c r="M1133" s="212"/>
      <c r="N1133" s="212">
        <f t="shared" si="35"/>
        <v>0</v>
      </c>
    </row>
    <row r="1134" spans="1:14" s="407" customFormat="1" ht="12.75" x14ac:dyDescent="0.2">
      <c r="A1134" s="152"/>
      <c r="B1134" s="73"/>
      <c r="C1134" s="51" t="s">
        <v>1026</v>
      </c>
      <c r="D1134" s="89" t="s">
        <v>808</v>
      </c>
      <c r="E1134" s="89"/>
      <c r="F1134" s="89"/>
      <c r="G1134" s="89"/>
      <c r="H1134" s="89"/>
      <c r="I1134" s="89"/>
      <c r="J1134" s="212"/>
      <c r="K1134" s="212"/>
      <c r="L1134" s="212"/>
      <c r="M1134" s="212"/>
      <c r="N1134" s="212">
        <f t="shared" si="35"/>
        <v>0</v>
      </c>
    </row>
    <row r="1135" spans="1:14" s="407" customFormat="1" ht="12.75" x14ac:dyDescent="0.2">
      <c r="A1135" s="152"/>
      <c r="B1135" s="73"/>
      <c r="C1135" s="51" t="s">
        <v>1027</v>
      </c>
      <c r="D1135" s="89" t="s">
        <v>808</v>
      </c>
      <c r="E1135" s="89"/>
      <c r="F1135" s="89"/>
      <c r="G1135" s="89"/>
      <c r="H1135" s="89"/>
      <c r="I1135" s="89"/>
      <c r="J1135" s="212"/>
      <c r="K1135" s="212"/>
      <c r="L1135" s="212"/>
      <c r="M1135" s="212"/>
      <c r="N1135" s="212">
        <f t="shared" si="35"/>
        <v>0</v>
      </c>
    </row>
    <row r="1136" spans="1:14" s="407" customFormat="1" ht="12.75" x14ac:dyDescent="0.2">
      <c r="A1136" s="152"/>
      <c r="B1136" s="73"/>
      <c r="C1136" s="51" t="s">
        <v>955</v>
      </c>
      <c r="D1136" s="89" t="s">
        <v>808</v>
      </c>
      <c r="E1136" s="89"/>
      <c r="F1136" s="89"/>
      <c r="G1136" s="89"/>
      <c r="H1136" s="89"/>
      <c r="I1136" s="89"/>
      <c r="J1136" s="212"/>
      <c r="K1136" s="212"/>
      <c r="L1136" s="212"/>
      <c r="M1136" s="212"/>
      <c r="N1136" s="212">
        <f t="shared" si="35"/>
        <v>0</v>
      </c>
    </row>
    <row r="1137" spans="1:14" s="407" customFormat="1" ht="12.75" x14ac:dyDescent="0.2">
      <c r="A1137" s="152"/>
      <c r="B1137" s="73"/>
      <c r="C1137" s="51" t="s">
        <v>958</v>
      </c>
      <c r="D1137" s="89" t="s">
        <v>808</v>
      </c>
      <c r="E1137" s="89"/>
      <c r="F1137" s="89"/>
      <c r="G1137" s="89"/>
      <c r="H1137" s="89"/>
      <c r="I1137" s="89"/>
      <c r="J1137" s="212"/>
      <c r="K1137" s="212"/>
      <c r="L1137" s="212"/>
      <c r="M1137" s="212"/>
      <c r="N1137" s="212">
        <f t="shared" si="35"/>
        <v>0</v>
      </c>
    </row>
    <row r="1138" spans="1:14" s="407" customFormat="1" ht="12.75" x14ac:dyDescent="0.2">
      <c r="A1138" s="152"/>
      <c r="B1138" s="73"/>
      <c r="C1138" s="51" t="s">
        <v>1032</v>
      </c>
      <c r="D1138" s="89" t="s">
        <v>808</v>
      </c>
      <c r="E1138" s="89"/>
      <c r="F1138" s="89"/>
      <c r="G1138" s="89"/>
      <c r="H1138" s="89"/>
      <c r="I1138" s="89"/>
      <c r="J1138" s="212"/>
      <c r="K1138" s="212"/>
      <c r="L1138" s="212"/>
      <c r="M1138" s="212"/>
      <c r="N1138" s="212">
        <f t="shared" si="35"/>
        <v>0</v>
      </c>
    </row>
    <row r="1139" spans="1:14" s="407" customFormat="1" ht="12.75" x14ac:dyDescent="0.2">
      <c r="A1139" s="152"/>
      <c r="B1139" s="73"/>
      <c r="C1139" s="51" t="s">
        <v>109</v>
      </c>
      <c r="D1139" s="89" t="s">
        <v>808</v>
      </c>
      <c r="E1139" s="89"/>
      <c r="F1139" s="89"/>
      <c r="G1139" s="89"/>
      <c r="H1139" s="89"/>
      <c r="I1139" s="89"/>
      <c r="J1139" s="212"/>
      <c r="K1139" s="212"/>
      <c r="L1139" s="212"/>
      <c r="M1139" s="212"/>
      <c r="N1139" s="212">
        <f t="shared" si="35"/>
        <v>0</v>
      </c>
    </row>
    <row r="1140" spans="1:14" s="407" customFormat="1" ht="12.75" x14ac:dyDescent="0.2">
      <c r="A1140" s="152"/>
      <c r="B1140" s="73"/>
      <c r="C1140" s="51" t="s">
        <v>966</v>
      </c>
      <c r="D1140" s="89" t="s">
        <v>808</v>
      </c>
      <c r="E1140" s="89"/>
      <c r="F1140" s="89"/>
      <c r="G1140" s="89"/>
      <c r="H1140" s="89"/>
      <c r="I1140" s="89"/>
      <c r="J1140" s="212"/>
      <c r="K1140" s="212"/>
      <c r="L1140" s="212"/>
      <c r="M1140" s="212"/>
      <c r="N1140" s="212">
        <f t="shared" si="35"/>
        <v>0</v>
      </c>
    </row>
    <row r="1141" spans="1:14" s="407" customFormat="1" ht="12.75" x14ac:dyDescent="0.2">
      <c r="A1141" s="152"/>
      <c r="B1141" s="73"/>
      <c r="C1141" s="51" t="s">
        <v>981</v>
      </c>
      <c r="D1141" s="89" t="s">
        <v>808</v>
      </c>
      <c r="E1141" s="89"/>
      <c r="F1141" s="89"/>
      <c r="G1141" s="89"/>
      <c r="H1141" s="89"/>
      <c r="I1141" s="89"/>
      <c r="J1141" s="212"/>
      <c r="K1141" s="212"/>
      <c r="L1141" s="212"/>
      <c r="M1141" s="212"/>
      <c r="N1141" s="212">
        <f t="shared" si="35"/>
        <v>0</v>
      </c>
    </row>
    <row r="1142" spans="1:14" s="407" customFormat="1" ht="12.75" x14ac:dyDescent="0.2">
      <c r="A1142" s="152"/>
      <c r="B1142" s="73"/>
      <c r="C1142" s="51" t="s">
        <v>963</v>
      </c>
      <c r="D1142" s="89" t="s">
        <v>808</v>
      </c>
      <c r="E1142" s="89"/>
      <c r="F1142" s="89"/>
      <c r="G1142" s="89"/>
      <c r="H1142" s="89"/>
      <c r="I1142" s="89"/>
      <c r="J1142" s="212"/>
      <c r="K1142" s="212"/>
      <c r="L1142" s="212"/>
      <c r="M1142" s="212"/>
      <c r="N1142" s="212">
        <f t="shared" si="35"/>
        <v>0</v>
      </c>
    </row>
    <row r="1143" spans="1:14" s="407" customFormat="1" ht="12.75" x14ac:dyDescent="0.2">
      <c r="A1143" s="152"/>
      <c r="B1143" s="73"/>
      <c r="C1143" s="51" t="s">
        <v>120</v>
      </c>
      <c r="D1143" s="89" t="s">
        <v>808</v>
      </c>
      <c r="E1143" s="89"/>
      <c r="F1143" s="89"/>
      <c r="G1143" s="89"/>
      <c r="H1143" s="89"/>
      <c r="I1143" s="89"/>
      <c r="J1143" s="212"/>
      <c r="K1143" s="212"/>
      <c r="L1143" s="212"/>
      <c r="M1143" s="212"/>
      <c r="N1143" s="212">
        <f t="shared" si="35"/>
        <v>0</v>
      </c>
    </row>
    <row r="1144" spans="1:14" s="407" customFormat="1" ht="12.75" x14ac:dyDescent="0.2">
      <c r="A1144" s="152"/>
      <c r="B1144" s="73"/>
      <c r="C1144" s="51" t="s">
        <v>989</v>
      </c>
      <c r="D1144" s="89" t="s">
        <v>808</v>
      </c>
      <c r="E1144" s="89"/>
      <c r="F1144" s="89"/>
      <c r="G1144" s="89"/>
      <c r="H1144" s="89"/>
      <c r="I1144" s="89"/>
      <c r="J1144" s="212"/>
      <c r="K1144" s="212"/>
      <c r="L1144" s="212"/>
      <c r="M1144" s="212"/>
      <c r="N1144" s="212">
        <f t="shared" si="35"/>
        <v>0</v>
      </c>
    </row>
    <row r="1145" spans="1:14" s="407" customFormat="1" ht="12.75" x14ac:dyDescent="0.2">
      <c r="A1145" s="152"/>
      <c r="B1145" s="73"/>
      <c r="C1145" s="51" t="s">
        <v>986</v>
      </c>
      <c r="D1145" s="89" t="s">
        <v>223</v>
      </c>
      <c r="E1145" s="89"/>
      <c r="F1145" s="89"/>
      <c r="G1145" s="89"/>
      <c r="H1145" s="89"/>
      <c r="I1145" s="89"/>
      <c r="J1145" s="212"/>
      <c r="K1145" s="212"/>
      <c r="L1145" s="212"/>
      <c r="M1145" s="212"/>
      <c r="N1145" s="212">
        <f t="shared" si="35"/>
        <v>0</v>
      </c>
    </row>
    <row r="1146" spans="1:14" s="407" customFormat="1" ht="12.75" x14ac:dyDescent="0.2">
      <c r="A1146" s="152"/>
      <c r="B1146" s="73"/>
      <c r="C1146" s="51" t="s">
        <v>988</v>
      </c>
      <c r="D1146" s="89" t="s">
        <v>223</v>
      </c>
      <c r="E1146" s="89"/>
      <c r="F1146" s="89"/>
      <c r="G1146" s="89"/>
      <c r="H1146" s="89"/>
      <c r="I1146" s="89"/>
      <c r="J1146" s="212"/>
      <c r="K1146" s="212"/>
      <c r="L1146" s="212"/>
      <c r="M1146" s="212"/>
      <c r="N1146" s="212">
        <f t="shared" si="35"/>
        <v>0</v>
      </c>
    </row>
    <row r="1147" spans="1:14" s="407" customFormat="1" ht="12.75" x14ac:dyDescent="0.2">
      <c r="A1147" s="152"/>
      <c r="B1147" s="73"/>
      <c r="C1147" s="51" t="s">
        <v>1058</v>
      </c>
      <c r="D1147" s="89" t="s">
        <v>223</v>
      </c>
      <c r="E1147" s="89"/>
      <c r="F1147" s="89"/>
      <c r="G1147" s="89"/>
      <c r="H1147" s="89"/>
      <c r="I1147" s="89"/>
      <c r="J1147" s="212"/>
      <c r="K1147" s="212"/>
      <c r="L1147" s="212"/>
      <c r="M1147" s="212"/>
      <c r="N1147" s="212">
        <f t="shared" si="35"/>
        <v>0</v>
      </c>
    </row>
    <row r="1148" spans="1:14" s="407" customFormat="1" ht="12.75" x14ac:dyDescent="0.2">
      <c r="A1148" s="152"/>
      <c r="B1148" s="73"/>
      <c r="C1148" s="51" t="s">
        <v>972</v>
      </c>
      <c r="D1148" s="89" t="s">
        <v>223</v>
      </c>
      <c r="E1148" s="89"/>
      <c r="F1148" s="89"/>
      <c r="G1148" s="89"/>
      <c r="H1148" s="89"/>
      <c r="I1148" s="89"/>
      <c r="J1148" s="212"/>
      <c r="K1148" s="212"/>
      <c r="L1148" s="212"/>
      <c r="M1148" s="212"/>
      <c r="N1148" s="212">
        <f t="shared" si="35"/>
        <v>0</v>
      </c>
    </row>
    <row r="1149" spans="1:14" s="407" customFormat="1" ht="12.75" x14ac:dyDescent="0.2">
      <c r="A1149" s="152"/>
      <c r="B1149" s="73"/>
      <c r="C1149" s="51" t="s">
        <v>973</v>
      </c>
      <c r="D1149" s="89" t="s">
        <v>223</v>
      </c>
      <c r="E1149" s="89"/>
      <c r="F1149" s="89"/>
      <c r="G1149" s="89"/>
      <c r="H1149" s="89"/>
      <c r="I1149" s="89"/>
      <c r="J1149" s="212"/>
      <c r="K1149" s="212"/>
      <c r="L1149" s="212"/>
      <c r="M1149" s="212"/>
      <c r="N1149" s="212">
        <f t="shared" si="35"/>
        <v>0</v>
      </c>
    </row>
    <row r="1150" spans="1:14" s="407" customFormat="1" ht="12.75" x14ac:dyDescent="0.2">
      <c r="A1150" s="152"/>
      <c r="B1150" s="73"/>
      <c r="C1150" s="51" t="s">
        <v>980</v>
      </c>
      <c r="D1150" s="89" t="s">
        <v>223</v>
      </c>
      <c r="E1150" s="89"/>
      <c r="F1150" s="89"/>
      <c r="G1150" s="89"/>
      <c r="H1150" s="89"/>
      <c r="I1150" s="89"/>
      <c r="J1150" s="212"/>
      <c r="K1150" s="212"/>
      <c r="L1150" s="212"/>
      <c r="M1150" s="212"/>
      <c r="N1150" s="212">
        <f t="shared" si="35"/>
        <v>0</v>
      </c>
    </row>
    <row r="1151" spans="1:14" s="407" customFormat="1" ht="12.75" x14ac:dyDescent="0.2">
      <c r="A1151" s="152"/>
      <c r="B1151" s="73"/>
      <c r="C1151" s="51" t="s">
        <v>982</v>
      </c>
      <c r="D1151" s="89" t="s">
        <v>223</v>
      </c>
      <c r="E1151" s="89"/>
      <c r="F1151" s="89"/>
      <c r="G1151" s="89"/>
      <c r="H1151" s="89"/>
      <c r="I1151" s="89"/>
      <c r="J1151" s="212"/>
      <c r="K1151" s="212"/>
      <c r="L1151" s="212"/>
      <c r="M1151" s="212"/>
      <c r="N1151" s="212">
        <f t="shared" si="35"/>
        <v>0</v>
      </c>
    </row>
    <row r="1152" spans="1:14" s="407" customFormat="1" ht="12.75" x14ac:dyDescent="0.2">
      <c r="A1152" s="152"/>
      <c r="B1152" s="73"/>
      <c r="C1152" s="51" t="s">
        <v>46</v>
      </c>
      <c r="D1152" s="89" t="s">
        <v>223</v>
      </c>
      <c r="E1152" s="89"/>
      <c r="F1152" s="89"/>
      <c r="G1152" s="89"/>
      <c r="H1152" s="89"/>
      <c r="I1152" s="89"/>
      <c r="J1152" s="212"/>
      <c r="K1152" s="212"/>
      <c r="L1152" s="212"/>
      <c r="M1152" s="212"/>
      <c r="N1152" s="212">
        <f t="shared" si="35"/>
        <v>0</v>
      </c>
    </row>
    <row r="1153" spans="1:14" s="407" customFormat="1" ht="12.75" x14ac:dyDescent="0.2">
      <c r="A1153" s="152"/>
      <c r="B1153" s="73"/>
      <c r="C1153" s="51" t="s">
        <v>1019</v>
      </c>
      <c r="D1153" s="89" t="s">
        <v>223</v>
      </c>
      <c r="E1153" s="89"/>
      <c r="F1153" s="89"/>
      <c r="G1153" s="89"/>
      <c r="H1153" s="89"/>
      <c r="I1153" s="89"/>
      <c r="J1153" s="212"/>
      <c r="K1153" s="212"/>
      <c r="L1153" s="212"/>
      <c r="M1153" s="212"/>
      <c r="N1153" s="212">
        <f t="shared" si="35"/>
        <v>51500</v>
      </c>
    </row>
    <row r="1154" spans="1:14" s="407" customFormat="1" ht="12.75" x14ac:dyDescent="0.2">
      <c r="A1154" s="152"/>
      <c r="B1154" s="73"/>
      <c r="C1154" s="51" t="s">
        <v>1050</v>
      </c>
      <c r="D1154" s="89" t="s">
        <v>223</v>
      </c>
      <c r="E1154" s="89"/>
      <c r="F1154" s="89"/>
      <c r="G1154" s="89"/>
      <c r="H1154" s="89"/>
      <c r="I1154" s="89"/>
      <c r="J1154" s="212"/>
      <c r="K1154" s="212"/>
      <c r="L1154" s="212"/>
      <c r="M1154" s="212"/>
      <c r="N1154" s="212">
        <f t="shared" si="35"/>
        <v>0</v>
      </c>
    </row>
    <row r="1155" spans="1:14" s="407" customFormat="1" ht="12.75" x14ac:dyDescent="0.2">
      <c r="A1155" s="152"/>
      <c r="B1155" s="73"/>
      <c r="C1155" s="51" t="s">
        <v>100</v>
      </c>
      <c r="D1155" s="89" t="s">
        <v>223</v>
      </c>
      <c r="E1155" s="89"/>
      <c r="F1155" s="89"/>
      <c r="G1155" s="89"/>
      <c r="H1155" s="89"/>
      <c r="I1155" s="89"/>
      <c r="J1155" s="212"/>
      <c r="K1155" s="212"/>
      <c r="L1155" s="212"/>
      <c r="M1155" s="212"/>
      <c r="N1155" s="212">
        <f t="shared" si="35"/>
        <v>0</v>
      </c>
    </row>
    <row r="1156" spans="1:14" s="407" customFormat="1" ht="12.75" x14ac:dyDescent="0.2">
      <c r="A1156" s="152"/>
      <c r="B1156" s="73"/>
      <c r="C1156" s="51" t="s">
        <v>101</v>
      </c>
      <c r="D1156" s="89" t="s">
        <v>223</v>
      </c>
      <c r="E1156" s="89"/>
      <c r="F1156" s="89"/>
      <c r="G1156" s="89"/>
      <c r="H1156" s="89"/>
      <c r="I1156" s="89"/>
      <c r="J1156" s="212"/>
      <c r="K1156" s="212"/>
      <c r="L1156" s="212"/>
      <c r="M1156" s="212"/>
      <c r="N1156" s="212">
        <f t="shared" si="35"/>
        <v>0</v>
      </c>
    </row>
    <row r="1157" spans="1:14" s="407" customFormat="1" ht="12.75" x14ac:dyDescent="0.2">
      <c r="A1157" s="152"/>
      <c r="B1157" s="73"/>
      <c r="C1157" s="51" t="s">
        <v>1056</v>
      </c>
      <c r="D1157" s="89" t="s">
        <v>223</v>
      </c>
      <c r="E1157" s="89"/>
      <c r="F1157" s="89"/>
      <c r="G1157" s="89"/>
      <c r="H1157" s="89"/>
      <c r="I1157" s="89"/>
      <c r="J1157" s="212"/>
      <c r="K1157" s="212"/>
      <c r="L1157" s="212"/>
      <c r="M1157" s="212"/>
      <c r="N1157" s="212">
        <f t="shared" si="35"/>
        <v>0</v>
      </c>
    </row>
    <row r="1158" spans="1:14" s="407" customFormat="1" ht="12.75" x14ac:dyDescent="0.2">
      <c r="A1158" s="152"/>
      <c r="B1158" s="73"/>
      <c r="C1158" s="51" t="s">
        <v>1057</v>
      </c>
      <c r="D1158" s="89" t="s">
        <v>223</v>
      </c>
      <c r="E1158" s="89"/>
      <c r="F1158" s="89"/>
      <c r="G1158" s="89"/>
      <c r="H1158" s="89"/>
      <c r="I1158" s="89"/>
      <c r="J1158" s="212"/>
      <c r="K1158" s="212"/>
      <c r="L1158" s="212"/>
      <c r="M1158" s="212"/>
      <c r="N1158" s="212">
        <f t="shared" si="35"/>
        <v>0</v>
      </c>
    </row>
    <row r="1159" spans="1:14" s="407" customFormat="1" ht="12.75" x14ac:dyDescent="0.2">
      <c r="A1159" s="152"/>
      <c r="B1159" s="73"/>
      <c r="C1159" s="51" t="s">
        <v>944</v>
      </c>
      <c r="D1159" s="89" t="s">
        <v>223</v>
      </c>
      <c r="E1159" s="89"/>
      <c r="F1159" s="89"/>
      <c r="G1159" s="89"/>
      <c r="H1159" s="89"/>
      <c r="I1159" s="89"/>
      <c r="J1159" s="212"/>
      <c r="K1159" s="212"/>
      <c r="L1159" s="212"/>
      <c r="M1159" s="212"/>
      <c r="N1159" s="212">
        <f t="shared" si="35"/>
        <v>0</v>
      </c>
    </row>
    <row r="1160" spans="1:14" s="407" customFormat="1" ht="12.75" x14ac:dyDescent="0.2">
      <c r="A1160" s="152"/>
      <c r="B1160" s="73"/>
      <c r="C1160" s="51" t="s">
        <v>945</v>
      </c>
      <c r="D1160" s="89" t="s">
        <v>223</v>
      </c>
      <c r="E1160" s="89"/>
      <c r="F1160" s="89"/>
      <c r="G1160" s="89"/>
      <c r="H1160" s="89"/>
      <c r="I1160" s="89"/>
      <c r="J1160" s="212"/>
      <c r="K1160" s="212"/>
      <c r="L1160" s="212"/>
      <c r="M1160" s="212"/>
      <c r="N1160" s="212">
        <f t="shared" si="35"/>
        <v>0</v>
      </c>
    </row>
    <row r="1161" spans="1:14" s="407" customFormat="1" ht="12.75" x14ac:dyDescent="0.2">
      <c r="A1161" s="152"/>
      <c r="B1161" s="73"/>
      <c r="C1161" s="51" t="s">
        <v>965</v>
      </c>
      <c r="D1161" s="89" t="s">
        <v>223</v>
      </c>
      <c r="E1161" s="89"/>
      <c r="F1161" s="89"/>
      <c r="G1161" s="89"/>
      <c r="H1161" s="89"/>
      <c r="I1161" s="89"/>
      <c r="J1161" s="212"/>
      <c r="K1161" s="212"/>
      <c r="L1161" s="212"/>
      <c r="M1161" s="212"/>
      <c r="N1161" s="212">
        <f t="shared" ref="N1161:N1224" si="36">SUMIFS(N$26:N$154,$C$26:$C$154,$C1161,$D$26:$D$154,$D1161)</f>
        <v>0</v>
      </c>
    </row>
    <row r="1162" spans="1:14" s="407" customFormat="1" ht="12.75" x14ac:dyDescent="0.2">
      <c r="A1162" s="152"/>
      <c r="B1162" s="73"/>
      <c r="C1162" s="51" t="s">
        <v>1011</v>
      </c>
      <c r="D1162" s="89" t="s">
        <v>223</v>
      </c>
      <c r="E1162" s="89"/>
      <c r="F1162" s="89"/>
      <c r="G1162" s="89"/>
      <c r="H1162" s="89"/>
      <c r="I1162" s="89"/>
      <c r="J1162" s="212"/>
      <c r="K1162" s="212"/>
      <c r="L1162" s="212"/>
      <c r="M1162" s="212"/>
      <c r="N1162" s="212">
        <f t="shared" si="36"/>
        <v>0</v>
      </c>
    </row>
    <row r="1163" spans="1:14" s="407" customFormat="1" ht="12.75" x14ac:dyDescent="0.2">
      <c r="A1163" s="152"/>
      <c r="B1163" s="73"/>
      <c r="C1163" s="51" t="s">
        <v>1010</v>
      </c>
      <c r="D1163" s="89" t="s">
        <v>223</v>
      </c>
      <c r="E1163" s="89"/>
      <c r="F1163" s="89"/>
      <c r="G1163" s="89"/>
      <c r="H1163" s="89"/>
      <c r="I1163" s="89"/>
      <c r="J1163" s="212"/>
      <c r="K1163" s="212"/>
      <c r="L1163" s="212"/>
      <c r="M1163" s="212"/>
      <c r="N1163" s="212">
        <f t="shared" si="36"/>
        <v>0</v>
      </c>
    </row>
    <row r="1164" spans="1:14" s="407" customFormat="1" ht="12.75" x14ac:dyDescent="0.2">
      <c r="A1164" s="152"/>
      <c r="B1164" s="73"/>
      <c r="C1164" s="51" t="s">
        <v>1013</v>
      </c>
      <c r="D1164" s="89" t="s">
        <v>223</v>
      </c>
      <c r="E1164" s="89"/>
      <c r="F1164" s="89"/>
      <c r="G1164" s="89"/>
      <c r="H1164" s="89"/>
      <c r="I1164" s="89"/>
      <c r="J1164" s="212"/>
      <c r="K1164" s="212"/>
      <c r="L1164" s="212"/>
      <c r="M1164" s="212"/>
      <c r="N1164" s="212">
        <f t="shared" si="36"/>
        <v>0</v>
      </c>
    </row>
    <row r="1165" spans="1:14" s="407" customFormat="1" ht="12.75" x14ac:dyDescent="0.2">
      <c r="A1165" s="152"/>
      <c r="B1165" s="73"/>
      <c r="C1165" s="51" t="s">
        <v>1012</v>
      </c>
      <c r="D1165" s="89" t="s">
        <v>223</v>
      </c>
      <c r="E1165" s="89"/>
      <c r="F1165" s="89"/>
      <c r="G1165" s="89"/>
      <c r="H1165" s="89"/>
      <c r="I1165" s="89"/>
      <c r="J1165" s="212"/>
      <c r="K1165" s="212"/>
      <c r="L1165" s="212"/>
      <c r="M1165" s="212"/>
      <c r="N1165" s="212">
        <f t="shared" si="36"/>
        <v>0</v>
      </c>
    </row>
    <row r="1166" spans="1:14" s="407" customFormat="1" ht="12.75" x14ac:dyDescent="0.2">
      <c r="A1166" s="152"/>
      <c r="B1166" s="73"/>
      <c r="C1166" s="51" t="s">
        <v>1052</v>
      </c>
      <c r="D1166" s="89" t="s">
        <v>223</v>
      </c>
      <c r="E1166" s="89"/>
      <c r="F1166" s="89"/>
      <c r="G1166" s="89"/>
      <c r="H1166" s="89"/>
      <c r="I1166" s="89"/>
      <c r="J1166" s="212"/>
      <c r="K1166" s="212"/>
      <c r="L1166" s="212"/>
      <c r="M1166" s="212"/>
      <c r="N1166" s="212">
        <f t="shared" si="36"/>
        <v>0</v>
      </c>
    </row>
    <row r="1167" spans="1:14" s="407" customFormat="1" ht="12.75" x14ac:dyDescent="0.2">
      <c r="A1167" s="152"/>
      <c r="B1167" s="73"/>
      <c r="C1167" s="51" t="s">
        <v>1053</v>
      </c>
      <c r="D1167" s="89" t="s">
        <v>223</v>
      </c>
      <c r="E1167" s="89"/>
      <c r="F1167" s="89"/>
      <c r="G1167" s="89"/>
      <c r="H1167" s="89"/>
      <c r="I1167" s="89"/>
      <c r="J1167" s="212"/>
      <c r="K1167" s="212"/>
      <c r="L1167" s="212"/>
      <c r="M1167" s="212"/>
      <c r="N1167" s="212">
        <f t="shared" si="36"/>
        <v>0</v>
      </c>
    </row>
    <row r="1168" spans="1:14" s="407" customFormat="1" ht="12.75" x14ac:dyDescent="0.2">
      <c r="A1168" s="152"/>
      <c r="B1168" s="73"/>
      <c r="C1168" s="51" t="s">
        <v>984</v>
      </c>
      <c r="D1168" s="89" t="s">
        <v>223</v>
      </c>
      <c r="E1168" s="89"/>
      <c r="F1168" s="89"/>
      <c r="G1168" s="89"/>
      <c r="H1168" s="89"/>
      <c r="I1168" s="89"/>
      <c r="J1168" s="212"/>
      <c r="K1168" s="212"/>
      <c r="L1168" s="212"/>
      <c r="M1168" s="212"/>
      <c r="N1168" s="212">
        <f t="shared" si="36"/>
        <v>0</v>
      </c>
    </row>
    <row r="1169" spans="1:14" s="407" customFormat="1" ht="12.75" x14ac:dyDescent="0.2">
      <c r="A1169" s="152"/>
      <c r="B1169" s="73"/>
      <c r="C1169" s="51" t="s">
        <v>985</v>
      </c>
      <c r="D1169" s="89" t="s">
        <v>223</v>
      </c>
      <c r="E1169" s="89"/>
      <c r="F1169" s="89"/>
      <c r="G1169" s="89"/>
      <c r="H1169" s="89"/>
      <c r="I1169" s="89"/>
      <c r="J1169" s="212"/>
      <c r="K1169" s="212"/>
      <c r="L1169" s="212"/>
      <c r="M1169" s="212"/>
      <c r="N1169" s="212">
        <f t="shared" si="36"/>
        <v>0</v>
      </c>
    </row>
    <row r="1170" spans="1:14" s="407" customFormat="1" ht="12.75" x14ac:dyDescent="0.2">
      <c r="A1170" s="152"/>
      <c r="B1170" s="73"/>
      <c r="C1170" s="51" t="s">
        <v>1005</v>
      </c>
      <c r="D1170" s="89" t="s">
        <v>223</v>
      </c>
      <c r="E1170" s="89"/>
      <c r="F1170" s="89"/>
      <c r="G1170" s="89"/>
      <c r="H1170" s="89"/>
      <c r="I1170" s="89"/>
      <c r="J1170" s="212"/>
      <c r="K1170" s="212"/>
      <c r="L1170" s="212"/>
      <c r="M1170" s="212"/>
      <c r="N1170" s="212">
        <f t="shared" si="36"/>
        <v>0</v>
      </c>
    </row>
    <row r="1171" spans="1:14" s="407" customFormat="1" ht="12.75" x14ac:dyDescent="0.2">
      <c r="A1171" s="152"/>
      <c r="B1171" s="73"/>
      <c r="C1171" s="51" t="s">
        <v>1004</v>
      </c>
      <c r="D1171" s="89" t="s">
        <v>223</v>
      </c>
      <c r="E1171" s="89"/>
      <c r="F1171" s="89"/>
      <c r="G1171" s="89"/>
      <c r="H1171" s="89"/>
      <c r="I1171" s="89"/>
      <c r="J1171" s="212"/>
      <c r="K1171" s="212"/>
      <c r="L1171" s="212"/>
      <c r="M1171" s="212"/>
      <c r="N1171" s="212">
        <f t="shared" si="36"/>
        <v>0</v>
      </c>
    </row>
    <row r="1172" spans="1:14" s="407" customFormat="1" ht="12.75" x14ac:dyDescent="0.2">
      <c r="A1172" s="152"/>
      <c r="B1172" s="73"/>
      <c r="C1172" s="51" t="s">
        <v>1008</v>
      </c>
      <c r="D1172" s="89" t="s">
        <v>223</v>
      </c>
      <c r="E1172" s="89"/>
      <c r="F1172" s="89"/>
      <c r="G1172" s="89"/>
      <c r="H1172" s="89"/>
      <c r="I1172" s="89"/>
      <c r="J1172" s="212"/>
      <c r="K1172" s="212"/>
      <c r="L1172" s="212"/>
      <c r="M1172" s="212"/>
      <c r="N1172" s="212">
        <f t="shared" si="36"/>
        <v>0</v>
      </c>
    </row>
    <row r="1173" spans="1:14" s="407" customFormat="1" ht="12.75" x14ac:dyDescent="0.2">
      <c r="A1173" s="152"/>
      <c r="B1173" s="73"/>
      <c r="C1173" s="51" t="s">
        <v>1006</v>
      </c>
      <c r="D1173" s="89" t="s">
        <v>223</v>
      </c>
      <c r="E1173" s="89"/>
      <c r="F1173" s="89"/>
      <c r="G1173" s="89"/>
      <c r="H1173" s="89"/>
      <c r="I1173" s="89"/>
      <c r="J1173" s="212"/>
      <c r="K1173" s="212"/>
      <c r="L1173" s="212"/>
      <c r="M1173" s="212"/>
      <c r="N1173" s="212">
        <f t="shared" si="36"/>
        <v>0</v>
      </c>
    </row>
    <row r="1174" spans="1:14" s="407" customFormat="1" ht="12.75" x14ac:dyDescent="0.2">
      <c r="A1174" s="152"/>
      <c r="B1174" s="73"/>
      <c r="C1174" s="51" t="s">
        <v>1034</v>
      </c>
      <c r="D1174" s="89" t="s">
        <v>223</v>
      </c>
      <c r="E1174" s="89"/>
      <c r="F1174" s="89"/>
      <c r="G1174" s="89"/>
      <c r="H1174" s="89"/>
      <c r="I1174" s="89"/>
      <c r="J1174" s="212"/>
      <c r="K1174" s="212"/>
      <c r="L1174" s="212"/>
      <c r="M1174" s="212"/>
      <c r="N1174" s="212">
        <f t="shared" si="36"/>
        <v>0</v>
      </c>
    </row>
    <row r="1175" spans="1:14" s="407" customFormat="1" ht="12.75" x14ac:dyDescent="0.2">
      <c r="A1175" s="152"/>
      <c r="B1175" s="73"/>
      <c r="C1175" s="51" t="s">
        <v>1035</v>
      </c>
      <c r="D1175" s="89" t="s">
        <v>223</v>
      </c>
      <c r="E1175" s="89"/>
      <c r="F1175" s="89"/>
      <c r="G1175" s="89"/>
      <c r="H1175" s="89"/>
      <c r="I1175" s="89"/>
      <c r="J1175" s="212"/>
      <c r="K1175" s="212"/>
      <c r="L1175" s="212"/>
      <c r="M1175" s="212"/>
      <c r="N1175" s="212">
        <f t="shared" si="36"/>
        <v>0</v>
      </c>
    </row>
    <row r="1176" spans="1:14" s="407" customFormat="1" ht="12.75" x14ac:dyDescent="0.2">
      <c r="A1176" s="152"/>
      <c r="B1176" s="73"/>
      <c r="C1176" s="51" t="s">
        <v>922</v>
      </c>
      <c r="D1176" s="89" t="s">
        <v>223</v>
      </c>
      <c r="E1176" s="89"/>
      <c r="F1176" s="89"/>
      <c r="G1176" s="89"/>
      <c r="H1176" s="89"/>
      <c r="I1176" s="89"/>
      <c r="J1176" s="212"/>
      <c r="K1176" s="212"/>
      <c r="L1176" s="212"/>
      <c r="M1176" s="212"/>
      <c r="N1176" s="212">
        <f t="shared" si="36"/>
        <v>0</v>
      </c>
    </row>
    <row r="1177" spans="1:14" s="407" customFormat="1" ht="12.75" x14ac:dyDescent="0.2">
      <c r="A1177" s="152"/>
      <c r="B1177" s="73"/>
      <c r="C1177" s="51" t="s">
        <v>942</v>
      </c>
      <c r="D1177" s="89" t="s">
        <v>223</v>
      </c>
      <c r="E1177" s="89"/>
      <c r="F1177" s="89"/>
      <c r="G1177" s="89"/>
      <c r="H1177" s="89"/>
      <c r="I1177" s="89"/>
      <c r="J1177" s="212"/>
      <c r="K1177" s="212"/>
      <c r="L1177" s="212"/>
      <c r="M1177" s="212"/>
      <c r="N1177" s="212">
        <f t="shared" si="36"/>
        <v>0</v>
      </c>
    </row>
    <row r="1178" spans="1:14" s="407" customFormat="1" ht="12.75" x14ac:dyDescent="0.2">
      <c r="A1178" s="152"/>
      <c r="B1178" s="73"/>
      <c r="C1178" s="51" t="s">
        <v>943</v>
      </c>
      <c r="D1178" s="89" t="s">
        <v>223</v>
      </c>
      <c r="E1178" s="89"/>
      <c r="F1178" s="89"/>
      <c r="G1178" s="89"/>
      <c r="H1178" s="89"/>
      <c r="I1178" s="89"/>
      <c r="J1178" s="212"/>
      <c r="K1178" s="212"/>
      <c r="L1178" s="212"/>
      <c r="M1178" s="212"/>
      <c r="N1178" s="212">
        <f t="shared" si="36"/>
        <v>0</v>
      </c>
    </row>
    <row r="1179" spans="1:14" s="407" customFormat="1" ht="12.75" x14ac:dyDescent="0.2">
      <c r="A1179" s="152"/>
      <c r="B1179" s="73"/>
      <c r="C1179" s="51" t="s">
        <v>938</v>
      </c>
      <c r="D1179" s="89" t="s">
        <v>223</v>
      </c>
      <c r="E1179" s="89"/>
      <c r="F1179" s="89"/>
      <c r="G1179" s="89"/>
      <c r="H1179" s="89"/>
      <c r="I1179" s="89"/>
      <c r="J1179" s="212"/>
      <c r="K1179" s="212"/>
      <c r="L1179" s="212"/>
      <c r="M1179" s="212"/>
      <c r="N1179" s="212">
        <f t="shared" si="36"/>
        <v>0</v>
      </c>
    </row>
    <row r="1180" spans="1:14" s="407" customFormat="1" ht="12.75" x14ac:dyDescent="0.2">
      <c r="A1180" s="152"/>
      <c r="B1180" s="73"/>
      <c r="C1180" s="51" t="s">
        <v>939</v>
      </c>
      <c r="D1180" s="89" t="s">
        <v>223</v>
      </c>
      <c r="E1180" s="89"/>
      <c r="F1180" s="89"/>
      <c r="G1180" s="89"/>
      <c r="H1180" s="89"/>
      <c r="I1180" s="89"/>
      <c r="J1180" s="212"/>
      <c r="K1180" s="212"/>
      <c r="L1180" s="212"/>
      <c r="M1180" s="212"/>
      <c r="N1180" s="212">
        <f t="shared" si="36"/>
        <v>0</v>
      </c>
    </row>
    <row r="1181" spans="1:14" s="407" customFormat="1" ht="12.75" x14ac:dyDescent="0.2">
      <c r="A1181" s="152"/>
      <c r="B1181" s="73"/>
      <c r="C1181" s="51" t="s">
        <v>934</v>
      </c>
      <c r="D1181" s="89" t="s">
        <v>223</v>
      </c>
      <c r="E1181" s="89"/>
      <c r="F1181" s="89"/>
      <c r="G1181" s="89"/>
      <c r="H1181" s="89"/>
      <c r="I1181" s="89"/>
      <c r="J1181" s="212"/>
      <c r="K1181" s="212"/>
      <c r="L1181" s="212"/>
      <c r="M1181" s="212"/>
      <c r="N1181" s="212">
        <f t="shared" si="36"/>
        <v>0</v>
      </c>
    </row>
    <row r="1182" spans="1:14" s="407" customFormat="1" ht="12.75" x14ac:dyDescent="0.2">
      <c r="A1182" s="152"/>
      <c r="B1182" s="73"/>
      <c r="C1182" s="51" t="s">
        <v>935</v>
      </c>
      <c r="D1182" s="89" t="s">
        <v>223</v>
      </c>
      <c r="E1182" s="89"/>
      <c r="F1182" s="89"/>
      <c r="G1182" s="89"/>
      <c r="H1182" s="89"/>
      <c r="I1182" s="89"/>
      <c r="J1182" s="212"/>
      <c r="K1182" s="212"/>
      <c r="L1182" s="212"/>
      <c r="M1182" s="212"/>
      <c r="N1182" s="212">
        <f t="shared" si="36"/>
        <v>0</v>
      </c>
    </row>
    <row r="1183" spans="1:14" s="407" customFormat="1" ht="12.75" x14ac:dyDescent="0.2">
      <c r="A1183" s="152"/>
      <c r="B1183" s="73"/>
      <c r="C1183" s="51" t="s">
        <v>953</v>
      </c>
      <c r="D1183" s="89" t="s">
        <v>223</v>
      </c>
      <c r="E1183" s="89"/>
      <c r="F1183" s="89"/>
      <c r="G1183" s="89"/>
      <c r="H1183" s="89"/>
      <c r="I1183" s="89"/>
      <c r="J1183" s="212"/>
      <c r="K1183" s="212"/>
      <c r="L1183" s="212"/>
      <c r="M1183" s="212"/>
      <c r="N1183" s="212">
        <f t="shared" si="36"/>
        <v>0</v>
      </c>
    </row>
    <row r="1184" spans="1:14" s="407" customFormat="1" ht="12.75" x14ac:dyDescent="0.2">
      <c r="A1184" s="152"/>
      <c r="B1184" s="73"/>
      <c r="C1184" s="51" t="s">
        <v>924</v>
      </c>
      <c r="D1184" s="89" t="s">
        <v>223</v>
      </c>
      <c r="E1184" s="89"/>
      <c r="F1184" s="89"/>
      <c r="G1184" s="89"/>
      <c r="H1184" s="89"/>
      <c r="I1184" s="89"/>
      <c r="J1184" s="212"/>
      <c r="K1184" s="212"/>
      <c r="L1184" s="212"/>
      <c r="M1184" s="212"/>
      <c r="N1184" s="212">
        <f t="shared" si="36"/>
        <v>0</v>
      </c>
    </row>
    <row r="1185" spans="1:14" s="407" customFormat="1" ht="12.75" x14ac:dyDescent="0.2">
      <c r="A1185" s="152"/>
      <c r="B1185" s="73"/>
      <c r="C1185" s="51" t="s">
        <v>927</v>
      </c>
      <c r="D1185" s="89" t="s">
        <v>223</v>
      </c>
      <c r="E1185" s="89"/>
      <c r="F1185" s="89"/>
      <c r="G1185" s="89"/>
      <c r="H1185" s="89"/>
      <c r="I1185" s="89"/>
      <c r="J1185" s="212"/>
      <c r="K1185" s="212"/>
      <c r="L1185" s="212"/>
      <c r="M1185" s="212"/>
      <c r="N1185" s="212">
        <f t="shared" si="36"/>
        <v>0</v>
      </c>
    </row>
    <row r="1186" spans="1:14" s="407" customFormat="1" ht="12.75" x14ac:dyDescent="0.2">
      <c r="A1186" s="152"/>
      <c r="B1186" s="73"/>
      <c r="C1186" s="51" t="s">
        <v>951</v>
      </c>
      <c r="D1186" s="89" t="s">
        <v>223</v>
      </c>
      <c r="E1186" s="89"/>
      <c r="F1186" s="89"/>
      <c r="G1186" s="89"/>
      <c r="H1186" s="89"/>
      <c r="I1186" s="89"/>
      <c r="J1186" s="212"/>
      <c r="K1186" s="212"/>
      <c r="L1186" s="212"/>
      <c r="M1186" s="212"/>
      <c r="N1186" s="212">
        <f t="shared" si="36"/>
        <v>0</v>
      </c>
    </row>
    <row r="1187" spans="1:14" s="407" customFormat="1" ht="12.75" x14ac:dyDescent="0.2">
      <c r="A1187" s="152"/>
      <c r="B1187" s="73"/>
      <c r="C1187" s="51" t="s">
        <v>1055</v>
      </c>
      <c r="D1187" s="89" t="s">
        <v>223</v>
      </c>
      <c r="E1187" s="89"/>
      <c r="F1187" s="89"/>
      <c r="G1187" s="89"/>
      <c r="H1187" s="89"/>
      <c r="I1187" s="89"/>
      <c r="J1187" s="212"/>
      <c r="K1187" s="212"/>
      <c r="L1187" s="212"/>
      <c r="M1187" s="212"/>
      <c r="N1187" s="212">
        <f t="shared" si="36"/>
        <v>0</v>
      </c>
    </row>
    <row r="1188" spans="1:14" s="407" customFormat="1" ht="12.75" x14ac:dyDescent="0.2">
      <c r="A1188" s="152"/>
      <c r="B1188" s="73"/>
      <c r="C1188" s="51" t="s">
        <v>940</v>
      </c>
      <c r="D1188" s="89" t="s">
        <v>223</v>
      </c>
      <c r="E1188" s="89"/>
      <c r="F1188" s="89"/>
      <c r="G1188" s="89"/>
      <c r="H1188" s="89"/>
      <c r="I1188" s="89"/>
      <c r="J1188" s="212"/>
      <c r="K1188" s="212"/>
      <c r="L1188" s="212"/>
      <c r="M1188" s="212"/>
      <c r="N1188" s="212">
        <f t="shared" si="36"/>
        <v>0</v>
      </c>
    </row>
    <row r="1189" spans="1:14" s="407" customFormat="1" ht="12.75" x14ac:dyDescent="0.2">
      <c r="A1189" s="152"/>
      <c r="B1189" s="73"/>
      <c r="C1189" s="51" t="s">
        <v>941</v>
      </c>
      <c r="D1189" s="89" t="s">
        <v>223</v>
      </c>
      <c r="E1189" s="89"/>
      <c r="F1189" s="89"/>
      <c r="G1189" s="89"/>
      <c r="H1189" s="89"/>
      <c r="I1189" s="89"/>
      <c r="J1189" s="212"/>
      <c r="K1189" s="212"/>
      <c r="L1189" s="212"/>
      <c r="M1189" s="212"/>
      <c r="N1189" s="212">
        <f t="shared" si="36"/>
        <v>0</v>
      </c>
    </row>
    <row r="1190" spans="1:14" s="407" customFormat="1" ht="12.75" x14ac:dyDescent="0.2">
      <c r="A1190" s="152"/>
      <c r="B1190" s="73"/>
      <c r="C1190" s="51" t="s">
        <v>936</v>
      </c>
      <c r="D1190" s="89" t="s">
        <v>223</v>
      </c>
      <c r="E1190" s="89"/>
      <c r="F1190" s="89"/>
      <c r="G1190" s="89"/>
      <c r="H1190" s="89"/>
      <c r="I1190" s="89"/>
      <c r="J1190" s="212"/>
      <c r="K1190" s="212"/>
      <c r="L1190" s="212"/>
      <c r="M1190" s="212"/>
      <c r="N1190" s="212">
        <f t="shared" si="36"/>
        <v>0</v>
      </c>
    </row>
    <row r="1191" spans="1:14" s="407" customFormat="1" ht="12.75" x14ac:dyDescent="0.2">
      <c r="A1191" s="152"/>
      <c r="B1191" s="73"/>
      <c r="C1191" s="51" t="s">
        <v>937</v>
      </c>
      <c r="D1191" s="89" t="s">
        <v>223</v>
      </c>
      <c r="E1191" s="89"/>
      <c r="F1191" s="89"/>
      <c r="G1191" s="89"/>
      <c r="H1191" s="89"/>
      <c r="I1191" s="89"/>
      <c r="J1191" s="212"/>
      <c r="K1191" s="212"/>
      <c r="L1191" s="212"/>
      <c r="M1191" s="212"/>
      <c r="N1191" s="212">
        <f t="shared" si="36"/>
        <v>0</v>
      </c>
    </row>
    <row r="1192" spans="1:14" s="407" customFormat="1" ht="12.75" x14ac:dyDescent="0.2">
      <c r="A1192" s="152"/>
      <c r="B1192" s="73"/>
      <c r="C1192" s="51" t="s">
        <v>932</v>
      </c>
      <c r="D1192" s="89" t="s">
        <v>223</v>
      </c>
      <c r="E1192" s="89"/>
      <c r="F1192" s="89"/>
      <c r="G1192" s="89"/>
      <c r="H1192" s="89"/>
      <c r="I1192" s="89"/>
      <c r="J1192" s="212"/>
      <c r="K1192" s="212"/>
      <c r="L1192" s="212"/>
      <c r="M1192" s="212"/>
      <c r="N1192" s="212">
        <f t="shared" si="36"/>
        <v>0</v>
      </c>
    </row>
    <row r="1193" spans="1:14" s="407" customFormat="1" ht="12.75" x14ac:dyDescent="0.2">
      <c r="A1193" s="152"/>
      <c r="B1193" s="73"/>
      <c r="C1193" s="51" t="s">
        <v>933</v>
      </c>
      <c r="D1193" s="89" t="s">
        <v>223</v>
      </c>
      <c r="E1193" s="89"/>
      <c r="F1193" s="89"/>
      <c r="G1193" s="89"/>
      <c r="H1193" s="89"/>
      <c r="I1193" s="89"/>
      <c r="J1193" s="212"/>
      <c r="K1193" s="212"/>
      <c r="L1193" s="212"/>
      <c r="M1193" s="212"/>
      <c r="N1193" s="212">
        <f t="shared" si="36"/>
        <v>0</v>
      </c>
    </row>
    <row r="1194" spans="1:14" s="407" customFormat="1" ht="12.75" x14ac:dyDescent="0.2">
      <c r="A1194" s="152"/>
      <c r="B1194" s="73"/>
      <c r="C1194" s="51" t="s">
        <v>952</v>
      </c>
      <c r="D1194" s="89" t="s">
        <v>223</v>
      </c>
      <c r="E1194" s="89"/>
      <c r="F1194" s="89"/>
      <c r="G1194" s="89"/>
      <c r="H1194" s="89"/>
      <c r="I1194" s="89"/>
      <c r="J1194" s="212"/>
      <c r="K1194" s="212"/>
      <c r="L1194" s="212"/>
      <c r="M1194" s="212"/>
      <c r="N1194" s="212">
        <f t="shared" si="36"/>
        <v>0</v>
      </c>
    </row>
    <row r="1195" spans="1:14" s="407" customFormat="1" ht="12.75" x14ac:dyDescent="0.2">
      <c r="A1195" s="152"/>
      <c r="B1195" s="73"/>
      <c r="C1195" s="51" t="s">
        <v>923</v>
      </c>
      <c r="D1195" s="89" t="s">
        <v>223</v>
      </c>
      <c r="E1195" s="89"/>
      <c r="F1195" s="89"/>
      <c r="G1195" s="89"/>
      <c r="H1195" s="89"/>
      <c r="I1195" s="89"/>
      <c r="J1195" s="212"/>
      <c r="K1195" s="212"/>
      <c r="L1195" s="212"/>
      <c r="M1195" s="212"/>
      <c r="N1195" s="212">
        <f t="shared" si="36"/>
        <v>0</v>
      </c>
    </row>
    <row r="1196" spans="1:14" s="407" customFormat="1" ht="12.75" x14ac:dyDescent="0.2">
      <c r="A1196" s="152"/>
      <c r="B1196" s="73"/>
      <c r="C1196" s="51" t="s">
        <v>925</v>
      </c>
      <c r="D1196" s="89" t="s">
        <v>223</v>
      </c>
      <c r="E1196" s="89"/>
      <c r="F1196" s="89"/>
      <c r="G1196" s="89"/>
      <c r="H1196" s="89"/>
      <c r="I1196" s="89"/>
      <c r="J1196" s="212"/>
      <c r="K1196" s="212"/>
      <c r="L1196" s="212"/>
      <c r="M1196" s="212"/>
      <c r="N1196" s="212">
        <f t="shared" si="36"/>
        <v>0</v>
      </c>
    </row>
    <row r="1197" spans="1:14" s="407" customFormat="1" ht="12.75" x14ac:dyDescent="0.2">
      <c r="A1197" s="152"/>
      <c r="B1197" s="73"/>
      <c r="C1197" s="51" t="s">
        <v>950</v>
      </c>
      <c r="D1197" s="89" t="s">
        <v>223</v>
      </c>
      <c r="E1197" s="89"/>
      <c r="F1197" s="89"/>
      <c r="G1197" s="89"/>
      <c r="H1197" s="89"/>
      <c r="I1197" s="89"/>
      <c r="J1197" s="212"/>
      <c r="K1197" s="212"/>
      <c r="L1197" s="212"/>
      <c r="M1197" s="212"/>
      <c r="N1197" s="212">
        <f t="shared" si="36"/>
        <v>0</v>
      </c>
    </row>
    <row r="1198" spans="1:14" s="407" customFormat="1" ht="12.75" x14ac:dyDescent="0.2">
      <c r="A1198" s="152"/>
      <c r="B1198" s="73"/>
      <c r="C1198" s="51" t="s">
        <v>1054</v>
      </c>
      <c r="D1198" s="89" t="s">
        <v>223</v>
      </c>
      <c r="E1198" s="89"/>
      <c r="F1198" s="89"/>
      <c r="G1198" s="89"/>
      <c r="H1198" s="89"/>
      <c r="I1198" s="89"/>
      <c r="J1198" s="212"/>
      <c r="K1198" s="212"/>
      <c r="L1198" s="212"/>
      <c r="M1198" s="212"/>
      <c r="N1198" s="212">
        <f t="shared" si="36"/>
        <v>0</v>
      </c>
    </row>
    <row r="1199" spans="1:14" s="407" customFormat="1" ht="12.75" x14ac:dyDescent="0.2">
      <c r="A1199" s="152"/>
      <c r="B1199" s="73"/>
      <c r="C1199" s="51" t="s">
        <v>921</v>
      </c>
      <c r="D1199" s="89" t="s">
        <v>223</v>
      </c>
      <c r="E1199" s="89"/>
      <c r="F1199" s="89"/>
      <c r="G1199" s="89"/>
      <c r="H1199" s="89"/>
      <c r="I1199" s="89"/>
      <c r="J1199" s="212"/>
      <c r="K1199" s="212"/>
      <c r="L1199" s="212"/>
      <c r="M1199" s="212"/>
      <c r="N1199" s="212">
        <f t="shared" si="36"/>
        <v>0</v>
      </c>
    </row>
    <row r="1200" spans="1:14" s="407" customFormat="1" ht="12.75" x14ac:dyDescent="0.2">
      <c r="A1200" s="152"/>
      <c r="B1200" s="73"/>
      <c r="C1200" s="51" t="s">
        <v>1022</v>
      </c>
      <c r="D1200" s="89" t="s">
        <v>223</v>
      </c>
      <c r="E1200" s="89"/>
      <c r="F1200" s="89"/>
      <c r="G1200" s="89"/>
      <c r="H1200" s="89"/>
      <c r="I1200" s="89"/>
      <c r="J1200" s="212"/>
      <c r="K1200" s="212"/>
      <c r="L1200" s="212"/>
      <c r="M1200" s="212"/>
      <c r="N1200" s="212">
        <f t="shared" si="36"/>
        <v>0</v>
      </c>
    </row>
    <row r="1201" spans="1:14" s="407" customFormat="1" ht="12.75" x14ac:dyDescent="0.2">
      <c r="A1201" s="152"/>
      <c r="B1201" s="73"/>
      <c r="C1201" s="51" t="s">
        <v>1023</v>
      </c>
      <c r="D1201" s="89" t="s">
        <v>223</v>
      </c>
      <c r="E1201" s="89"/>
      <c r="F1201" s="89"/>
      <c r="G1201" s="89"/>
      <c r="H1201" s="89"/>
      <c r="I1201" s="89"/>
      <c r="J1201" s="212"/>
      <c r="K1201" s="212"/>
      <c r="L1201" s="212"/>
      <c r="M1201" s="212"/>
      <c r="N1201" s="212">
        <f t="shared" si="36"/>
        <v>0</v>
      </c>
    </row>
    <row r="1202" spans="1:14" s="407" customFormat="1" ht="12.75" x14ac:dyDescent="0.2">
      <c r="A1202" s="152"/>
      <c r="B1202" s="73"/>
      <c r="C1202" s="51" t="s">
        <v>137</v>
      </c>
      <c r="D1202" s="89" t="s">
        <v>223</v>
      </c>
      <c r="E1202" s="89"/>
      <c r="F1202" s="89"/>
      <c r="G1202" s="89"/>
      <c r="H1202" s="89"/>
      <c r="I1202" s="89"/>
      <c r="J1202" s="212"/>
      <c r="K1202" s="212"/>
      <c r="L1202" s="212"/>
      <c r="M1202" s="212"/>
      <c r="N1202" s="212">
        <f t="shared" si="36"/>
        <v>0</v>
      </c>
    </row>
    <row r="1203" spans="1:14" s="407" customFormat="1" ht="12.75" x14ac:dyDescent="0.2">
      <c r="A1203" s="152"/>
      <c r="B1203" s="73"/>
      <c r="C1203" s="51" t="s">
        <v>956</v>
      </c>
      <c r="D1203" s="89" t="s">
        <v>223</v>
      </c>
      <c r="E1203" s="89"/>
      <c r="F1203" s="89"/>
      <c r="G1203" s="89"/>
      <c r="H1203" s="89"/>
      <c r="I1203" s="89"/>
      <c r="J1203" s="212"/>
      <c r="K1203" s="212"/>
      <c r="L1203" s="212"/>
      <c r="M1203" s="212"/>
      <c r="N1203" s="212">
        <f t="shared" si="36"/>
        <v>0</v>
      </c>
    </row>
    <row r="1204" spans="1:14" s="407" customFormat="1" ht="12.75" x14ac:dyDescent="0.2">
      <c r="A1204" s="152"/>
      <c r="B1204" s="73"/>
      <c r="C1204" s="51" t="s">
        <v>1045</v>
      </c>
      <c r="D1204" s="89" t="s">
        <v>223</v>
      </c>
      <c r="E1204" s="89"/>
      <c r="F1204" s="89"/>
      <c r="G1204" s="89"/>
      <c r="H1204" s="89"/>
      <c r="I1204" s="89"/>
      <c r="J1204" s="212"/>
      <c r="K1204" s="212"/>
      <c r="L1204" s="212"/>
      <c r="M1204" s="212"/>
      <c r="N1204" s="212">
        <f t="shared" si="36"/>
        <v>0</v>
      </c>
    </row>
    <row r="1205" spans="1:14" s="407" customFormat="1" ht="12.75" x14ac:dyDescent="0.2">
      <c r="A1205" s="152"/>
      <c r="B1205" s="73"/>
      <c r="C1205" s="51" t="s">
        <v>1046</v>
      </c>
      <c r="D1205" s="89" t="s">
        <v>223</v>
      </c>
      <c r="E1205" s="89"/>
      <c r="F1205" s="89"/>
      <c r="G1205" s="89"/>
      <c r="H1205" s="89"/>
      <c r="I1205" s="89"/>
      <c r="J1205" s="212"/>
      <c r="K1205" s="212"/>
      <c r="L1205" s="212"/>
      <c r="M1205" s="212"/>
      <c r="N1205" s="212">
        <f t="shared" si="36"/>
        <v>0</v>
      </c>
    </row>
    <row r="1206" spans="1:14" s="407" customFormat="1" ht="12.75" x14ac:dyDescent="0.2">
      <c r="A1206" s="152"/>
      <c r="B1206" s="73"/>
      <c r="C1206" s="51" t="s">
        <v>1036</v>
      </c>
      <c r="D1206" s="89" t="s">
        <v>223</v>
      </c>
      <c r="E1206" s="89"/>
      <c r="F1206" s="89"/>
      <c r="G1206" s="89"/>
      <c r="H1206" s="89"/>
      <c r="I1206" s="89"/>
      <c r="J1206" s="212"/>
      <c r="K1206" s="212"/>
      <c r="L1206" s="212"/>
      <c r="M1206" s="212"/>
      <c r="N1206" s="212">
        <f t="shared" si="36"/>
        <v>0</v>
      </c>
    </row>
    <row r="1207" spans="1:14" s="407" customFormat="1" ht="12.75" x14ac:dyDescent="0.2">
      <c r="A1207" s="152"/>
      <c r="B1207" s="73"/>
      <c r="C1207" s="51" t="s">
        <v>1037</v>
      </c>
      <c r="D1207" s="89" t="s">
        <v>223</v>
      </c>
      <c r="E1207" s="89"/>
      <c r="F1207" s="89"/>
      <c r="G1207" s="89"/>
      <c r="H1207" s="89"/>
      <c r="I1207" s="89"/>
      <c r="J1207" s="212"/>
      <c r="K1207" s="212"/>
      <c r="L1207" s="212"/>
      <c r="M1207" s="212"/>
      <c r="N1207" s="212">
        <f t="shared" si="36"/>
        <v>0</v>
      </c>
    </row>
    <row r="1208" spans="1:14" s="407" customFormat="1" ht="12.75" x14ac:dyDescent="0.2">
      <c r="A1208" s="152"/>
      <c r="B1208" s="73"/>
      <c r="C1208" s="51" t="s">
        <v>990</v>
      </c>
      <c r="D1208" s="89" t="s">
        <v>223</v>
      </c>
      <c r="E1208" s="89"/>
      <c r="F1208" s="89"/>
      <c r="G1208" s="89"/>
      <c r="H1208" s="89"/>
      <c r="I1208" s="89"/>
      <c r="J1208" s="212"/>
      <c r="K1208" s="212"/>
      <c r="L1208" s="212"/>
      <c r="M1208" s="212"/>
      <c r="N1208" s="212">
        <f t="shared" si="36"/>
        <v>0</v>
      </c>
    </row>
    <row r="1209" spans="1:14" s="407" customFormat="1" ht="12.75" x14ac:dyDescent="0.2">
      <c r="A1209" s="152"/>
      <c r="B1209" s="73"/>
      <c r="C1209" s="51" t="s">
        <v>1040</v>
      </c>
      <c r="D1209" s="89" t="s">
        <v>223</v>
      </c>
      <c r="E1209" s="89"/>
      <c r="F1209" s="89"/>
      <c r="G1209" s="89"/>
      <c r="H1209" s="89"/>
      <c r="I1209" s="89"/>
      <c r="J1209" s="212"/>
      <c r="K1209" s="212"/>
      <c r="L1209" s="212"/>
      <c r="M1209" s="212"/>
      <c r="N1209" s="212">
        <f t="shared" si="36"/>
        <v>0</v>
      </c>
    </row>
    <row r="1210" spans="1:14" s="407" customFormat="1" ht="12.75" x14ac:dyDescent="0.2">
      <c r="A1210" s="152"/>
      <c r="B1210" s="73"/>
      <c r="C1210" s="51" t="s">
        <v>991</v>
      </c>
      <c r="D1210" s="89" t="s">
        <v>223</v>
      </c>
      <c r="E1210" s="89"/>
      <c r="F1210" s="89"/>
      <c r="G1210" s="89"/>
      <c r="H1210" s="89"/>
      <c r="I1210" s="89"/>
      <c r="J1210" s="212"/>
      <c r="K1210" s="212"/>
      <c r="L1210" s="212"/>
      <c r="M1210" s="212"/>
      <c r="N1210" s="212">
        <f t="shared" si="36"/>
        <v>0</v>
      </c>
    </row>
    <row r="1211" spans="1:14" s="407" customFormat="1" ht="12.75" x14ac:dyDescent="0.2">
      <c r="A1211" s="152"/>
      <c r="B1211" s="73"/>
      <c r="C1211" s="51" t="s">
        <v>959</v>
      </c>
      <c r="D1211" s="89" t="s">
        <v>223</v>
      </c>
      <c r="E1211" s="89"/>
      <c r="F1211" s="89"/>
      <c r="G1211" s="89"/>
      <c r="H1211" s="89"/>
      <c r="I1211" s="89"/>
      <c r="J1211" s="212"/>
      <c r="K1211" s="212"/>
      <c r="L1211" s="212"/>
      <c r="M1211" s="212"/>
      <c r="N1211" s="212">
        <f t="shared" si="36"/>
        <v>0</v>
      </c>
    </row>
    <row r="1212" spans="1:14" s="407" customFormat="1" ht="12.75" x14ac:dyDescent="0.2">
      <c r="A1212" s="152"/>
      <c r="B1212" s="73"/>
      <c r="C1212" s="51" t="s">
        <v>964</v>
      </c>
      <c r="D1212" s="89" t="s">
        <v>223</v>
      </c>
      <c r="E1212" s="89"/>
      <c r="F1212" s="89"/>
      <c r="G1212" s="89"/>
      <c r="H1212" s="89"/>
      <c r="I1212" s="89"/>
      <c r="J1212" s="212"/>
      <c r="K1212" s="212"/>
      <c r="L1212" s="212"/>
      <c r="M1212" s="212"/>
      <c r="N1212" s="212">
        <f t="shared" si="36"/>
        <v>0</v>
      </c>
    </row>
    <row r="1213" spans="1:14" s="407" customFormat="1" ht="12.75" x14ac:dyDescent="0.2">
      <c r="A1213" s="152"/>
      <c r="B1213" s="73"/>
      <c r="C1213" s="51" t="s">
        <v>1003</v>
      </c>
      <c r="D1213" s="89" t="s">
        <v>223</v>
      </c>
      <c r="E1213" s="89"/>
      <c r="F1213" s="89"/>
      <c r="G1213" s="89"/>
      <c r="H1213" s="89"/>
      <c r="I1213" s="89"/>
      <c r="J1213" s="212"/>
      <c r="K1213" s="212"/>
      <c r="L1213" s="212"/>
      <c r="M1213" s="212"/>
      <c r="N1213" s="212">
        <f t="shared" si="36"/>
        <v>0</v>
      </c>
    </row>
    <row r="1214" spans="1:14" s="407" customFormat="1" ht="12.75" x14ac:dyDescent="0.2">
      <c r="A1214" s="152"/>
      <c r="B1214" s="73"/>
      <c r="C1214" s="51" t="s">
        <v>992</v>
      </c>
      <c r="D1214" s="89" t="s">
        <v>223</v>
      </c>
      <c r="E1214" s="89"/>
      <c r="F1214" s="89"/>
      <c r="G1214" s="89"/>
      <c r="H1214" s="89"/>
      <c r="I1214" s="89"/>
      <c r="J1214" s="212"/>
      <c r="K1214" s="212"/>
      <c r="L1214" s="212"/>
      <c r="M1214" s="212"/>
      <c r="N1214" s="212">
        <f t="shared" si="36"/>
        <v>0</v>
      </c>
    </row>
    <row r="1215" spans="1:14" s="407" customFormat="1" ht="12.75" x14ac:dyDescent="0.2">
      <c r="A1215" s="152"/>
      <c r="B1215" s="73"/>
      <c r="C1215" s="51" t="s">
        <v>994</v>
      </c>
      <c r="D1215" s="89" t="s">
        <v>223</v>
      </c>
      <c r="E1215" s="89"/>
      <c r="F1215" s="89"/>
      <c r="G1215" s="89"/>
      <c r="H1215" s="89"/>
      <c r="I1215" s="89"/>
      <c r="J1215" s="212"/>
      <c r="K1215" s="212"/>
      <c r="L1215" s="212"/>
      <c r="M1215" s="212"/>
      <c r="N1215" s="212">
        <f t="shared" si="36"/>
        <v>0</v>
      </c>
    </row>
    <row r="1216" spans="1:14" s="407" customFormat="1" ht="12.75" x14ac:dyDescent="0.2">
      <c r="A1216" s="152"/>
      <c r="B1216" s="73"/>
      <c r="C1216" s="51" t="s">
        <v>993</v>
      </c>
      <c r="D1216" s="89" t="s">
        <v>223</v>
      </c>
      <c r="E1216" s="89"/>
      <c r="F1216" s="89"/>
      <c r="G1216" s="89"/>
      <c r="H1216" s="89"/>
      <c r="I1216" s="89"/>
      <c r="J1216" s="212"/>
      <c r="K1216" s="212"/>
      <c r="L1216" s="212"/>
      <c r="M1216" s="212"/>
      <c r="N1216" s="212">
        <f t="shared" si="36"/>
        <v>0</v>
      </c>
    </row>
    <row r="1217" spans="1:14" s="407" customFormat="1" ht="12.75" x14ac:dyDescent="0.2">
      <c r="A1217" s="152"/>
      <c r="B1217" s="73"/>
      <c r="C1217" s="51" t="s">
        <v>995</v>
      </c>
      <c r="D1217" s="89" t="s">
        <v>223</v>
      </c>
      <c r="E1217" s="89"/>
      <c r="F1217" s="89"/>
      <c r="G1217" s="89"/>
      <c r="H1217" s="89"/>
      <c r="I1217" s="89"/>
      <c r="J1217" s="212"/>
      <c r="K1217" s="212"/>
      <c r="L1217" s="212"/>
      <c r="M1217" s="212"/>
      <c r="N1217" s="212">
        <f t="shared" si="36"/>
        <v>0</v>
      </c>
    </row>
    <row r="1218" spans="1:14" s="407" customFormat="1" ht="12.75" x14ac:dyDescent="0.2">
      <c r="A1218" s="152"/>
      <c r="B1218" s="73"/>
      <c r="C1218" s="51" t="s">
        <v>1001</v>
      </c>
      <c r="D1218" s="89" t="s">
        <v>223</v>
      </c>
      <c r="E1218" s="89"/>
      <c r="F1218" s="89"/>
      <c r="G1218" s="89"/>
      <c r="H1218" s="89"/>
      <c r="I1218" s="89"/>
      <c r="J1218" s="212"/>
      <c r="K1218" s="212"/>
      <c r="L1218" s="212"/>
      <c r="M1218" s="212"/>
      <c r="N1218" s="212">
        <f t="shared" si="36"/>
        <v>0</v>
      </c>
    </row>
    <row r="1219" spans="1:14" s="407" customFormat="1" ht="12.75" x14ac:dyDescent="0.2">
      <c r="A1219" s="152"/>
      <c r="B1219" s="73"/>
      <c r="C1219" s="51" t="s">
        <v>978</v>
      </c>
      <c r="D1219" s="89" t="s">
        <v>223</v>
      </c>
      <c r="E1219" s="89"/>
      <c r="F1219" s="89"/>
      <c r="G1219" s="89"/>
      <c r="H1219" s="89"/>
      <c r="I1219" s="89"/>
      <c r="J1219" s="212"/>
      <c r="K1219" s="212"/>
      <c r="L1219" s="212"/>
      <c r="M1219" s="212"/>
      <c r="N1219" s="212">
        <f t="shared" si="36"/>
        <v>0</v>
      </c>
    </row>
    <row r="1220" spans="1:14" s="407" customFormat="1" ht="12.75" x14ac:dyDescent="0.2">
      <c r="A1220" s="152"/>
      <c r="B1220" s="73"/>
      <c r="C1220" s="51" t="s">
        <v>494</v>
      </c>
      <c r="D1220" s="89" t="s">
        <v>223</v>
      </c>
      <c r="E1220" s="89"/>
      <c r="F1220" s="89"/>
      <c r="G1220" s="89"/>
      <c r="H1220" s="89"/>
      <c r="I1220" s="89"/>
      <c r="J1220" s="212"/>
      <c r="K1220" s="212"/>
      <c r="L1220" s="212"/>
      <c r="M1220" s="212"/>
      <c r="N1220" s="212">
        <f t="shared" si="36"/>
        <v>0</v>
      </c>
    </row>
    <row r="1221" spans="1:14" s="407" customFormat="1" ht="12.75" x14ac:dyDescent="0.2">
      <c r="A1221" s="152"/>
      <c r="B1221" s="73"/>
      <c r="C1221" s="51" t="s">
        <v>976</v>
      </c>
      <c r="D1221" s="89" t="s">
        <v>223</v>
      </c>
      <c r="E1221" s="89"/>
      <c r="F1221" s="89"/>
      <c r="G1221" s="89"/>
      <c r="H1221" s="89"/>
      <c r="I1221" s="89"/>
      <c r="J1221" s="212"/>
      <c r="K1221" s="212"/>
      <c r="L1221" s="212"/>
      <c r="M1221" s="212"/>
      <c r="N1221" s="212">
        <f t="shared" si="36"/>
        <v>0</v>
      </c>
    </row>
    <row r="1222" spans="1:14" s="407" customFormat="1" ht="12.75" x14ac:dyDescent="0.2">
      <c r="A1222" s="152"/>
      <c r="B1222" s="73"/>
      <c r="C1222" s="51" t="s">
        <v>1002</v>
      </c>
      <c r="D1222" s="89" t="s">
        <v>223</v>
      </c>
      <c r="E1222" s="89"/>
      <c r="F1222" s="89"/>
      <c r="G1222" s="89"/>
      <c r="H1222" s="89"/>
      <c r="I1222" s="89"/>
      <c r="J1222" s="212"/>
      <c r="K1222" s="212"/>
      <c r="L1222" s="212"/>
      <c r="M1222" s="212"/>
      <c r="N1222" s="212">
        <f t="shared" si="36"/>
        <v>0</v>
      </c>
    </row>
    <row r="1223" spans="1:14" s="407" customFormat="1" ht="12.75" x14ac:dyDescent="0.2">
      <c r="A1223" s="152"/>
      <c r="B1223" s="73"/>
      <c r="C1223" s="51" t="s">
        <v>1014</v>
      </c>
      <c r="D1223" s="89" t="s">
        <v>223</v>
      </c>
      <c r="E1223" s="89"/>
      <c r="F1223" s="89"/>
      <c r="G1223" s="89"/>
      <c r="H1223" s="89"/>
      <c r="I1223" s="89"/>
      <c r="J1223" s="212"/>
      <c r="K1223" s="212"/>
      <c r="L1223" s="212"/>
      <c r="M1223" s="212"/>
      <c r="N1223" s="212">
        <f t="shared" si="36"/>
        <v>0</v>
      </c>
    </row>
    <row r="1224" spans="1:14" s="407" customFormat="1" ht="12.75" x14ac:dyDescent="0.2">
      <c r="A1224" s="152"/>
      <c r="B1224" s="73"/>
      <c r="C1224" s="51" t="s">
        <v>998</v>
      </c>
      <c r="D1224" s="89" t="s">
        <v>223</v>
      </c>
      <c r="E1224" s="89"/>
      <c r="F1224" s="89"/>
      <c r="G1224" s="89"/>
      <c r="H1224" s="89"/>
      <c r="I1224" s="89"/>
      <c r="J1224" s="212"/>
      <c r="K1224" s="212"/>
      <c r="L1224" s="212"/>
      <c r="M1224" s="212"/>
      <c r="N1224" s="212">
        <f t="shared" si="36"/>
        <v>0</v>
      </c>
    </row>
    <row r="1225" spans="1:14" s="407" customFormat="1" ht="12.75" x14ac:dyDescent="0.2">
      <c r="A1225" s="152"/>
      <c r="B1225" s="73"/>
      <c r="C1225" s="51" t="s">
        <v>996</v>
      </c>
      <c r="D1225" s="89" t="s">
        <v>223</v>
      </c>
      <c r="E1225" s="89"/>
      <c r="F1225" s="89"/>
      <c r="G1225" s="89"/>
      <c r="H1225" s="89"/>
      <c r="I1225" s="89"/>
      <c r="J1225" s="212"/>
      <c r="K1225" s="212"/>
      <c r="L1225" s="212"/>
      <c r="M1225" s="212"/>
      <c r="N1225" s="212">
        <f t="shared" ref="N1225:N1288" si="37">SUMIFS(N$26:N$154,$C$26:$C$154,$C1225,$D$26:$D$154,$D1225)</f>
        <v>0</v>
      </c>
    </row>
    <row r="1226" spans="1:14" s="407" customFormat="1" ht="12.75" x14ac:dyDescent="0.2">
      <c r="A1226" s="152"/>
      <c r="B1226" s="73"/>
      <c r="C1226" s="51" t="s">
        <v>1043</v>
      </c>
      <c r="D1226" s="89" t="s">
        <v>223</v>
      </c>
      <c r="E1226" s="89"/>
      <c r="F1226" s="89"/>
      <c r="G1226" s="89"/>
      <c r="H1226" s="89"/>
      <c r="I1226" s="89"/>
      <c r="J1226" s="212"/>
      <c r="K1226" s="212"/>
      <c r="L1226" s="212"/>
      <c r="M1226" s="212"/>
      <c r="N1226" s="212">
        <f t="shared" si="37"/>
        <v>0</v>
      </c>
    </row>
    <row r="1227" spans="1:14" s="407" customFormat="1" ht="12.75" x14ac:dyDescent="0.2">
      <c r="A1227" s="152"/>
      <c r="B1227" s="73"/>
      <c r="C1227" s="51" t="s">
        <v>1044</v>
      </c>
      <c r="D1227" s="89" t="s">
        <v>223</v>
      </c>
      <c r="E1227" s="89"/>
      <c r="F1227" s="89"/>
      <c r="G1227" s="89"/>
      <c r="H1227" s="89"/>
      <c r="I1227" s="89"/>
      <c r="J1227" s="212"/>
      <c r="K1227" s="212"/>
      <c r="L1227" s="212"/>
      <c r="M1227" s="212"/>
      <c r="N1227" s="212">
        <f t="shared" si="37"/>
        <v>0</v>
      </c>
    </row>
    <row r="1228" spans="1:14" s="407" customFormat="1" ht="12.75" x14ac:dyDescent="0.2">
      <c r="A1228" s="152"/>
      <c r="B1228" s="73"/>
      <c r="C1228" s="51" t="s">
        <v>1039</v>
      </c>
      <c r="D1228" s="89" t="s">
        <v>223</v>
      </c>
      <c r="E1228" s="89"/>
      <c r="F1228" s="89"/>
      <c r="G1228" s="89"/>
      <c r="H1228" s="89"/>
      <c r="I1228" s="89"/>
      <c r="J1228" s="212"/>
      <c r="K1228" s="212"/>
      <c r="L1228" s="212"/>
      <c r="M1228" s="212"/>
      <c r="N1228" s="212">
        <f t="shared" si="37"/>
        <v>0</v>
      </c>
    </row>
    <row r="1229" spans="1:14" s="407" customFormat="1" ht="12.75" x14ac:dyDescent="0.2">
      <c r="A1229" s="152"/>
      <c r="B1229" s="73"/>
      <c r="C1229" s="51" t="s">
        <v>1028</v>
      </c>
      <c r="D1229" s="89" t="s">
        <v>223</v>
      </c>
      <c r="E1229" s="89"/>
      <c r="F1229" s="89"/>
      <c r="G1229" s="89"/>
      <c r="H1229" s="89"/>
      <c r="I1229" s="89"/>
      <c r="J1229" s="212"/>
      <c r="K1229" s="212"/>
      <c r="L1229" s="212"/>
      <c r="M1229" s="212"/>
      <c r="N1229" s="212">
        <f t="shared" si="37"/>
        <v>0</v>
      </c>
    </row>
    <row r="1230" spans="1:14" s="407" customFormat="1" ht="12.75" x14ac:dyDescent="0.2">
      <c r="A1230" s="152"/>
      <c r="B1230" s="73"/>
      <c r="C1230" s="51" t="s">
        <v>1029</v>
      </c>
      <c r="D1230" s="89" t="s">
        <v>223</v>
      </c>
      <c r="E1230" s="89"/>
      <c r="F1230" s="89"/>
      <c r="G1230" s="89"/>
      <c r="H1230" s="89"/>
      <c r="I1230" s="89"/>
      <c r="J1230" s="212"/>
      <c r="K1230" s="212"/>
      <c r="L1230" s="212"/>
      <c r="M1230" s="212"/>
      <c r="N1230" s="212">
        <f t="shared" si="37"/>
        <v>0</v>
      </c>
    </row>
    <row r="1231" spans="1:14" s="407" customFormat="1" ht="12.75" x14ac:dyDescent="0.2">
      <c r="A1231" s="152"/>
      <c r="B1231" s="73"/>
      <c r="C1231" s="51" t="s">
        <v>113</v>
      </c>
      <c r="D1231" s="89" t="s">
        <v>223</v>
      </c>
      <c r="E1231" s="89"/>
      <c r="F1231" s="89"/>
      <c r="G1231" s="89"/>
      <c r="H1231" s="89"/>
      <c r="I1231" s="89"/>
      <c r="J1231" s="212"/>
      <c r="K1231" s="212"/>
      <c r="L1231" s="212"/>
      <c r="M1231" s="212"/>
      <c r="N1231" s="212">
        <f t="shared" si="37"/>
        <v>0</v>
      </c>
    </row>
    <row r="1232" spans="1:14" s="407" customFormat="1" ht="12.75" x14ac:dyDescent="0.2">
      <c r="A1232" s="152"/>
      <c r="B1232" s="73"/>
      <c r="C1232" s="51" t="s">
        <v>1038</v>
      </c>
      <c r="D1232" s="89" t="s">
        <v>223</v>
      </c>
      <c r="E1232" s="89"/>
      <c r="F1232" s="89"/>
      <c r="G1232" s="89"/>
      <c r="H1232" s="89"/>
      <c r="I1232" s="89"/>
      <c r="J1232" s="212"/>
      <c r="K1232" s="212"/>
      <c r="L1232" s="212"/>
      <c r="M1232" s="212"/>
      <c r="N1232" s="212">
        <f t="shared" si="37"/>
        <v>0</v>
      </c>
    </row>
    <row r="1233" spans="1:14" s="407" customFormat="1" ht="12.75" x14ac:dyDescent="0.2">
      <c r="A1233" s="152"/>
      <c r="B1233" s="73"/>
      <c r="C1233" s="51" t="s">
        <v>1033</v>
      </c>
      <c r="D1233" s="89" t="s">
        <v>223</v>
      </c>
      <c r="E1233" s="89"/>
      <c r="F1233" s="89"/>
      <c r="G1233" s="89"/>
      <c r="H1233" s="89"/>
      <c r="I1233" s="89"/>
      <c r="J1233" s="212"/>
      <c r="K1233" s="212"/>
      <c r="L1233" s="212"/>
      <c r="M1233" s="212"/>
      <c r="N1233" s="212">
        <f t="shared" si="37"/>
        <v>0</v>
      </c>
    </row>
    <row r="1234" spans="1:14" s="407" customFormat="1" ht="12.75" x14ac:dyDescent="0.2">
      <c r="A1234" s="152"/>
      <c r="B1234" s="73"/>
      <c r="C1234" s="51" t="s">
        <v>1007</v>
      </c>
      <c r="D1234" s="89" t="s">
        <v>223</v>
      </c>
      <c r="E1234" s="89"/>
      <c r="F1234" s="89"/>
      <c r="G1234" s="89"/>
      <c r="H1234" s="89"/>
      <c r="I1234" s="89"/>
      <c r="J1234" s="212"/>
      <c r="K1234" s="212"/>
      <c r="L1234" s="212"/>
      <c r="M1234" s="212"/>
      <c r="N1234" s="212">
        <f t="shared" si="37"/>
        <v>0</v>
      </c>
    </row>
    <row r="1235" spans="1:14" s="407" customFormat="1" ht="12.75" x14ac:dyDescent="0.2">
      <c r="A1235" s="152"/>
      <c r="B1235" s="73"/>
      <c r="C1235" s="51" t="s">
        <v>969</v>
      </c>
      <c r="D1235" s="89" t="s">
        <v>223</v>
      </c>
      <c r="E1235" s="89"/>
      <c r="F1235" s="89"/>
      <c r="G1235" s="89"/>
      <c r="H1235" s="89"/>
      <c r="I1235" s="89"/>
      <c r="J1235" s="212"/>
      <c r="K1235" s="212"/>
      <c r="L1235" s="212"/>
      <c r="M1235" s="212"/>
      <c r="N1235" s="212">
        <f t="shared" si="37"/>
        <v>0</v>
      </c>
    </row>
    <row r="1236" spans="1:14" s="407" customFormat="1" ht="12.75" x14ac:dyDescent="0.2">
      <c r="A1236" s="152"/>
      <c r="B1236" s="73"/>
      <c r="C1236" s="51" t="s">
        <v>987</v>
      </c>
      <c r="D1236" s="89" t="s">
        <v>223</v>
      </c>
      <c r="E1236" s="89"/>
      <c r="F1236" s="89"/>
      <c r="G1236" s="89"/>
      <c r="H1236" s="89"/>
      <c r="I1236" s="89"/>
      <c r="J1236" s="212"/>
      <c r="K1236" s="212"/>
      <c r="L1236" s="212"/>
      <c r="M1236" s="212"/>
      <c r="N1236" s="212">
        <f t="shared" si="37"/>
        <v>0</v>
      </c>
    </row>
    <row r="1237" spans="1:14" s="407" customFormat="1" ht="12.75" x14ac:dyDescent="0.2">
      <c r="A1237" s="152"/>
      <c r="B1237" s="73"/>
      <c r="C1237" s="51" t="s">
        <v>1000</v>
      </c>
      <c r="D1237" s="89" t="s">
        <v>223</v>
      </c>
      <c r="E1237" s="89"/>
      <c r="F1237" s="89"/>
      <c r="G1237" s="89"/>
      <c r="H1237" s="89"/>
      <c r="I1237" s="89"/>
      <c r="J1237" s="212"/>
      <c r="K1237" s="212"/>
      <c r="L1237" s="212"/>
      <c r="M1237" s="212"/>
      <c r="N1237" s="212">
        <f t="shared" si="37"/>
        <v>0</v>
      </c>
    </row>
    <row r="1238" spans="1:14" s="407" customFormat="1" ht="12.75" x14ac:dyDescent="0.2">
      <c r="A1238" s="152"/>
      <c r="B1238" s="73"/>
      <c r="C1238" s="51" t="s">
        <v>116</v>
      </c>
      <c r="D1238" s="89" t="s">
        <v>223</v>
      </c>
      <c r="E1238" s="89"/>
      <c r="F1238" s="89"/>
      <c r="G1238" s="89"/>
      <c r="H1238" s="89"/>
      <c r="I1238" s="89"/>
      <c r="J1238" s="212"/>
      <c r="K1238" s="212"/>
      <c r="L1238" s="212"/>
      <c r="M1238" s="212"/>
      <c r="N1238" s="212">
        <f t="shared" si="37"/>
        <v>0</v>
      </c>
    </row>
    <row r="1239" spans="1:14" s="407" customFormat="1" ht="12.75" x14ac:dyDescent="0.2">
      <c r="A1239" s="152"/>
      <c r="B1239" s="73"/>
      <c r="C1239" s="51" t="s">
        <v>114</v>
      </c>
      <c r="D1239" s="89" t="s">
        <v>223</v>
      </c>
      <c r="E1239" s="89"/>
      <c r="F1239" s="89"/>
      <c r="G1239" s="89"/>
      <c r="H1239" s="89"/>
      <c r="I1239" s="89"/>
      <c r="J1239" s="212"/>
      <c r="K1239" s="212"/>
      <c r="L1239" s="212"/>
      <c r="M1239" s="212"/>
      <c r="N1239" s="212">
        <f t="shared" si="37"/>
        <v>0</v>
      </c>
    </row>
    <row r="1240" spans="1:14" s="407" customFormat="1" ht="12.75" x14ac:dyDescent="0.2">
      <c r="A1240" s="152"/>
      <c r="B1240" s="73"/>
      <c r="C1240" s="51" t="s">
        <v>111</v>
      </c>
      <c r="D1240" s="89" t="s">
        <v>223</v>
      </c>
      <c r="E1240" s="89"/>
      <c r="F1240" s="89"/>
      <c r="G1240" s="89"/>
      <c r="H1240" s="89"/>
      <c r="I1240" s="89"/>
      <c r="J1240" s="212"/>
      <c r="K1240" s="212"/>
      <c r="L1240" s="212"/>
      <c r="M1240" s="212"/>
      <c r="N1240" s="212">
        <f t="shared" si="37"/>
        <v>0</v>
      </c>
    </row>
    <row r="1241" spans="1:14" s="407" customFormat="1" ht="12.75" x14ac:dyDescent="0.2">
      <c r="A1241" s="152"/>
      <c r="B1241" s="73"/>
      <c r="C1241" s="51" t="s">
        <v>117</v>
      </c>
      <c r="D1241" s="89" t="s">
        <v>223</v>
      </c>
      <c r="E1241" s="89"/>
      <c r="F1241" s="89"/>
      <c r="G1241" s="89"/>
      <c r="H1241" s="89"/>
      <c r="I1241" s="89"/>
      <c r="J1241" s="212"/>
      <c r="K1241" s="212"/>
      <c r="L1241" s="212"/>
      <c r="M1241" s="212"/>
      <c r="N1241" s="212">
        <f t="shared" si="37"/>
        <v>0</v>
      </c>
    </row>
    <row r="1242" spans="1:14" s="407" customFormat="1" ht="12.75" x14ac:dyDescent="0.2">
      <c r="A1242" s="152"/>
      <c r="B1242" s="73"/>
      <c r="C1242" s="51" t="s">
        <v>112</v>
      </c>
      <c r="D1242" s="89" t="s">
        <v>223</v>
      </c>
      <c r="E1242" s="89"/>
      <c r="F1242" s="89"/>
      <c r="G1242" s="89"/>
      <c r="H1242" s="89"/>
      <c r="I1242" s="89"/>
      <c r="J1242" s="212"/>
      <c r="K1242" s="212"/>
      <c r="L1242" s="212"/>
      <c r="M1242" s="212"/>
      <c r="N1242" s="212">
        <f t="shared" si="37"/>
        <v>0</v>
      </c>
    </row>
    <row r="1243" spans="1:14" s="407" customFormat="1" ht="12.75" x14ac:dyDescent="0.2">
      <c r="A1243" s="152"/>
      <c r="B1243" s="73"/>
      <c r="C1243" s="51" t="s">
        <v>136</v>
      </c>
      <c r="D1243" s="89" t="s">
        <v>223</v>
      </c>
      <c r="E1243" s="89"/>
      <c r="F1243" s="89"/>
      <c r="G1243" s="89"/>
      <c r="H1243" s="89"/>
      <c r="I1243" s="89"/>
      <c r="J1243" s="212"/>
      <c r="K1243" s="212"/>
      <c r="L1243" s="212"/>
      <c r="M1243" s="212"/>
      <c r="N1243" s="212">
        <f t="shared" si="37"/>
        <v>0</v>
      </c>
    </row>
    <row r="1244" spans="1:14" s="407" customFormat="1" ht="12.75" x14ac:dyDescent="0.2">
      <c r="A1244" s="152"/>
      <c r="B1244" s="73"/>
      <c r="C1244" s="51" t="s">
        <v>962</v>
      </c>
      <c r="D1244" s="89" t="s">
        <v>223</v>
      </c>
      <c r="E1244" s="89"/>
      <c r="F1244" s="89"/>
      <c r="G1244" s="89"/>
      <c r="H1244" s="89"/>
      <c r="I1244" s="89"/>
      <c r="J1244" s="212"/>
      <c r="K1244" s="212"/>
      <c r="L1244" s="212"/>
      <c r="M1244" s="212"/>
      <c r="N1244" s="212">
        <f t="shared" si="37"/>
        <v>0</v>
      </c>
    </row>
    <row r="1245" spans="1:14" s="407" customFormat="1" ht="12.75" x14ac:dyDescent="0.2">
      <c r="A1245" s="152"/>
      <c r="B1245" s="73"/>
      <c r="C1245" s="51" t="s">
        <v>115</v>
      </c>
      <c r="D1245" s="89" t="s">
        <v>223</v>
      </c>
      <c r="E1245" s="89"/>
      <c r="F1245" s="89"/>
      <c r="G1245" s="89"/>
      <c r="H1245" s="89"/>
      <c r="I1245" s="89"/>
      <c r="J1245" s="212"/>
      <c r="K1245" s="212"/>
      <c r="L1245" s="212"/>
      <c r="M1245" s="212"/>
      <c r="N1245" s="212">
        <f t="shared" si="37"/>
        <v>0</v>
      </c>
    </row>
    <row r="1246" spans="1:14" s="407" customFormat="1" ht="12.75" x14ac:dyDescent="0.2">
      <c r="A1246" s="152"/>
      <c r="B1246" s="73"/>
      <c r="C1246" s="51" t="s">
        <v>997</v>
      </c>
      <c r="D1246" s="89" t="s">
        <v>223</v>
      </c>
      <c r="E1246" s="89"/>
      <c r="F1246" s="89"/>
      <c r="G1246" s="89"/>
      <c r="H1246" s="89"/>
      <c r="I1246" s="89"/>
      <c r="J1246" s="212"/>
      <c r="K1246" s="212"/>
      <c r="L1246" s="212"/>
      <c r="M1246" s="212"/>
      <c r="N1246" s="212">
        <f t="shared" si="37"/>
        <v>0</v>
      </c>
    </row>
    <row r="1247" spans="1:14" s="407" customFormat="1" ht="12.75" x14ac:dyDescent="0.2">
      <c r="A1247" s="152"/>
      <c r="B1247" s="73"/>
      <c r="C1247" s="51" t="s">
        <v>999</v>
      </c>
      <c r="D1247" s="89" t="s">
        <v>223</v>
      </c>
      <c r="E1247" s="89"/>
      <c r="F1247" s="89"/>
      <c r="G1247" s="89"/>
      <c r="H1247" s="89"/>
      <c r="I1247" s="89"/>
      <c r="J1247" s="212"/>
      <c r="K1247" s="212"/>
      <c r="L1247" s="212"/>
      <c r="M1247" s="212"/>
      <c r="N1247" s="212">
        <f t="shared" si="37"/>
        <v>0</v>
      </c>
    </row>
    <row r="1248" spans="1:14" s="407" customFormat="1" ht="12.75" x14ac:dyDescent="0.2">
      <c r="A1248" s="152"/>
      <c r="B1248" s="73"/>
      <c r="C1248" s="51" t="s">
        <v>1049</v>
      </c>
      <c r="D1248" s="89" t="s">
        <v>223</v>
      </c>
      <c r="E1248" s="89"/>
      <c r="F1248" s="89"/>
      <c r="G1248" s="89"/>
      <c r="H1248" s="89"/>
      <c r="I1248" s="89"/>
      <c r="J1248" s="212"/>
      <c r="K1248" s="212"/>
      <c r="L1248" s="212"/>
      <c r="M1248" s="212"/>
      <c r="N1248" s="212">
        <f t="shared" si="37"/>
        <v>0</v>
      </c>
    </row>
    <row r="1249" spans="1:14" s="407" customFormat="1" ht="12.75" x14ac:dyDescent="0.2">
      <c r="A1249" s="152"/>
      <c r="B1249" s="73"/>
      <c r="C1249" s="51" t="s">
        <v>96</v>
      </c>
      <c r="D1249" s="89" t="s">
        <v>223</v>
      </c>
      <c r="E1249" s="89"/>
      <c r="F1249" s="89"/>
      <c r="G1249" s="89"/>
      <c r="H1249" s="89"/>
      <c r="I1249" s="89"/>
      <c r="J1249" s="212"/>
      <c r="K1249" s="212"/>
      <c r="L1249" s="212"/>
      <c r="M1249" s="212"/>
      <c r="N1249" s="212">
        <f t="shared" si="37"/>
        <v>0</v>
      </c>
    </row>
    <row r="1250" spans="1:14" s="407" customFormat="1" ht="12.75" x14ac:dyDescent="0.2">
      <c r="A1250" s="152"/>
      <c r="B1250" s="73"/>
      <c r="C1250" s="51" t="s">
        <v>983</v>
      </c>
      <c r="D1250" s="89" t="s">
        <v>223</v>
      </c>
      <c r="E1250" s="89"/>
      <c r="F1250" s="89"/>
      <c r="G1250" s="89"/>
      <c r="H1250" s="89"/>
      <c r="I1250" s="89"/>
      <c r="J1250" s="212"/>
      <c r="K1250" s="212"/>
      <c r="L1250" s="212"/>
      <c r="M1250" s="212"/>
      <c r="N1250" s="212">
        <f t="shared" si="37"/>
        <v>0</v>
      </c>
    </row>
    <row r="1251" spans="1:14" s="407" customFormat="1" ht="12.75" x14ac:dyDescent="0.2">
      <c r="A1251" s="152"/>
      <c r="B1251" s="73"/>
      <c r="C1251" s="51" t="s">
        <v>1042</v>
      </c>
      <c r="D1251" s="89" t="s">
        <v>223</v>
      </c>
      <c r="E1251" s="89"/>
      <c r="F1251" s="89"/>
      <c r="G1251" s="89"/>
      <c r="H1251" s="89"/>
      <c r="I1251" s="89"/>
      <c r="J1251" s="212"/>
      <c r="K1251" s="212"/>
      <c r="L1251" s="212"/>
      <c r="M1251" s="212"/>
      <c r="N1251" s="212">
        <f t="shared" si="37"/>
        <v>0</v>
      </c>
    </row>
    <row r="1252" spans="1:14" s="407" customFormat="1" ht="12.75" x14ac:dyDescent="0.2">
      <c r="A1252" s="152"/>
      <c r="B1252" s="73"/>
      <c r="C1252" s="51" t="s">
        <v>979</v>
      </c>
      <c r="D1252" s="89" t="s">
        <v>223</v>
      </c>
      <c r="E1252" s="89"/>
      <c r="F1252" s="89"/>
      <c r="G1252" s="89"/>
      <c r="H1252" s="89"/>
      <c r="I1252" s="89"/>
      <c r="J1252" s="212"/>
      <c r="K1252" s="212"/>
      <c r="L1252" s="212"/>
      <c r="M1252" s="212"/>
      <c r="N1252" s="212">
        <f t="shared" si="37"/>
        <v>0</v>
      </c>
    </row>
    <row r="1253" spans="1:14" s="407" customFormat="1" ht="12.75" x14ac:dyDescent="0.2">
      <c r="A1253" s="152"/>
      <c r="B1253" s="73"/>
      <c r="C1253" s="51" t="s">
        <v>47</v>
      </c>
      <c r="D1253" s="89" t="s">
        <v>223</v>
      </c>
      <c r="E1253" s="89"/>
      <c r="F1253" s="89"/>
      <c r="G1253" s="89"/>
      <c r="H1253" s="89"/>
      <c r="I1253" s="89"/>
      <c r="J1253" s="212"/>
      <c r="K1253" s="212"/>
      <c r="L1253" s="212"/>
      <c r="M1253" s="212"/>
      <c r="N1253" s="212">
        <f t="shared" si="37"/>
        <v>0</v>
      </c>
    </row>
    <row r="1254" spans="1:14" s="407" customFormat="1" ht="12.75" x14ac:dyDescent="0.2">
      <c r="A1254" s="152"/>
      <c r="B1254" s="73"/>
      <c r="C1254" s="51" t="s">
        <v>48</v>
      </c>
      <c r="D1254" s="89" t="s">
        <v>223</v>
      </c>
      <c r="E1254" s="89"/>
      <c r="F1254" s="89"/>
      <c r="G1254" s="89"/>
      <c r="H1254" s="89"/>
      <c r="I1254" s="89"/>
      <c r="J1254" s="212"/>
      <c r="K1254" s="212"/>
      <c r="L1254" s="212"/>
      <c r="M1254" s="212"/>
      <c r="N1254" s="212">
        <f t="shared" si="37"/>
        <v>0</v>
      </c>
    </row>
    <row r="1255" spans="1:14" s="407" customFormat="1" ht="12.75" x14ac:dyDescent="0.2">
      <c r="A1255" s="152"/>
      <c r="B1255" s="73"/>
      <c r="C1255" s="51" t="s">
        <v>1051</v>
      </c>
      <c r="D1255" s="89" t="s">
        <v>223</v>
      </c>
      <c r="E1255" s="89"/>
      <c r="F1255" s="89"/>
      <c r="G1255" s="89"/>
      <c r="H1255" s="89"/>
      <c r="I1255" s="89"/>
      <c r="J1255" s="212"/>
      <c r="K1255" s="212"/>
      <c r="L1255" s="212"/>
      <c r="M1255" s="212"/>
      <c r="N1255" s="212">
        <f t="shared" si="37"/>
        <v>0</v>
      </c>
    </row>
    <row r="1256" spans="1:14" s="407" customFormat="1" ht="12.75" x14ac:dyDescent="0.2">
      <c r="A1256" s="152"/>
      <c r="B1256" s="73"/>
      <c r="C1256" s="51" t="s">
        <v>929</v>
      </c>
      <c r="D1256" s="89" t="s">
        <v>223</v>
      </c>
      <c r="E1256" s="89"/>
      <c r="F1256" s="89"/>
      <c r="G1256" s="89"/>
      <c r="H1256" s="89"/>
      <c r="I1256" s="89"/>
      <c r="J1256" s="212"/>
      <c r="K1256" s="212"/>
      <c r="L1256" s="212"/>
      <c r="M1256" s="212"/>
      <c r="N1256" s="212">
        <f t="shared" si="37"/>
        <v>0</v>
      </c>
    </row>
    <row r="1257" spans="1:14" s="407" customFormat="1" ht="12.75" x14ac:dyDescent="0.2">
      <c r="A1257" s="152"/>
      <c r="B1257" s="73"/>
      <c r="C1257" s="51" t="s">
        <v>970</v>
      </c>
      <c r="D1257" s="89" t="s">
        <v>223</v>
      </c>
      <c r="E1257" s="89"/>
      <c r="F1257" s="89"/>
      <c r="G1257" s="89"/>
      <c r="H1257" s="89"/>
      <c r="I1257" s="89"/>
      <c r="J1257" s="212"/>
      <c r="K1257" s="212"/>
      <c r="L1257" s="212"/>
      <c r="M1257" s="212"/>
      <c r="N1257" s="212">
        <f t="shared" si="37"/>
        <v>0</v>
      </c>
    </row>
    <row r="1258" spans="1:14" s="407" customFormat="1" ht="12.75" x14ac:dyDescent="0.2">
      <c r="A1258" s="152"/>
      <c r="B1258" s="73"/>
      <c r="C1258" s="51" t="s">
        <v>122</v>
      </c>
      <c r="D1258" s="89" t="s">
        <v>223</v>
      </c>
      <c r="E1258" s="89"/>
      <c r="F1258" s="89"/>
      <c r="G1258" s="89"/>
      <c r="H1258" s="89"/>
      <c r="I1258" s="89"/>
      <c r="J1258" s="212"/>
      <c r="K1258" s="212"/>
      <c r="L1258" s="212"/>
      <c r="M1258" s="212"/>
      <c r="N1258" s="212">
        <f t="shared" si="37"/>
        <v>0</v>
      </c>
    </row>
    <row r="1259" spans="1:14" s="407" customFormat="1" ht="12.75" x14ac:dyDescent="0.2">
      <c r="A1259" s="152"/>
      <c r="B1259" s="73"/>
      <c r="C1259" s="51" t="s">
        <v>135</v>
      </c>
      <c r="D1259" s="89" t="s">
        <v>223</v>
      </c>
      <c r="E1259" s="89"/>
      <c r="F1259" s="89"/>
      <c r="G1259" s="89"/>
      <c r="H1259" s="89"/>
      <c r="I1259" s="89"/>
      <c r="J1259" s="212"/>
      <c r="K1259" s="212"/>
      <c r="L1259" s="212"/>
      <c r="M1259" s="212"/>
      <c r="N1259" s="212">
        <f t="shared" si="37"/>
        <v>0</v>
      </c>
    </row>
    <row r="1260" spans="1:14" s="407" customFormat="1" ht="12.75" x14ac:dyDescent="0.2">
      <c r="A1260" s="152"/>
      <c r="B1260" s="73"/>
      <c r="C1260" s="51" t="s">
        <v>123</v>
      </c>
      <c r="D1260" s="89" t="s">
        <v>223</v>
      </c>
      <c r="E1260" s="89"/>
      <c r="F1260" s="89"/>
      <c r="G1260" s="89"/>
      <c r="H1260" s="89"/>
      <c r="I1260" s="89"/>
      <c r="J1260" s="212"/>
      <c r="K1260" s="212"/>
      <c r="L1260" s="212"/>
      <c r="M1260" s="212"/>
      <c r="N1260" s="212">
        <f t="shared" si="37"/>
        <v>0</v>
      </c>
    </row>
    <row r="1261" spans="1:14" s="407" customFormat="1" ht="12.75" x14ac:dyDescent="0.2">
      <c r="A1261" s="152"/>
      <c r="B1261" s="73"/>
      <c r="C1261" s="51" t="s">
        <v>974</v>
      </c>
      <c r="D1261" s="89" t="s">
        <v>223</v>
      </c>
      <c r="E1261" s="89"/>
      <c r="F1261" s="89"/>
      <c r="G1261" s="89"/>
      <c r="H1261" s="89"/>
      <c r="I1261" s="89"/>
      <c r="J1261" s="212"/>
      <c r="K1261" s="212"/>
      <c r="L1261" s="212"/>
      <c r="M1261" s="212"/>
      <c r="N1261" s="212">
        <f t="shared" si="37"/>
        <v>0</v>
      </c>
    </row>
    <row r="1262" spans="1:14" s="407" customFormat="1" ht="12.75" x14ac:dyDescent="0.2">
      <c r="A1262" s="152"/>
      <c r="B1262" s="73"/>
      <c r="C1262" s="51" t="s">
        <v>975</v>
      </c>
      <c r="D1262" s="89" t="s">
        <v>223</v>
      </c>
      <c r="E1262" s="89"/>
      <c r="F1262" s="89"/>
      <c r="G1262" s="89"/>
      <c r="H1262" s="89"/>
      <c r="I1262" s="89"/>
      <c r="J1262" s="212"/>
      <c r="K1262" s="212"/>
      <c r="L1262" s="212"/>
      <c r="M1262" s="212"/>
      <c r="N1262" s="212">
        <f t="shared" si="37"/>
        <v>0</v>
      </c>
    </row>
    <row r="1263" spans="1:14" s="407" customFormat="1" ht="12.75" x14ac:dyDescent="0.2">
      <c r="A1263" s="152"/>
      <c r="B1263" s="73"/>
      <c r="C1263" s="51" t="s">
        <v>126</v>
      </c>
      <c r="D1263" s="89" t="s">
        <v>223</v>
      </c>
      <c r="E1263" s="89"/>
      <c r="F1263" s="89"/>
      <c r="G1263" s="89"/>
      <c r="H1263" s="89"/>
      <c r="I1263" s="89"/>
      <c r="J1263" s="212"/>
      <c r="K1263" s="212"/>
      <c r="L1263" s="212"/>
      <c r="M1263" s="212"/>
      <c r="N1263" s="212">
        <f t="shared" si="37"/>
        <v>0</v>
      </c>
    </row>
    <row r="1264" spans="1:14" s="407" customFormat="1" ht="12.75" x14ac:dyDescent="0.2">
      <c r="A1264" s="152"/>
      <c r="B1264" s="73"/>
      <c r="C1264" s="51" t="s">
        <v>127</v>
      </c>
      <c r="D1264" s="89" t="s">
        <v>223</v>
      </c>
      <c r="E1264" s="89"/>
      <c r="F1264" s="89"/>
      <c r="G1264" s="89"/>
      <c r="H1264" s="89"/>
      <c r="I1264" s="89"/>
      <c r="J1264" s="212"/>
      <c r="K1264" s="212"/>
      <c r="L1264" s="212"/>
      <c r="M1264" s="212"/>
      <c r="N1264" s="212">
        <f t="shared" si="37"/>
        <v>0</v>
      </c>
    </row>
    <row r="1265" spans="1:14" s="407" customFormat="1" ht="12.75" x14ac:dyDescent="0.2">
      <c r="A1265" s="152"/>
      <c r="B1265" s="73"/>
      <c r="C1265" s="51" t="s">
        <v>130</v>
      </c>
      <c r="D1265" s="89" t="s">
        <v>223</v>
      </c>
      <c r="E1265" s="89"/>
      <c r="F1265" s="89"/>
      <c r="G1265" s="89"/>
      <c r="H1265" s="89"/>
      <c r="I1265" s="89"/>
      <c r="J1265" s="212"/>
      <c r="K1265" s="212"/>
      <c r="L1265" s="212"/>
      <c r="M1265" s="212"/>
      <c r="N1265" s="212">
        <f t="shared" si="37"/>
        <v>0</v>
      </c>
    </row>
    <row r="1266" spans="1:14" s="407" customFormat="1" ht="12.75" x14ac:dyDescent="0.2">
      <c r="A1266" s="152"/>
      <c r="B1266" s="73"/>
      <c r="C1266" s="51" t="s">
        <v>125</v>
      </c>
      <c r="D1266" s="89" t="s">
        <v>223</v>
      </c>
      <c r="E1266" s="89"/>
      <c r="F1266" s="89"/>
      <c r="G1266" s="89"/>
      <c r="H1266" s="89"/>
      <c r="I1266" s="89"/>
      <c r="J1266" s="212"/>
      <c r="K1266" s="212"/>
      <c r="L1266" s="212"/>
      <c r="M1266" s="212"/>
      <c r="N1266" s="212">
        <f t="shared" si="37"/>
        <v>0</v>
      </c>
    </row>
    <row r="1267" spans="1:14" s="407" customFormat="1" ht="12.75" x14ac:dyDescent="0.2">
      <c r="A1267" s="152"/>
      <c r="B1267" s="73"/>
      <c r="C1267" s="51" t="s">
        <v>128</v>
      </c>
      <c r="D1267" s="89" t="s">
        <v>223</v>
      </c>
      <c r="E1267" s="89"/>
      <c r="F1267" s="89"/>
      <c r="G1267" s="89"/>
      <c r="H1267" s="89"/>
      <c r="I1267" s="89"/>
      <c r="J1267" s="212"/>
      <c r="K1267" s="212"/>
      <c r="L1267" s="212"/>
      <c r="M1267" s="212"/>
      <c r="N1267" s="212">
        <f t="shared" si="37"/>
        <v>0</v>
      </c>
    </row>
    <row r="1268" spans="1:14" s="407" customFormat="1" ht="12.75" x14ac:dyDescent="0.2">
      <c r="A1268" s="152"/>
      <c r="B1268" s="73"/>
      <c r="C1268" s="51" t="s">
        <v>1016</v>
      </c>
      <c r="D1268" s="89" t="s">
        <v>223</v>
      </c>
      <c r="E1268" s="89"/>
      <c r="F1268" s="89"/>
      <c r="G1268" s="89"/>
      <c r="H1268" s="89"/>
      <c r="I1268" s="89"/>
      <c r="J1268" s="212"/>
      <c r="K1268" s="212"/>
      <c r="L1268" s="212"/>
      <c r="M1268" s="212"/>
      <c r="N1268" s="212">
        <f t="shared" si="37"/>
        <v>0</v>
      </c>
    </row>
    <row r="1269" spans="1:14" s="407" customFormat="1" ht="12.75" x14ac:dyDescent="0.2">
      <c r="A1269" s="152"/>
      <c r="B1269" s="73"/>
      <c r="C1269" s="51" t="s">
        <v>1015</v>
      </c>
      <c r="D1269" s="89" t="s">
        <v>223</v>
      </c>
      <c r="E1269" s="89"/>
      <c r="F1269" s="89"/>
      <c r="G1269" s="89"/>
      <c r="H1269" s="89"/>
      <c r="I1269" s="89"/>
      <c r="J1269" s="212"/>
      <c r="K1269" s="212"/>
      <c r="L1269" s="212"/>
      <c r="M1269" s="212"/>
      <c r="N1269" s="212">
        <f t="shared" si="37"/>
        <v>0</v>
      </c>
    </row>
    <row r="1270" spans="1:14" s="407" customFormat="1" ht="12.75" x14ac:dyDescent="0.2">
      <c r="A1270" s="152"/>
      <c r="B1270" s="73"/>
      <c r="C1270" s="51" t="s">
        <v>930</v>
      </c>
      <c r="D1270" s="89" t="s">
        <v>223</v>
      </c>
      <c r="E1270" s="89"/>
      <c r="F1270" s="89"/>
      <c r="G1270" s="89"/>
      <c r="H1270" s="89"/>
      <c r="I1270" s="89"/>
      <c r="J1270" s="212"/>
      <c r="K1270" s="212"/>
      <c r="L1270" s="212"/>
      <c r="M1270" s="212"/>
      <c r="N1270" s="212">
        <f t="shared" si="37"/>
        <v>0</v>
      </c>
    </row>
    <row r="1271" spans="1:14" s="407" customFormat="1" ht="12.75" x14ac:dyDescent="0.2">
      <c r="A1271" s="152"/>
      <c r="B1271" s="73"/>
      <c r="C1271" s="51" t="s">
        <v>931</v>
      </c>
      <c r="D1271" s="89" t="s">
        <v>223</v>
      </c>
      <c r="E1271" s="89"/>
      <c r="F1271" s="89"/>
      <c r="G1271" s="89"/>
      <c r="H1271" s="89"/>
      <c r="I1271" s="89"/>
      <c r="J1271" s="212"/>
      <c r="K1271" s="212"/>
      <c r="L1271" s="212"/>
      <c r="M1271" s="212"/>
      <c r="N1271" s="212">
        <f t="shared" si="37"/>
        <v>0</v>
      </c>
    </row>
    <row r="1272" spans="1:14" s="407" customFormat="1" ht="12.75" x14ac:dyDescent="0.2">
      <c r="A1272" s="152"/>
      <c r="B1272" s="73"/>
      <c r="C1272" s="51" t="s">
        <v>926</v>
      </c>
      <c r="D1272" s="89" t="s">
        <v>223</v>
      </c>
      <c r="E1272" s="89"/>
      <c r="F1272" s="89"/>
      <c r="G1272" s="89"/>
      <c r="H1272" s="89"/>
      <c r="I1272" s="89"/>
      <c r="J1272" s="212"/>
      <c r="K1272" s="212"/>
      <c r="L1272" s="212"/>
      <c r="M1272" s="212"/>
      <c r="N1272" s="212">
        <f t="shared" si="37"/>
        <v>0</v>
      </c>
    </row>
    <row r="1273" spans="1:14" s="407" customFormat="1" ht="12.75" x14ac:dyDescent="0.2">
      <c r="A1273" s="152"/>
      <c r="B1273" s="73"/>
      <c r="C1273" s="51" t="s">
        <v>110</v>
      </c>
      <c r="D1273" s="89" t="s">
        <v>223</v>
      </c>
      <c r="E1273" s="89"/>
      <c r="F1273" s="89"/>
      <c r="G1273" s="89"/>
      <c r="H1273" s="89"/>
      <c r="I1273" s="89"/>
      <c r="J1273" s="212"/>
      <c r="K1273" s="212"/>
      <c r="L1273" s="212"/>
      <c r="M1273" s="212"/>
      <c r="N1273" s="212">
        <f t="shared" si="37"/>
        <v>0</v>
      </c>
    </row>
    <row r="1274" spans="1:14" s="407" customFormat="1" ht="12.75" x14ac:dyDescent="0.2">
      <c r="A1274" s="152"/>
      <c r="B1274" s="73"/>
      <c r="C1274" s="51" t="s">
        <v>133</v>
      </c>
      <c r="D1274" s="89" t="s">
        <v>223</v>
      </c>
      <c r="E1274" s="89"/>
      <c r="F1274" s="89"/>
      <c r="G1274" s="89"/>
      <c r="H1274" s="89"/>
      <c r="I1274" s="89"/>
      <c r="J1274" s="212"/>
      <c r="K1274" s="212"/>
      <c r="L1274" s="212"/>
      <c r="M1274" s="212"/>
      <c r="N1274" s="212">
        <f t="shared" si="37"/>
        <v>0</v>
      </c>
    </row>
    <row r="1275" spans="1:14" s="407" customFormat="1" ht="12.75" x14ac:dyDescent="0.2">
      <c r="A1275" s="152"/>
      <c r="B1275" s="73"/>
      <c r="C1275" s="51" t="s">
        <v>134</v>
      </c>
      <c r="D1275" s="89" t="s">
        <v>223</v>
      </c>
      <c r="E1275" s="89"/>
      <c r="F1275" s="89"/>
      <c r="G1275" s="89"/>
      <c r="H1275" s="89"/>
      <c r="I1275" s="89"/>
      <c r="J1275" s="212"/>
      <c r="K1275" s="212"/>
      <c r="L1275" s="212"/>
      <c r="M1275" s="212"/>
      <c r="N1275" s="212">
        <f t="shared" si="37"/>
        <v>0</v>
      </c>
    </row>
    <row r="1276" spans="1:14" s="407" customFormat="1" ht="12.75" x14ac:dyDescent="0.2">
      <c r="A1276" s="152"/>
      <c r="B1276" s="73"/>
      <c r="C1276" s="51" t="s">
        <v>138</v>
      </c>
      <c r="D1276" s="89" t="s">
        <v>223</v>
      </c>
      <c r="E1276" s="89"/>
      <c r="F1276" s="89"/>
      <c r="G1276" s="89"/>
      <c r="H1276" s="89"/>
      <c r="I1276" s="89"/>
      <c r="J1276" s="212"/>
      <c r="K1276" s="212"/>
      <c r="L1276" s="212"/>
      <c r="M1276" s="212"/>
      <c r="N1276" s="212">
        <f t="shared" si="37"/>
        <v>0</v>
      </c>
    </row>
    <row r="1277" spans="1:14" s="407" customFormat="1" ht="12.75" x14ac:dyDescent="0.2">
      <c r="A1277" s="152"/>
      <c r="B1277" s="73"/>
      <c r="C1277" s="51" t="s">
        <v>106</v>
      </c>
      <c r="D1277" s="89" t="s">
        <v>223</v>
      </c>
      <c r="E1277" s="89"/>
      <c r="F1277" s="89"/>
      <c r="G1277" s="89"/>
      <c r="H1277" s="89"/>
      <c r="I1277" s="89"/>
      <c r="J1277" s="212"/>
      <c r="K1277" s="212"/>
      <c r="L1277" s="212"/>
      <c r="M1277" s="212"/>
      <c r="N1277" s="212">
        <f t="shared" si="37"/>
        <v>0</v>
      </c>
    </row>
    <row r="1278" spans="1:14" s="407" customFormat="1" ht="12.75" x14ac:dyDescent="0.2">
      <c r="A1278" s="152"/>
      <c r="B1278" s="73"/>
      <c r="C1278" s="51" t="s">
        <v>1024</v>
      </c>
      <c r="D1278" s="89" t="s">
        <v>223</v>
      </c>
      <c r="E1278" s="89"/>
      <c r="F1278" s="89"/>
      <c r="G1278" s="89"/>
      <c r="H1278" s="89"/>
      <c r="I1278" s="89"/>
      <c r="J1278" s="212"/>
      <c r="K1278" s="212"/>
      <c r="L1278" s="212"/>
      <c r="M1278" s="212"/>
      <c r="N1278" s="212">
        <f t="shared" si="37"/>
        <v>0</v>
      </c>
    </row>
    <row r="1279" spans="1:14" s="407" customFormat="1" ht="12.75" x14ac:dyDescent="0.2">
      <c r="A1279" s="152"/>
      <c r="B1279" s="73"/>
      <c r="C1279" s="51" t="s">
        <v>1025</v>
      </c>
      <c r="D1279" s="89" t="s">
        <v>223</v>
      </c>
      <c r="E1279" s="89"/>
      <c r="F1279" s="89"/>
      <c r="G1279" s="89"/>
      <c r="H1279" s="89"/>
      <c r="I1279" s="89"/>
      <c r="J1279" s="212"/>
      <c r="K1279" s="212"/>
      <c r="L1279" s="212"/>
      <c r="M1279" s="212"/>
      <c r="N1279" s="212">
        <f t="shared" si="37"/>
        <v>0</v>
      </c>
    </row>
    <row r="1280" spans="1:14" s="407" customFormat="1" ht="12.75" x14ac:dyDescent="0.2">
      <c r="A1280" s="152"/>
      <c r="B1280" s="73"/>
      <c r="C1280" s="51" t="s">
        <v>960</v>
      </c>
      <c r="D1280" s="89" t="s">
        <v>223</v>
      </c>
      <c r="E1280" s="89"/>
      <c r="F1280" s="89"/>
      <c r="G1280" s="89"/>
      <c r="H1280" s="89"/>
      <c r="I1280" s="89"/>
      <c r="J1280" s="212"/>
      <c r="K1280" s="212"/>
      <c r="L1280" s="212"/>
      <c r="M1280" s="212"/>
      <c r="N1280" s="212">
        <f t="shared" si="37"/>
        <v>0</v>
      </c>
    </row>
    <row r="1281" spans="1:14" s="407" customFormat="1" ht="12.75" x14ac:dyDescent="0.2">
      <c r="A1281" s="152"/>
      <c r="B1281" s="73"/>
      <c r="C1281" s="51" t="s">
        <v>961</v>
      </c>
      <c r="D1281" s="89" t="s">
        <v>223</v>
      </c>
      <c r="E1281" s="89"/>
      <c r="F1281" s="89"/>
      <c r="G1281" s="89"/>
      <c r="H1281" s="89"/>
      <c r="I1281" s="89"/>
      <c r="J1281" s="212"/>
      <c r="K1281" s="212"/>
      <c r="L1281" s="212"/>
      <c r="M1281" s="212"/>
      <c r="N1281" s="212">
        <f t="shared" si="37"/>
        <v>0</v>
      </c>
    </row>
    <row r="1282" spans="1:14" s="407" customFormat="1" ht="12.75" x14ac:dyDescent="0.2">
      <c r="A1282" s="152"/>
      <c r="B1282" s="73"/>
      <c r="C1282" s="51" t="s">
        <v>948</v>
      </c>
      <c r="D1282" s="89" t="s">
        <v>223</v>
      </c>
      <c r="E1282" s="89"/>
      <c r="F1282" s="89"/>
      <c r="G1282" s="89"/>
      <c r="H1282" s="89"/>
      <c r="I1282" s="89"/>
      <c r="J1282" s="212"/>
      <c r="K1282" s="212"/>
      <c r="L1282" s="212"/>
      <c r="M1282" s="212"/>
      <c r="N1282" s="212">
        <f t="shared" si="37"/>
        <v>0</v>
      </c>
    </row>
    <row r="1283" spans="1:14" s="407" customFormat="1" ht="12.75" x14ac:dyDescent="0.2">
      <c r="A1283" s="152"/>
      <c r="B1283" s="73"/>
      <c r="C1283" s="51" t="s">
        <v>949</v>
      </c>
      <c r="D1283" s="89" t="s">
        <v>223</v>
      </c>
      <c r="E1283" s="89"/>
      <c r="F1283" s="89"/>
      <c r="G1283" s="89"/>
      <c r="H1283" s="89"/>
      <c r="I1283" s="89"/>
      <c r="J1283" s="212"/>
      <c r="K1283" s="212"/>
      <c r="L1283" s="212"/>
      <c r="M1283" s="212"/>
      <c r="N1283" s="212">
        <f t="shared" si="37"/>
        <v>0</v>
      </c>
    </row>
    <row r="1284" spans="1:14" s="407" customFormat="1" ht="12.75" x14ac:dyDescent="0.2">
      <c r="A1284" s="152"/>
      <c r="B1284" s="73"/>
      <c r="C1284" s="51" t="s">
        <v>132</v>
      </c>
      <c r="D1284" s="89" t="s">
        <v>223</v>
      </c>
      <c r="E1284" s="89"/>
      <c r="F1284" s="89"/>
      <c r="G1284" s="89"/>
      <c r="H1284" s="89"/>
      <c r="I1284" s="89"/>
      <c r="J1284" s="212"/>
      <c r="K1284" s="212"/>
      <c r="L1284" s="212"/>
      <c r="M1284" s="212"/>
      <c r="N1284" s="212">
        <f t="shared" si="37"/>
        <v>0</v>
      </c>
    </row>
    <row r="1285" spans="1:14" s="407" customFormat="1" ht="12.75" x14ac:dyDescent="0.2">
      <c r="A1285" s="152"/>
      <c r="B1285" s="73"/>
      <c r="C1285" s="51" t="s">
        <v>121</v>
      </c>
      <c r="D1285" s="89" t="s">
        <v>223</v>
      </c>
      <c r="E1285" s="89"/>
      <c r="F1285" s="89"/>
      <c r="G1285" s="89"/>
      <c r="H1285" s="89"/>
      <c r="I1285" s="89"/>
      <c r="J1285" s="212"/>
      <c r="K1285" s="212"/>
      <c r="L1285" s="212"/>
      <c r="M1285" s="212"/>
      <c r="N1285" s="212">
        <f t="shared" si="37"/>
        <v>0</v>
      </c>
    </row>
    <row r="1286" spans="1:14" s="407" customFormat="1" ht="12.75" x14ac:dyDescent="0.2">
      <c r="A1286" s="152"/>
      <c r="B1286" s="73"/>
      <c r="C1286" s="51" t="s">
        <v>131</v>
      </c>
      <c r="D1286" s="89" t="s">
        <v>223</v>
      </c>
      <c r="E1286" s="89"/>
      <c r="F1286" s="89"/>
      <c r="G1286" s="89"/>
      <c r="H1286" s="89"/>
      <c r="I1286" s="89"/>
      <c r="J1286" s="212"/>
      <c r="K1286" s="212"/>
      <c r="L1286" s="212"/>
      <c r="M1286" s="212"/>
      <c r="N1286" s="212">
        <f t="shared" si="37"/>
        <v>0</v>
      </c>
    </row>
    <row r="1287" spans="1:14" s="407" customFormat="1" ht="12.75" x14ac:dyDescent="0.2">
      <c r="A1287" s="152"/>
      <c r="B1287" s="73"/>
      <c r="C1287" s="51" t="s">
        <v>967</v>
      </c>
      <c r="D1287" s="89" t="s">
        <v>223</v>
      </c>
      <c r="E1287" s="89"/>
      <c r="F1287" s="89"/>
      <c r="G1287" s="89"/>
      <c r="H1287" s="89"/>
      <c r="I1287" s="89"/>
      <c r="J1287" s="212"/>
      <c r="K1287" s="212"/>
      <c r="L1287" s="212"/>
      <c r="M1287" s="212"/>
      <c r="N1287" s="212">
        <f t="shared" si="37"/>
        <v>0</v>
      </c>
    </row>
    <row r="1288" spans="1:14" s="407" customFormat="1" ht="12.75" x14ac:dyDescent="0.2">
      <c r="A1288" s="152"/>
      <c r="B1288" s="73"/>
      <c r="C1288" s="51" t="s">
        <v>118</v>
      </c>
      <c r="D1288" s="89" t="s">
        <v>223</v>
      </c>
      <c r="E1288" s="89"/>
      <c r="F1288" s="89"/>
      <c r="G1288" s="89"/>
      <c r="H1288" s="89"/>
      <c r="I1288" s="89"/>
      <c r="J1288" s="212"/>
      <c r="K1288" s="212"/>
      <c r="L1288" s="212"/>
      <c r="M1288" s="212"/>
      <c r="N1288" s="212">
        <f t="shared" si="37"/>
        <v>0</v>
      </c>
    </row>
    <row r="1289" spans="1:14" s="407" customFormat="1" ht="12.75" x14ac:dyDescent="0.2">
      <c r="A1289" s="152"/>
      <c r="B1289" s="73"/>
      <c r="C1289" s="51" t="s">
        <v>971</v>
      </c>
      <c r="D1289" s="89" t="s">
        <v>223</v>
      </c>
      <c r="E1289" s="89"/>
      <c r="F1289" s="89"/>
      <c r="G1289" s="89"/>
      <c r="H1289" s="89"/>
      <c r="I1289" s="89"/>
      <c r="J1289" s="212"/>
      <c r="K1289" s="212"/>
      <c r="L1289" s="212"/>
      <c r="M1289" s="212"/>
      <c r="N1289" s="212">
        <f t="shared" ref="N1289:N1352" si="38">SUMIFS(N$26:N$154,$C$26:$C$154,$C1289,$D$26:$D$154,$D1289)</f>
        <v>0</v>
      </c>
    </row>
    <row r="1290" spans="1:14" s="407" customFormat="1" ht="12.75" x14ac:dyDescent="0.2">
      <c r="A1290" s="152"/>
      <c r="B1290" s="73"/>
      <c r="C1290" s="51" t="s">
        <v>957</v>
      </c>
      <c r="D1290" s="89" t="s">
        <v>223</v>
      </c>
      <c r="E1290" s="89"/>
      <c r="F1290" s="89"/>
      <c r="G1290" s="89"/>
      <c r="H1290" s="89"/>
      <c r="I1290" s="89"/>
      <c r="J1290" s="212"/>
      <c r="K1290" s="212"/>
      <c r="L1290" s="212"/>
      <c r="M1290" s="212"/>
      <c r="N1290" s="212">
        <f t="shared" si="38"/>
        <v>0</v>
      </c>
    </row>
    <row r="1291" spans="1:14" s="407" customFormat="1" ht="12.75" x14ac:dyDescent="0.2">
      <c r="A1291" s="152"/>
      <c r="B1291" s="73"/>
      <c r="C1291" s="51" t="s">
        <v>97</v>
      </c>
      <c r="D1291" s="89" t="s">
        <v>223</v>
      </c>
      <c r="E1291" s="89"/>
      <c r="F1291" s="89"/>
      <c r="G1291" s="89"/>
      <c r="H1291" s="89"/>
      <c r="I1291" s="89"/>
      <c r="J1291" s="212"/>
      <c r="K1291" s="212"/>
      <c r="L1291" s="212"/>
      <c r="M1291" s="212"/>
      <c r="N1291" s="212">
        <f t="shared" si="38"/>
        <v>0</v>
      </c>
    </row>
    <row r="1292" spans="1:14" s="407" customFormat="1" ht="12.75" x14ac:dyDescent="0.2">
      <c r="A1292" s="152"/>
      <c r="B1292" s="73"/>
      <c r="C1292" s="51" t="s">
        <v>49</v>
      </c>
      <c r="D1292" s="89" t="s">
        <v>223</v>
      </c>
      <c r="E1292" s="89"/>
      <c r="F1292" s="89"/>
      <c r="G1292" s="89"/>
      <c r="H1292" s="89"/>
      <c r="I1292" s="89"/>
      <c r="J1292" s="212"/>
      <c r="K1292" s="212"/>
      <c r="L1292" s="212"/>
      <c r="M1292" s="212"/>
      <c r="N1292" s="212">
        <f t="shared" si="38"/>
        <v>0</v>
      </c>
    </row>
    <row r="1293" spans="1:14" s="407" customFormat="1" ht="12.75" x14ac:dyDescent="0.2">
      <c r="A1293" s="152"/>
      <c r="B1293" s="73"/>
      <c r="C1293" s="51" t="s">
        <v>1017</v>
      </c>
      <c r="D1293" s="89" t="s">
        <v>223</v>
      </c>
      <c r="E1293" s="89"/>
      <c r="F1293" s="89"/>
      <c r="G1293" s="89"/>
      <c r="H1293" s="89"/>
      <c r="I1293" s="89"/>
      <c r="J1293" s="212"/>
      <c r="K1293" s="212"/>
      <c r="L1293" s="212"/>
      <c r="M1293" s="212"/>
      <c r="N1293" s="212">
        <f t="shared" si="38"/>
        <v>0</v>
      </c>
    </row>
    <row r="1294" spans="1:14" s="407" customFormat="1" ht="12.75" x14ac:dyDescent="0.2">
      <c r="A1294" s="152"/>
      <c r="B1294" s="73"/>
      <c r="C1294" s="51" t="s">
        <v>1018</v>
      </c>
      <c r="D1294" s="89" t="s">
        <v>223</v>
      </c>
      <c r="E1294" s="89"/>
      <c r="F1294" s="89"/>
      <c r="G1294" s="89"/>
      <c r="H1294" s="89"/>
      <c r="I1294" s="89"/>
      <c r="J1294" s="212"/>
      <c r="K1294" s="212"/>
      <c r="L1294" s="212"/>
      <c r="M1294" s="212"/>
      <c r="N1294" s="212">
        <f t="shared" si="38"/>
        <v>0</v>
      </c>
    </row>
    <row r="1295" spans="1:14" s="407" customFormat="1" ht="12.75" x14ac:dyDescent="0.2">
      <c r="A1295" s="152"/>
      <c r="B1295" s="73"/>
      <c r="C1295" s="51" t="s">
        <v>928</v>
      </c>
      <c r="D1295" s="89" t="s">
        <v>223</v>
      </c>
      <c r="E1295" s="89"/>
      <c r="F1295" s="89"/>
      <c r="G1295" s="89"/>
      <c r="H1295" s="89"/>
      <c r="I1295" s="89"/>
      <c r="J1295" s="212"/>
      <c r="K1295" s="212"/>
      <c r="L1295" s="212"/>
      <c r="M1295" s="212"/>
      <c r="N1295" s="212">
        <f t="shared" si="38"/>
        <v>0</v>
      </c>
    </row>
    <row r="1296" spans="1:14" s="407" customFormat="1" ht="12.75" x14ac:dyDescent="0.2">
      <c r="A1296" s="152"/>
      <c r="B1296" s="73"/>
      <c r="C1296" s="51" t="s">
        <v>946</v>
      </c>
      <c r="D1296" s="89" t="s">
        <v>223</v>
      </c>
      <c r="E1296" s="89"/>
      <c r="F1296" s="89"/>
      <c r="G1296" s="89"/>
      <c r="H1296" s="89"/>
      <c r="I1296" s="89"/>
      <c r="J1296" s="212"/>
      <c r="K1296" s="212"/>
      <c r="L1296" s="212"/>
      <c r="M1296" s="212"/>
      <c r="N1296" s="212">
        <f t="shared" si="38"/>
        <v>0</v>
      </c>
    </row>
    <row r="1297" spans="1:14" s="407" customFormat="1" ht="12.75" x14ac:dyDescent="0.2">
      <c r="A1297" s="152"/>
      <c r="B1297" s="73"/>
      <c r="C1297" s="51" t="s">
        <v>947</v>
      </c>
      <c r="D1297" s="89" t="s">
        <v>223</v>
      </c>
      <c r="E1297" s="89"/>
      <c r="F1297" s="89"/>
      <c r="G1297" s="89"/>
      <c r="H1297" s="89"/>
      <c r="I1297" s="89"/>
      <c r="J1297" s="212"/>
      <c r="K1297" s="212"/>
      <c r="L1297" s="212"/>
      <c r="M1297" s="212"/>
      <c r="N1297" s="212">
        <f t="shared" si="38"/>
        <v>0</v>
      </c>
    </row>
    <row r="1298" spans="1:14" s="407" customFormat="1" ht="12.75" x14ac:dyDescent="0.2">
      <c r="A1298" s="152"/>
      <c r="B1298" s="73"/>
      <c r="C1298" s="51" t="s">
        <v>1020</v>
      </c>
      <c r="D1298" s="89" t="s">
        <v>223</v>
      </c>
      <c r="E1298" s="89"/>
      <c r="F1298" s="89"/>
      <c r="G1298" s="89"/>
      <c r="H1298" s="89"/>
      <c r="I1298" s="89"/>
      <c r="J1298" s="212"/>
      <c r="K1298" s="212"/>
      <c r="L1298" s="212"/>
      <c r="M1298" s="212"/>
      <c r="N1298" s="212">
        <f t="shared" si="38"/>
        <v>0</v>
      </c>
    </row>
    <row r="1299" spans="1:14" s="407" customFormat="1" ht="12.75" x14ac:dyDescent="0.2">
      <c r="A1299" s="152"/>
      <c r="B1299" s="73"/>
      <c r="C1299" s="51" t="s">
        <v>1021</v>
      </c>
      <c r="D1299" s="89" t="s">
        <v>223</v>
      </c>
      <c r="E1299" s="89"/>
      <c r="F1299" s="89"/>
      <c r="G1299" s="89"/>
      <c r="H1299" s="89"/>
      <c r="I1299" s="89"/>
      <c r="J1299" s="212"/>
      <c r="K1299" s="212"/>
      <c r="L1299" s="212"/>
      <c r="M1299" s="212"/>
      <c r="N1299" s="212">
        <f t="shared" si="38"/>
        <v>0</v>
      </c>
    </row>
    <row r="1300" spans="1:14" s="407" customFormat="1" ht="12.75" x14ac:dyDescent="0.2">
      <c r="A1300" s="152"/>
      <c r="B1300" s="73"/>
      <c r="C1300" s="51" t="s">
        <v>489</v>
      </c>
      <c r="D1300" s="89" t="s">
        <v>223</v>
      </c>
      <c r="E1300" s="89"/>
      <c r="F1300" s="89"/>
      <c r="G1300" s="89"/>
      <c r="H1300" s="89"/>
      <c r="I1300" s="89"/>
      <c r="J1300" s="212"/>
      <c r="K1300" s="212"/>
      <c r="L1300" s="212"/>
      <c r="M1300" s="212"/>
      <c r="N1300" s="212">
        <f t="shared" si="38"/>
        <v>0</v>
      </c>
    </row>
    <row r="1301" spans="1:14" s="407" customFormat="1" ht="12.75" x14ac:dyDescent="0.2">
      <c r="A1301" s="152"/>
      <c r="B1301" s="73"/>
      <c r="C1301" s="51" t="s">
        <v>968</v>
      </c>
      <c r="D1301" s="89" t="s">
        <v>223</v>
      </c>
      <c r="E1301" s="89"/>
      <c r="F1301" s="89"/>
      <c r="G1301" s="89"/>
      <c r="H1301" s="89"/>
      <c r="I1301" s="89"/>
      <c r="J1301" s="212"/>
      <c r="K1301" s="212"/>
      <c r="L1301" s="212"/>
      <c r="M1301" s="212"/>
      <c r="N1301" s="212">
        <f t="shared" si="38"/>
        <v>0</v>
      </c>
    </row>
    <row r="1302" spans="1:14" s="407" customFormat="1" ht="12.75" x14ac:dyDescent="0.2">
      <c r="A1302" s="152"/>
      <c r="B1302" s="73"/>
      <c r="C1302" s="51" t="s">
        <v>98</v>
      </c>
      <c r="D1302" s="89" t="s">
        <v>223</v>
      </c>
      <c r="E1302" s="89"/>
      <c r="F1302" s="89"/>
      <c r="G1302" s="89"/>
      <c r="H1302" s="89"/>
      <c r="I1302" s="89"/>
      <c r="J1302" s="212"/>
      <c r="K1302" s="212"/>
      <c r="L1302" s="212"/>
      <c r="M1302" s="212"/>
      <c r="N1302" s="212">
        <f t="shared" si="38"/>
        <v>0</v>
      </c>
    </row>
    <row r="1303" spans="1:14" s="407" customFormat="1" ht="12.75" x14ac:dyDescent="0.2">
      <c r="A1303" s="152"/>
      <c r="B1303" s="73"/>
      <c r="C1303" s="51" t="s">
        <v>1048</v>
      </c>
      <c r="D1303" s="89" t="s">
        <v>223</v>
      </c>
      <c r="E1303" s="89"/>
      <c r="F1303" s="89"/>
      <c r="G1303" s="89"/>
      <c r="H1303" s="89"/>
      <c r="I1303" s="89"/>
      <c r="J1303" s="212"/>
      <c r="K1303" s="212"/>
      <c r="L1303" s="212"/>
      <c r="M1303" s="212"/>
      <c r="N1303" s="212">
        <f t="shared" si="38"/>
        <v>0</v>
      </c>
    </row>
    <row r="1304" spans="1:14" s="407" customFormat="1" ht="12.75" x14ac:dyDescent="0.2">
      <c r="A1304" s="152"/>
      <c r="B1304" s="73"/>
      <c r="C1304" s="51" t="s">
        <v>1030</v>
      </c>
      <c r="D1304" s="89" t="s">
        <v>223</v>
      </c>
      <c r="E1304" s="89"/>
      <c r="F1304" s="89"/>
      <c r="G1304" s="89"/>
      <c r="H1304" s="89"/>
      <c r="I1304" s="89"/>
      <c r="J1304" s="212"/>
      <c r="K1304" s="212"/>
      <c r="L1304" s="212"/>
      <c r="M1304" s="212"/>
      <c r="N1304" s="212">
        <f t="shared" si="38"/>
        <v>0</v>
      </c>
    </row>
    <row r="1305" spans="1:14" s="407" customFormat="1" ht="12.75" x14ac:dyDescent="0.2">
      <c r="A1305" s="152"/>
      <c r="B1305" s="73"/>
      <c r="C1305" s="51" t="s">
        <v>977</v>
      </c>
      <c r="D1305" s="89" t="s">
        <v>223</v>
      </c>
      <c r="E1305" s="89"/>
      <c r="F1305" s="89"/>
      <c r="G1305" s="89"/>
      <c r="H1305" s="89"/>
      <c r="I1305" s="89"/>
      <c r="J1305" s="212"/>
      <c r="K1305" s="212"/>
      <c r="L1305" s="212"/>
      <c r="M1305" s="212"/>
      <c r="N1305" s="212">
        <f t="shared" si="38"/>
        <v>0</v>
      </c>
    </row>
    <row r="1306" spans="1:14" s="407" customFormat="1" ht="12.75" x14ac:dyDescent="0.2">
      <c r="A1306" s="152"/>
      <c r="B1306" s="73"/>
      <c r="C1306" s="51" t="s">
        <v>99</v>
      </c>
      <c r="D1306" s="89" t="s">
        <v>223</v>
      </c>
      <c r="E1306" s="89"/>
      <c r="F1306" s="89"/>
      <c r="G1306" s="89"/>
      <c r="H1306" s="89"/>
      <c r="I1306" s="89"/>
      <c r="J1306" s="212"/>
      <c r="K1306" s="212"/>
      <c r="L1306" s="212"/>
      <c r="M1306" s="212"/>
      <c r="N1306" s="212">
        <f t="shared" si="38"/>
        <v>0</v>
      </c>
    </row>
    <row r="1307" spans="1:14" s="407" customFormat="1" ht="12.75" x14ac:dyDescent="0.2">
      <c r="A1307" s="152"/>
      <c r="B1307" s="73"/>
      <c r="C1307" s="51" t="s">
        <v>1047</v>
      </c>
      <c r="D1307" s="89" t="s">
        <v>223</v>
      </c>
      <c r="E1307" s="89"/>
      <c r="F1307" s="89"/>
      <c r="G1307" s="89"/>
      <c r="H1307" s="89"/>
      <c r="I1307" s="89"/>
      <c r="J1307" s="212"/>
      <c r="K1307" s="212"/>
      <c r="L1307" s="212"/>
      <c r="M1307" s="212"/>
      <c r="N1307" s="212">
        <f t="shared" si="38"/>
        <v>0</v>
      </c>
    </row>
    <row r="1308" spans="1:14" s="407" customFormat="1" ht="12.75" x14ac:dyDescent="0.2">
      <c r="A1308" s="152"/>
      <c r="B1308" s="73"/>
      <c r="C1308" s="51" t="s">
        <v>1041</v>
      </c>
      <c r="D1308" s="89" t="s">
        <v>223</v>
      </c>
      <c r="E1308" s="89"/>
      <c r="F1308" s="89"/>
      <c r="G1308" s="89"/>
      <c r="H1308" s="89"/>
      <c r="I1308" s="89"/>
      <c r="J1308" s="212"/>
      <c r="K1308" s="212"/>
      <c r="L1308" s="212"/>
      <c r="M1308" s="212"/>
      <c r="N1308" s="212">
        <f t="shared" si="38"/>
        <v>0</v>
      </c>
    </row>
    <row r="1309" spans="1:14" s="407" customFormat="1" ht="12.75" x14ac:dyDescent="0.2">
      <c r="A1309" s="152"/>
      <c r="B1309" s="73"/>
      <c r="C1309" s="51" t="s">
        <v>102</v>
      </c>
      <c r="D1309" s="89" t="s">
        <v>223</v>
      </c>
      <c r="E1309" s="89"/>
      <c r="F1309" s="89"/>
      <c r="G1309" s="89"/>
      <c r="H1309" s="89"/>
      <c r="I1309" s="89"/>
      <c r="J1309" s="212"/>
      <c r="K1309" s="212"/>
      <c r="L1309" s="212"/>
      <c r="M1309" s="212"/>
      <c r="N1309" s="212">
        <f t="shared" si="38"/>
        <v>0</v>
      </c>
    </row>
    <row r="1310" spans="1:14" s="407" customFormat="1" ht="12.75" x14ac:dyDescent="0.2">
      <c r="A1310" s="152"/>
      <c r="B1310" s="73"/>
      <c r="C1310" s="51" t="s">
        <v>124</v>
      </c>
      <c r="D1310" s="89" t="s">
        <v>223</v>
      </c>
      <c r="E1310" s="89"/>
      <c r="F1310" s="89"/>
      <c r="G1310" s="89"/>
      <c r="H1310" s="89"/>
      <c r="I1310" s="89"/>
      <c r="J1310" s="212"/>
      <c r="K1310" s="212"/>
      <c r="L1310" s="212"/>
      <c r="M1310" s="212"/>
      <c r="N1310" s="212">
        <f t="shared" si="38"/>
        <v>0</v>
      </c>
    </row>
    <row r="1311" spans="1:14" s="407" customFormat="1" ht="12.75" x14ac:dyDescent="0.2">
      <c r="A1311" s="152"/>
      <c r="B1311" s="73"/>
      <c r="C1311" s="51" t="s">
        <v>103</v>
      </c>
      <c r="D1311" s="89" t="s">
        <v>223</v>
      </c>
      <c r="E1311" s="89"/>
      <c r="F1311" s="89"/>
      <c r="G1311" s="89"/>
      <c r="H1311" s="89"/>
      <c r="I1311" s="89"/>
      <c r="J1311" s="212"/>
      <c r="K1311" s="212"/>
      <c r="L1311" s="212"/>
      <c r="M1311" s="212"/>
      <c r="N1311" s="212">
        <f t="shared" si="38"/>
        <v>0</v>
      </c>
    </row>
    <row r="1312" spans="1:14" s="407" customFormat="1" ht="12.75" x14ac:dyDescent="0.2">
      <c r="A1312" s="152"/>
      <c r="B1312" s="73"/>
      <c r="C1312" s="51" t="s">
        <v>104</v>
      </c>
      <c r="D1312" s="89" t="s">
        <v>223</v>
      </c>
      <c r="E1312" s="89"/>
      <c r="F1312" s="89"/>
      <c r="G1312" s="89"/>
      <c r="H1312" s="89"/>
      <c r="I1312" s="89"/>
      <c r="J1312" s="212"/>
      <c r="K1312" s="212"/>
      <c r="L1312" s="212"/>
      <c r="M1312" s="212"/>
      <c r="N1312" s="212">
        <f t="shared" si="38"/>
        <v>0</v>
      </c>
    </row>
    <row r="1313" spans="1:14" s="407" customFormat="1" ht="12.75" x14ac:dyDescent="0.2">
      <c r="A1313" s="152"/>
      <c r="B1313" s="73"/>
      <c r="C1313" s="51" t="s">
        <v>491</v>
      </c>
      <c r="D1313" s="89" t="s">
        <v>223</v>
      </c>
      <c r="E1313" s="89"/>
      <c r="F1313" s="89"/>
      <c r="G1313" s="89"/>
      <c r="H1313" s="89"/>
      <c r="I1313" s="89"/>
      <c r="J1313" s="212"/>
      <c r="K1313" s="212"/>
      <c r="L1313" s="212"/>
      <c r="M1313" s="212"/>
      <c r="N1313" s="212">
        <f t="shared" si="38"/>
        <v>0</v>
      </c>
    </row>
    <row r="1314" spans="1:14" s="407" customFormat="1" ht="12.75" x14ac:dyDescent="0.2">
      <c r="A1314" s="152"/>
      <c r="B1314" s="73"/>
      <c r="C1314" s="51" t="s">
        <v>105</v>
      </c>
      <c r="D1314" s="89" t="s">
        <v>223</v>
      </c>
      <c r="E1314" s="89"/>
      <c r="F1314" s="89"/>
      <c r="G1314" s="89"/>
      <c r="H1314" s="89"/>
      <c r="I1314" s="89"/>
      <c r="J1314" s="212"/>
      <c r="K1314" s="212"/>
      <c r="L1314" s="212"/>
      <c r="M1314" s="212"/>
      <c r="N1314" s="212">
        <f t="shared" si="38"/>
        <v>0</v>
      </c>
    </row>
    <row r="1315" spans="1:14" s="407" customFormat="1" ht="12.75" x14ac:dyDescent="0.2">
      <c r="A1315" s="152"/>
      <c r="B1315" s="73"/>
      <c r="C1315" s="51" t="s">
        <v>129</v>
      </c>
      <c r="D1315" s="89" t="s">
        <v>223</v>
      </c>
      <c r="E1315" s="89"/>
      <c r="F1315" s="89"/>
      <c r="G1315" s="89"/>
      <c r="H1315" s="89"/>
      <c r="I1315" s="89"/>
      <c r="J1315" s="212"/>
      <c r="K1315" s="212"/>
      <c r="L1315" s="212"/>
      <c r="M1315" s="212"/>
      <c r="N1315" s="212">
        <f t="shared" si="38"/>
        <v>0</v>
      </c>
    </row>
    <row r="1316" spans="1:14" s="407" customFormat="1" ht="12.75" x14ac:dyDescent="0.2">
      <c r="A1316" s="152"/>
      <c r="B1316" s="73"/>
      <c r="C1316" s="73" t="s">
        <v>108</v>
      </c>
      <c r="D1316" s="89" t="s">
        <v>223</v>
      </c>
      <c r="E1316" s="89"/>
      <c r="F1316" s="89"/>
      <c r="G1316" s="89"/>
      <c r="H1316" s="89"/>
      <c r="I1316" s="89"/>
      <c r="J1316" s="212"/>
      <c r="K1316" s="212"/>
      <c r="L1316" s="212"/>
      <c r="M1316" s="212"/>
      <c r="N1316" s="212">
        <f t="shared" si="38"/>
        <v>0</v>
      </c>
    </row>
    <row r="1317" spans="1:14" s="407" customFormat="1" ht="12.75" x14ac:dyDescent="0.2">
      <c r="A1317" s="152"/>
      <c r="B1317" s="73"/>
      <c r="C1317" s="51" t="s">
        <v>119</v>
      </c>
      <c r="D1317" s="89" t="s">
        <v>223</v>
      </c>
      <c r="E1317" s="89"/>
      <c r="F1317" s="89"/>
      <c r="G1317" s="89"/>
      <c r="H1317" s="89"/>
      <c r="I1317" s="89"/>
      <c r="J1317" s="212"/>
      <c r="K1317" s="212"/>
      <c r="L1317" s="212"/>
      <c r="M1317" s="212"/>
      <c r="N1317" s="212">
        <f t="shared" si="38"/>
        <v>0</v>
      </c>
    </row>
    <row r="1318" spans="1:14" s="407" customFormat="1" ht="12.75" x14ac:dyDescent="0.2">
      <c r="A1318" s="152"/>
      <c r="B1318" s="73"/>
      <c r="C1318" s="51" t="s">
        <v>954</v>
      </c>
      <c r="D1318" s="89" t="s">
        <v>223</v>
      </c>
      <c r="E1318" s="89"/>
      <c r="F1318" s="89"/>
      <c r="G1318" s="89"/>
      <c r="H1318" s="89"/>
      <c r="I1318" s="89"/>
      <c r="J1318" s="212"/>
      <c r="K1318" s="212"/>
      <c r="L1318" s="212"/>
      <c r="M1318" s="212"/>
      <c r="N1318" s="212">
        <f t="shared" si="38"/>
        <v>0</v>
      </c>
    </row>
    <row r="1319" spans="1:14" s="407" customFormat="1" ht="12.75" x14ac:dyDescent="0.2">
      <c r="A1319" s="152"/>
      <c r="B1319" s="73"/>
      <c r="C1319" s="51" t="s">
        <v>1031</v>
      </c>
      <c r="D1319" s="89" t="s">
        <v>223</v>
      </c>
      <c r="E1319" s="89"/>
      <c r="F1319" s="89"/>
      <c r="G1319" s="89"/>
      <c r="H1319" s="89"/>
      <c r="I1319" s="89"/>
      <c r="J1319" s="212"/>
      <c r="K1319" s="212"/>
      <c r="L1319" s="212"/>
      <c r="M1319" s="212"/>
      <c r="N1319" s="212">
        <f t="shared" si="38"/>
        <v>0</v>
      </c>
    </row>
    <row r="1320" spans="1:14" s="407" customFormat="1" ht="12.75" x14ac:dyDescent="0.2">
      <c r="A1320" s="152"/>
      <c r="B1320" s="73"/>
      <c r="C1320" s="51" t="s">
        <v>1009</v>
      </c>
      <c r="D1320" s="89" t="s">
        <v>223</v>
      </c>
      <c r="E1320" s="89"/>
      <c r="F1320" s="89"/>
      <c r="G1320" s="89"/>
      <c r="H1320" s="89"/>
      <c r="I1320" s="89"/>
      <c r="J1320" s="212"/>
      <c r="K1320" s="212"/>
      <c r="L1320" s="212"/>
      <c r="M1320" s="212"/>
      <c r="N1320" s="212">
        <f t="shared" si="38"/>
        <v>0</v>
      </c>
    </row>
    <row r="1321" spans="1:14" s="407" customFormat="1" ht="12.75" x14ac:dyDescent="0.2">
      <c r="A1321" s="152"/>
      <c r="B1321" s="73"/>
      <c r="C1321" s="51" t="s">
        <v>107</v>
      </c>
      <c r="D1321" s="89" t="s">
        <v>223</v>
      </c>
      <c r="E1321" s="89"/>
      <c r="F1321" s="89"/>
      <c r="G1321" s="89"/>
      <c r="H1321" s="89"/>
      <c r="I1321" s="89"/>
      <c r="J1321" s="212"/>
      <c r="K1321" s="212"/>
      <c r="L1321" s="212"/>
      <c r="M1321" s="212"/>
      <c r="N1321" s="212">
        <f t="shared" si="38"/>
        <v>0</v>
      </c>
    </row>
    <row r="1322" spans="1:14" s="407" customFormat="1" ht="12.75" x14ac:dyDescent="0.2">
      <c r="A1322" s="152"/>
      <c r="B1322" s="73"/>
      <c r="C1322" s="51" t="s">
        <v>1026</v>
      </c>
      <c r="D1322" s="89" t="s">
        <v>223</v>
      </c>
      <c r="E1322" s="89"/>
      <c r="F1322" s="89"/>
      <c r="G1322" s="89"/>
      <c r="H1322" s="89"/>
      <c r="I1322" s="89"/>
      <c r="J1322" s="212"/>
      <c r="K1322" s="212"/>
      <c r="L1322" s="212"/>
      <c r="M1322" s="212"/>
      <c r="N1322" s="212">
        <f t="shared" si="38"/>
        <v>0</v>
      </c>
    </row>
    <row r="1323" spans="1:14" s="407" customFormat="1" ht="12.75" x14ac:dyDescent="0.2">
      <c r="A1323" s="152"/>
      <c r="B1323" s="73"/>
      <c r="C1323" s="51" t="s">
        <v>1027</v>
      </c>
      <c r="D1323" s="89" t="s">
        <v>223</v>
      </c>
      <c r="E1323" s="89"/>
      <c r="F1323" s="89"/>
      <c r="G1323" s="89"/>
      <c r="H1323" s="89"/>
      <c r="I1323" s="89"/>
      <c r="J1323" s="212"/>
      <c r="K1323" s="212"/>
      <c r="L1323" s="212"/>
      <c r="M1323" s="212"/>
      <c r="N1323" s="212">
        <f t="shared" si="38"/>
        <v>0</v>
      </c>
    </row>
    <row r="1324" spans="1:14" s="407" customFormat="1" ht="12.75" x14ac:dyDescent="0.2">
      <c r="A1324" s="152"/>
      <c r="B1324" s="73"/>
      <c r="C1324" s="51" t="s">
        <v>955</v>
      </c>
      <c r="D1324" s="89" t="s">
        <v>223</v>
      </c>
      <c r="E1324" s="89"/>
      <c r="F1324" s="89"/>
      <c r="G1324" s="89"/>
      <c r="H1324" s="89"/>
      <c r="I1324" s="89"/>
      <c r="J1324" s="212"/>
      <c r="K1324" s="212"/>
      <c r="L1324" s="212"/>
      <c r="M1324" s="212"/>
      <c r="N1324" s="212">
        <f t="shared" si="38"/>
        <v>0</v>
      </c>
    </row>
    <row r="1325" spans="1:14" s="407" customFormat="1" ht="12.75" x14ac:dyDescent="0.2">
      <c r="A1325" s="152"/>
      <c r="B1325" s="73"/>
      <c r="C1325" s="51" t="s">
        <v>958</v>
      </c>
      <c r="D1325" s="89" t="s">
        <v>223</v>
      </c>
      <c r="E1325" s="89"/>
      <c r="F1325" s="89"/>
      <c r="G1325" s="89"/>
      <c r="H1325" s="89"/>
      <c r="I1325" s="89"/>
      <c r="J1325" s="212"/>
      <c r="K1325" s="212"/>
      <c r="L1325" s="212"/>
      <c r="M1325" s="212"/>
      <c r="N1325" s="212">
        <f t="shared" si="38"/>
        <v>0</v>
      </c>
    </row>
    <row r="1326" spans="1:14" s="407" customFormat="1" ht="12.75" x14ac:dyDescent="0.2">
      <c r="A1326" s="152"/>
      <c r="B1326" s="73"/>
      <c r="C1326" s="51" t="s">
        <v>1032</v>
      </c>
      <c r="D1326" s="89" t="s">
        <v>223</v>
      </c>
      <c r="E1326" s="89"/>
      <c r="F1326" s="89"/>
      <c r="G1326" s="89"/>
      <c r="H1326" s="89"/>
      <c r="I1326" s="89"/>
      <c r="J1326" s="212"/>
      <c r="K1326" s="212"/>
      <c r="L1326" s="212"/>
      <c r="M1326" s="212"/>
      <c r="N1326" s="212">
        <f t="shared" si="38"/>
        <v>0</v>
      </c>
    </row>
    <row r="1327" spans="1:14" s="407" customFormat="1" ht="12.75" x14ac:dyDescent="0.2">
      <c r="A1327" s="152"/>
      <c r="B1327" s="73"/>
      <c r="C1327" s="51" t="s">
        <v>109</v>
      </c>
      <c r="D1327" s="89" t="s">
        <v>223</v>
      </c>
      <c r="E1327" s="89"/>
      <c r="F1327" s="89"/>
      <c r="G1327" s="89"/>
      <c r="H1327" s="89"/>
      <c r="I1327" s="89"/>
      <c r="J1327" s="212"/>
      <c r="K1327" s="212"/>
      <c r="L1327" s="212"/>
      <c r="M1327" s="212"/>
      <c r="N1327" s="212">
        <f t="shared" si="38"/>
        <v>0</v>
      </c>
    </row>
    <row r="1328" spans="1:14" s="407" customFormat="1" ht="12.75" x14ac:dyDescent="0.2">
      <c r="A1328" s="152"/>
      <c r="B1328" s="73"/>
      <c r="C1328" s="51" t="s">
        <v>966</v>
      </c>
      <c r="D1328" s="89" t="s">
        <v>223</v>
      </c>
      <c r="E1328" s="89"/>
      <c r="F1328" s="89"/>
      <c r="G1328" s="89"/>
      <c r="H1328" s="89"/>
      <c r="I1328" s="89"/>
      <c r="J1328" s="212"/>
      <c r="K1328" s="212"/>
      <c r="L1328" s="212"/>
      <c r="M1328" s="212"/>
      <c r="N1328" s="212">
        <f t="shared" si="38"/>
        <v>0</v>
      </c>
    </row>
    <row r="1329" spans="1:14" s="407" customFormat="1" ht="12.75" x14ac:dyDescent="0.2">
      <c r="A1329" s="152"/>
      <c r="B1329" s="73"/>
      <c r="C1329" s="51" t="s">
        <v>981</v>
      </c>
      <c r="D1329" s="89" t="s">
        <v>223</v>
      </c>
      <c r="E1329" s="89"/>
      <c r="F1329" s="89"/>
      <c r="G1329" s="89"/>
      <c r="H1329" s="89"/>
      <c r="I1329" s="89"/>
      <c r="J1329" s="212"/>
      <c r="K1329" s="212"/>
      <c r="L1329" s="212"/>
      <c r="M1329" s="212"/>
      <c r="N1329" s="212">
        <f t="shared" si="38"/>
        <v>0</v>
      </c>
    </row>
    <row r="1330" spans="1:14" s="407" customFormat="1" ht="12.75" x14ac:dyDescent="0.2">
      <c r="A1330" s="152"/>
      <c r="B1330" s="73"/>
      <c r="C1330" s="51" t="s">
        <v>963</v>
      </c>
      <c r="D1330" s="89" t="s">
        <v>223</v>
      </c>
      <c r="E1330" s="89"/>
      <c r="F1330" s="89"/>
      <c r="G1330" s="89"/>
      <c r="H1330" s="89"/>
      <c r="I1330" s="89"/>
      <c r="J1330" s="212"/>
      <c r="K1330" s="212"/>
      <c r="L1330" s="212"/>
      <c r="M1330" s="212"/>
      <c r="N1330" s="212">
        <f t="shared" si="38"/>
        <v>0</v>
      </c>
    </row>
    <row r="1331" spans="1:14" s="407" customFormat="1" ht="12.75" x14ac:dyDescent="0.2">
      <c r="A1331" s="152"/>
      <c r="B1331" s="73"/>
      <c r="C1331" s="51" t="s">
        <v>120</v>
      </c>
      <c r="D1331" s="89" t="s">
        <v>223</v>
      </c>
      <c r="E1331" s="89"/>
      <c r="F1331" s="89"/>
      <c r="G1331" s="89"/>
      <c r="H1331" s="89"/>
      <c r="I1331" s="89"/>
      <c r="J1331" s="212"/>
      <c r="K1331" s="212"/>
      <c r="L1331" s="212"/>
      <c r="M1331" s="212"/>
      <c r="N1331" s="212">
        <f t="shared" si="38"/>
        <v>0</v>
      </c>
    </row>
    <row r="1332" spans="1:14" s="407" customFormat="1" ht="12.75" x14ac:dyDescent="0.2">
      <c r="A1332" s="152"/>
      <c r="B1332" s="73"/>
      <c r="C1332" s="51" t="s">
        <v>989</v>
      </c>
      <c r="D1332" s="89" t="s">
        <v>223</v>
      </c>
      <c r="E1332" s="89"/>
      <c r="F1332" s="89"/>
      <c r="G1332" s="89"/>
      <c r="H1332" s="89"/>
      <c r="I1332" s="89"/>
      <c r="J1332" s="212"/>
      <c r="K1332" s="212"/>
      <c r="L1332" s="212"/>
      <c r="M1332" s="212"/>
      <c r="N1332" s="212">
        <f t="shared" si="38"/>
        <v>0</v>
      </c>
    </row>
    <row r="1333" spans="1:14" s="407" customFormat="1" ht="12.75" x14ac:dyDescent="0.2">
      <c r="A1333" s="152"/>
      <c r="B1333" s="73"/>
      <c r="C1333" s="51" t="s">
        <v>986</v>
      </c>
      <c r="D1333" s="89" t="s">
        <v>224</v>
      </c>
      <c r="E1333" s="89"/>
      <c r="F1333" s="89"/>
      <c r="G1333" s="89"/>
      <c r="H1333" s="89"/>
      <c r="I1333" s="89"/>
      <c r="J1333" s="212"/>
      <c r="K1333" s="212"/>
      <c r="L1333" s="212"/>
      <c r="M1333" s="212"/>
      <c r="N1333" s="212">
        <f t="shared" si="38"/>
        <v>0</v>
      </c>
    </row>
    <row r="1334" spans="1:14" s="407" customFormat="1" ht="12.75" x14ac:dyDescent="0.2">
      <c r="A1334" s="152"/>
      <c r="B1334" s="73"/>
      <c r="C1334" s="51" t="s">
        <v>988</v>
      </c>
      <c r="D1334" s="89" t="s">
        <v>224</v>
      </c>
      <c r="E1334" s="89"/>
      <c r="F1334" s="89"/>
      <c r="G1334" s="89"/>
      <c r="H1334" s="89"/>
      <c r="I1334" s="89"/>
      <c r="J1334" s="212"/>
      <c r="K1334" s="212"/>
      <c r="L1334" s="212"/>
      <c r="M1334" s="212"/>
      <c r="N1334" s="212">
        <f t="shared" si="38"/>
        <v>0</v>
      </c>
    </row>
    <row r="1335" spans="1:14" s="407" customFormat="1" ht="12.75" x14ac:dyDescent="0.2">
      <c r="A1335" s="152"/>
      <c r="B1335" s="73"/>
      <c r="C1335" s="51" t="s">
        <v>1058</v>
      </c>
      <c r="D1335" s="89" t="s">
        <v>224</v>
      </c>
      <c r="E1335" s="89"/>
      <c r="F1335" s="89"/>
      <c r="G1335" s="89"/>
      <c r="H1335" s="89"/>
      <c r="I1335" s="89"/>
      <c r="J1335" s="212"/>
      <c r="K1335" s="212"/>
      <c r="L1335" s="212"/>
      <c r="M1335" s="212"/>
      <c r="N1335" s="212">
        <f t="shared" si="38"/>
        <v>0</v>
      </c>
    </row>
    <row r="1336" spans="1:14" s="407" customFormat="1" ht="12.75" x14ac:dyDescent="0.2">
      <c r="A1336" s="152"/>
      <c r="B1336" s="73"/>
      <c r="C1336" s="51" t="s">
        <v>972</v>
      </c>
      <c r="D1336" s="89" t="s">
        <v>224</v>
      </c>
      <c r="E1336" s="89"/>
      <c r="F1336" s="89"/>
      <c r="G1336" s="89"/>
      <c r="H1336" s="89"/>
      <c r="I1336" s="89"/>
      <c r="J1336" s="212"/>
      <c r="K1336" s="212"/>
      <c r="L1336" s="212"/>
      <c r="M1336" s="212"/>
      <c r="N1336" s="212">
        <f t="shared" si="38"/>
        <v>4000</v>
      </c>
    </row>
    <row r="1337" spans="1:14" s="407" customFormat="1" ht="12.75" x14ac:dyDescent="0.2">
      <c r="A1337" s="152"/>
      <c r="B1337" s="73"/>
      <c r="C1337" s="51" t="s">
        <v>973</v>
      </c>
      <c r="D1337" s="89" t="s">
        <v>224</v>
      </c>
      <c r="E1337" s="89"/>
      <c r="F1337" s="89"/>
      <c r="G1337" s="89"/>
      <c r="H1337" s="89"/>
      <c r="I1337" s="89"/>
      <c r="J1337" s="212"/>
      <c r="K1337" s="212"/>
      <c r="L1337" s="212"/>
      <c r="M1337" s="212"/>
      <c r="N1337" s="212">
        <f t="shared" si="38"/>
        <v>325305</v>
      </c>
    </row>
    <row r="1338" spans="1:14" s="407" customFormat="1" ht="12.75" x14ac:dyDescent="0.2">
      <c r="A1338" s="152"/>
      <c r="B1338" s="73"/>
      <c r="C1338" s="51" t="s">
        <v>980</v>
      </c>
      <c r="D1338" s="89" t="s">
        <v>224</v>
      </c>
      <c r="E1338" s="89"/>
      <c r="F1338" s="89"/>
      <c r="G1338" s="89"/>
      <c r="H1338" s="89"/>
      <c r="I1338" s="89"/>
      <c r="J1338" s="212"/>
      <c r="K1338" s="212"/>
      <c r="L1338" s="212"/>
      <c r="M1338" s="212"/>
      <c r="N1338" s="212">
        <f t="shared" si="38"/>
        <v>0</v>
      </c>
    </row>
    <row r="1339" spans="1:14" s="407" customFormat="1" ht="12.75" x14ac:dyDescent="0.2">
      <c r="A1339" s="152"/>
      <c r="B1339" s="73"/>
      <c r="C1339" s="51" t="s">
        <v>982</v>
      </c>
      <c r="D1339" s="89" t="s">
        <v>224</v>
      </c>
      <c r="E1339" s="89"/>
      <c r="F1339" s="89"/>
      <c r="G1339" s="89"/>
      <c r="H1339" s="89"/>
      <c r="I1339" s="89"/>
      <c r="J1339" s="212"/>
      <c r="K1339" s="212"/>
      <c r="L1339" s="212"/>
      <c r="M1339" s="212"/>
      <c r="N1339" s="212">
        <f t="shared" si="38"/>
        <v>0</v>
      </c>
    </row>
    <row r="1340" spans="1:14" s="407" customFormat="1" ht="12.75" x14ac:dyDescent="0.2">
      <c r="A1340" s="152"/>
      <c r="B1340" s="73"/>
      <c r="C1340" s="51" t="s">
        <v>46</v>
      </c>
      <c r="D1340" s="89" t="s">
        <v>224</v>
      </c>
      <c r="E1340" s="89"/>
      <c r="F1340" s="89"/>
      <c r="G1340" s="89"/>
      <c r="H1340" s="89"/>
      <c r="I1340" s="89"/>
      <c r="J1340" s="212"/>
      <c r="K1340" s="212"/>
      <c r="L1340" s="212"/>
      <c r="M1340" s="212"/>
      <c r="N1340" s="212">
        <f t="shared" si="38"/>
        <v>6000</v>
      </c>
    </row>
    <row r="1341" spans="1:14" s="407" customFormat="1" ht="12.75" x14ac:dyDescent="0.2">
      <c r="A1341" s="152"/>
      <c r="B1341" s="73"/>
      <c r="C1341" s="51" t="s">
        <v>1019</v>
      </c>
      <c r="D1341" s="89" t="s">
        <v>224</v>
      </c>
      <c r="E1341" s="89"/>
      <c r="F1341" s="89"/>
      <c r="G1341" s="89"/>
      <c r="H1341" s="89"/>
      <c r="I1341" s="89"/>
      <c r="J1341" s="212"/>
      <c r="K1341" s="212"/>
      <c r="L1341" s="212"/>
      <c r="M1341" s="212"/>
      <c r="N1341" s="212">
        <f t="shared" si="38"/>
        <v>156800.35</v>
      </c>
    </row>
    <row r="1342" spans="1:14" s="407" customFormat="1" ht="12.75" x14ac:dyDescent="0.2">
      <c r="A1342" s="152"/>
      <c r="B1342" s="73"/>
      <c r="C1342" s="51" t="s">
        <v>1050</v>
      </c>
      <c r="D1342" s="89" t="s">
        <v>224</v>
      </c>
      <c r="E1342" s="89"/>
      <c r="F1342" s="89"/>
      <c r="G1342" s="89"/>
      <c r="H1342" s="89"/>
      <c r="I1342" s="89"/>
      <c r="J1342" s="212"/>
      <c r="K1342" s="212"/>
      <c r="L1342" s="212"/>
      <c r="M1342" s="212"/>
      <c r="N1342" s="212">
        <f t="shared" si="38"/>
        <v>0</v>
      </c>
    </row>
    <row r="1343" spans="1:14" s="407" customFormat="1" ht="12.75" x14ac:dyDescent="0.2">
      <c r="A1343" s="152"/>
      <c r="B1343" s="73"/>
      <c r="C1343" s="51" t="s">
        <v>100</v>
      </c>
      <c r="D1343" s="89" t="s">
        <v>224</v>
      </c>
      <c r="E1343" s="89"/>
      <c r="F1343" s="89"/>
      <c r="G1343" s="89"/>
      <c r="H1343" s="89"/>
      <c r="I1343" s="89"/>
      <c r="J1343" s="212"/>
      <c r="K1343" s="212"/>
      <c r="L1343" s="212"/>
      <c r="M1343" s="212"/>
      <c r="N1343" s="212">
        <f t="shared" si="38"/>
        <v>0</v>
      </c>
    </row>
    <row r="1344" spans="1:14" s="407" customFormat="1" ht="12.75" x14ac:dyDescent="0.2">
      <c r="A1344" s="152"/>
      <c r="B1344" s="73"/>
      <c r="C1344" s="51" t="s">
        <v>101</v>
      </c>
      <c r="D1344" s="89" t="s">
        <v>224</v>
      </c>
      <c r="E1344" s="89"/>
      <c r="F1344" s="89"/>
      <c r="G1344" s="89"/>
      <c r="H1344" s="89"/>
      <c r="I1344" s="89"/>
      <c r="J1344" s="212"/>
      <c r="K1344" s="212"/>
      <c r="L1344" s="212"/>
      <c r="M1344" s="212"/>
      <c r="N1344" s="212">
        <f t="shared" si="38"/>
        <v>0</v>
      </c>
    </row>
    <row r="1345" spans="1:14" s="407" customFormat="1" ht="12.75" x14ac:dyDescent="0.2">
      <c r="A1345" s="152"/>
      <c r="B1345" s="73"/>
      <c r="C1345" s="51" t="s">
        <v>1056</v>
      </c>
      <c r="D1345" s="89" t="s">
        <v>224</v>
      </c>
      <c r="E1345" s="89"/>
      <c r="F1345" s="89"/>
      <c r="G1345" s="89"/>
      <c r="H1345" s="89"/>
      <c r="I1345" s="89"/>
      <c r="J1345" s="212"/>
      <c r="K1345" s="212"/>
      <c r="L1345" s="212"/>
      <c r="M1345" s="212"/>
      <c r="N1345" s="212">
        <f t="shared" si="38"/>
        <v>0</v>
      </c>
    </row>
    <row r="1346" spans="1:14" s="407" customFormat="1" ht="12.75" x14ac:dyDescent="0.2">
      <c r="A1346" s="152"/>
      <c r="B1346" s="73"/>
      <c r="C1346" s="51" t="s">
        <v>1057</v>
      </c>
      <c r="D1346" s="89" t="s">
        <v>224</v>
      </c>
      <c r="E1346" s="89"/>
      <c r="F1346" s="89"/>
      <c r="G1346" s="89"/>
      <c r="H1346" s="89"/>
      <c r="I1346" s="89"/>
      <c r="J1346" s="212"/>
      <c r="K1346" s="212"/>
      <c r="L1346" s="212"/>
      <c r="M1346" s="212"/>
      <c r="N1346" s="212">
        <f t="shared" si="38"/>
        <v>0</v>
      </c>
    </row>
    <row r="1347" spans="1:14" s="407" customFormat="1" ht="12.75" x14ac:dyDescent="0.2">
      <c r="A1347" s="152"/>
      <c r="B1347" s="73"/>
      <c r="C1347" s="51" t="s">
        <v>944</v>
      </c>
      <c r="D1347" s="89" t="s">
        <v>224</v>
      </c>
      <c r="E1347" s="89"/>
      <c r="F1347" s="89"/>
      <c r="G1347" s="89"/>
      <c r="H1347" s="89"/>
      <c r="I1347" s="89"/>
      <c r="J1347" s="212"/>
      <c r="K1347" s="212"/>
      <c r="L1347" s="212"/>
      <c r="M1347" s="212"/>
      <c r="N1347" s="212">
        <f t="shared" si="38"/>
        <v>0</v>
      </c>
    </row>
    <row r="1348" spans="1:14" s="407" customFormat="1" ht="12.75" x14ac:dyDescent="0.2">
      <c r="A1348" s="152"/>
      <c r="B1348" s="73"/>
      <c r="C1348" s="51" t="s">
        <v>945</v>
      </c>
      <c r="D1348" s="89" t="s">
        <v>224</v>
      </c>
      <c r="E1348" s="89"/>
      <c r="F1348" s="89"/>
      <c r="G1348" s="89"/>
      <c r="H1348" s="89"/>
      <c r="I1348" s="89"/>
      <c r="J1348" s="212"/>
      <c r="K1348" s="212"/>
      <c r="L1348" s="212"/>
      <c r="M1348" s="212"/>
      <c r="N1348" s="212">
        <f t="shared" si="38"/>
        <v>0</v>
      </c>
    </row>
    <row r="1349" spans="1:14" s="407" customFormat="1" ht="12.75" x14ac:dyDescent="0.2">
      <c r="A1349" s="152"/>
      <c r="B1349" s="73"/>
      <c r="C1349" s="51" t="s">
        <v>965</v>
      </c>
      <c r="D1349" s="89" t="s">
        <v>224</v>
      </c>
      <c r="E1349" s="89"/>
      <c r="F1349" s="89"/>
      <c r="G1349" s="89"/>
      <c r="H1349" s="89"/>
      <c r="I1349" s="89"/>
      <c r="J1349" s="212"/>
      <c r="K1349" s="212"/>
      <c r="L1349" s="212"/>
      <c r="M1349" s="212"/>
      <c r="N1349" s="212">
        <f t="shared" si="38"/>
        <v>0</v>
      </c>
    </row>
    <row r="1350" spans="1:14" s="407" customFormat="1" ht="12.75" x14ac:dyDescent="0.2">
      <c r="A1350" s="152"/>
      <c r="B1350" s="73"/>
      <c r="C1350" s="51" t="s">
        <v>1011</v>
      </c>
      <c r="D1350" s="89" t="s">
        <v>224</v>
      </c>
      <c r="E1350" s="89"/>
      <c r="F1350" s="89"/>
      <c r="G1350" s="89"/>
      <c r="H1350" s="89"/>
      <c r="I1350" s="89"/>
      <c r="J1350" s="212"/>
      <c r="K1350" s="212"/>
      <c r="L1350" s="212"/>
      <c r="M1350" s="212"/>
      <c r="N1350" s="212">
        <f t="shared" si="38"/>
        <v>0</v>
      </c>
    </row>
    <row r="1351" spans="1:14" s="407" customFormat="1" ht="12.75" x14ac:dyDescent="0.2">
      <c r="A1351" s="152"/>
      <c r="B1351" s="73"/>
      <c r="C1351" s="51" t="s">
        <v>1010</v>
      </c>
      <c r="D1351" s="89" t="s">
        <v>224</v>
      </c>
      <c r="E1351" s="89"/>
      <c r="F1351" s="89"/>
      <c r="G1351" s="89"/>
      <c r="H1351" s="89"/>
      <c r="I1351" s="89"/>
      <c r="J1351" s="212"/>
      <c r="K1351" s="212"/>
      <c r="L1351" s="212"/>
      <c r="M1351" s="212"/>
      <c r="N1351" s="212">
        <f t="shared" si="38"/>
        <v>26500.16</v>
      </c>
    </row>
    <row r="1352" spans="1:14" s="407" customFormat="1" ht="12.75" x14ac:dyDescent="0.2">
      <c r="A1352" s="152"/>
      <c r="B1352" s="73"/>
      <c r="C1352" s="51" t="s">
        <v>1013</v>
      </c>
      <c r="D1352" s="89" t="s">
        <v>224</v>
      </c>
      <c r="E1352" s="89"/>
      <c r="F1352" s="89"/>
      <c r="G1352" s="89"/>
      <c r="H1352" s="89"/>
      <c r="I1352" s="89"/>
      <c r="J1352" s="212"/>
      <c r="K1352" s="212"/>
      <c r="L1352" s="212"/>
      <c r="M1352" s="212"/>
      <c r="N1352" s="212">
        <f t="shared" si="38"/>
        <v>0</v>
      </c>
    </row>
    <row r="1353" spans="1:14" s="407" customFormat="1" ht="12.75" x14ac:dyDescent="0.2">
      <c r="A1353" s="152"/>
      <c r="B1353" s="73"/>
      <c r="C1353" s="51" t="s">
        <v>1012</v>
      </c>
      <c r="D1353" s="89" t="s">
        <v>224</v>
      </c>
      <c r="E1353" s="89"/>
      <c r="F1353" s="89"/>
      <c r="G1353" s="89"/>
      <c r="H1353" s="89"/>
      <c r="I1353" s="89"/>
      <c r="J1353" s="212"/>
      <c r="K1353" s="212"/>
      <c r="L1353" s="212"/>
      <c r="M1353" s="212"/>
      <c r="N1353" s="212">
        <f t="shared" ref="N1353:N1418" si="39">SUMIFS(N$26:N$154,$C$26:$C$154,$C1353,$D$26:$D$154,$D1353)</f>
        <v>0</v>
      </c>
    </row>
    <row r="1354" spans="1:14" s="407" customFormat="1" ht="12.75" x14ac:dyDescent="0.2">
      <c r="A1354" s="152"/>
      <c r="B1354" s="73"/>
      <c r="C1354" s="51" t="s">
        <v>1052</v>
      </c>
      <c r="D1354" s="89" t="s">
        <v>224</v>
      </c>
      <c r="E1354" s="89"/>
      <c r="F1354" s="89"/>
      <c r="G1354" s="89"/>
      <c r="H1354" s="89"/>
      <c r="I1354" s="89"/>
      <c r="J1354" s="212"/>
      <c r="K1354" s="212"/>
      <c r="L1354" s="212"/>
      <c r="M1354" s="212"/>
      <c r="N1354" s="212">
        <f t="shared" si="39"/>
        <v>0</v>
      </c>
    </row>
    <row r="1355" spans="1:14" s="407" customFormat="1" ht="12.75" x14ac:dyDescent="0.2">
      <c r="A1355" s="152"/>
      <c r="B1355" s="73"/>
      <c r="C1355" s="51" t="s">
        <v>1053</v>
      </c>
      <c r="D1355" s="89" t="s">
        <v>224</v>
      </c>
      <c r="E1355" s="89"/>
      <c r="F1355" s="89"/>
      <c r="G1355" s="89"/>
      <c r="H1355" s="89"/>
      <c r="I1355" s="89"/>
      <c r="J1355" s="212"/>
      <c r="K1355" s="212"/>
      <c r="L1355" s="212"/>
      <c r="M1355" s="212"/>
      <c r="N1355" s="212">
        <f t="shared" si="39"/>
        <v>26500.16</v>
      </c>
    </row>
    <row r="1356" spans="1:14" s="407" customFormat="1" ht="12.75" x14ac:dyDescent="0.2">
      <c r="A1356" s="152"/>
      <c r="B1356" s="73"/>
      <c r="C1356" s="51" t="s">
        <v>984</v>
      </c>
      <c r="D1356" s="89" t="s">
        <v>224</v>
      </c>
      <c r="E1356" s="89"/>
      <c r="F1356" s="89"/>
      <c r="G1356" s="89"/>
      <c r="H1356" s="89"/>
      <c r="I1356" s="89"/>
      <c r="J1356" s="212"/>
      <c r="K1356" s="212"/>
      <c r="L1356" s="212"/>
      <c r="M1356" s="212"/>
      <c r="N1356" s="212">
        <f t="shared" si="39"/>
        <v>0</v>
      </c>
    </row>
    <row r="1357" spans="1:14" s="407" customFormat="1" ht="12.75" x14ac:dyDescent="0.2">
      <c r="A1357" s="152"/>
      <c r="B1357" s="73"/>
      <c r="C1357" s="51" t="s">
        <v>985</v>
      </c>
      <c r="D1357" s="89" t="s">
        <v>224</v>
      </c>
      <c r="E1357" s="89"/>
      <c r="F1357" s="89"/>
      <c r="G1357" s="89"/>
      <c r="H1357" s="89"/>
      <c r="I1357" s="89"/>
      <c r="J1357" s="212"/>
      <c r="K1357" s="212"/>
      <c r="L1357" s="212"/>
      <c r="M1357" s="212"/>
      <c r="N1357" s="212">
        <f t="shared" si="39"/>
        <v>26500.16</v>
      </c>
    </row>
    <row r="1358" spans="1:14" s="407" customFormat="1" ht="12.75" x14ac:dyDescent="0.2">
      <c r="A1358" s="152"/>
      <c r="B1358" s="73"/>
      <c r="C1358" s="51" t="s">
        <v>1005</v>
      </c>
      <c r="D1358" s="89" t="s">
        <v>224</v>
      </c>
      <c r="E1358" s="89"/>
      <c r="F1358" s="89"/>
      <c r="G1358" s="89"/>
      <c r="H1358" s="89"/>
      <c r="I1358" s="89"/>
      <c r="J1358" s="212"/>
      <c r="K1358" s="212"/>
      <c r="L1358" s="212"/>
      <c r="M1358" s="212"/>
      <c r="N1358" s="212">
        <f t="shared" si="39"/>
        <v>0</v>
      </c>
    </row>
    <row r="1359" spans="1:14" s="407" customFormat="1" ht="12.75" x14ac:dyDescent="0.2">
      <c r="A1359" s="152"/>
      <c r="B1359" s="73"/>
      <c r="C1359" s="51" t="s">
        <v>1004</v>
      </c>
      <c r="D1359" s="89" t="s">
        <v>224</v>
      </c>
      <c r="E1359" s="89"/>
      <c r="F1359" s="89"/>
      <c r="G1359" s="89"/>
      <c r="H1359" s="89"/>
      <c r="I1359" s="89"/>
      <c r="J1359" s="212"/>
      <c r="K1359" s="212"/>
      <c r="L1359" s="212"/>
      <c r="M1359" s="212"/>
      <c r="N1359" s="212">
        <f t="shared" si="39"/>
        <v>0</v>
      </c>
    </row>
    <row r="1360" spans="1:14" s="407" customFormat="1" ht="12.75" x14ac:dyDescent="0.2">
      <c r="A1360" s="152"/>
      <c r="B1360" s="73"/>
      <c r="C1360" s="51" t="s">
        <v>1008</v>
      </c>
      <c r="D1360" s="89" t="s">
        <v>224</v>
      </c>
      <c r="E1360" s="89"/>
      <c r="F1360" s="89"/>
      <c r="G1360" s="89"/>
      <c r="H1360" s="89"/>
      <c r="I1360" s="89"/>
      <c r="J1360" s="212"/>
      <c r="K1360" s="212"/>
      <c r="L1360" s="212"/>
      <c r="M1360" s="212"/>
      <c r="N1360" s="212">
        <f t="shared" si="39"/>
        <v>0</v>
      </c>
    </row>
    <row r="1361" spans="1:14" s="407" customFormat="1" ht="12.75" x14ac:dyDescent="0.2">
      <c r="A1361" s="152"/>
      <c r="B1361" s="73"/>
      <c r="C1361" s="51" t="s">
        <v>1006</v>
      </c>
      <c r="D1361" s="89" t="s">
        <v>224</v>
      </c>
      <c r="E1361" s="89"/>
      <c r="F1361" s="89"/>
      <c r="G1361" s="89"/>
      <c r="H1361" s="89"/>
      <c r="I1361" s="89"/>
      <c r="J1361" s="212"/>
      <c r="K1361" s="212"/>
      <c r="L1361" s="212"/>
      <c r="M1361" s="212"/>
      <c r="N1361" s="212">
        <f t="shared" si="39"/>
        <v>0</v>
      </c>
    </row>
    <row r="1362" spans="1:14" s="407" customFormat="1" ht="12.75" x14ac:dyDescent="0.2">
      <c r="A1362" s="152"/>
      <c r="B1362" s="73"/>
      <c r="C1362" s="51" t="s">
        <v>1034</v>
      </c>
      <c r="D1362" s="89" t="s">
        <v>224</v>
      </c>
      <c r="E1362" s="89"/>
      <c r="F1362" s="89"/>
      <c r="G1362" s="89"/>
      <c r="H1362" s="89"/>
      <c r="I1362" s="89"/>
      <c r="J1362" s="212"/>
      <c r="K1362" s="212"/>
      <c r="L1362" s="212"/>
      <c r="M1362" s="212"/>
      <c r="N1362" s="212">
        <f t="shared" si="39"/>
        <v>0</v>
      </c>
    </row>
    <row r="1363" spans="1:14" s="407" customFormat="1" ht="12.75" x14ac:dyDescent="0.2">
      <c r="A1363" s="152"/>
      <c r="B1363" s="73"/>
      <c r="C1363" s="51" t="s">
        <v>1035</v>
      </c>
      <c r="D1363" s="89" t="s">
        <v>224</v>
      </c>
      <c r="E1363" s="89"/>
      <c r="F1363" s="89"/>
      <c r="G1363" s="89"/>
      <c r="H1363" s="89"/>
      <c r="I1363" s="89"/>
      <c r="J1363" s="212"/>
      <c r="K1363" s="212"/>
      <c r="L1363" s="212"/>
      <c r="M1363" s="212"/>
      <c r="N1363" s="212">
        <f t="shared" si="39"/>
        <v>0</v>
      </c>
    </row>
    <row r="1364" spans="1:14" s="407" customFormat="1" ht="12.75" x14ac:dyDescent="0.2">
      <c r="A1364" s="152"/>
      <c r="B1364" s="73"/>
      <c r="C1364" s="51" t="s">
        <v>922</v>
      </c>
      <c r="D1364" s="89" t="s">
        <v>224</v>
      </c>
      <c r="E1364" s="89"/>
      <c r="F1364" s="89"/>
      <c r="G1364" s="89"/>
      <c r="H1364" s="89"/>
      <c r="I1364" s="89"/>
      <c r="J1364" s="212"/>
      <c r="K1364" s="212"/>
      <c r="L1364" s="212"/>
      <c r="M1364" s="212"/>
      <c r="N1364" s="212">
        <f t="shared" si="39"/>
        <v>0</v>
      </c>
    </row>
    <row r="1365" spans="1:14" s="407" customFormat="1" ht="12.75" x14ac:dyDescent="0.2">
      <c r="A1365" s="152"/>
      <c r="B1365" s="73"/>
      <c r="C1365" s="51" t="s">
        <v>942</v>
      </c>
      <c r="D1365" s="89" t="s">
        <v>224</v>
      </c>
      <c r="E1365" s="89"/>
      <c r="F1365" s="89"/>
      <c r="G1365" s="89"/>
      <c r="H1365" s="89"/>
      <c r="I1365" s="89"/>
      <c r="J1365" s="212"/>
      <c r="K1365" s="212"/>
      <c r="L1365" s="212"/>
      <c r="M1365" s="212"/>
      <c r="N1365" s="212">
        <f t="shared" si="39"/>
        <v>0</v>
      </c>
    </row>
    <row r="1366" spans="1:14" s="407" customFormat="1" ht="12.75" x14ac:dyDescent="0.2">
      <c r="A1366" s="152"/>
      <c r="B1366" s="73"/>
      <c r="C1366" s="51" t="s">
        <v>943</v>
      </c>
      <c r="D1366" s="89" t="s">
        <v>224</v>
      </c>
      <c r="E1366" s="89"/>
      <c r="F1366" s="89"/>
      <c r="G1366" s="89"/>
      <c r="H1366" s="89"/>
      <c r="I1366" s="89"/>
      <c r="J1366" s="212"/>
      <c r="K1366" s="212"/>
      <c r="L1366" s="212"/>
      <c r="M1366" s="212"/>
      <c r="N1366" s="212">
        <f t="shared" si="39"/>
        <v>0</v>
      </c>
    </row>
    <row r="1367" spans="1:14" s="407" customFormat="1" ht="12.75" x14ac:dyDescent="0.2">
      <c r="A1367" s="152"/>
      <c r="B1367" s="73"/>
      <c r="C1367" s="51" t="s">
        <v>938</v>
      </c>
      <c r="D1367" s="89" t="s">
        <v>224</v>
      </c>
      <c r="E1367" s="89"/>
      <c r="F1367" s="89"/>
      <c r="G1367" s="89"/>
      <c r="H1367" s="89"/>
      <c r="I1367" s="89"/>
      <c r="J1367" s="212"/>
      <c r="K1367" s="212"/>
      <c r="L1367" s="212"/>
      <c r="M1367" s="212"/>
      <c r="N1367" s="212">
        <f t="shared" si="39"/>
        <v>0</v>
      </c>
    </row>
    <row r="1368" spans="1:14" s="407" customFormat="1" ht="12.75" x14ac:dyDescent="0.2">
      <c r="A1368" s="152"/>
      <c r="B1368" s="73"/>
      <c r="C1368" s="51" t="s">
        <v>939</v>
      </c>
      <c r="D1368" s="89" t="s">
        <v>224</v>
      </c>
      <c r="E1368" s="89"/>
      <c r="F1368" s="89"/>
      <c r="G1368" s="89"/>
      <c r="H1368" s="89"/>
      <c r="I1368" s="89"/>
      <c r="J1368" s="212"/>
      <c r="K1368" s="212"/>
      <c r="L1368" s="212"/>
      <c r="M1368" s="212"/>
      <c r="N1368" s="212">
        <f t="shared" si="39"/>
        <v>188500.16</v>
      </c>
    </row>
    <row r="1369" spans="1:14" s="407" customFormat="1" ht="12.75" x14ac:dyDescent="0.2">
      <c r="A1369" s="152"/>
      <c r="B1369" s="73"/>
      <c r="C1369" s="51" t="s">
        <v>934</v>
      </c>
      <c r="D1369" s="89" t="s">
        <v>224</v>
      </c>
      <c r="E1369" s="89"/>
      <c r="F1369" s="89"/>
      <c r="G1369" s="89"/>
      <c r="H1369" s="89"/>
      <c r="I1369" s="89"/>
      <c r="J1369" s="212"/>
      <c r="K1369" s="212"/>
      <c r="L1369" s="212"/>
      <c r="M1369" s="212"/>
      <c r="N1369" s="212">
        <f t="shared" si="39"/>
        <v>4000</v>
      </c>
    </row>
    <row r="1370" spans="1:14" s="407" customFormat="1" ht="12.75" x14ac:dyDescent="0.2">
      <c r="A1370" s="152"/>
      <c r="B1370" s="73"/>
      <c r="C1370" s="51" t="s">
        <v>935</v>
      </c>
      <c r="D1370" s="89" t="s">
        <v>224</v>
      </c>
      <c r="E1370" s="89"/>
      <c r="F1370" s="89"/>
      <c r="G1370" s="89"/>
      <c r="H1370" s="89"/>
      <c r="I1370" s="89"/>
      <c r="J1370" s="212"/>
      <c r="K1370" s="212"/>
      <c r="L1370" s="212"/>
      <c r="M1370" s="212"/>
      <c r="N1370" s="212">
        <f t="shared" si="39"/>
        <v>0</v>
      </c>
    </row>
    <row r="1371" spans="1:14" s="407" customFormat="1" ht="12.75" x14ac:dyDescent="0.2">
      <c r="A1371" s="152"/>
      <c r="B1371" s="73"/>
      <c r="C1371" s="51" t="s">
        <v>1663</v>
      </c>
      <c r="D1371" s="89" t="s">
        <v>224</v>
      </c>
      <c r="E1371" s="89"/>
      <c r="F1371" s="89"/>
      <c r="G1371" s="89"/>
      <c r="H1371" s="89"/>
      <c r="I1371" s="89"/>
      <c r="J1371" s="212"/>
      <c r="K1371" s="212"/>
      <c r="L1371" s="212"/>
      <c r="M1371" s="212"/>
      <c r="N1371" s="212">
        <f t="shared" si="39"/>
        <v>0</v>
      </c>
    </row>
    <row r="1372" spans="1:14" s="407" customFormat="1" ht="12.75" x14ac:dyDescent="0.2">
      <c r="A1372" s="152"/>
      <c r="B1372" s="73"/>
      <c r="C1372" s="51" t="s">
        <v>1661</v>
      </c>
      <c r="D1372" s="89" t="s">
        <v>224</v>
      </c>
      <c r="E1372" s="89"/>
      <c r="F1372" s="89"/>
      <c r="G1372" s="89"/>
      <c r="H1372" s="89"/>
      <c r="I1372" s="89"/>
      <c r="J1372" s="212"/>
      <c r="K1372" s="212"/>
      <c r="L1372" s="212"/>
      <c r="M1372" s="212"/>
      <c r="N1372" s="212">
        <f t="shared" si="39"/>
        <v>10000</v>
      </c>
    </row>
    <row r="1373" spans="1:14" s="407" customFormat="1" ht="12.75" x14ac:dyDescent="0.2">
      <c r="A1373" s="152"/>
      <c r="B1373" s="73"/>
      <c r="C1373" s="51" t="s">
        <v>953</v>
      </c>
      <c r="D1373" s="89" t="s">
        <v>224</v>
      </c>
      <c r="E1373" s="89"/>
      <c r="F1373" s="89"/>
      <c r="G1373" s="89"/>
      <c r="H1373" s="89"/>
      <c r="I1373" s="89"/>
      <c r="J1373" s="212"/>
      <c r="K1373" s="212"/>
      <c r="L1373" s="212"/>
      <c r="M1373" s="212"/>
      <c r="N1373" s="212">
        <f t="shared" si="39"/>
        <v>0</v>
      </c>
    </row>
    <row r="1374" spans="1:14" s="407" customFormat="1" ht="12.75" x14ac:dyDescent="0.2">
      <c r="A1374" s="152"/>
      <c r="B1374" s="73"/>
      <c r="C1374" s="51" t="s">
        <v>924</v>
      </c>
      <c r="D1374" s="89" t="s">
        <v>224</v>
      </c>
      <c r="E1374" s="89"/>
      <c r="F1374" s="89"/>
      <c r="G1374" s="89"/>
      <c r="H1374" s="89"/>
      <c r="I1374" s="89"/>
      <c r="J1374" s="212"/>
      <c r="K1374" s="212"/>
      <c r="L1374" s="212"/>
      <c r="M1374" s="212"/>
      <c r="N1374" s="212">
        <f t="shared" si="39"/>
        <v>0</v>
      </c>
    </row>
    <row r="1375" spans="1:14" s="407" customFormat="1" ht="12.75" x14ac:dyDescent="0.2">
      <c r="A1375" s="152"/>
      <c r="B1375" s="73"/>
      <c r="C1375" s="51" t="s">
        <v>927</v>
      </c>
      <c r="D1375" s="89" t="s">
        <v>224</v>
      </c>
      <c r="E1375" s="89"/>
      <c r="F1375" s="89"/>
      <c r="G1375" s="89"/>
      <c r="H1375" s="89"/>
      <c r="I1375" s="89"/>
      <c r="J1375" s="212"/>
      <c r="K1375" s="212"/>
      <c r="L1375" s="212"/>
      <c r="M1375" s="212"/>
      <c r="N1375" s="212">
        <f t="shared" si="39"/>
        <v>0</v>
      </c>
    </row>
    <row r="1376" spans="1:14" s="407" customFormat="1" ht="12.75" x14ac:dyDescent="0.2">
      <c r="A1376" s="152"/>
      <c r="B1376" s="73"/>
      <c r="C1376" s="51" t="s">
        <v>951</v>
      </c>
      <c r="D1376" s="89" t="s">
        <v>224</v>
      </c>
      <c r="E1376" s="89"/>
      <c r="F1376" s="89"/>
      <c r="G1376" s="89"/>
      <c r="H1376" s="89"/>
      <c r="I1376" s="89"/>
      <c r="J1376" s="212"/>
      <c r="K1376" s="212"/>
      <c r="L1376" s="212"/>
      <c r="M1376" s="212"/>
      <c r="N1376" s="212">
        <f t="shared" si="39"/>
        <v>0</v>
      </c>
    </row>
    <row r="1377" spans="1:14" s="407" customFormat="1" ht="12.75" x14ac:dyDescent="0.2">
      <c r="A1377" s="152"/>
      <c r="B1377" s="73"/>
      <c r="C1377" s="51" t="s">
        <v>1055</v>
      </c>
      <c r="D1377" s="89" t="s">
        <v>224</v>
      </c>
      <c r="E1377" s="89"/>
      <c r="F1377" s="89"/>
      <c r="G1377" s="89"/>
      <c r="H1377" s="89"/>
      <c r="I1377" s="89"/>
      <c r="J1377" s="212"/>
      <c r="K1377" s="212"/>
      <c r="L1377" s="212"/>
      <c r="M1377" s="212"/>
      <c r="N1377" s="212">
        <f t="shared" si="39"/>
        <v>0</v>
      </c>
    </row>
    <row r="1378" spans="1:14" s="407" customFormat="1" ht="12.75" x14ac:dyDescent="0.2">
      <c r="A1378" s="152"/>
      <c r="B1378" s="73"/>
      <c r="C1378" s="51" t="s">
        <v>940</v>
      </c>
      <c r="D1378" s="89" t="s">
        <v>224</v>
      </c>
      <c r="E1378" s="89"/>
      <c r="F1378" s="89"/>
      <c r="G1378" s="89"/>
      <c r="H1378" s="89"/>
      <c r="I1378" s="89"/>
      <c r="J1378" s="212"/>
      <c r="K1378" s="212"/>
      <c r="L1378" s="212"/>
      <c r="M1378" s="212"/>
      <c r="N1378" s="212">
        <f t="shared" si="39"/>
        <v>0</v>
      </c>
    </row>
    <row r="1379" spans="1:14" s="407" customFormat="1" ht="12.75" x14ac:dyDescent="0.2">
      <c r="A1379" s="152"/>
      <c r="B1379" s="73"/>
      <c r="C1379" s="51" t="s">
        <v>941</v>
      </c>
      <c r="D1379" s="89" t="s">
        <v>224</v>
      </c>
      <c r="E1379" s="89"/>
      <c r="F1379" s="89"/>
      <c r="G1379" s="89"/>
      <c r="H1379" s="89"/>
      <c r="I1379" s="89"/>
      <c r="J1379" s="212"/>
      <c r="K1379" s="212"/>
      <c r="L1379" s="212"/>
      <c r="M1379" s="212"/>
      <c r="N1379" s="212">
        <f t="shared" si="39"/>
        <v>0</v>
      </c>
    </row>
    <row r="1380" spans="1:14" s="407" customFormat="1" ht="12.75" x14ac:dyDescent="0.2">
      <c r="A1380" s="152"/>
      <c r="B1380" s="73"/>
      <c r="C1380" s="51" t="s">
        <v>936</v>
      </c>
      <c r="D1380" s="89" t="s">
        <v>224</v>
      </c>
      <c r="E1380" s="89"/>
      <c r="F1380" s="89"/>
      <c r="G1380" s="89"/>
      <c r="H1380" s="89"/>
      <c r="I1380" s="89"/>
      <c r="J1380" s="212"/>
      <c r="K1380" s="212"/>
      <c r="L1380" s="212"/>
      <c r="M1380" s="212"/>
      <c r="N1380" s="212">
        <f t="shared" si="39"/>
        <v>164000</v>
      </c>
    </row>
    <row r="1381" spans="1:14" s="407" customFormat="1" ht="12.75" x14ac:dyDescent="0.2">
      <c r="A1381" s="152"/>
      <c r="B1381" s="73"/>
      <c r="C1381" s="51" t="s">
        <v>937</v>
      </c>
      <c r="D1381" s="89" t="s">
        <v>224</v>
      </c>
      <c r="E1381" s="89"/>
      <c r="F1381" s="89"/>
      <c r="G1381" s="89"/>
      <c r="H1381" s="89"/>
      <c r="I1381" s="89"/>
      <c r="J1381" s="212"/>
      <c r="K1381" s="212"/>
      <c r="L1381" s="212"/>
      <c r="M1381" s="212"/>
      <c r="N1381" s="212">
        <f t="shared" si="39"/>
        <v>26500.16</v>
      </c>
    </row>
    <row r="1382" spans="1:14" s="407" customFormat="1" ht="12.75" x14ac:dyDescent="0.2">
      <c r="A1382" s="152"/>
      <c r="B1382" s="73"/>
      <c r="C1382" s="51" t="s">
        <v>932</v>
      </c>
      <c r="D1382" s="89" t="s">
        <v>224</v>
      </c>
      <c r="E1382" s="89"/>
      <c r="F1382" s="89"/>
      <c r="G1382" s="89"/>
      <c r="H1382" s="89"/>
      <c r="I1382" s="89"/>
      <c r="J1382" s="212"/>
      <c r="K1382" s="212"/>
      <c r="L1382" s="212"/>
      <c r="M1382" s="212"/>
      <c r="N1382" s="212">
        <f t="shared" si="39"/>
        <v>4000</v>
      </c>
    </row>
    <row r="1383" spans="1:14" s="407" customFormat="1" ht="12.75" x14ac:dyDescent="0.2">
      <c r="A1383" s="152"/>
      <c r="B1383" s="73"/>
      <c r="C1383" s="51" t="s">
        <v>933</v>
      </c>
      <c r="D1383" s="89" t="s">
        <v>224</v>
      </c>
      <c r="E1383" s="89"/>
      <c r="F1383" s="89"/>
      <c r="G1383" s="89"/>
      <c r="H1383" s="89"/>
      <c r="I1383" s="89"/>
      <c r="J1383" s="212"/>
      <c r="K1383" s="212"/>
      <c r="L1383" s="212"/>
      <c r="M1383" s="212"/>
      <c r="N1383" s="212">
        <f t="shared" si="39"/>
        <v>12000</v>
      </c>
    </row>
    <row r="1384" spans="1:14" s="407" customFormat="1" ht="12.75" x14ac:dyDescent="0.2">
      <c r="A1384" s="152"/>
      <c r="B1384" s="73"/>
      <c r="C1384" s="51" t="s">
        <v>952</v>
      </c>
      <c r="D1384" s="89" t="s">
        <v>224</v>
      </c>
      <c r="E1384" s="89"/>
      <c r="F1384" s="89"/>
      <c r="G1384" s="89"/>
      <c r="H1384" s="89"/>
      <c r="I1384" s="89"/>
      <c r="J1384" s="212"/>
      <c r="K1384" s="212"/>
      <c r="L1384" s="212"/>
      <c r="M1384" s="212"/>
      <c r="N1384" s="212">
        <f t="shared" si="39"/>
        <v>0</v>
      </c>
    </row>
    <row r="1385" spans="1:14" s="407" customFormat="1" ht="12.75" x14ac:dyDescent="0.2">
      <c r="A1385" s="152"/>
      <c r="B1385" s="73"/>
      <c r="C1385" s="51" t="s">
        <v>923</v>
      </c>
      <c r="D1385" s="89" t="s">
        <v>224</v>
      </c>
      <c r="E1385" s="89"/>
      <c r="F1385" s="89"/>
      <c r="G1385" s="89"/>
      <c r="H1385" s="89"/>
      <c r="I1385" s="89"/>
      <c r="J1385" s="212"/>
      <c r="K1385" s="212"/>
      <c r="L1385" s="212"/>
      <c r="M1385" s="212"/>
      <c r="N1385" s="212">
        <f t="shared" si="39"/>
        <v>0</v>
      </c>
    </row>
    <row r="1386" spans="1:14" s="407" customFormat="1" ht="12.75" x14ac:dyDescent="0.2">
      <c r="A1386" s="152"/>
      <c r="B1386" s="73"/>
      <c r="C1386" s="51" t="s">
        <v>925</v>
      </c>
      <c r="D1386" s="89" t="s">
        <v>224</v>
      </c>
      <c r="E1386" s="89"/>
      <c r="F1386" s="89"/>
      <c r="G1386" s="89"/>
      <c r="H1386" s="89"/>
      <c r="I1386" s="89"/>
      <c r="J1386" s="212"/>
      <c r="K1386" s="212"/>
      <c r="L1386" s="212"/>
      <c r="M1386" s="212"/>
      <c r="N1386" s="212">
        <f t="shared" si="39"/>
        <v>0</v>
      </c>
    </row>
    <row r="1387" spans="1:14" s="407" customFormat="1" ht="12.75" x14ac:dyDescent="0.2">
      <c r="A1387" s="152"/>
      <c r="B1387" s="73"/>
      <c r="C1387" s="51" t="s">
        <v>950</v>
      </c>
      <c r="D1387" s="89" t="s">
        <v>224</v>
      </c>
      <c r="E1387" s="89"/>
      <c r="F1387" s="89"/>
      <c r="G1387" s="89"/>
      <c r="H1387" s="89"/>
      <c r="I1387" s="89"/>
      <c r="J1387" s="212"/>
      <c r="K1387" s="212"/>
      <c r="L1387" s="212"/>
      <c r="M1387" s="212"/>
      <c r="N1387" s="212">
        <f t="shared" si="39"/>
        <v>300</v>
      </c>
    </row>
    <row r="1388" spans="1:14" s="407" customFormat="1" ht="12.75" x14ac:dyDescent="0.2">
      <c r="A1388" s="152"/>
      <c r="B1388" s="73"/>
      <c r="C1388" s="51" t="s">
        <v>1054</v>
      </c>
      <c r="D1388" s="89" t="s">
        <v>224</v>
      </c>
      <c r="E1388" s="89"/>
      <c r="F1388" s="89"/>
      <c r="G1388" s="89"/>
      <c r="H1388" s="89"/>
      <c r="I1388" s="89"/>
      <c r="J1388" s="212"/>
      <c r="K1388" s="212"/>
      <c r="L1388" s="212"/>
      <c r="M1388" s="212"/>
      <c r="N1388" s="212">
        <f t="shared" si="39"/>
        <v>0</v>
      </c>
    </row>
    <row r="1389" spans="1:14" s="407" customFormat="1" ht="12.75" x14ac:dyDescent="0.2">
      <c r="A1389" s="152"/>
      <c r="B1389" s="73"/>
      <c r="C1389" s="51" t="s">
        <v>921</v>
      </c>
      <c r="D1389" s="89" t="s">
        <v>224</v>
      </c>
      <c r="E1389" s="89"/>
      <c r="F1389" s="89"/>
      <c r="G1389" s="89"/>
      <c r="H1389" s="89"/>
      <c r="I1389" s="89"/>
      <c r="J1389" s="212"/>
      <c r="K1389" s="212"/>
      <c r="L1389" s="212"/>
      <c r="M1389" s="212"/>
      <c r="N1389" s="212">
        <f t="shared" si="39"/>
        <v>0</v>
      </c>
    </row>
    <row r="1390" spans="1:14" s="407" customFormat="1" ht="12.75" x14ac:dyDescent="0.2">
      <c r="A1390" s="152"/>
      <c r="B1390" s="73"/>
      <c r="C1390" s="51" t="s">
        <v>1022</v>
      </c>
      <c r="D1390" s="89" t="s">
        <v>224</v>
      </c>
      <c r="E1390" s="89"/>
      <c r="F1390" s="89"/>
      <c r="G1390" s="89"/>
      <c r="H1390" s="89"/>
      <c r="I1390" s="89"/>
      <c r="J1390" s="212"/>
      <c r="K1390" s="212"/>
      <c r="L1390" s="212"/>
      <c r="M1390" s="212"/>
      <c r="N1390" s="212">
        <f t="shared" si="39"/>
        <v>4000</v>
      </c>
    </row>
    <row r="1391" spans="1:14" s="407" customFormat="1" ht="12.75" x14ac:dyDescent="0.2">
      <c r="A1391" s="152"/>
      <c r="B1391" s="73"/>
      <c r="C1391" s="51" t="s">
        <v>1023</v>
      </c>
      <c r="D1391" s="89" t="s">
        <v>224</v>
      </c>
      <c r="E1391" s="89"/>
      <c r="F1391" s="89"/>
      <c r="G1391" s="89"/>
      <c r="H1391" s="89"/>
      <c r="I1391" s="89"/>
      <c r="J1391" s="212"/>
      <c r="K1391" s="212"/>
      <c r="L1391" s="212"/>
      <c r="M1391" s="212"/>
      <c r="N1391" s="212">
        <f t="shared" si="39"/>
        <v>0</v>
      </c>
    </row>
    <row r="1392" spans="1:14" s="407" customFormat="1" ht="12.75" x14ac:dyDescent="0.2">
      <c r="A1392" s="152"/>
      <c r="B1392" s="73"/>
      <c r="C1392" s="51" t="s">
        <v>137</v>
      </c>
      <c r="D1392" s="89" t="s">
        <v>224</v>
      </c>
      <c r="E1392" s="89"/>
      <c r="F1392" s="89"/>
      <c r="G1392" s="89"/>
      <c r="H1392" s="89"/>
      <c r="I1392" s="89"/>
      <c r="J1392" s="212"/>
      <c r="K1392" s="212"/>
      <c r="L1392" s="212"/>
      <c r="M1392" s="212"/>
      <c r="N1392" s="212">
        <f t="shared" si="39"/>
        <v>0</v>
      </c>
    </row>
    <row r="1393" spans="1:14" s="407" customFormat="1" ht="12.75" x14ac:dyDescent="0.2">
      <c r="A1393" s="152"/>
      <c r="B1393" s="73"/>
      <c r="C1393" s="51" t="s">
        <v>956</v>
      </c>
      <c r="D1393" s="89" t="s">
        <v>224</v>
      </c>
      <c r="E1393" s="89"/>
      <c r="F1393" s="89"/>
      <c r="G1393" s="89"/>
      <c r="H1393" s="89"/>
      <c r="I1393" s="89"/>
      <c r="J1393" s="212"/>
      <c r="K1393" s="212"/>
      <c r="L1393" s="212"/>
      <c r="M1393" s="212"/>
      <c r="N1393" s="212">
        <f t="shared" si="39"/>
        <v>0</v>
      </c>
    </row>
    <row r="1394" spans="1:14" s="407" customFormat="1" ht="12.75" x14ac:dyDescent="0.2">
      <c r="A1394" s="152"/>
      <c r="B1394" s="73"/>
      <c r="C1394" s="51" t="s">
        <v>1045</v>
      </c>
      <c r="D1394" s="89" t="s">
        <v>224</v>
      </c>
      <c r="E1394" s="89"/>
      <c r="F1394" s="89"/>
      <c r="G1394" s="89"/>
      <c r="H1394" s="89"/>
      <c r="I1394" s="89"/>
      <c r="J1394" s="212"/>
      <c r="K1394" s="212"/>
      <c r="L1394" s="212"/>
      <c r="M1394" s="212"/>
      <c r="N1394" s="212">
        <f t="shared" si="39"/>
        <v>0</v>
      </c>
    </row>
    <row r="1395" spans="1:14" s="407" customFormat="1" ht="12.75" x14ac:dyDescent="0.2">
      <c r="A1395" s="152"/>
      <c r="B1395" s="73"/>
      <c r="C1395" s="51" t="s">
        <v>1046</v>
      </c>
      <c r="D1395" s="89" t="s">
        <v>224</v>
      </c>
      <c r="E1395" s="89"/>
      <c r="F1395" s="89"/>
      <c r="G1395" s="89"/>
      <c r="H1395" s="89"/>
      <c r="I1395" s="89"/>
      <c r="J1395" s="212"/>
      <c r="K1395" s="212"/>
      <c r="L1395" s="212"/>
      <c r="M1395" s="212"/>
      <c r="N1395" s="212">
        <f t="shared" si="39"/>
        <v>0</v>
      </c>
    </row>
    <row r="1396" spans="1:14" s="407" customFormat="1" ht="12.75" x14ac:dyDescent="0.2">
      <c r="A1396" s="152"/>
      <c r="B1396" s="73"/>
      <c r="C1396" s="51" t="s">
        <v>1036</v>
      </c>
      <c r="D1396" s="89" t="s">
        <v>224</v>
      </c>
      <c r="E1396" s="89"/>
      <c r="F1396" s="89"/>
      <c r="G1396" s="89"/>
      <c r="H1396" s="89"/>
      <c r="I1396" s="89"/>
      <c r="J1396" s="212"/>
      <c r="K1396" s="212"/>
      <c r="L1396" s="212"/>
      <c r="M1396" s="212"/>
      <c r="N1396" s="212">
        <f t="shared" si="39"/>
        <v>0</v>
      </c>
    </row>
    <row r="1397" spans="1:14" s="407" customFormat="1" ht="12.75" x14ac:dyDescent="0.2">
      <c r="A1397" s="152"/>
      <c r="B1397" s="73"/>
      <c r="C1397" s="51" t="s">
        <v>1037</v>
      </c>
      <c r="D1397" s="89" t="s">
        <v>224</v>
      </c>
      <c r="E1397" s="89"/>
      <c r="F1397" s="89"/>
      <c r="G1397" s="89"/>
      <c r="H1397" s="89"/>
      <c r="I1397" s="89"/>
      <c r="J1397" s="212"/>
      <c r="K1397" s="212"/>
      <c r="L1397" s="212"/>
      <c r="M1397" s="212"/>
      <c r="N1397" s="212">
        <f t="shared" si="39"/>
        <v>0</v>
      </c>
    </row>
    <row r="1398" spans="1:14" s="407" customFormat="1" ht="12.75" x14ac:dyDescent="0.2">
      <c r="A1398" s="152"/>
      <c r="B1398" s="73"/>
      <c r="C1398" s="51" t="s">
        <v>990</v>
      </c>
      <c r="D1398" s="89" t="s">
        <v>224</v>
      </c>
      <c r="E1398" s="89"/>
      <c r="F1398" s="89"/>
      <c r="G1398" s="89"/>
      <c r="H1398" s="89"/>
      <c r="I1398" s="89"/>
      <c r="J1398" s="212"/>
      <c r="K1398" s="212"/>
      <c r="L1398" s="212"/>
      <c r="M1398" s="212"/>
      <c r="N1398" s="212">
        <f t="shared" si="39"/>
        <v>0</v>
      </c>
    </row>
    <row r="1399" spans="1:14" s="407" customFormat="1" ht="12.75" x14ac:dyDescent="0.2">
      <c r="A1399" s="152"/>
      <c r="B1399" s="73"/>
      <c r="C1399" s="51" t="s">
        <v>1040</v>
      </c>
      <c r="D1399" s="89" t="s">
        <v>224</v>
      </c>
      <c r="E1399" s="89"/>
      <c r="F1399" s="89"/>
      <c r="G1399" s="89"/>
      <c r="H1399" s="89"/>
      <c r="I1399" s="89"/>
      <c r="J1399" s="212"/>
      <c r="K1399" s="212"/>
      <c r="L1399" s="212"/>
      <c r="M1399" s="212"/>
      <c r="N1399" s="212">
        <f t="shared" si="39"/>
        <v>0</v>
      </c>
    </row>
    <row r="1400" spans="1:14" s="407" customFormat="1" ht="12.75" x14ac:dyDescent="0.2">
      <c r="A1400" s="152"/>
      <c r="B1400" s="73"/>
      <c r="C1400" s="51" t="s">
        <v>991</v>
      </c>
      <c r="D1400" s="89" t="s">
        <v>224</v>
      </c>
      <c r="E1400" s="89"/>
      <c r="F1400" s="89"/>
      <c r="G1400" s="89"/>
      <c r="H1400" s="89"/>
      <c r="I1400" s="89"/>
      <c r="J1400" s="212"/>
      <c r="K1400" s="212"/>
      <c r="L1400" s="212"/>
      <c r="M1400" s="212"/>
      <c r="N1400" s="212">
        <f t="shared" si="39"/>
        <v>0</v>
      </c>
    </row>
    <row r="1401" spans="1:14" s="407" customFormat="1" ht="12.75" x14ac:dyDescent="0.2">
      <c r="A1401" s="152"/>
      <c r="B1401" s="73"/>
      <c r="C1401" s="51" t="s">
        <v>959</v>
      </c>
      <c r="D1401" s="89" t="s">
        <v>224</v>
      </c>
      <c r="E1401" s="89"/>
      <c r="F1401" s="89"/>
      <c r="G1401" s="89"/>
      <c r="H1401" s="89"/>
      <c r="I1401" s="89"/>
      <c r="J1401" s="212"/>
      <c r="K1401" s="212"/>
      <c r="L1401" s="212"/>
      <c r="M1401" s="212"/>
      <c r="N1401" s="212">
        <f t="shared" si="39"/>
        <v>0</v>
      </c>
    </row>
    <row r="1402" spans="1:14" s="407" customFormat="1" ht="12.75" x14ac:dyDescent="0.2">
      <c r="A1402" s="152"/>
      <c r="B1402" s="73"/>
      <c r="C1402" s="51" t="s">
        <v>964</v>
      </c>
      <c r="D1402" s="89" t="s">
        <v>224</v>
      </c>
      <c r="E1402" s="89"/>
      <c r="F1402" s="89"/>
      <c r="G1402" s="89"/>
      <c r="H1402" s="89"/>
      <c r="I1402" s="89"/>
      <c r="J1402" s="212"/>
      <c r="K1402" s="212"/>
      <c r="L1402" s="212"/>
      <c r="M1402" s="212"/>
      <c r="N1402" s="212">
        <f t="shared" si="39"/>
        <v>0</v>
      </c>
    </row>
    <row r="1403" spans="1:14" s="407" customFormat="1" ht="12.75" x14ac:dyDescent="0.2">
      <c r="A1403" s="152"/>
      <c r="B1403" s="73"/>
      <c r="C1403" s="51" t="s">
        <v>1003</v>
      </c>
      <c r="D1403" s="89" t="s">
        <v>224</v>
      </c>
      <c r="E1403" s="89"/>
      <c r="F1403" s="89"/>
      <c r="G1403" s="89"/>
      <c r="H1403" s="89"/>
      <c r="I1403" s="89"/>
      <c r="J1403" s="212"/>
      <c r="K1403" s="212"/>
      <c r="L1403" s="212"/>
      <c r="M1403" s="212"/>
      <c r="N1403" s="212">
        <f t="shared" si="39"/>
        <v>20000</v>
      </c>
    </row>
    <row r="1404" spans="1:14" s="407" customFormat="1" ht="12.75" x14ac:dyDescent="0.2">
      <c r="A1404" s="152"/>
      <c r="B1404" s="73"/>
      <c r="C1404" s="51" t="s">
        <v>992</v>
      </c>
      <c r="D1404" s="89" t="s">
        <v>224</v>
      </c>
      <c r="E1404" s="89"/>
      <c r="F1404" s="89"/>
      <c r="G1404" s="89"/>
      <c r="H1404" s="89"/>
      <c r="I1404" s="89"/>
      <c r="J1404" s="212"/>
      <c r="K1404" s="212"/>
      <c r="L1404" s="212"/>
      <c r="M1404" s="212"/>
      <c r="N1404" s="212">
        <f t="shared" si="39"/>
        <v>0</v>
      </c>
    </row>
    <row r="1405" spans="1:14" s="407" customFormat="1" ht="12.75" x14ac:dyDescent="0.2">
      <c r="A1405" s="152"/>
      <c r="B1405" s="73"/>
      <c r="C1405" s="51" t="s">
        <v>994</v>
      </c>
      <c r="D1405" s="89" t="s">
        <v>224</v>
      </c>
      <c r="E1405" s="89"/>
      <c r="F1405" s="89"/>
      <c r="G1405" s="89"/>
      <c r="H1405" s="89"/>
      <c r="I1405" s="89"/>
      <c r="J1405" s="212"/>
      <c r="K1405" s="212"/>
      <c r="L1405" s="212"/>
      <c r="M1405" s="212"/>
      <c r="N1405" s="212">
        <f t="shared" si="39"/>
        <v>0</v>
      </c>
    </row>
    <row r="1406" spans="1:14" s="407" customFormat="1" ht="12.75" x14ac:dyDescent="0.2">
      <c r="A1406" s="152"/>
      <c r="B1406" s="73"/>
      <c r="C1406" s="51" t="s">
        <v>993</v>
      </c>
      <c r="D1406" s="89" t="s">
        <v>224</v>
      </c>
      <c r="E1406" s="89"/>
      <c r="F1406" s="89"/>
      <c r="G1406" s="89"/>
      <c r="H1406" s="89"/>
      <c r="I1406" s="89"/>
      <c r="J1406" s="212"/>
      <c r="K1406" s="212"/>
      <c r="L1406" s="212"/>
      <c r="M1406" s="212"/>
      <c r="N1406" s="212">
        <f t="shared" si="39"/>
        <v>54000</v>
      </c>
    </row>
    <row r="1407" spans="1:14" s="407" customFormat="1" ht="12.75" x14ac:dyDescent="0.2">
      <c r="A1407" s="152"/>
      <c r="B1407" s="73"/>
      <c r="C1407" s="51" t="s">
        <v>995</v>
      </c>
      <c r="D1407" s="89" t="s">
        <v>224</v>
      </c>
      <c r="E1407" s="89"/>
      <c r="F1407" s="89"/>
      <c r="G1407" s="89"/>
      <c r="H1407" s="89"/>
      <c r="I1407" s="89"/>
      <c r="J1407" s="212"/>
      <c r="K1407" s="212"/>
      <c r="L1407" s="212"/>
      <c r="M1407" s="212"/>
      <c r="N1407" s="212">
        <f t="shared" si="39"/>
        <v>6730</v>
      </c>
    </row>
    <row r="1408" spans="1:14" s="407" customFormat="1" ht="12.75" x14ac:dyDescent="0.2">
      <c r="A1408" s="152"/>
      <c r="B1408" s="73"/>
      <c r="C1408" s="51" t="s">
        <v>1001</v>
      </c>
      <c r="D1408" s="89" t="s">
        <v>224</v>
      </c>
      <c r="E1408" s="89"/>
      <c r="F1408" s="89"/>
      <c r="G1408" s="89"/>
      <c r="H1408" s="89"/>
      <c r="I1408" s="89"/>
      <c r="J1408" s="212"/>
      <c r="K1408" s="212"/>
      <c r="L1408" s="212"/>
      <c r="M1408" s="212"/>
      <c r="N1408" s="212">
        <f t="shared" si="39"/>
        <v>0</v>
      </c>
    </row>
    <row r="1409" spans="1:14" s="407" customFormat="1" ht="12.75" x14ac:dyDescent="0.2">
      <c r="A1409" s="152"/>
      <c r="B1409" s="73"/>
      <c r="C1409" s="51" t="s">
        <v>978</v>
      </c>
      <c r="D1409" s="89" t="s">
        <v>224</v>
      </c>
      <c r="E1409" s="89"/>
      <c r="F1409" s="89"/>
      <c r="G1409" s="89"/>
      <c r="H1409" s="89"/>
      <c r="I1409" s="89"/>
      <c r="J1409" s="212"/>
      <c r="K1409" s="212"/>
      <c r="L1409" s="212"/>
      <c r="M1409" s="212"/>
      <c r="N1409" s="212">
        <f t="shared" si="39"/>
        <v>0</v>
      </c>
    </row>
    <row r="1410" spans="1:14" s="407" customFormat="1" ht="12.75" x14ac:dyDescent="0.2">
      <c r="A1410" s="152"/>
      <c r="B1410" s="73"/>
      <c r="C1410" s="51" t="s">
        <v>494</v>
      </c>
      <c r="D1410" s="89" t="s">
        <v>224</v>
      </c>
      <c r="E1410" s="89"/>
      <c r="F1410" s="89"/>
      <c r="G1410" s="89"/>
      <c r="H1410" s="89"/>
      <c r="I1410" s="89"/>
      <c r="J1410" s="212"/>
      <c r="K1410" s="212"/>
      <c r="L1410" s="212"/>
      <c r="M1410" s="212"/>
      <c r="N1410" s="212">
        <f t="shared" si="39"/>
        <v>0</v>
      </c>
    </row>
    <row r="1411" spans="1:14" s="407" customFormat="1" ht="12.75" x14ac:dyDescent="0.2">
      <c r="A1411" s="152"/>
      <c r="B1411" s="73"/>
      <c r="C1411" s="51" t="s">
        <v>976</v>
      </c>
      <c r="D1411" s="89" t="s">
        <v>224</v>
      </c>
      <c r="E1411" s="89"/>
      <c r="F1411" s="89"/>
      <c r="G1411" s="89"/>
      <c r="H1411" s="89"/>
      <c r="I1411" s="89"/>
      <c r="J1411" s="212"/>
      <c r="K1411" s="212"/>
      <c r="L1411" s="212"/>
      <c r="M1411" s="212"/>
      <c r="N1411" s="212">
        <f t="shared" si="39"/>
        <v>0</v>
      </c>
    </row>
    <row r="1412" spans="1:14" s="407" customFormat="1" ht="12.75" x14ac:dyDescent="0.2">
      <c r="A1412" s="152"/>
      <c r="B1412" s="73"/>
      <c r="C1412" s="51" t="s">
        <v>1002</v>
      </c>
      <c r="D1412" s="89" t="s">
        <v>224</v>
      </c>
      <c r="E1412" s="89"/>
      <c r="F1412" s="89"/>
      <c r="G1412" s="89"/>
      <c r="H1412" s="89"/>
      <c r="I1412" s="89"/>
      <c r="J1412" s="212"/>
      <c r="K1412" s="212"/>
      <c r="L1412" s="212"/>
      <c r="M1412" s="212"/>
      <c r="N1412" s="212">
        <f t="shared" si="39"/>
        <v>0</v>
      </c>
    </row>
    <row r="1413" spans="1:14" s="407" customFormat="1" ht="12.75" x14ac:dyDescent="0.2">
      <c r="A1413" s="152"/>
      <c r="B1413" s="73"/>
      <c r="C1413" s="51" t="s">
        <v>1014</v>
      </c>
      <c r="D1413" s="89" t="s">
        <v>224</v>
      </c>
      <c r="E1413" s="89"/>
      <c r="F1413" s="89"/>
      <c r="G1413" s="89"/>
      <c r="H1413" s="89"/>
      <c r="I1413" s="89"/>
      <c r="J1413" s="212"/>
      <c r="K1413" s="212"/>
      <c r="L1413" s="212"/>
      <c r="M1413" s="212"/>
      <c r="N1413" s="212">
        <f t="shared" si="39"/>
        <v>0</v>
      </c>
    </row>
    <row r="1414" spans="1:14" s="407" customFormat="1" ht="12.75" x14ac:dyDescent="0.2">
      <c r="A1414" s="152"/>
      <c r="B1414" s="73"/>
      <c r="C1414" s="51" t="s">
        <v>998</v>
      </c>
      <c r="D1414" s="89" t="s">
        <v>224</v>
      </c>
      <c r="E1414" s="89"/>
      <c r="F1414" s="89"/>
      <c r="G1414" s="89"/>
      <c r="H1414" s="89"/>
      <c r="I1414" s="89"/>
      <c r="J1414" s="212"/>
      <c r="K1414" s="212"/>
      <c r="L1414" s="212"/>
      <c r="M1414" s="212"/>
      <c r="N1414" s="212">
        <f t="shared" si="39"/>
        <v>0</v>
      </c>
    </row>
    <row r="1415" spans="1:14" s="407" customFormat="1" ht="12.75" x14ac:dyDescent="0.2">
      <c r="A1415" s="152"/>
      <c r="B1415" s="73"/>
      <c r="C1415" s="51" t="s">
        <v>996</v>
      </c>
      <c r="D1415" s="89" t="s">
        <v>224</v>
      </c>
      <c r="E1415" s="89"/>
      <c r="F1415" s="89"/>
      <c r="G1415" s="89"/>
      <c r="H1415" s="89"/>
      <c r="I1415" s="89"/>
      <c r="J1415" s="212"/>
      <c r="K1415" s="212"/>
      <c r="L1415" s="212"/>
      <c r="M1415" s="212"/>
      <c r="N1415" s="212">
        <f t="shared" si="39"/>
        <v>0</v>
      </c>
    </row>
    <row r="1416" spans="1:14" s="407" customFormat="1" ht="12.75" x14ac:dyDescent="0.2">
      <c r="A1416" s="152"/>
      <c r="B1416" s="73"/>
      <c r="C1416" s="51" t="s">
        <v>1043</v>
      </c>
      <c r="D1416" s="89" t="s">
        <v>224</v>
      </c>
      <c r="E1416" s="89"/>
      <c r="F1416" s="89"/>
      <c r="G1416" s="89"/>
      <c r="H1416" s="89"/>
      <c r="I1416" s="89"/>
      <c r="J1416" s="212"/>
      <c r="K1416" s="212"/>
      <c r="L1416" s="212"/>
      <c r="M1416" s="212"/>
      <c r="N1416" s="212">
        <f t="shared" si="39"/>
        <v>0</v>
      </c>
    </row>
    <row r="1417" spans="1:14" s="407" customFormat="1" ht="12.75" x14ac:dyDescent="0.2">
      <c r="A1417" s="152"/>
      <c r="B1417" s="73"/>
      <c r="C1417" s="51" t="s">
        <v>1044</v>
      </c>
      <c r="D1417" s="89" t="s">
        <v>224</v>
      </c>
      <c r="E1417" s="89"/>
      <c r="F1417" s="89"/>
      <c r="G1417" s="89"/>
      <c r="H1417" s="89"/>
      <c r="I1417" s="89"/>
      <c r="J1417" s="212"/>
      <c r="K1417" s="212"/>
      <c r="L1417" s="212"/>
      <c r="M1417" s="212"/>
      <c r="N1417" s="212">
        <f t="shared" si="39"/>
        <v>50</v>
      </c>
    </row>
    <row r="1418" spans="1:14" s="407" customFormat="1" ht="12.75" x14ac:dyDescent="0.2">
      <c r="A1418" s="152"/>
      <c r="B1418" s="73"/>
      <c r="C1418" s="51" t="s">
        <v>1039</v>
      </c>
      <c r="D1418" s="89" t="s">
        <v>224</v>
      </c>
      <c r="E1418" s="89"/>
      <c r="F1418" s="89"/>
      <c r="G1418" s="89"/>
      <c r="H1418" s="89"/>
      <c r="I1418" s="89"/>
      <c r="J1418" s="212"/>
      <c r="K1418" s="212"/>
      <c r="L1418" s="212"/>
      <c r="M1418" s="212"/>
      <c r="N1418" s="212">
        <f t="shared" si="39"/>
        <v>0</v>
      </c>
    </row>
    <row r="1419" spans="1:14" s="407" customFormat="1" ht="12.75" x14ac:dyDescent="0.2">
      <c r="A1419" s="152"/>
      <c r="B1419" s="73"/>
      <c r="C1419" s="51" t="s">
        <v>1028</v>
      </c>
      <c r="D1419" s="89" t="s">
        <v>224</v>
      </c>
      <c r="E1419" s="89"/>
      <c r="F1419" s="89"/>
      <c r="G1419" s="89"/>
      <c r="H1419" s="89"/>
      <c r="I1419" s="89"/>
      <c r="J1419" s="212"/>
      <c r="K1419" s="212"/>
      <c r="L1419" s="212"/>
      <c r="M1419" s="212"/>
      <c r="N1419" s="212">
        <f t="shared" ref="N1419:N1482" si="40">SUMIFS(N$26:N$154,$C$26:$C$154,$C1419,$D$26:$D$154,$D1419)</f>
        <v>0</v>
      </c>
    </row>
    <row r="1420" spans="1:14" s="407" customFormat="1" ht="12.75" x14ac:dyDescent="0.2">
      <c r="A1420" s="152"/>
      <c r="B1420" s="73"/>
      <c r="C1420" s="51" t="s">
        <v>1029</v>
      </c>
      <c r="D1420" s="89" t="s">
        <v>224</v>
      </c>
      <c r="E1420" s="89"/>
      <c r="F1420" s="89"/>
      <c r="G1420" s="89"/>
      <c r="H1420" s="89"/>
      <c r="I1420" s="89"/>
      <c r="J1420" s="212"/>
      <c r="K1420" s="212"/>
      <c r="L1420" s="212"/>
      <c r="M1420" s="212"/>
      <c r="N1420" s="212">
        <f t="shared" si="40"/>
        <v>0</v>
      </c>
    </row>
    <row r="1421" spans="1:14" s="407" customFormat="1" ht="12.75" x14ac:dyDescent="0.2">
      <c r="A1421" s="152"/>
      <c r="B1421" s="73"/>
      <c r="C1421" s="51" t="s">
        <v>113</v>
      </c>
      <c r="D1421" s="89" t="s">
        <v>224</v>
      </c>
      <c r="E1421" s="89"/>
      <c r="F1421" s="89"/>
      <c r="G1421" s="89"/>
      <c r="H1421" s="89"/>
      <c r="I1421" s="89"/>
      <c r="J1421" s="212"/>
      <c r="K1421" s="212"/>
      <c r="L1421" s="212"/>
      <c r="M1421" s="212"/>
      <c r="N1421" s="212">
        <f t="shared" si="40"/>
        <v>3</v>
      </c>
    </row>
    <row r="1422" spans="1:14" s="407" customFormat="1" ht="12.75" x14ac:dyDescent="0.2">
      <c r="A1422" s="152"/>
      <c r="B1422" s="73"/>
      <c r="C1422" s="51" t="s">
        <v>1038</v>
      </c>
      <c r="D1422" s="89" t="s">
        <v>224</v>
      </c>
      <c r="E1422" s="89"/>
      <c r="F1422" s="89"/>
      <c r="G1422" s="89"/>
      <c r="H1422" s="89"/>
      <c r="I1422" s="89"/>
      <c r="J1422" s="212"/>
      <c r="K1422" s="212"/>
      <c r="L1422" s="212"/>
      <c r="M1422" s="212"/>
      <c r="N1422" s="212">
        <f t="shared" si="40"/>
        <v>0</v>
      </c>
    </row>
    <row r="1423" spans="1:14" s="407" customFormat="1" ht="12.75" x14ac:dyDescent="0.2">
      <c r="A1423" s="152"/>
      <c r="B1423" s="73"/>
      <c r="C1423" s="51" t="s">
        <v>1033</v>
      </c>
      <c r="D1423" s="89" t="s">
        <v>224</v>
      </c>
      <c r="E1423" s="89"/>
      <c r="F1423" s="89"/>
      <c r="G1423" s="89"/>
      <c r="H1423" s="89"/>
      <c r="I1423" s="89"/>
      <c r="J1423" s="212"/>
      <c r="K1423" s="212"/>
      <c r="L1423" s="212"/>
      <c r="M1423" s="212"/>
      <c r="N1423" s="212">
        <f t="shared" si="40"/>
        <v>0</v>
      </c>
    </row>
    <row r="1424" spans="1:14" s="407" customFormat="1" ht="12.75" x14ac:dyDescent="0.2">
      <c r="A1424" s="152"/>
      <c r="B1424" s="73"/>
      <c r="C1424" s="51" t="s">
        <v>1007</v>
      </c>
      <c r="D1424" s="89" t="s">
        <v>224</v>
      </c>
      <c r="E1424" s="89"/>
      <c r="F1424" s="89"/>
      <c r="G1424" s="89"/>
      <c r="H1424" s="89"/>
      <c r="I1424" s="89"/>
      <c r="J1424" s="212"/>
      <c r="K1424" s="212"/>
      <c r="L1424" s="212"/>
      <c r="M1424" s="212"/>
      <c r="N1424" s="212">
        <f t="shared" si="40"/>
        <v>0</v>
      </c>
    </row>
    <row r="1425" spans="1:14" s="407" customFormat="1" ht="12.75" x14ac:dyDescent="0.2">
      <c r="A1425" s="152"/>
      <c r="B1425" s="73"/>
      <c r="C1425" s="51" t="s">
        <v>969</v>
      </c>
      <c r="D1425" s="89" t="s">
        <v>224</v>
      </c>
      <c r="E1425" s="89"/>
      <c r="F1425" s="89"/>
      <c r="G1425" s="89"/>
      <c r="H1425" s="89"/>
      <c r="I1425" s="89"/>
      <c r="J1425" s="212"/>
      <c r="K1425" s="212"/>
      <c r="L1425" s="212"/>
      <c r="M1425" s="212"/>
      <c r="N1425" s="212">
        <f t="shared" si="40"/>
        <v>0</v>
      </c>
    </row>
    <row r="1426" spans="1:14" s="407" customFormat="1" ht="12.75" x14ac:dyDescent="0.2">
      <c r="A1426" s="152"/>
      <c r="B1426" s="73"/>
      <c r="C1426" s="51" t="s">
        <v>987</v>
      </c>
      <c r="D1426" s="89" t="s">
        <v>224</v>
      </c>
      <c r="E1426" s="89"/>
      <c r="F1426" s="89"/>
      <c r="G1426" s="89"/>
      <c r="H1426" s="89"/>
      <c r="I1426" s="89"/>
      <c r="J1426" s="212"/>
      <c r="K1426" s="212"/>
      <c r="L1426" s="212"/>
      <c r="M1426" s="212"/>
      <c r="N1426" s="212">
        <f t="shared" si="40"/>
        <v>0</v>
      </c>
    </row>
    <row r="1427" spans="1:14" s="407" customFormat="1" ht="12.75" x14ac:dyDescent="0.2">
      <c r="A1427" s="152"/>
      <c r="B1427" s="73"/>
      <c r="C1427" s="51" t="s">
        <v>1000</v>
      </c>
      <c r="D1427" s="89" t="s">
        <v>224</v>
      </c>
      <c r="E1427" s="89"/>
      <c r="F1427" s="89"/>
      <c r="G1427" s="89"/>
      <c r="H1427" s="89"/>
      <c r="I1427" s="89"/>
      <c r="J1427" s="212"/>
      <c r="K1427" s="212"/>
      <c r="L1427" s="212"/>
      <c r="M1427" s="212"/>
      <c r="N1427" s="212">
        <f t="shared" si="40"/>
        <v>0</v>
      </c>
    </row>
    <row r="1428" spans="1:14" s="407" customFormat="1" ht="12.75" x14ac:dyDescent="0.2">
      <c r="A1428" s="152"/>
      <c r="B1428" s="73"/>
      <c r="C1428" s="51" t="s">
        <v>116</v>
      </c>
      <c r="D1428" s="89" t="s">
        <v>224</v>
      </c>
      <c r="E1428" s="89"/>
      <c r="F1428" s="89"/>
      <c r="G1428" s="89"/>
      <c r="H1428" s="89"/>
      <c r="I1428" s="89"/>
      <c r="J1428" s="212"/>
      <c r="K1428" s="212"/>
      <c r="L1428" s="212"/>
      <c r="M1428" s="212"/>
      <c r="N1428" s="212">
        <f t="shared" si="40"/>
        <v>0</v>
      </c>
    </row>
    <row r="1429" spans="1:14" s="407" customFormat="1" ht="12.75" x14ac:dyDescent="0.2">
      <c r="A1429" s="152"/>
      <c r="B1429" s="73"/>
      <c r="C1429" s="51" t="s">
        <v>114</v>
      </c>
      <c r="D1429" s="89" t="s">
        <v>224</v>
      </c>
      <c r="E1429" s="89"/>
      <c r="F1429" s="89"/>
      <c r="G1429" s="89"/>
      <c r="H1429" s="89"/>
      <c r="I1429" s="89"/>
      <c r="J1429" s="212"/>
      <c r="K1429" s="212"/>
      <c r="L1429" s="212"/>
      <c r="M1429" s="212"/>
      <c r="N1429" s="212">
        <f t="shared" si="40"/>
        <v>0</v>
      </c>
    </row>
    <row r="1430" spans="1:14" s="407" customFormat="1" ht="12.75" x14ac:dyDescent="0.2">
      <c r="A1430" s="152"/>
      <c r="B1430" s="73"/>
      <c r="C1430" s="51" t="s">
        <v>111</v>
      </c>
      <c r="D1430" s="89" t="s">
        <v>224</v>
      </c>
      <c r="E1430" s="89"/>
      <c r="F1430" s="89"/>
      <c r="G1430" s="89"/>
      <c r="H1430" s="89"/>
      <c r="I1430" s="89"/>
      <c r="J1430" s="212"/>
      <c r="K1430" s="212"/>
      <c r="L1430" s="212"/>
      <c r="M1430" s="212"/>
      <c r="N1430" s="212">
        <f t="shared" si="40"/>
        <v>0</v>
      </c>
    </row>
    <row r="1431" spans="1:14" s="407" customFormat="1" ht="12.75" x14ac:dyDescent="0.2">
      <c r="A1431" s="152"/>
      <c r="B1431" s="73"/>
      <c r="C1431" s="51" t="s">
        <v>117</v>
      </c>
      <c r="D1431" s="89" t="s">
        <v>224</v>
      </c>
      <c r="E1431" s="89"/>
      <c r="F1431" s="89"/>
      <c r="G1431" s="89"/>
      <c r="H1431" s="89"/>
      <c r="I1431" s="89"/>
      <c r="J1431" s="212"/>
      <c r="K1431" s="212"/>
      <c r="L1431" s="212"/>
      <c r="M1431" s="212"/>
      <c r="N1431" s="212">
        <f t="shared" si="40"/>
        <v>0</v>
      </c>
    </row>
    <row r="1432" spans="1:14" s="407" customFormat="1" ht="12.75" x14ac:dyDescent="0.2">
      <c r="A1432" s="152"/>
      <c r="B1432" s="73"/>
      <c r="C1432" s="51" t="s">
        <v>112</v>
      </c>
      <c r="D1432" s="89" t="s">
        <v>224</v>
      </c>
      <c r="E1432" s="89"/>
      <c r="F1432" s="89"/>
      <c r="G1432" s="89"/>
      <c r="H1432" s="89"/>
      <c r="I1432" s="89"/>
      <c r="J1432" s="212"/>
      <c r="K1432" s="212"/>
      <c r="L1432" s="212"/>
      <c r="M1432" s="212"/>
      <c r="N1432" s="212">
        <f t="shared" si="40"/>
        <v>0</v>
      </c>
    </row>
    <row r="1433" spans="1:14" s="407" customFormat="1" ht="12.75" x14ac:dyDescent="0.2">
      <c r="A1433" s="152"/>
      <c r="B1433" s="73"/>
      <c r="C1433" s="51" t="s">
        <v>136</v>
      </c>
      <c r="D1433" s="89" t="s">
        <v>224</v>
      </c>
      <c r="E1433" s="89"/>
      <c r="F1433" s="89"/>
      <c r="G1433" s="89"/>
      <c r="H1433" s="89"/>
      <c r="I1433" s="89"/>
      <c r="J1433" s="212"/>
      <c r="K1433" s="212"/>
      <c r="L1433" s="212"/>
      <c r="M1433" s="212"/>
      <c r="N1433" s="212">
        <f t="shared" si="40"/>
        <v>0</v>
      </c>
    </row>
    <row r="1434" spans="1:14" s="407" customFormat="1" ht="12.75" x14ac:dyDescent="0.2">
      <c r="A1434" s="152"/>
      <c r="B1434" s="73"/>
      <c r="C1434" s="51" t="s">
        <v>962</v>
      </c>
      <c r="D1434" s="89" t="s">
        <v>224</v>
      </c>
      <c r="E1434" s="89"/>
      <c r="F1434" s="89"/>
      <c r="G1434" s="89"/>
      <c r="H1434" s="89"/>
      <c r="I1434" s="89"/>
      <c r="J1434" s="212"/>
      <c r="K1434" s="212"/>
      <c r="L1434" s="212"/>
      <c r="M1434" s="212"/>
      <c r="N1434" s="212">
        <f t="shared" si="40"/>
        <v>0</v>
      </c>
    </row>
    <row r="1435" spans="1:14" s="407" customFormat="1" ht="12.75" x14ac:dyDescent="0.2">
      <c r="A1435" s="152"/>
      <c r="B1435" s="73"/>
      <c r="C1435" s="51" t="s">
        <v>115</v>
      </c>
      <c r="D1435" s="89" t="s">
        <v>224</v>
      </c>
      <c r="E1435" s="89"/>
      <c r="F1435" s="89"/>
      <c r="G1435" s="89"/>
      <c r="H1435" s="89"/>
      <c r="I1435" s="89"/>
      <c r="J1435" s="212"/>
      <c r="K1435" s="212"/>
      <c r="L1435" s="212"/>
      <c r="M1435" s="212"/>
      <c r="N1435" s="212">
        <f t="shared" si="40"/>
        <v>0</v>
      </c>
    </row>
    <row r="1436" spans="1:14" s="407" customFormat="1" ht="12.75" x14ac:dyDescent="0.2">
      <c r="A1436" s="152"/>
      <c r="B1436" s="73"/>
      <c r="C1436" s="51" t="s">
        <v>997</v>
      </c>
      <c r="D1436" s="89" t="s">
        <v>224</v>
      </c>
      <c r="E1436" s="89"/>
      <c r="F1436" s="89"/>
      <c r="G1436" s="89"/>
      <c r="H1436" s="89"/>
      <c r="I1436" s="89"/>
      <c r="J1436" s="212"/>
      <c r="K1436" s="212"/>
      <c r="L1436" s="212"/>
      <c r="M1436" s="212"/>
      <c r="N1436" s="212">
        <f t="shared" si="40"/>
        <v>0</v>
      </c>
    </row>
    <row r="1437" spans="1:14" s="407" customFormat="1" ht="12.75" x14ac:dyDescent="0.2">
      <c r="A1437" s="152"/>
      <c r="B1437" s="73"/>
      <c r="C1437" s="51" t="s">
        <v>999</v>
      </c>
      <c r="D1437" s="89" t="s">
        <v>224</v>
      </c>
      <c r="E1437" s="89"/>
      <c r="F1437" s="89"/>
      <c r="G1437" s="89"/>
      <c r="H1437" s="89"/>
      <c r="I1437" s="89"/>
      <c r="J1437" s="212"/>
      <c r="K1437" s="212"/>
      <c r="L1437" s="212"/>
      <c r="M1437" s="212"/>
      <c r="N1437" s="212">
        <f t="shared" si="40"/>
        <v>0</v>
      </c>
    </row>
    <row r="1438" spans="1:14" s="407" customFormat="1" ht="12.75" x14ac:dyDescent="0.2">
      <c r="A1438" s="152"/>
      <c r="B1438" s="73"/>
      <c r="C1438" s="51" t="s">
        <v>1049</v>
      </c>
      <c r="D1438" s="89" t="s">
        <v>224</v>
      </c>
      <c r="E1438" s="89"/>
      <c r="F1438" s="89"/>
      <c r="G1438" s="89"/>
      <c r="H1438" s="89"/>
      <c r="I1438" s="89"/>
      <c r="J1438" s="212"/>
      <c r="K1438" s="212"/>
      <c r="L1438" s="212"/>
      <c r="M1438" s="212"/>
      <c r="N1438" s="212">
        <f t="shared" si="40"/>
        <v>65014</v>
      </c>
    </row>
    <row r="1439" spans="1:14" s="407" customFormat="1" ht="12.75" x14ac:dyDescent="0.2">
      <c r="A1439" s="152"/>
      <c r="B1439" s="73"/>
      <c r="C1439" s="51" t="s">
        <v>96</v>
      </c>
      <c r="D1439" s="89" t="s">
        <v>224</v>
      </c>
      <c r="E1439" s="89"/>
      <c r="F1439" s="89"/>
      <c r="G1439" s="89"/>
      <c r="H1439" s="89"/>
      <c r="I1439" s="89"/>
      <c r="J1439" s="212"/>
      <c r="K1439" s="212"/>
      <c r="L1439" s="212"/>
      <c r="M1439" s="212"/>
      <c r="N1439" s="212">
        <f t="shared" si="40"/>
        <v>425000</v>
      </c>
    </row>
    <row r="1440" spans="1:14" s="407" customFormat="1" ht="12.75" x14ac:dyDescent="0.2">
      <c r="A1440" s="152"/>
      <c r="B1440" s="73"/>
      <c r="C1440" s="51" t="s">
        <v>983</v>
      </c>
      <c r="D1440" s="89" t="s">
        <v>224</v>
      </c>
      <c r="E1440" s="89"/>
      <c r="F1440" s="89"/>
      <c r="G1440" s="89"/>
      <c r="H1440" s="89"/>
      <c r="I1440" s="89"/>
      <c r="J1440" s="212"/>
      <c r="K1440" s="212"/>
      <c r="L1440" s="212"/>
      <c r="M1440" s="212"/>
      <c r="N1440" s="212">
        <f t="shared" si="40"/>
        <v>5145</v>
      </c>
    </row>
    <row r="1441" spans="1:14" s="407" customFormat="1" ht="12.75" x14ac:dyDescent="0.2">
      <c r="A1441" s="152"/>
      <c r="B1441" s="73"/>
      <c r="C1441" s="51" t="s">
        <v>1042</v>
      </c>
      <c r="D1441" s="89" t="s">
        <v>224</v>
      </c>
      <c r="E1441" s="89"/>
      <c r="F1441" s="89"/>
      <c r="G1441" s="89"/>
      <c r="H1441" s="89"/>
      <c r="I1441" s="89"/>
      <c r="J1441" s="212"/>
      <c r="K1441" s="212"/>
      <c r="L1441" s="212"/>
      <c r="M1441" s="212"/>
      <c r="N1441" s="212">
        <f t="shared" si="40"/>
        <v>0</v>
      </c>
    </row>
    <row r="1442" spans="1:14" s="407" customFormat="1" ht="12.75" x14ac:dyDescent="0.2">
      <c r="A1442" s="152"/>
      <c r="B1442" s="73"/>
      <c r="C1442" s="51" t="s">
        <v>979</v>
      </c>
      <c r="D1442" s="89" t="s">
        <v>224</v>
      </c>
      <c r="E1442" s="89"/>
      <c r="F1442" s="89"/>
      <c r="G1442" s="89"/>
      <c r="H1442" s="89"/>
      <c r="I1442" s="89"/>
      <c r="J1442" s="212"/>
      <c r="K1442" s="212"/>
      <c r="L1442" s="212"/>
      <c r="M1442" s="212"/>
      <c r="N1442" s="212">
        <f t="shared" si="40"/>
        <v>0</v>
      </c>
    </row>
    <row r="1443" spans="1:14" s="407" customFormat="1" ht="12.75" x14ac:dyDescent="0.2">
      <c r="A1443" s="152"/>
      <c r="B1443" s="73"/>
      <c r="C1443" s="51" t="s">
        <v>47</v>
      </c>
      <c r="D1443" s="89" t="s">
        <v>224</v>
      </c>
      <c r="E1443" s="89"/>
      <c r="F1443" s="89"/>
      <c r="G1443" s="89"/>
      <c r="H1443" s="89"/>
      <c r="I1443" s="89"/>
      <c r="J1443" s="212"/>
      <c r="K1443" s="212"/>
      <c r="L1443" s="212"/>
      <c r="M1443" s="212"/>
      <c r="N1443" s="212">
        <f t="shared" si="40"/>
        <v>0</v>
      </c>
    </row>
    <row r="1444" spans="1:14" s="407" customFormat="1" ht="12.75" x14ac:dyDescent="0.2">
      <c r="A1444" s="152"/>
      <c r="B1444" s="73"/>
      <c r="C1444" s="51" t="s">
        <v>48</v>
      </c>
      <c r="D1444" s="89" t="s">
        <v>224</v>
      </c>
      <c r="E1444" s="89"/>
      <c r="F1444" s="89"/>
      <c r="G1444" s="89"/>
      <c r="H1444" s="89"/>
      <c r="I1444" s="89"/>
      <c r="J1444" s="212"/>
      <c r="K1444" s="212"/>
      <c r="L1444" s="212"/>
      <c r="M1444" s="212"/>
      <c r="N1444" s="212">
        <f t="shared" si="40"/>
        <v>0</v>
      </c>
    </row>
    <row r="1445" spans="1:14" s="407" customFormat="1" ht="12.75" x14ac:dyDescent="0.2">
      <c r="A1445" s="152"/>
      <c r="B1445" s="73"/>
      <c r="C1445" s="51" t="s">
        <v>1051</v>
      </c>
      <c r="D1445" s="89" t="s">
        <v>224</v>
      </c>
      <c r="E1445" s="89"/>
      <c r="F1445" s="89"/>
      <c r="G1445" s="89"/>
      <c r="H1445" s="89"/>
      <c r="I1445" s="89"/>
      <c r="J1445" s="212"/>
      <c r="K1445" s="212"/>
      <c r="L1445" s="212"/>
      <c r="M1445" s="212"/>
      <c r="N1445" s="212">
        <f t="shared" si="40"/>
        <v>0</v>
      </c>
    </row>
    <row r="1446" spans="1:14" s="407" customFormat="1" ht="12.75" x14ac:dyDescent="0.2">
      <c r="A1446" s="152"/>
      <c r="B1446" s="73"/>
      <c r="C1446" s="51" t="s">
        <v>929</v>
      </c>
      <c r="D1446" s="89" t="s">
        <v>224</v>
      </c>
      <c r="E1446" s="89"/>
      <c r="F1446" s="89"/>
      <c r="G1446" s="89"/>
      <c r="H1446" s="89"/>
      <c r="I1446" s="89"/>
      <c r="J1446" s="212"/>
      <c r="K1446" s="212"/>
      <c r="L1446" s="212"/>
      <c r="M1446" s="212"/>
      <c r="N1446" s="212">
        <f t="shared" si="40"/>
        <v>0</v>
      </c>
    </row>
    <row r="1447" spans="1:14" s="407" customFormat="1" ht="12.75" x14ac:dyDescent="0.2">
      <c r="A1447" s="152"/>
      <c r="B1447" s="73"/>
      <c r="C1447" s="51" t="s">
        <v>970</v>
      </c>
      <c r="D1447" s="89" t="s">
        <v>224</v>
      </c>
      <c r="E1447" s="89"/>
      <c r="F1447" s="89"/>
      <c r="G1447" s="89"/>
      <c r="H1447" s="89"/>
      <c r="I1447" s="89"/>
      <c r="J1447" s="212"/>
      <c r="K1447" s="212"/>
      <c r="L1447" s="212"/>
      <c r="M1447" s="212"/>
      <c r="N1447" s="212">
        <f t="shared" si="40"/>
        <v>0</v>
      </c>
    </row>
    <row r="1448" spans="1:14" s="407" customFormat="1" ht="12.75" x14ac:dyDescent="0.2">
      <c r="A1448" s="152"/>
      <c r="B1448" s="73"/>
      <c r="C1448" s="51" t="s">
        <v>122</v>
      </c>
      <c r="D1448" s="89" t="s">
        <v>224</v>
      </c>
      <c r="E1448" s="89"/>
      <c r="F1448" s="89"/>
      <c r="G1448" s="89"/>
      <c r="H1448" s="89"/>
      <c r="I1448" s="89"/>
      <c r="J1448" s="212"/>
      <c r="K1448" s="212"/>
      <c r="L1448" s="212"/>
      <c r="M1448" s="212"/>
      <c r="N1448" s="212">
        <f t="shared" si="40"/>
        <v>0</v>
      </c>
    </row>
    <row r="1449" spans="1:14" s="407" customFormat="1" ht="12.75" x14ac:dyDescent="0.2">
      <c r="A1449" s="152"/>
      <c r="B1449" s="73"/>
      <c r="C1449" s="51" t="s">
        <v>135</v>
      </c>
      <c r="D1449" s="89" t="s">
        <v>224</v>
      </c>
      <c r="E1449" s="89"/>
      <c r="F1449" s="89"/>
      <c r="G1449" s="89"/>
      <c r="H1449" s="89"/>
      <c r="I1449" s="89"/>
      <c r="J1449" s="212"/>
      <c r="K1449" s="212"/>
      <c r="L1449" s="212"/>
      <c r="M1449" s="212"/>
      <c r="N1449" s="212">
        <f t="shared" si="40"/>
        <v>0</v>
      </c>
    </row>
    <row r="1450" spans="1:14" s="407" customFormat="1" ht="12.75" x14ac:dyDescent="0.2">
      <c r="A1450" s="152"/>
      <c r="B1450" s="73"/>
      <c r="C1450" s="51" t="s">
        <v>123</v>
      </c>
      <c r="D1450" s="89" t="s">
        <v>224</v>
      </c>
      <c r="E1450" s="89"/>
      <c r="F1450" s="89"/>
      <c r="G1450" s="89"/>
      <c r="H1450" s="89"/>
      <c r="I1450" s="89"/>
      <c r="J1450" s="212"/>
      <c r="K1450" s="212"/>
      <c r="L1450" s="212"/>
      <c r="M1450" s="212"/>
      <c r="N1450" s="212">
        <f t="shared" si="40"/>
        <v>0</v>
      </c>
    </row>
    <row r="1451" spans="1:14" s="407" customFormat="1" ht="12.75" x14ac:dyDescent="0.2">
      <c r="A1451" s="152"/>
      <c r="B1451" s="73"/>
      <c r="C1451" s="51" t="s">
        <v>974</v>
      </c>
      <c r="D1451" s="89" t="s">
        <v>224</v>
      </c>
      <c r="E1451" s="89"/>
      <c r="F1451" s="89"/>
      <c r="G1451" s="89"/>
      <c r="H1451" s="89"/>
      <c r="I1451" s="89"/>
      <c r="J1451" s="212"/>
      <c r="K1451" s="212"/>
      <c r="L1451" s="212"/>
      <c r="M1451" s="212"/>
      <c r="N1451" s="212">
        <f t="shared" si="40"/>
        <v>0</v>
      </c>
    </row>
    <row r="1452" spans="1:14" s="407" customFormat="1" ht="12.75" x14ac:dyDescent="0.2">
      <c r="A1452" s="152"/>
      <c r="B1452" s="73"/>
      <c r="C1452" s="51" t="s">
        <v>975</v>
      </c>
      <c r="D1452" s="89" t="s">
        <v>224</v>
      </c>
      <c r="E1452" s="89"/>
      <c r="F1452" s="89"/>
      <c r="G1452" s="89"/>
      <c r="H1452" s="89"/>
      <c r="I1452" s="89"/>
      <c r="J1452" s="212"/>
      <c r="K1452" s="212"/>
      <c r="L1452" s="212"/>
      <c r="M1452" s="212"/>
      <c r="N1452" s="212">
        <f t="shared" si="40"/>
        <v>0</v>
      </c>
    </row>
    <row r="1453" spans="1:14" s="407" customFormat="1" ht="12.75" x14ac:dyDescent="0.2">
      <c r="A1453" s="152"/>
      <c r="B1453" s="73"/>
      <c r="C1453" s="51" t="s">
        <v>126</v>
      </c>
      <c r="D1453" s="89" t="s">
        <v>224</v>
      </c>
      <c r="E1453" s="89"/>
      <c r="F1453" s="89"/>
      <c r="G1453" s="89"/>
      <c r="H1453" s="89"/>
      <c r="I1453" s="89"/>
      <c r="J1453" s="212"/>
      <c r="K1453" s="212"/>
      <c r="L1453" s="212"/>
      <c r="M1453" s="212"/>
      <c r="N1453" s="212">
        <f t="shared" si="40"/>
        <v>0</v>
      </c>
    </row>
    <row r="1454" spans="1:14" s="407" customFormat="1" ht="12.75" x14ac:dyDescent="0.2">
      <c r="A1454" s="152"/>
      <c r="B1454" s="73"/>
      <c r="C1454" s="51" t="s">
        <v>127</v>
      </c>
      <c r="D1454" s="89" t="s">
        <v>224</v>
      </c>
      <c r="E1454" s="89"/>
      <c r="F1454" s="89"/>
      <c r="G1454" s="89"/>
      <c r="H1454" s="89"/>
      <c r="I1454" s="89"/>
      <c r="J1454" s="212"/>
      <c r="K1454" s="212"/>
      <c r="L1454" s="212"/>
      <c r="M1454" s="212"/>
      <c r="N1454" s="212">
        <f t="shared" si="40"/>
        <v>0</v>
      </c>
    </row>
    <row r="1455" spans="1:14" s="407" customFormat="1" ht="12.75" x14ac:dyDescent="0.2">
      <c r="A1455" s="152"/>
      <c r="B1455" s="73"/>
      <c r="C1455" s="51" t="s">
        <v>130</v>
      </c>
      <c r="D1455" s="89" t="s">
        <v>224</v>
      </c>
      <c r="E1455" s="89"/>
      <c r="F1455" s="89"/>
      <c r="G1455" s="89"/>
      <c r="H1455" s="89"/>
      <c r="I1455" s="89"/>
      <c r="J1455" s="212"/>
      <c r="K1455" s="212"/>
      <c r="L1455" s="212"/>
      <c r="M1455" s="212"/>
      <c r="N1455" s="212">
        <f t="shared" si="40"/>
        <v>0</v>
      </c>
    </row>
    <row r="1456" spans="1:14" s="407" customFormat="1" ht="12.75" x14ac:dyDescent="0.2">
      <c r="A1456" s="152"/>
      <c r="B1456" s="73"/>
      <c r="C1456" s="51" t="s">
        <v>125</v>
      </c>
      <c r="D1456" s="89" t="s">
        <v>224</v>
      </c>
      <c r="E1456" s="89"/>
      <c r="F1456" s="89"/>
      <c r="G1456" s="89"/>
      <c r="H1456" s="89"/>
      <c r="I1456" s="89"/>
      <c r="J1456" s="212"/>
      <c r="K1456" s="212"/>
      <c r="L1456" s="212"/>
      <c r="M1456" s="212"/>
      <c r="N1456" s="212">
        <f t="shared" si="40"/>
        <v>0</v>
      </c>
    </row>
    <row r="1457" spans="1:14" s="407" customFormat="1" ht="12.75" x14ac:dyDescent="0.2">
      <c r="A1457" s="152"/>
      <c r="B1457" s="73"/>
      <c r="C1457" s="51" t="s">
        <v>128</v>
      </c>
      <c r="D1457" s="89" t="s">
        <v>224</v>
      </c>
      <c r="E1457" s="89"/>
      <c r="F1457" s="89"/>
      <c r="G1457" s="89"/>
      <c r="H1457" s="89"/>
      <c r="I1457" s="89"/>
      <c r="J1457" s="212"/>
      <c r="K1457" s="212"/>
      <c r="L1457" s="212"/>
      <c r="M1457" s="212"/>
      <c r="N1457" s="212">
        <f t="shared" si="40"/>
        <v>0</v>
      </c>
    </row>
    <row r="1458" spans="1:14" s="407" customFormat="1" ht="12.75" x14ac:dyDescent="0.2">
      <c r="A1458" s="152"/>
      <c r="B1458" s="73"/>
      <c r="C1458" s="51" t="s">
        <v>1016</v>
      </c>
      <c r="D1458" s="89" t="s">
        <v>224</v>
      </c>
      <c r="E1458" s="89"/>
      <c r="F1458" s="89"/>
      <c r="G1458" s="89"/>
      <c r="H1458" s="89"/>
      <c r="I1458" s="89"/>
      <c r="J1458" s="212"/>
      <c r="K1458" s="212"/>
      <c r="L1458" s="212"/>
      <c r="M1458" s="212"/>
      <c r="N1458" s="212">
        <f t="shared" si="40"/>
        <v>0</v>
      </c>
    </row>
    <row r="1459" spans="1:14" s="407" customFormat="1" ht="12.75" x14ac:dyDescent="0.2">
      <c r="A1459" s="152"/>
      <c r="B1459" s="73"/>
      <c r="C1459" s="51" t="s">
        <v>1015</v>
      </c>
      <c r="D1459" s="89" t="s">
        <v>224</v>
      </c>
      <c r="E1459" s="89"/>
      <c r="F1459" s="89"/>
      <c r="G1459" s="89"/>
      <c r="H1459" s="89"/>
      <c r="I1459" s="89"/>
      <c r="J1459" s="212"/>
      <c r="K1459" s="212"/>
      <c r="L1459" s="212"/>
      <c r="M1459" s="212"/>
      <c r="N1459" s="212">
        <f t="shared" si="40"/>
        <v>0</v>
      </c>
    </row>
    <row r="1460" spans="1:14" s="407" customFormat="1" ht="12.75" x14ac:dyDescent="0.2">
      <c r="A1460" s="152"/>
      <c r="B1460" s="73"/>
      <c r="C1460" s="51" t="s">
        <v>930</v>
      </c>
      <c r="D1460" s="89" t="s">
        <v>224</v>
      </c>
      <c r="E1460" s="89"/>
      <c r="F1460" s="89"/>
      <c r="G1460" s="89"/>
      <c r="H1460" s="89"/>
      <c r="I1460" s="89"/>
      <c r="J1460" s="212"/>
      <c r="K1460" s="212"/>
      <c r="L1460" s="212"/>
      <c r="M1460" s="212"/>
      <c r="N1460" s="212">
        <f t="shared" si="40"/>
        <v>0</v>
      </c>
    </row>
    <row r="1461" spans="1:14" s="407" customFormat="1" ht="12.75" x14ac:dyDescent="0.2">
      <c r="A1461" s="152"/>
      <c r="B1461" s="73"/>
      <c r="C1461" s="51" t="s">
        <v>931</v>
      </c>
      <c r="D1461" s="89" t="s">
        <v>224</v>
      </c>
      <c r="E1461" s="89"/>
      <c r="F1461" s="89"/>
      <c r="G1461" s="89"/>
      <c r="H1461" s="89"/>
      <c r="I1461" s="89"/>
      <c r="J1461" s="212"/>
      <c r="K1461" s="212"/>
      <c r="L1461" s="212"/>
      <c r="M1461" s="212"/>
      <c r="N1461" s="212">
        <f t="shared" si="40"/>
        <v>0</v>
      </c>
    </row>
    <row r="1462" spans="1:14" s="407" customFormat="1" ht="12.75" x14ac:dyDescent="0.2">
      <c r="A1462" s="152"/>
      <c r="B1462" s="73"/>
      <c r="C1462" s="51" t="s">
        <v>926</v>
      </c>
      <c r="D1462" s="89" t="s">
        <v>224</v>
      </c>
      <c r="E1462" s="89"/>
      <c r="F1462" s="89"/>
      <c r="G1462" s="89"/>
      <c r="H1462" s="89"/>
      <c r="I1462" s="89"/>
      <c r="J1462" s="212"/>
      <c r="K1462" s="212"/>
      <c r="L1462" s="212"/>
      <c r="M1462" s="212"/>
      <c r="N1462" s="212">
        <f t="shared" si="40"/>
        <v>0</v>
      </c>
    </row>
    <row r="1463" spans="1:14" s="407" customFormat="1" ht="12.75" x14ac:dyDescent="0.2">
      <c r="A1463" s="152"/>
      <c r="B1463" s="73"/>
      <c r="C1463" s="51" t="s">
        <v>110</v>
      </c>
      <c r="D1463" s="89" t="s">
        <v>224</v>
      </c>
      <c r="E1463" s="89"/>
      <c r="F1463" s="89"/>
      <c r="G1463" s="89"/>
      <c r="H1463" s="89"/>
      <c r="I1463" s="89"/>
      <c r="J1463" s="212"/>
      <c r="K1463" s="212"/>
      <c r="L1463" s="212"/>
      <c r="M1463" s="212"/>
      <c r="N1463" s="212">
        <f t="shared" si="40"/>
        <v>0</v>
      </c>
    </row>
    <row r="1464" spans="1:14" s="407" customFormat="1" ht="12.75" x14ac:dyDescent="0.2">
      <c r="A1464" s="152"/>
      <c r="B1464" s="73"/>
      <c r="C1464" s="51" t="s">
        <v>133</v>
      </c>
      <c r="D1464" s="89" t="s">
        <v>224</v>
      </c>
      <c r="E1464" s="89"/>
      <c r="F1464" s="89"/>
      <c r="G1464" s="89"/>
      <c r="H1464" s="89"/>
      <c r="I1464" s="89"/>
      <c r="J1464" s="212"/>
      <c r="K1464" s="212"/>
      <c r="L1464" s="212"/>
      <c r="M1464" s="212"/>
      <c r="N1464" s="212">
        <f t="shared" si="40"/>
        <v>0</v>
      </c>
    </row>
    <row r="1465" spans="1:14" s="407" customFormat="1" ht="12.75" x14ac:dyDescent="0.2">
      <c r="A1465" s="152"/>
      <c r="B1465" s="73"/>
      <c r="C1465" s="51" t="s">
        <v>134</v>
      </c>
      <c r="D1465" s="89" t="s">
        <v>224</v>
      </c>
      <c r="E1465" s="89"/>
      <c r="F1465" s="89"/>
      <c r="G1465" s="89"/>
      <c r="H1465" s="89"/>
      <c r="I1465" s="89"/>
      <c r="J1465" s="212"/>
      <c r="K1465" s="212"/>
      <c r="L1465" s="212"/>
      <c r="M1465" s="212"/>
      <c r="N1465" s="212">
        <f t="shared" si="40"/>
        <v>0</v>
      </c>
    </row>
    <row r="1466" spans="1:14" s="407" customFormat="1" ht="12.75" x14ac:dyDescent="0.2">
      <c r="A1466" s="152"/>
      <c r="B1466" s="73"/>
      <c r="C1466" s="51" t="s">
        <v>138</v>
      </c>
      <c r="D1466" s="89" t="s">
        <v>224</v>
      </c>
      <c r="E1466" s="89"/>
      <c r="F1466" s="89"/>
      <c r="G1466" s="89"/>
      <c r="H1466" s="89"/>
      <c r="I1466" s="89"/>
      <c r="J1466" s="212"/>
      <c r="K1466" s="212"/>
      <c r="L1466" s="212"/>
      <c r="M1466" s="212"/>
      <c r="N1466" s="212">
        <f t="shared" si="40"/>
        <v>0</v>
      </c>
    </row>
    <row r="1467" spans="1:14" s="407" customFormat="1" ht="12.75" x14ac:dyDescent="0.2">
      <c r="A1467" s="152"/>
      <c r="B1467" s="73"/>
      <c r="C1467" s="51" t="s">
        <v>106</v>
      </c>
      <c r="D1467" s="89" t="s">
        <v>224</v>
      </c>
      <c r="E1467" s="89"/>
      <c r="F1467" s="89"/>
      <c r="G1467" s="89"/>
      <c r="H1467" s="89"/>
      <c r="I1467" s="89"/>
      <c r="J1467" s="212"/>
      <c r="K1467" s="212"/>
      <c r="L1467" s="212"/>
      <c r="M1467" s="212"/>
      <c r="N1467" s="212">
        <f t="shared" si="40"/>
        <v>0</v>
      </c>
    </row>
    <row r="1468" spans="1:14" s="407" customFormat="1" ht="12.75" x14ac:dyDescent="0.2">
      <c r="A1468" s="152"/>
      <c r="B1468" s="73"/>
      <c r="C1468" s="51" t="s">
        <v>1024</v>
      </c>
      <c r="D1468" s="89" t="s">
        <v>224</v>
      </c>
      <c r="E1468" s="89"/>
      <c r="F1468" s="89"/>
      <c r="G1468" s="89"/>
      <c r="H1468" s="89"/>
      <c r="I1468" s="89"/>
      <c r="J1468" s="212"/>
      <c r="K1468" s="212"/>
      <c r="L1468" s="212"/>
      <c r="M1468" s="212"/>
      <c r="N1468" s="212">
        <f t="shared" si="40"/>
        <v>0</v>
      </c>
    </row>
    <row r="1469" spans="1:14" s="407" customFormat="1" ht="12.75" x14ac:dyDescent="0.2">
      <c r="A1469" s="152"/>
      <c r="B1469" s="73"/>
      <c r="C1469" s="51" t="s">
        <v>1025</v>
      </c>
      <c r="D1469" s="89" t="s">
        <v>224</v>
      </c>
      <c r="E1469" s="89"/>
      <c r="F1469" s="89"/>
      <c r="G1469" s="89"/>
      <c r="H1469" s="89"/>
      <c r="I1469" s="89"/>
      <c r="J1469" s="212"/>
      <c r="K1469" s="212"/>
      <c r="L1469" s="212"/>
      <c r="M1469" s="212"/>
      <c r="N1469" s="212">
        <f t="shared" si="40"/>
        <v>0</v>
      </c>
    </row>
    <row r="1470" spans="1:14" s="407" customFormat="1" ht="12.75" x14ac:dyDescent="0.2">
      <c r="A1470" s="152"/>
      <c r="B1470" s="73"/>
      <c r="C1470" s="51" t="s">
        <v>960</v>
      </c>
      <c r="D1470" s="89" t="s">
        <v>224</v>
      </c>
      <c r="E1470" s="89"/>
      <c r="F1470" s="89"/>
      <c r="G1470" s="89"/>
      <c r="H1470" s="89"/>
      <c r="I1470" s="89"/>
      <c r="J1470" s="212"/>
      <c r="K1470" s="212"/>
      <c r="L1470" s="212"/>
      <c r="M1470" s="212"/>
      <c r="N1470" s="212">
        <f t="shared" si="40"/>
        <v>0</v>
      </c>
    </row>
    <row r="1471" spans="1:14" s="407" customFormat="1" ht="12.75" x14ac:dyDescent="0.2">
      <c r="A1471" s="152"/>
      <c r="B1471" s="73"/>
      <c r="C1471" s="51" t="s">
        <v>961</v>
      </c>
      <c r="D1471" s="89" t="s">
        <v>224</v>
      </c>
      <c r="E1471" s="89"/>
      <c r="F1471" s="89"/>
      <c r="G1471" s="89"/>
      <c r="H1471" s="89"/>
      <c r="I1471" s="89"/>
      <c r="J1471" s="212"/>
      <c r="K1471" s="212"/>
      <c r="L1471" s="212"/>
      <c r="M1471" s="212"/>
      <c r="N1471" s="212">
        <f t="shared" si="40"/>
        <v>0</v>
      </c>
    </row>
    <row r="1472" spans="1:14" s="407" customFormat="1" ht="12.75" x14ac:dyDescent="0.2">
      <c r="A1472" s="152"/>
      <c r="B1472" s="73"/>
      <c r="C1472" s="51" t="s">
        <v>948</v>
      </c>
      <c r="D1472" s="89" t="s">
        <v>224</v>
      </c>
      <c r="E1472" s="89"/>
      <c r="F1472" s="89"/>
      <c r="G1472" s="89"/>
      <c r="H1472" s="89"/>
      <c r="I1472" s="89"/>
      <c r="J1472" s="212"/>
      <c r="K1472" s="212"/>
      <c r="L1472" s="212"/>
      <c r="M1472" s="212"/>
      <c r="N1472" s="212">
        <f t="shared" si="40"/>
        <v>0</v>
      </c>
    </row>
    <row r="1473" spans="1:14" s="407" customFormat="1" ht="12.75" x14ac:dyDescent="0.2">
      <c r="A1473" s="152"/>
      <c r="B1473" s="73"/>
      <c r="C1473" s="51" t="s">
        <v>949</v>
      </c>
      <c r="D1473" s="89" t="s">
        <v>224</v>
      </c>
      <c r="E1473" s="89"/>
      <c r="F1473" s="89"/>
      <c r="G1473" s="89"/>
      <c r="H1473" s="89"/>
      <c r="I1473" s="89"/>
      <c r="J1473" s="212"/>
      <c r="K1473" s="212"/>
      <c r="L1473" s="212"/>
      <c r="M1473" s="212"/>
      <c r="N1473" s="212">
        <f t="shared" si="40"/>
        <v>0</v>
      </c>
    </row>
    <row r="1474" spans="1:14" s="407" customFormat="1" ht="12.75" x14ac:dyDescent="0.2">
      <c r="A1474" s="152"/>
      <c r="B1474" s="73"/>
      <c r="C1474" s="51" t="s">
        <v>132</v>
      </c>
      <c r="D1474" s="89" t="s">
        <v>224</v>
      </c>
      <c r="E1474" s="89"/>
      <c r="F1474" s="89"/>
      <c r="G1474" s="89"/>
      <c r="H1474" s="89"/>
      <c r="I1474" s="89"/>
      <c r="J1474" s="212"/>
      <c r="K1474" s="212"/>
      <c r="L1474" s="212"/>
      <c r="M1474" s="212"/>
      <c r="N1474" s="212">
        <f t="shared" si="40"/>
        <v>0</v>
      </c>
    </row>
    <row r="1475" spans="1:14" s="407" customFormat="1" ht="12.75" x14ac:dyDescent="0.2">
      <c r="A1475" s="152"/>
      <c r="B1475" s="73"/>
      <c r="C1475" s="51" t="s">
        <v>121</v>
      </c>
      <c r="D1475" s="89" t="s">
        <v>224</v>
      </c>
      <c r="E1475" s="89"/>
      <c r="F1475" s="89"/>
      <c r="G1475" s="89"/>
      <c r="H1475" s="89"/>
      <c r="I1475" s="89"/>
      <c r="J1475" s="212"/>
      <c r="K1475" s="212"/>
      <c r="L1475" s="212"/>
      <c r="M1475" s="212"/>
      <c r="N1475" s="212">
        <f t="shared" si="40"/>
        <v>0</v>
      </c>
    </row>
    <row r="1476" spans="1:14" s="407" customFormat="1" ht="12.75" x14ac:dyDescent="0.2">
      <c r="A1476" s="152"/>
      <c r="B1476" s="73"/>
      <c r="C1476" s="51" t="s">
        <v>131</v>
      </c>
      <c r="D1476" s="89" t="s">
        <v>224</v>
      </c>
      <c r="E1476" s="89"/>
      <c r="F1476" s="89"/>
      <c r="G1476" s="89"/>
      <c r="H1476" s="89"/>
      <c r="I1476" s="89"/>
      <c r="J1476" s="212"/>
      <c r="K1476" s="212"/>
      <c r="L1476" s="212"/>
      <c r="M1476" s="212"/>
      <c r="N1476" s="212">
        <f t="shared" si="40"/>
        <v>0</v>
      </c>
    </row>
    <row r="1477" spans="1:14" s="407" customFormat="1" ht="12.75" x14ac:dyDescent="0.2">
      <c r="A1477" s="152"/>
      <c r="B1477" s="73"/>
      <c r="C1477" s="51" t="s">
        <v>967</v>
      </c>
      <c r="D1477" s="89" t="s">
        <v>224</v>
      </c>
      <c r="E1477" s="89"/>
      <c r="F1477" s="89"/>
      <c r="G1477" s="89"/>
      <c r="H1477" s="89"/>
      <c r="I1477" s="89"/>
      <c r="J1477" s="212"/>
      <c r="K1477" s="212"/>
      <c r="L1477" s="212"/>
      <c r="M1477" s="212"/>
      <c r="N1477" s="212">
        <f t="shared" si="40"/>
        <v>0</v>
      </c>
    </row>
    <row r="1478" spans="1:14" s="407" customFormat="1" ht="12.75" x14ac:dyDescent="0.2">
      <c r="A1478" s="152"/>
      <c r="B1478" s="73"/>
      <c r="C1478" s="51" t="s">
        <v>118</v>
      </c>
      <c r="D1478" s="89" t="s">
        <v>224</v>
      </c>
      <c r="E1478" s="89"/>
      <c r="F1478" s="89"/>
      <c r="G1478" s="89"/>
      <c r="H1478" s="89"/>
      <c r="I1478" s="89"/>
      <c r="J1478" s="212"/>
      <c r="K1478" s="212"/>
      <c r="L1478" s="212"/>
      <c r="M1478" s="212"/>
      <c r="N1478" s="212">
        <f t="shared" si="40"/>
        <v>0</v>
      </c>
    </row>
    <row r="1479" spans="1:14" s="407" customFormat="1" ht="12.75" x14ac:dyDescent="0.2">
      <c r="A1479" s="152"/>
      <c r="B1479" s="73"/>
      <c r="C1479" s="51" t="s">
        <v>971</v>
      </c>
      <c r="D1479" s="89" t="s">
        <v>224</v>
      </c>
      <c r="E1479" s="89"/>
      <c r="F1479" s="89"/>
      <c r="G1479" s="89"/>
      <c r="H1479" s="89"/>
      <c r="I1479" s="89"/>
      <c r="J1479" s="212"/>
      <c r="K1479" s="212"/>
      <c r="L1479" s="212"/>
      <c r="M1479" s="212"/>
      <c r="N1479" s="212">
        <f t="shared" si="40"/>
        <v>0</v>
      </c>
    </row>
    <row r="1480" spans="1:14" s="407" customFormat="1" ht="12.75" x14ac:dyDescent="0.2">
      <c r="A1480" s="152"/>
      <c r="B1480" s="73"/>
      <c r="C1480" s="51" t="s">
        <v>957</v>
      </c>
      <c r="D1480" s="89" t="s">
        <v>224</v>
      </c>
      <c r="E1480" s="89"/>
      <c r="F1480" s="89"/>
      <c r="G1480" s="89"/>
      <c r="H1480" s="89"/>
      <c r="I1480" s="89"/>
      <c r="J1480" s="212"/>
      <c r="K1480" s="212"/>
      <c r="L1480" s="212"/>
      <c r="M1480" s="212"/>
      <c r="N1480" s="212">
        <f t="shared" si="40"/>
        <v>321</v>
      </c>
    </row>
    <row r="1481" spans="1:14" s="407" customFormat="1" ht="12.75" x14ac:dyDescent="0.2">
      <c r="A1481" s="152"/>
      <c r="B1481" s="73"/>
      <c r="C1481" s="51" t="s">
        <v>97</v>
      </c>
      <c r="D1481" s="89" t="s">
        <v>224</v>
      </c>
      <c r="E1481" s="89"/>
      <c r="F1481" s="89"/>
      <c r="G1481" s="89"/>
      <c r="H1481" s="89"/>
      <c r="I1481" s="89"/>
      <c r="J1481" s="212"/>
      <c r="K1481" s="212"/>
      <c r="L1481" s="212"/>
      <c r="M1481" s="212"/>
      <c r="N1481" s="212">
        <f t="shared" si="40"/>
        <v>0</v>
      </c>
    </row>
    <row r="1482" spans="1:14" s="407" customFormat="1" ht="12.75" x14ac:dyDescent="0.2">
      <c r="A1482" s="152"/>
      <c r="B1482" s="73"/>
      <c r="C1482" s="51" t="s">
        <v>49</v>
      </c>
      <c r="D1482" s="89" t="s">
        <v>224</v>
      </c>
      <c r="E1482" s="89"/>
      <c r="F1482" s="89"/>
      <c r="G1482" s="89"/>
      <c r="H1482" s="89"/>
      <c r="I1482" s="89"/>
      <c r="J1482" s="212"/>
      <c r="K1482" s="212"/>
      <c r="L1482" s="212"/>
      <c r="M1482" s="212"/>
      <c r="N1482" s="212">
        <f t="shared" si="40"/>
        <v>0</v>
      </c>
    </row>
    <row r="1483" spans="1:14" s="407" customFormat="1" ht="12.75" x14ac:dyDescent="0.2">
      <c r="A1483" s="152"/>
      <c r="B1483" s="73"/>
      <c r="C1483" s="51" t="s">
        <v>1017</v>
      </c>
      <c r="D1483" s="89" t="s">
        <v>224</v>
      </c>
      <c r="E1483" s="89"/>
      <c r="F1483" s="89"/>
      <c r="G1483" s="89"/>
      <c r="H1483" s="89"/>
      <c r="I1483" s="89"/>
      <c r="J1483" s="212"/>
      <c r="K1483" s="212"/>
      <c r="L1483" s="212"/>
      <c r="M1483" s="212"/>
      <c r="N1483" s="212">
        <f t="shared" ref="N1483:N1546" si="41">SUMIFS(N$26:N$154,$C$26:$C$154,$C1483,$D$26:$D$154,$D1483)</f>
        <v>0</v>
      </c>
    </row>
    <row r="1484" spans="1:14" s="407" customFormat="1" ht="12.75" x14ac:dyDescent="0.2">
      <c r="A1484" s="152"/>
      <c r="B1484" s="73"/>
      <c r="C1484" s="51" t="s">
        <v>1018</v>
      </c>
      <c r="D1484" s="89" t="s">
        <v>224</v>
      </c>
      <c r="E1484" s="89"/>
      <c r="F1484" s="89"/>
      <c r="G1484" s="89"/>
      <c r="H1484" s="89"/>
      <c r="I1484" s="89"/>
      <c r="J1484" s="212"/>
      <c r="K1484" s="212"/>
      <c r="L1484" s="212"/>
      <c r="M1484" s="212"/>
      <c r="N1484" s="212">
        <f t="shared" si="41"/>
        <v>0</v>
      </c>
    </row>
    <row r="1485" spans="1:14" s="407" customFormat="1" ht="12.75" x14ac:dyDescent="0.2">
      <c r="A1485" s="152"/>
      <c r="B1485" s="73"/>
      <c r="C1485" s="51" t="s">
        <v>928</v>
      </c>
      <c r="D1485" s="89" t="s">
        <v>224</v>
      </c>
      <c r="E1485" s="89"/>
      <c r="F1485" s="89"/>
      <c r="G1485" s="89"/>
      <c r="H1485" s="89"/>
      <c r="I1485" s="89"/>
      <c r="J1485" s="212"/>
      <c r="K1485" s="212"/>
      <c r="L1485" s="212"/>
      <c r="M1485" s="212"/>
      <c r="N1485" s="212">
        <f t="shared" si="41"/>
        <v>0</v>
      </c>
    </row>
    <row r="1486" spans="1:14" s="407" customFormat="1" ht="12.75" x14ac:dyDescent="0.2">
      <c r="A1486" s="152"/>
      <c r="B1486" s="73"/>
      <c r="C1486" s="51" t="s">
        <v>946</v>
      </c>
      <c r="D1486" s="89" t="s">
        <v>224</v>
      </c>
      <c r="E1486" s="89"/>
      <c r="F1486" s="89"/>
      <c r="G1486" s="89"/>
      <c r="H1486" s="89"/>
      <c r="I1486" s="89"/>
      <c r="J1486" s="212"/>
      <c r="K1486" s="212"/>
      <c r="L1486" s="212"/>
      <c r="M1486" s="212"/>
      <c r="N1486" s="212">
        <f t="shared" si="41"/>
        <v>0</v>
      </c>
    </row>
    <row r="1487" spans="1:14" s="407" customFormat="1" ht="12.75" x14ac:dyDescent="0.2">
      <c r="A1487" s="152"/>
      <c r="B1487" s="73"/>
      <c r="C1487" s="51" t="s">
        <v>947</v>
      </c>
      <c r="D1487" s="89" t="s">
        <v>224</v>
      </c>
      <c r="E1487" s="89"/>
      <c r="F1487" s="89"/>
      <c r="G1487" s="89"/>
      <c r="H1487" s="89"/>
      <c r="I1487" s="89"/>
      <c r="J1487" s="212"/>
      <c r="K1487" s="212"/>
      <c r="L1487" s="212"/>
      <c r="M1487" s="212"/>
      <c r="N1487" s="212">
        <f t="shared" si="41"/>
        <v>0</v>
      </c>
    </row>
    <row r="1488" spans="1:14" s="407" customFormat="1" ht="12.75" x14ac:dyDescent="0.2">
      <c r="A1488" s="152"/>
      <c r="B1488" s="73"/>
      <c r="C1488" s="51" t="s">
        <v>1020</v>
      </c>
      <c r="D1488" s="89" t="s">
        <v>224</v>
      </c>
      <c r="E1488" s="89"/>
      <c r="F1488" s="89"/>
      <c r="G1488" s="89"/>
      <c r="H1488" s="89"/>
      <c r="I1488" s="89"/>
      <c r="J1488" s="212"/>
      <c r="K1488" s="212"/>
      <c r="L1488" s="212"/>
      <c r="M1488" s="212"/>
      <c r="N1488" s="212">
        <f t="shared" si="41"/>
        <v>0</v>
      </c>
    </row>
    <row r="1489" spans="1:14" s="407" customFormat="1" ht="12.75" x14ac:dyDescent="0.2">
      <c r="A1489" s="152"/>
      <c r="B1489" s="73"/>
      <c r="C1489" s="51" t="s">
        <v>1021</v>
      </c>
      <c r="D1489" s="89" t="s">
        <v>224</v>
      </c>
      <c r="E1489" s="89"/>
      <c r="F1489" s="89"/>
      <c r="G1489" s="89"/>
      <c r="H1489" s="89"/>
      <c r="I1489" s="89"/>
      <c r="J1489" s="212"/>
      <c r="K1489" s="212"/>
      <c r="L1489" s="212"/>
      <c r="M1489" s="212"/>
      <c r="N1489" s="212">
        <f t="shared" si="41"/>
        <v>0</v>
      </c>
    </row>
    <row r="1490" spans="1:14" s="407" customFormat="1" ht="12.75" x14ac:dyDescent="0.2">
      <c r="A1490" s="152"/>
      <c r="B1490" s="73"/>
      <c r="C1490" s="51" t="s">
        <v>489</v>
      </c>
      <c r="D1490" s="89" t="s">
        <v>224</v>
      </c>
      <c r="E1490" s="89"/>
      <c r="F1490" s="89"/>
      <c r="G1490" s="89"/>
      <c r="H1490" s="89"/>
      <c r="I1490" s="89"/>
      <c r="J1490" s="212"/>
      <c r="K1490" s="212"/>
      <c r="L1490" s="212"/>
      <c r="M1490" s="212"/>
      <c r="N1490" s="212">
        <f t="shared" si="41"/>
        <v>0</v>
      </c>
    </row>
    <row r="1491" spans="1:14" s="407" customFormat="1" ht="12.75" x14ac:dyDescent="0.2">
      <c r="A1491" s="152"/>
      <c r="B1491" s="73"/>
      <c r="C1491" s="51" t="s">
        <v>968</v>
      </c>
      <c r="D1491" s="89" t="s">
        <v>224</v>
      </c>
      <c r="E1491" s="89"/>
      <c r="F1491" s="89"/>
      <c r="G1491" s="89"/>
      <c r="H1491" s="89"/>
      <c r="I1491" s="89"/>
      <c r="J1491" s="212"/>
      <c r="K1491" s="212"/>
      <c r="L1491" s="212"/>
      <c r="M1491" s="212"/>
      <c r="N1491" s="212">
        <f t="shared" si="41"/>
        <v>0</v>
      </c>
    </row>
    <row r="1492" spans="1:14" s="407" customFormat="1" ht="12.75" x14ac:dyDescent="0.2">
      <c r="A1492" s="152"/>
      <c r="B1492" s="73"/>
      <c r="C1492" s="51" t="s">
        <v>98</v>
      </c>
      <c r="D1492" s="89" t="s">
        <v>224</v>
      </c>
      <c r="E1492" s="89"/>
      <c r="F1492" s="89"/>
      <c r="G1492" s="89"/>
      <c r="H1492" s="89"/>
      <c r="I1492" s="89"/>
      <c r="J1492" s="212"/>
      <c r="K1492" s="212"/>
      <c r="L1492" s="212"/>
      <c r="M1492" s="212"/>
      <c r="N1492" s="212">
        <f t="shared" si="41"/>
        <v>0</v>
      </c>
    </row>
    <row r="1493" spans="1:14" s="407" customFormat="1" ht="12.75" x14ac:dyDescent="0.2">
      <c r="A1493" s="152"/>
      <c r="B1493" s="73"/>
      <c r="C1493" s="51" t="s">
        <v>1048</v>
      </c>
      <c r="D1493" s="89" t="s">
        <v>224</v>
      </c>
      <c r="E1493" s="89"/>
      <c r="F1493" s="89"/>
      <c r="G1493" s="89"/>
      <c r="H1493" s="89"/>
      <c r="I1493" s="89"/>
      <c r="J1493" s="212"/>
      <c r="K1493" s="212"/>
      <c r="L1493" s="212"/>
      <c r="M1493" s="212"/>
      <c r="N1493" s="212">
        <f t="shared" si="41"/>
        <v>0</v>
      </c>
    </row>
    <row r="1494" spans="1:14" s="407" customFormat="1" ht="12.75" x14ac:dyDescent="0.2">
      <c r="A1494" s="152"/>
      <c r="B1494" s="73"/>
      <c r="C1494" s="51" t="s">
        <v>1030</v>
      </c>
      <c r="D1494" s="89" t="s">
        <v>224</v>
      </c>
      <c r="E1494" s="89"/>
      <c r="F1494" s="89"/>
      <c r="G1494" s="89"/>
      <c r="H1494" s="89"/>
      <c r="I1494" s="89"/>
      <c r="J1494" s="212"/>
      <c r="K1494" s="212"/>
      <c r="L1494" s="212"/>
      <c r="M1494" s="212"/>
      <c r="N1494" s="212">
        <f t="shared" si="41"/>
        <v>0</v>
      </c>
    </row>
    <row r="1495" spans="1:14" s="407" customFormat="1" ht="12.75" x14ac:dyDescent="0.2">
      <c r="A1495" s="152"/>
      <c r="B1495" s="73"/>
      <c r="C1495" s="51" t="s">
        <v>977</v>
      </c>
      <c r="D1495" s="89" t="s">
        <v>224</v>
      </c>
      <c r="E1495" s="89"/>
      <c r="F1495" s="89"/>
      <c r="G1495" s="89"/>
      <c r="H1495" s="89"/>
      <c r="I1495" s="89"/>
      <c r="J1495" s="212"/>
      <c r="K1495" s="212"/>
      <c r="L1495" s="212"/>
      <c r="M1495" s="212"/>
      <c r="N1495" s="212">
        <f t="shared" si="41"/>
        <v>2000</v>
      </c>
    </row>
    <row r="1496" spans="1:14" s="407" customFormat="1" ht="12.75" x14ac:dyDescent="0.2">
      <c r="A1496" s="152"/>
      <c r="B1496" s="73"/>
      <c r="C1496" s="51" t="s">
        <v>99</v>
      </c>
      <c r="D1496" s="89" t="s">
        <v>224</v>
      </c>
      <c r="E1496" s="89"/>
      <c r="F1496" s="89"/>
      <c r="G1496" s="89"/>
      <c r="H1496" s="89"/>
      <c r="I1496" s="89"/>
      <c r="J1496" s="212"/>
      <c r="K1496" s="212"/>
      <c r="L1496" s="212"/>
      <c r="M1496" s="212"/>
      <c r="N1496" s="212">
        <f t="shared" si="41"/>
        <v>553000</v>
      </c>
    </row>
    <row r="1497" spans="1:14" s="407" customFormat="1" ht="12.75" x14ac:dyDescent="0.2">
      <c r="A1497" s="152"/>
      <c r="B1497" s="73"/>
      <c r="C1497" s="51" t="s">
        <v>1047</v>
      </c>
      <c r="D1497" s="89" t="s">
        <v>224</v>
      </c>
      <c r="E1497" s="89"/>
      <c r="F1497" s="89"/>
      <c r="G1497" s="89"/>
      <c r="H1497" s="89"/>
      <c r="I1497" s="89"/>
      <c r="J1497" s="212"/>
      <c r="K1497" s="212"/>
      <c r="L1497" s="212"/>
      <c r="M1497" s="212"/>
      <c r="N1497" s="212">
        <f t="shared" si="41"/>
        <v>0</v>
      </c>
    </row>
    <row r="1498" spans="1:14" s="407" customFormat="1" ht="12.75" x14ac:dyDescent="0.2">
      <c r="A1498" s="152"/>
      <c r="B1498" s="73"/>
      <c r="C1498" s="51" t="s">
        <v>1041</v>
      </c>
      <c r="D1498" s="89" t="s">
        <v>224</v>
      </c>
      <c r="E1498" s="89"/>
      <c r="F1498" s="89"/>
      <c r="G1498" s="89"/>
      <c r="H1498" s="89"/>
      <c r="I1498" s="89"/>
      <c r="J1498" s="212"/>
      <c r="K1498" s="212"/>
      <c r="L1498" s="212"/>
      <c r="M1498" s="212"/>
      <c r="N1498" s="212">
        <f t="shared" si="41"/>
        <v>0</v>
      </c>
    </row>
    <row r="1499" spans="1:14" s="407" customFormat="1" ht="12.75" x14ac:dyDescent="0.2">
      <c r="A1499" s="152"/>
      <c r="B1499" s="73"/>
      <c r="C1499" s="51" t="s">
        <v>102</v>
      </c>
      <c r="D1499" s="89" t="s">
        <v>224</v>
      </c>
      <c r="E1499" s="89"/>
      <c r="F1499" s="89"/>
      <c r="G1499" s="89"/>
      <c r="H1499" s="89"/>
      <c r="I1499" s="89"/>
      <c r="J1499" s="212"/>
      <c r="K1499" s="212"/>
      <c r="L1499" s="212"/>
      <c r="M1499" s="212"/>
      <c r="N1499" s="212">
        <f t="shared" si="41"/>
        <v>0</v>
      </c>
    </row>
    <row r="1500" spans="1:14" s="407" customFormat="1" ht="12.75" x14ac:dyDescent="0.2">
      <c r="A1500" s="152"/>
      <c r="B1500" s="73"/>
      <c r="C1500" s="51" t="s">
        <v>124</v>
      </c>
      <c r="D1500" s="89" t="s">
        <v>224</v>
      </c>
      <c r="E1500" s="89"/>
      <c r="F1500" s="89"/>
      <c r="G1500" s="89"/>
      <c r="H1500" s="89"/>
      <c r="I1500" s="89"/>
      <c r="J1500" s="212"/>
      <c r="K1500" s="212"/>
      <c r="L1500" s="212"/>
      <c r="M1500" s="212"/>
      <c r="N1500" s="212">
        <f t="shared" si="41"/>
        <v>0</v>
      </c>
    </row>
    <row r="1501" spans="1:14" s="407" customFormat="1" ht="12.75" x14ac:dyDescent="0.2">
      <c r="A1501" s="152"/>
      <c r="B1501" s="73"/>
      <c r="C1501" s="51" t="s">
        <v>103</v>
      </c>
      <c r="D1501" s="89" t="s">
        <v>224</v>
      </c>
      <c r="E1501" s="89"/>
      <c r="F1501" s="89"/>
      <c r="G1501" s="89"/>
      <c r="H1501" s="89"/>
      <c r="I1501" s="89"/>
      <c r="J1501" s="212"/>
      <c r="K1501" s="212"/>
      <c r="L1501" s="212"/>
      <c r="M1501" s="212"/>
      <c r="N1501" s="212">
        <f t="shared" si="41"/>
        <v>12600</v>
      </c>
    </row>
    <row r="1502" spans="1:14" s="407" customFormat="1" ht="12.75" x14ac:dyDescent="0.2">
      <c r="A1502" s="152"/>
      <c r="B1502" s="73"/>
      <c r="C1502" s="51" t="s">
        <v>104</v>
      </c>
      <c r="D1502" s="89" t="s">
        <v>224</v>
      </c>
      <c r="E1502" s="89"/>
      <c r="F1502" s="89"/>
      <c r="G1502" s="89"/>
      <c r="H1502" s="89"/>
      <c r="I1502" s="89"/>
      <c r="J1502" s="212"/>
      <c r="K1502" s="212"/>
      <c r="L1502" s="212"/>
      <c r="M1502" s="212"/>
      <c r="N1502" s="212">
        <f t="shared" si="41"/>
        <v>0</v>
      </c>
    </row>
    <row r="1503" spans="1:14" s="407" customFormat="1" ht="12.75" x14ac:dyDescent="0.2">
      <c r="A1503" s="152"/>
      <c r="B1503" s="73"/>
      <c r="C1503" s="51" t="s">
        <v>491</v>
      </c>
      <c r="D1503" s="89" t="s">
        <v>224</v>
      </c>
      <c r="E1503" s="89"/>
      <c r="F1503" s="89"/>
      <c r="G1503" s="89"/>
      <c r="H1503" s="89"/>
      <c r="I1503" s="89"/>
      <c r="J1503" s="212"/>
      <c r="K1503" s="212"/>
      <c r="L1503" s="212"/>
      <c r="M1503" s="212"/>
      <c r="N1503" s="212">
        <f t="shared" si="41"/>
        <v>15000</v>
      </c>
    </row>
    <row r="1504" spans="1:14" s="407" customFormat="1" ht="12.75" x14ac:dyDescent="0.2">
      <c r="A1504" s="152"/>
      <c r="B1504" s="73"/>
      <c r="C1504" s="51" t="s">
        <v>105</v>
      </c>
      <c r="D1504" s="89" t="s">
        <v>224</v>
      </c>
      <c r="E1504" s="89"/>
      <c r="F1504" s="89"/>
      <c r="G1504" s="89"/>
      <c r="H1504" s="89"/>
      <c r="I1504" s="89"/>
      <c r="J1504" s="212"/>
      <c r="K1504" s="212"/>
      <c r="L1504" s="212"/>
      <c r="M1504" s="212"/>
      <c r="N1504" s="212">
        <f t="shared" si="41"/>
        <v>0</v>
      </c>
    </row>
    <row r="1505" spans="1:14" s="407" customFormat="1" ht="12.75" x14ac:dyDescent="0.2">
      <c r="A1505" s="152"/>
      <c r="B1505" s="73"/>
      <c r="C1505" s="51" t="s">
        <v>129</v>
      </c>
      <c r="D1505" s="89" t="s">
        <v>224</v>
      </c>
      <c r="E1505" s="89"/>
      <c r="F1505" s="89"/>
      <c r="G1505" s="89"/>
      <c r="H1505" s="89"/>
      <c r="I1505" s="89"/>
      <c r="J1505" s="212"/>
      <c r="K1505" s="212"/>
      <c r="L1505" s="212"/>
      <c r="M1505" s="212"/>
      <c r="N1505" s="212">
        <f t="shared" si="41"/>
        <v>0</v>
      </c>
    </row>
    <row r="1506" spans="1:14" s="407" customFormat="1" ht="12.75" x14ac:dyDescent="0.2">
      <c r="A1506" s="152"/>
      <c r="B1506" s="73"/>
      <c r="C1506" s="73" t="s">
        <v>108</v>
      </c>
      <c r="D1506" s="89" t="s">
        <v>224</v>
      </c>
      <c r="E1506" s="89"/>
      <c r="F1506" s="89"/>
      <c r="G1506" s="89"/>
      <c r="H1506" s="89"/>
      <c r="I1506" s="89"/>
      <c r="J1506" s="212"/>
      <c r="K1506" s="212"/>
      <c r="L1506" s="212"/>
      <c r="M1506" s="212"/>
      <c r="N1506" s="212">
        <f t="shared" si="41"/>
        <v>12085</v>
      </c>
    </row>
    <row r="1507" spans="1:14" s="407" customFormat="1" ht="12.75" x14ac:dyDescent="0.2">
      <c r="A1507" s="152"/>
      <c r="B1507" s="73"/>
      <c r="C1507" s="51" t="s">
        <v>119</v>
      </c>
      <c r="D1507" s="89" t="s">
        <v>224</v>
      </c>
      <c r="E1507" s="89"/>
      <c r="F1507" s="89"/>
      <c r="G1507" s="89"/>
      <c r="H1507" s="89"/>
      <c r="I1507" s="89"/>
      <c r="J1507" s="212"/>
      <c r="K1507" s="212"/>
      <c r="L1507" s="212"/>
      <c r="M1507" s="212"/>
      <c r="N1507" s="212">
        <f t="shared" si="41"/>
        <v>0</v>
      </c>
    </row>
    <row r="1508" spans="1:14" s="407" customFormat="1" ht="12.75" x14ac:dyDescent="0.2">
      <c r="A1508" s="152"/>
      <c r="B1508" s="73"/>
      <c r="C1508" s="51" t="s">
        <v>954</v>
      </c>
      <c r="D1508" s="89" t="s">
        <v>224</v>
      </c>
      <c r="E1508" s="89"/>
      <c r="F1508" s="89"/>
      <c r="G1508" s="89"/>
      <c r="H1508" s="89"/>
      <c r="I1508" s="89"/>
      <c r="J1508" s="212"/>
      <c r="K1508" s="212"/>
      <c r="L1508" s="212"/>
      <c r="M1508" s="212"/>
      <c r="N1508" s="212">
        <f t="shared" si="41"/>
        <v>8956</v>
      </c>
    </row>
    <row r="1509" spans="1:14" s="407" customFormat="1" ht="12.75" x14ac:dyDescent="0.2">
      <c r="A1509" s="152"/>
      <c r="B1509" s="73"/>
      <c r="C1509" s="51" t="s">
        <v>1031</v>
      </c>
      <c r="D1509" s="89" t="s">
        <v>224</v>
      </c>
      <c r="E1509" s="89"/>
      <c r="F1509" s="89"/>
      <c r="G1509" s="89"/>
      <c r="H1509" s="89"/>
      <c r="I1509" s="89"/>
      <c r="J1509" s="212"/>
      <c r="K1509" s="212"/>
      <c r="L1509" s="212"/>
      <c r="M1509" s="212"/>
      <c r="N1509" s="212">
        <f t="shared" si="41"/>
        <v>0</v>
      </c>
    </row>
    <row r="1510" spans="1:14" s="407" customFormat="1" ht="12.75" x14ac:dyDescent="0.2">
      <c r="A1510" s="152"/>
      <c r="B1510" s="73"/>
      <c r="C1510" s="51" t="s">
        <v>1009</v>
      </c>
      <c r="D1510" s="89" t="s">
        <v>224</v>
      </c>
      <c r="E1510" s="89"/>
      <c r="F1510" s="89"/>
      <c r="G1510" s="89"/>
      <c r="H1510" s="89"/>
      <c r="I1510" s="89"/>
      <c r="J1510" s="212"/>
      <c r="K1510" s="212"/>
      <c r="L1510" s="212"/>
      <c r="M1510" s="212"/>
      <c r="N1510" s="212">
        <f t="shared" si="41"/>
        <v>0</v>
      </c>
    </row>
    <row r="1511" spans="1:14" s="407" customFormat="1" ht="12.75" x14ac:dyDescent="0.2">
      <c r="A1511" s="152"/>
      <c r="B1511" s="73"/>
      <c r="C1511" s="51" t="s">
        <v>107</v>
      </c>
      <c r="D1511" s="89" t="s">
        <v>224</v>
      </c>
      <c r="E1511" s="89"/>
      <c r="F1511" s="89"/>
      <c r="G1511" s="89"/>
      <c r="H1511" s="89"/>
      <c r="I1511" s="89"/>
      <c r="J1511" s="212"/>
      <c r="K1511" s="212"/>
      <c r="L1511" s="212"/>
      <c r="M1511" s="212"/>
      <c r="N1511" s="212">
        <f t="shared" si="41"/>
        <v>1000</v>
      </c>
    </row>
    <row r="1512" spans="1:14" s="407" customFormat="1" ht="12.75" x14ac:dyDescent="0.2">
      <c r="A1512" s="152"/>
      <c r="B1512" s="73"/>
      <c r="C1512" s="51" t="s">
        <v>1026</v>
      </c>
      <c r="D1512" s="89" t="s">
        <v>224</v>
      </c>
      <c r="E1512" s="89"/>
      <c r="F1512" s="89"/>
      <c r="G1512" s="89"/>
      <c r="H1512" s="89"/>
      <c r="I1512" s="89"/>
      <c r="J1512" s="212"/>
      <c r="K1512" s="212"/>
      <c r="L1512" s="212"/>
      <c r="M1512" s="212"/>
      <c r="N1512" s="212">
        <f t="shared" si="41"/>
        <v>0</v>
      </c>
    </row>
    <row r="1513" spans="1:14" s="407" customFormat="1" ht="12.75" x14ac:dyDescent="0.2">
      <c r="A1513" s="152"/>
      <c r="B1513" s="73"/>
      <c r="C1513" s="51" t="s">
        <v>1027</v>
      </c>
      <c r="D1513" s="89" t="s">
        <v>224</v>
      </c>
      <c r="E1513" s="89"/>
      <c r="F1513" s="89"/>
      <c r="G1513" s="89"/>
      <c r="H1513" s="89"/>
      <c r="I1513" s="89"/>
      <c r="J1513" s="212"/>
      <c r="K1513" s="212"/>
      <c r="L1513" s="212"/>
      <c r="M1513" s="212"/>
      <c r="N1513" s="212">
        <f t="shared" si="41"/>
        <v>0</v>
      </c>
    </row>
    <row r="1514" spans="1:14" s="407" customFormat="1" ht="12.75" x14ac:dyDescent="0.2">
      <c r="A1514" s="152"/>
      <c r="B1514" s="73"/>
      <c r="C1514" s="51" t="s">
        <v>955</v>
      </c>
      <c r="D1514" s="89" t="s">
        <v>224</v>
      </c>
      <c r="E1514" s="89"/>
      <c r="F1514" s="89"/>
      <c r="G1514" s="89"/>
      <c r="H1514" s="89"/>
      <c r="I1514" s="89"/>
      <c r="J1514" s="212"/>
      <c r="K1514" s="212"/>
      <c r="L1514" s="212"/>
      <c r="M1514" s="212"/>
      <c r="N1514" s="212">
        <f t="shared" si="41"/>
        <v>0</v>
      </c>
    </row>
    <row r="1515" spans="1:14" s="407" customFormat="1" ht="12.75" x14ac:dyDescent="0.2">
      <c r="A1515" s="152"/>
      <c r="B1515" s="73"/>
      <c r="C1515" s="51" t="s">
        <v>958</v>
      </c>
      <c r="D1515" s="89" t="s">
        <v>224</v>
      </c>
      <c r="E1515" s="89"/>
      <c r="F1515" s="89"/>
      <c r="G1515" s="89"/>
      <c r="H1515" s="89"/>
      <c r="I1515" s="89"/>
      <c r="J1515" s="212"/>
      <c r="K1515" s="212"/>
      <c r="L1515" s="212"/>
      <c r="M1515" s="212"/>
      <c r="N1515" s="212">
        <f t="shared" si="41"/>
        <v>2050</v>
      </c>
    </row>
    <row r="1516" spans="1:14" s="407" customFormat="1" ht="12.75" x14ac:dyDescent="0.2">
      <c r="A1516" s="152"/>
      <c r="B1516" s="73"/>
      <c r="C1516" s="51" t="s">
        <v>1032</v>
      </c>
      <c r="D1516" s="89" t="s">
        <v>224</v>
      </c>
      <c r="E1516" s="89"/>
      <c r="F1516" s="89"/>
      <c r="G1516" s="89"/>
      <c r="H1516" s="89"/>
      <c r="I1516" s="89"/>
      <c r="J1516" s="212"/>
      <c r="K1516" s="212"/>
      <c r="L1516" s="212"/>
      <c r="M1516" s="212"/>
      <c r="N1516" s="212">
        <f t="shared" si="41"/>
        <v>0</v>
      </c>
    </row>
    <row r="1517" spans="1:14" s="407" customFormat="1" ht="12.75" x14ac:dyDescent="0.2">
      <c r="A1517" s="152"/>
      <c r="B1517" s="73"/>
      <c r="C1517" s="51" t="s">
        <v>109</v>
      </c>
      <c r="D1517" s="89" t="s">
        <v>224</v>
      </c>
      <c r="E1517" s="89"/>
      <c r="F1517" s="89"/>
      <c r="G1517" s="89"/>
      <c r="H1517" s="89"/>
      <c r="I1517" s="89"/>
      <c r="J1517" s="212"/>
      <c r="K1517" s="212"/>
      <c r="L1517" s="212"/>
      <c r="M1517" s="212"/>
      <c r="N1517" s="212">
        <f t="shared" si="41"/>
        <v>56</v>
      </c>
    </row>
    <row r="1518" spans="1:14" s="407" customFormat="1" ht="12.75" x14ac:dyDescent="0.2">
      <c r="A1518" s="152"/>
      <c r="B1518" s="73"/>
      <c r="C1518" s="51" t="s">
        <v>966</v>
      </c>
      <c r="D1518" s="89" t="s">
        <v>224</v>
      </c>
      <c r="E1518" s="89"/>
      <c r="F1518" s="89"/>
      <c r="G1518" s="89"/>
      <c r="H1518" s="89"/>
      <c r="I1518" s="89"/>
      <c r="J1518" s="212"/>
      <c r="K1518" s="212"/>
      <c r="L1518" s="212"/>
      <c r="M1518" s="212"/>
      <c r="N1518" s="212">
        <f t="shared" si="41"/>
        <v>0</v>
      </c>
    </row>
    <row r="1519" spans="1:14" s="407" customFormat="1" ht="12.75" x14ac:dyDescent="0.2">
      <c r="A1519" s="152"/>
      <c r="B1519" s="73"/>
      <c r="C1519" s="51" t="s">
        <v>981</v>
      </c>
      <c r="D1519" s="89" t="s">
        <v>224</v>
      </c>
      <c r="E1519" s="89"/>
      <c r="F1519" s="89"/>
      <c r="G1519" s="89"/>
      <c r="H1519" s="89"/>
      <c r="I1519" s="89"/>
      <c r="J1519" s="212"/>
      <c r="K1519" s="212"/>
      <c r="L1519" s="212"/>
      <c r="M1519" s="212"/>
      <c r="N1519" s="212">
        <f t="shared" si="41"/>
        <v>0</v>
      </c>
    </row>
    <row r="1520" spans="1:14" s="407" customFormat="1" ht="12.75" x14ac:dyDescent="0.2">
      <c r="A1520" s="152"/>
      <c r="B1520" s="73"/>
      <c r="C1520" s="51" t="s">
        <v>963</v>
      </c>
      <c r="D1520" s="89" t="s">
        <v>224</v>
      </c>
      <c r="E1520" s="89"/>
      <c r="F1520" s="89"/>
      <c r="G1520" s="89"/>
      <c r="H1520" s="89"/>
      <c r="I1520" s="89"/>
      <c r="J1520" s="212"/>
      <c r="K1520" s="212"/>
      <c r="L1520" s="212"/>
      <c r="M1520" s="212"/>
      <c r="N1520" s="212">
        <f t="shared" si="41"/>
        <v>0</v>
      </c>
    </row>
    <row r="1521" spans="1:14" s="407" customFormat="1" ht="12.75" x14ac:dyDescent="0.2">
      <c r="A1521" s="152"/>
      <c r="B1521" s="73"/>
      <c r="C1521" s="51" t="s">
        <v>120</v>
      </c>
      <c r="D1521" s="89" t="s">
        <v>224</v>
      </c>
      <c r="E1521" s="89"/>
      <c r="F1521" s="89"/>
      <c r="G1521" s="89"/>
      <c r="H1521" s="89"/>
      <c r="I1521" s="89"/>
      <c r="J1521" s="212"/>
      <c r="K1521" s="212"/>
      <c r="L1521" s="212"/>
      <c r="M1521" s="212"/>
      <c r="N1521" s="212">
        <f t="shared" si="41"/>
        <v>0</v>
      </c>
    </row>
    <row r="1522" spans="1:14" s="407" customFormat="1" ht="12.75" x14ac:dyDescent="0.2">
      <c r="A1522" s="152"/>
      <c r="B1522" s="73"/>
      <c r="C1522" s="51" t="s">
        <v>989</v>
      </c>
      <c r="D1522" s="89" t="s">
        <v>224</v>
      </c>
      <c r="E1522" s="89"/>
      <c r="F1522" s="89"/>
      <c r="G1522" s="89"/>
      <c r="H1522" s="89"/>
      <c r="I1522" s="89"/>
      <c r="J1522" s="212"/>
      <c r="K1522" s="212"/>
      <c r="L1522" s="212"/>
      <c r="M1522" s="212"/>
      <c r="N1522" s="212">
        <f t="shared" si="41"/>
        <v>0</v>
      </c>
    </row>
    <row r="1523" spans="1:14" s="407" customFormat="1" ht="12.75" x14ac:dyDescent="0.2">
      <c r="A1523" s="152"/>
      <c r="B1523" s="73"/>
      <c r="C1523" s="51" t="s">
        <v>986</v>
      </c>
      <c r="D1523" s="89" t="s">
        <v>525</v>
      </c>
      <c r="E1523" s="89"/>
      <c r="F1523" s="89"/>
      <c r="G1523" s="89"/>
      <c r="H1523" s="89"/>
      <c r="I1523" s="89"/>
      <c r="J1523" s="212"/>
      <c r="K1523" s="212"/>
      <c r="L1523" s="212"/>
      <c r="M1523" s="212"/>
      <c r="N1523" s="212">
        <f t="shared" si="41"/>
        <v>0</v>
      </c>
    </row>
    <row r="1524" spans="1:14" s="407" customFormat="1" ht="12.75" x14ac:dyDescent="0.2">
      <c r="A1524" s="152"/>
      <c r="B1524" s="73"/>
      <c r="C1524" s="51" t="s">
        <v>988</v>
      </c>
      <c r="D1524" s="89" t="s">
        <v>525</v>
      </c>
      <c r="E1524" s="89"/>
      <c r="F1524" s="89"/>
      <c r="G1524" s="89"/>
      <c r="H1524" s="89"/>
      <c r="I1524" s="89"/>
      <c r="J1524" s="212"/>
      <c r="K1524" s="212"/>
      <c r="L1524" s="212"/>
      <c r="M1524" s="212"/>
      <c r="N1524" s="212">
        <f t="shared" si="41"/>
        <v>0</v>
      </c>
    </row>
    <row r="1525" spans="1:14" s="407" customFormat="1" ht="12.75" x14ac:dyDescent="0.2">
      <c r="A1525" s="152"/>
      <c r="B1525" s="73"/>
      <c r="C1525" s="51" t="s">
        <v>1058</v>
      </c>
      <c r="D1525" s="89" t="s">
        <v>525</v>
      </c>
      <c r="E1525" s="89"/>
      <c r="F1525" s="89"/>
      <c r="G1525" s="89"/>
      <c r="H1525" s="89"/>
      <c r="I1525" s="89"/>
      <c r="J1525" s="212"/>
      <c r="K1525" s="212"/>
      <c r="L1525" s="212"/>
      <c r="M1525" s="212"/>
      <c r="N1525" s="212">
        <f t="shared" si="41"/>
        <v>0</v>
      </c>
    </row>
    <row r="1526" spans="1:14" s="407" customFormat="1" ht="12.75" x14ac:dyDescent="0.2">
      <c r="A1526" s="152"/>
      <c r="B1526" s="73"/>
      <c r="C1526" s="51" t="s">
        <v>972</v>
      </c>
      <c r="D1526" s="89" t="s">
        <v>525</v>
      </c>
      <c r="E1526" s="89"/>
      <c r="F1526" s="89"/>
      <c r="G1526" s="89"/>
      <c r="H1526" s="89"/>
      <c r="I1526" s="89"/>
      <c r="J1526" s="212"/>
      <c r="K1526" s="212"/>
      <c r="L1526" s="212"/>
      <c r="M1526" s="212"/>
      <c r="N1526" s="212">
        <f t="shared" si="41"/>
        <v>0</v>
      </c>
    </row>
    <row r="1527" spans="1:14" s="407" customFormat="1" ht="12.75" x14ac:dyDescent="0.2">
      <c r="A1527" s="152"/>
      <c r="B1527" s="73"/>
      <c r="C1527" s="51" t="s">
        <v>973</v>
      </c>
      <c r="D1527" s="89" t="s">
        <v>525</v>
      </c>
      <c r="E1527" s="89"/>
      <c r="F1527" s="89"/>
      <c r="G1527" s="89"/>
      <c r="H1527" s="89"/>
      <c r="I1527" s="89"/>
      <c r="J1527" s="212"/>
      <c r="K1527" s="212"/>
      <c r="L1527" s="212"/>
      <c r="M1527" s="212"/>
      <c r="N1527" s="212">
        <f t="shared" si="41"/>
        <v>0</v>
      </c>
    </row>
    <row r="1528" spans="1:14" s="407" customFormat="1" ht="12.75" x14ac:dyDescent="0.2">
      <c r="A1528" s="152"/>
      <c r="B1528" s="73"/>
      <c r="C1528" s="51" t="s">
        <v>980</v>
      </c>
      <c r="D1528" s="89" t="s">
        <v>525</v>
      </c>
      <c r="E1528" s="89"/>
      <c r="F1528" s="89"/>
      <c r="G1528" s="89"/>
      <c r="H1528" s="89"/>
      <c r="I1528" s="89"/>
      <c r="J1528" s="212"/>
      <c r="K1528" s="212"/>
      <c r="L1528" s="212"/>
      <c r="M1528" s="212"/>
      <c r="N1528" s="212">
        <f t="shared" si="41"/>
        <v>0</v>
      </c>
    </row>
    <row r="1529" spans="1:14" s="407" customFormat="1" ht="12.75" x14ac:dyDescent="0.2">
      <c r="A1529" s="152"/>
      <c r="B1529" s="73"/>
      <c r="C1529" s="51" t="s">
        <v>982</v>
      </c>
      <c r="D1529" s="89" t="s">
        <v>525</v>
      </c>
      <c r="E1529" s="89"/>
      <c r="F1529" s="89"/>
      <c r="G1529" s="89"/>
      <c r="H1529" s="89"/>
      <c r="I1529" s="89"/>
      <c r="J1529" s="212"/>
      <c r="K1529" s="212"/>
      <c r="L1529" s="212"/>
      <c r="M1529" s="212"/>
      <c r="N1529" s="212">
        <f t="shared" si="41"/>
        <v>0</v>
      </c>
    </row>
    <row r="1530" spans="1:14" s="407" customFormat="1" ht="12.75" x14ac:dyDescent="0.2">
      <c r="A1530" s="152"/>
      <c r="B1530" s="73"/>
      <c r="C1530" s="51" t="s">
        <v>46</v>
      </c>
      <c r="D1530" s="89" t="s">
        <v>525</v>
      </c>
      <c r="E1530" s="89"/>
      <c r="F1530" s="89"/>
      <c r="G1530" s="89"/>
      <c r="H1530" s="89"/>
      <c r="I1530" s="89"/>
      <c r="J1530" s="212"/>
      <c r="K1530" s="212"/>
      <c r="L1530" s="212"/>
      <c r="M1530" s="212"/>
      <c r="N1530" s="212">
        <f t="shared" si="41"/>
        <v>0</v>
      </c>
    </row>
    <row r="1531" spans="1:14" s="407" customFormat="1" ht="12.75" x14ac:dyDescent="0.2">
      <c r="A1531" s="152"/>
      <c r="B1531" s="73"/>
      <c r="C1531" s="51" t="s">
        <v>1019</v>
      </c>
      <c r="D1531" s="89" t="s">
        <v>525</v>
      </c>
      <c r="E1531" s="89"/>
      <c r="F1531" s="89"/>
      <c r="G1531" s="89"/>
      <c r="H1531" s="89"/>
      <c r="I1531" s="89"/>
      <c r="J1531" s="212"/>
      <c r="K1531" s="212"/>
      <c r="L1531" s="212"/>
      <c r="M1531" s="212"/>
      <c r="N1531" s="212">
        <f t="shared" si="41"/>
        <v>0</v>
      </c>
    </row>
    <row r="1532" spans="1:14" s="407" customFormat="1" ht="12.75" x14ac:dyDescent="0.2">
      <c r="A1532" s="152"/>
      <c r="B1532" s="73"/>
      <c r="C1532" s="51" t="s">
        <v>1050</v>
      </c>
      <c r="D1532" s="89" t="s">
        <v>525</v>
      </c>
      <c r="E1532" s="89"/>
      <c r="F1532" s="89"/>
      <c r="G1532" s="89"/>
      <c r="H1532" s="89"/>
      <c r="I1532" s="89"/>
      <c r="J1532" s="212"/>
      <c r="K1532" s="212"/>
      <c r="L1532" s="212"/>
      <c r="M1532" s="212"/>
      <c r="N1532" s="212">
        <f t="shared" si="41"/>
        <v>0</v>
      </c>
    </row>
    <row r="1533" spans="1:14" s="407" customFormat="1" ht="12.75" x14ac:dyDescent="0.2">
      <c r="A1533" s="152"/>
      <c r="B1533" s="73"/>
      <c r="C1533" s="51" t="s">
        <v>100</v>
      </c>
      <c r="D1533" s="89" t="s">
        <v>525</v>
      </c>
      <c r="E1533" s="89"/>
      <c r="F1533" s="89"/>
      <c r="G1533" s="89"/>
      <c r="H1533" s="89"/>
      <c r="I1533" s="89"/>
      <c r="J1533" s="212"/>
      <c r="K1533" s="212"/>
      <c r="L1533" s="212"/>
      <c r="M1533" s="212"/>
      <c r="N1533" s="212">
        <f t="shared" si="41"/>
        <v>0</v>
      </c>
    </row>
    <row r="1534" spans="1:14" s="407" customFormat="1" ht="12.75" x14ac:dyDescent="0.2">
      <c r="A1534" s="152"/>
      <c r="B1534" s="73"/>
      <c r="C1534" s="51" t="s">
        <v>101</v>
      </c>
      <c r="D1534" s="89" t="s">
        <v>525</v>
      </c>
      <c r="E1534" s="89"/>
      <c r="F1534" s="89"/>
      <c r="G1534" s="89"/>
      <c r="H1534" s="89"/>
      <c r="I1534" s="89"/>
      <c r="J1534" s="212"/>
      <c r="K1534" s="212"/>
      <c r="L1534" s="212"/>
      <c r="M1534" s="212"/>
      <c r="N1534" s="212">
        <f t="shared" si="41"/>
        <v>0</v>
      </c>
    </row>
    <row r="1535" spans="1:14" s="407" customFormat="1" ht="12.75" x14ac:dyDescent="0.2">
      <c r="A1535" s="152"/>
      <c r="B1535" s="73"/>
      <c r="C1535" s="51" t="s">
        <v>1056</v>
      </c>
      <c r="D1535" s="89" t="s">
        <v>525</v>
      </c>
      <c r="E1535" s="89"/>
      <c r="F1535" s="89"/>
      <c r="G1535" s="89"/>
      <c r="H1535" s="89"/>
      <c r="I1535" s="89"/>
      <c r="J1535" s="212"/>
      <c r="K1535" s="212"/>
      <c r="L1535" s="212"/>
      <c r="M1535" s="212"/>
      <c r="N1535" s="212">
        <f t="shared" si="41"/>
        <v>0</v>
      </c>
    </row>
    <row r="1536" spans="1:14" s="407" customFormat="1" ht="12.75" x14ac:dyDescent="0.2">
      <c r="A1536" s="152"/>
      <c r="B1536" s="73"/>
      <c r="C1536" s="51" t="s">
        <v>1057</v>
      </c>
      <c r="D1536" s="89" t="s">
        <v>525</v>
      </c>
      <c r="E1536" s="89"/>
      <c r="F1536" s="89"/>
      <c r="G1536" s="89"/>
      <c r="H1536" s="89"/>
      <c r="I1536" s="89"/>
      <c r="J1536" s="212"/>
      <c r="K1536" s="212"/>
      <c r="L1536" s="212"/>
      <c r="M1536" s="212"/>
      <c r="N1536" s="212">
        <f t="shared" si="41"/>
        <v>0</v>
      </c>
    </row>
    <row r="1537" spans="1:14" s="407" customFormat="1" ht="12.75" x14ac:dyDescent="0.2">
      <c r="A1537" s="152"/>
      <c r="B1537" s="73"/>
      <c r="C1537" s="51" t="s">
        <v>944</v>
      </c>
      <c r="D1537" s="89" t="s">
        <v>525</v>
      </c>
      <c r="E1537" s="89"/>
      <c r="F1537" s="89"/>
      <c r="G1537" s="89"/>
      <c r="H1537" s="89"/>
      <c r="I1537" s="89"/>
      <c r="J1537" s="212"/>
      <c r="K1537" s="212"/>
      <c r="L1537" s="212"/>
      <c r="M1537" s="212"/>
      <c r="N1537" s="212">
        <f t="shared" si="41"/>
        <v>0</v>
      </c>
    </row>
    <row r="1538" spans="1:14" s="407" customFormat="1" ht="12.75" x14ac:dyDescent="0.2">
      <c r="A1538" s="152"/>
      <c r="B1538" s="73"/>
      <c r="C1538" s="51" t="s">
        <v>945</v>
      </c>
      <c r="D1538" s="89" t="s">
        <v>525</v>
      </c>
      <c r="E1538" s="89"/>
      <c r="F1538" s="89"/>
      <c r="G1538" s="89"/>
      <c r="H1538" s="89"/>
      <c r="I1538" s="89"/>
      <c r="J1538" s="212"/>
      <c r="K1538" s="212"/>
      <c r="L1538" s="212"/>
      <c r="M1538" s="212"/>
      <c r="N1538" s="212">
        <f t="shared" si="41"/>
        <v>0</v>
      </c>
    </row>
    <row r="1539" spans="1:14" s="407" customFormat="1" ht="12.75" x14ac:dyDescent="0.2">
      <c r="A1539" s="152"/>
      <c r="B1539" s="73"/>
      <c r="C1539" s="51" t="s">
        <v>965</v>
      </c>
      <c r="D1539" s="89" t="s">
        <v>525</v>
      </c>
      <c r="E1539" s="89"/>
      <c r="F1539" s="89"/>
      <c r="G1539" s="89"/>
      <c r="H1539" s="89"/>
      <c r="I1539" s="89"/>
      <c r="J1539" s="212"/>
      <c r="K1539" s="212"/>
      <c r="L1539" s="212"/>
      <c r="M1539" s="212"/>
      <c r="N1539" s="212">
        <f t="shared" si="41"/>
        <v>0</v>
      </c>
    </row>
    <row r="1540" spans="1:14" s="407" customFormat="1" ht="12.75" x14ac:dyDescent="0.2">
      <c r="A1540" s="152"/>
      <c r="B1540" s="73"/>
      <c r="C1540" s="51" t="s">
        <v>1011</v>
      </c>
      <c r="D1540" s="89" t="s">
        <v>525</v>
      </c>
      <c r="E1540" s="89"/>
      <c r="F1540" s="89"/>
      <c r="G1540" s="89"/>
      <c r="H1540" s="89"/>
      <c r="I1540" s="89"/>
      <c r="J1540" s="212"/>
      <c r="K1540" s="212"/>
      <c r="L1540" s="212"/>
      <c r="M1540" s="212"/>
      <c r="N1540" s="212">
        <f t="shared" si="41"/>
        <v>0</v>
      </c>
    </row>
    <row r="1541" spans="1:14" s="407" customFormat="1" ht="12.75" x14ac:dyDescent="0.2">
      <c r="A1541" s="152"/>
      <c r="B1541" s="73"/>
      <c r="C1541" s="51" t="s">
        <v>1010</v>
      </c>
      <c r="D1541" s="89" t="s">
        <v>525</v>
      </c>
      <c r="E1541" s="89"/>
      <c r="F1541" s="89"/>
      <c r="G1541" s="89"/>
      <c r="H1541" s="89"/>
      <c r="I1541" s="89"/>
      <c r="J1541" s="212"/>
      <c r="K1541" s="212"/>
      <c r="L1541" s="212"/>
      <c r="M1541" s="212"/>
      <c r="N1541" s="212">
        <f t="shared" si="41"/>
        <v>0</v>
      </c>
    </row>
    <row r="1542" spans="1:14" s="407" customFormat="1" ht="12.75" x14ac:dyDescent="0.2">
      <c r="A1542" s="152"/>
      <c r="B1542" s="73"/>
      <c r="C1542" s="51" t="s">
        <v>1013</v>
      </c>
      <c r="D1542" s="89" t="s">
        <v>525</v>
      </c>
      <c r="E1542" s="89"/>
      <c r="F1542" s="89"/>
      <c r="G1542" s="89"/>
      <c r="H1542" s="89"/>
      <c r="I1542" s="89"/>
      <c r="J1542" s="212"/>
      <c r="K1542" s="212"/>
      <c r="L1542" s="212"/>
      <c r="M1542" s="212"/>
      <c r="N1542" s="212">
        <f t="shared" si="41"/>
        <v>0</v>
      </c>
    </row>
    <row r="1543" spans="1:14" s="407" customFormat="1" ht="12.75" x14ac:dyDescent="0.2">
      <c r="A1543" s="152"/>
      <c r="B1543" s="73"/>
      <c r="C1543" s="51" t="s">
        <v>1012</v>
      </c>
      <c r="D1543" s="89" t="s">
        <v>525</v>
      </c>
      <c r="E1543" s="89"/>
      <c r="F1543" s="89"/>
      <c r="G1543" s="89"/>
      <c r="H1543" s="89"/>
      <c r="I1543" s="89"/>
      <c r="J1543" s="212"/>
      <c r="K1543" s="212"/>
      <c r="L1543" s="212"/>
      <c r="M1543" s="212"/>
      <c r="N1543" s="212">
        <f t="shared" si="41"/>
        <v>0</v>
      </c>
    </row>
    <row r="1544" spans="1:14" s="407" customFormat="1" ht="12.75" x14ac:dyDescent="0.2">
      <c r="A1544" s="152"/>
      <c r="B1544" s="73"/>
      <c r="C1544" s="51" t="s">
        <v>1052</v>
      </c>
      <c r="D1544" s="89" t="s">
        <v>525</v>
      </c>
      <c r="E1544" s="89"/>
      <c r="F1544" s="89"/>
      <c r="G1544" s="89"/>
      <c r="H1544" s="89"/>
      <c r="I1544" s="89"/>
      <c r="J1544" s="212"/>
      <c r="K1544" s="212"/>
      <c r="L1544" s="212"/>
      <c r="M1544" s="212"/>
      <c r="N1544" s="212">
        <f t="shared" si="41"/>
        <v>0</v>
      </c>
    </row>
    <row r="1545" spans="1:14" s="407" customFormat="1" ht="12.75" x14ac:dyDescent="0.2">
      <c r="A1545" s="152"/>
      <c r="B1545" s="73"/>
      <c r="C1545" s="51" t="s">
        <v>1053</v>
      </c>
      <c r="D1545" s="89" t="s">
        <v>525</v>
      </c>
      <c r="E1545" s="89"/>
      <c r="F1545" s="89"/>
      <c r="G1545" s="89"/>
      <c r="H1545" s="89"/>
      <c r="I1545" s="89"/>
      <c r="J1545" s="212"/>
      <c r="K1545" s="212"/>
      <c r="L1545" s="212"/>
      <c r="M1545" s="212"/>
      <c r="N1545" s="212">
        <f t="shared" si="41"/>
        <v>0</v>
      </c>
    </row>
    <row r="1546" spans="1:14" s="407" customFormat="1" ht="12.75" x14ac:dyDescent="0.2">
      <c r="A1546" s="152"/>
      <c r="B1546" s="73"/>
      <c r="C1546" s="51" t="s">
        <v>984</v>
      </c>
      <c r="D1546" s="89" t="s">
        <v>525</v>
      </c>
      <c r="E1546" s="89"/>
      <c r="F1546" s="89"/>
      <c r="G1546" s="89"/>
      <c r="H1546" s="89"/>
      <c r="I1546" s="89"/>
      <c r="J1546" s="212"/>
      <c r="K1546" s="212"/>
      <c r="L1546" s="212"/>
      <c r="M1546" s="212"/>
      <c r="N1546" s="212">
        <f t="shared" si="41"/>
        <v>0</v>
      </c>
    </row>
    <row r="1547" spans="1:14" s="407" customFormat="1" ht="12.75" x14ac:dyDescent="0.2">
      <c r="A1547" s="152"/>
      <c r="B1547" s="73"/>
      <c r="C1547" s="51" t="s">
        <v>985</v>
      </c>
      <c r="D1547" s="89" t="s">
        <v>525</v>
      </c>
      <c r="E1547" s="89"/>
      <c r="F1547" s="89"/>
      <c r="G1547" s="89"/>
      <c r="H1547" s="89"/>
      <c r="I1547" s="89"/>
      <c r="J1547" s="212"/>
      <c r="K1547" s="212"/>
      <c r="L1547" s="212"/>
      <c r="M1547" s="212"/>
      <c r="N1547" s="212">
        <f t="shared" ref="N1547:N1612" si="42">SUMIFS(N$26:N$154,$C$26:$C$154,$C1547,$D$26:$D$154,$D1547)</f>
        <v>0</v>
      </c>
    </row>
    <row r="1548" spans="1:14" s="407" customFormat="1" ht="12.75" x14ac:dyDescent="0.2">
      <c r="A1548" s="152"/>
      <c r="B1548" s="73"/>
      <c r="C1548" s="51" t="s">
        <v>1005</v>
      </c>
      <c r="D1548" s="89" t="s">
        <v>525</v>
      </c>
      <c r="E1548" s="89"/>
      <c r="F1548" s="89"/>
      <c r="G1548" s="89"/>
      <c r="H1548" s="89"/>
      <c r="I1548" s="89"/>
      <c r="J1548" s="212"/>
      <c r="K1548" s="212"/>
      <c r="L1548" s="212"/>
      <c r="M1548" s="212"/>
      <c r="N1548" s="212">
        <f t="shared" si="42"/>
        <v>0</v>
      </c>
    </row>
    <row r="1549" spans="1:14" s="407" customFormat="1" ht="12.75" x14ac:dyDescent="0.2">
      <c r="A1549" s="152"/>
      <c r="B1549" s="73"/>
      <c r="C1549" s="51" t="s">
        <v>1004</v>
      </c>
      <c r="D1549" s="89" t="s">
        <v>525</v>
      </c>
      <c r="E1549" s="89"/>
      <c r="F1549" s="89"/>
      <c r="G1549" s="89"/>
      <c r="H1549" s="89"/>
      <c r="I1549" s="89"/>
      <c r="J1549" s="212"/>
      <c r="K1549" s="212"/>
      <c r="L1549" s="212"/>
      <c r="M1549" s="212"/>
      <c r="N1549" s="212">
        <f t="shared" si="42"/>
        <v>0</v>
      </c>
    </row>
    <row r="1550" spans="1:14" s="407" customFormat="1" ht="12.75" x14ac:dyDescent="0.2">
      <c r="A1550" s="152"/>
      <c r="B1550" s="73"/>
      <c r="C1550" s="51" t="s">
        <v>1008</v>
      </c>
      <c r="D1550" s="89" t="s">
        <v>525</v>
      </c>
      <c r="E1550" s="89"/>
      <c r="F1550" s="89"/>
      <c r="G1550" s="89"/>
      <c r="H1550" s="89"/>
      <c r="I1550" s="89"/>
      <c r="J1550" s="212"/>
      <c r="K1550" s="212"/>
      <c r="L1550" s="212"/>
      <c r="M1550" s="212"/>
      <c r="N1550" s="212">
        <f t="shared" si="42"/>
        <v>0</v>
      </c>
    </row>
    <row r="1551" spans="1:14" s="407" customFormat="1" ht="12.75" x14ac:dyDescent="0.2">
      <c r="A1551" s="152"/>
      <c r="B1551" s="73"/>
      <c r="C1551" s="51" t="s">
        <v>1006</v>
      </c>
      <c r="D1551" s="89" t="s">
        <v>525</v>
      </c>
      <c r="E1551" s="89"/>
      <c r="F1551" s="89"/>
      <c r="G1551" s="89"/>
      <c r="H1551" s="89"/>
      <c r="I1551" s="89"/>
      <c r="J1551" s="212"/>
      <c r="K1551" s="212"/>
      <c r="L1551" s="212"/>
      <c r="M1551" s="212"/>
      <c r="N1551" s="212">
        <f t="shared" si="42"/>
        <v>0</v>
      </c>
    </row>
    <row r="1552" spans="1:14" s="407" customFormat="1" ht="12.75" x14ac:dyDescent="0.2">
      <c r="A1552" s="152"/>
      <c r="B1552" s="73"/>
      <c r="C1552" s="51" t="s">
        <v>1034</v>
      </c>
      <c r="D1552" s="89" t="s">
        <v>525</v>
      </c>
      <c r="E1552" s="89"/>
      <c r="F1552" s="89"/>
      <c r="G1552" s="89"/>
      <c r="H1552" s="89"/>
      <c r="I1552" s="89"/>
      <c r="J1552" s="212"/>
      <c r="K1552" s="212"/>
      <c r="L1552" s="212"/>
      <c r="M1552" s="212"/>
      <c r="N1552" s="212">
        <f t="shared" si="42"/>
        <v>0</v>
      </c>
    </row>
    <row r="1553" spans="1:14" s="407" customFormat="1" ht="12.75" x14ac:dyDescent="0.2">
      <c r="A1553" s="152"/>
      <c r="B1553" s="73"/>
      <c r="C1553" s="51" t="s">
        <v>1035</v>
      </c>
      <c r="D1553" s="89" t="s">
        <v>525</v>
      </c>
      <c r="E1553" s="89"/>
      <c r="F1553" s="89"/>
      <c r="G1553" s="89"/>
      <c r="H1553" s="89"/>
      <c r="I1553" s="89"/>
      <c r="J1553" s="212"/>
      <c r="K1553" s="212"/>
      <c r="L1553" s="212"/>
      <c r="M1553" s="212"/>
      <c r="N1553" s="212">
        <f t="shared" si="42"/>
        <v>0</v>
      </c>
    </row>
    <row r="1554" spans="1:14" s="407" customFormat="1" ht="12.75" x14ac:dyDescent="0.2">
      <c r="A1554" s="152"/>
      <c r="B1554" s="73"/>
      <c r="C1554" s="51" t="s">
        <v>922</v>
      </c>
      <c r="D1554" s="89" t="s">
        <v>525</v>
      </c>
      <c r="E1554" s="89"/>
      <c r="F1554" s="89"/>
      <c r="G1554" s="89"/>
      <c r="H1554" s="89"/>
      <c r="I1554" s="89"/>
      <c r="J1554" s="212"/>
      <c r="K1554" s="212"/>
      <c r="L1554" s="212"/>
      <c r="M1554" s="212"/>
      <c r="N1554" s="212">
        <f t="shared" si="42"/>
        <v>0</v>
      </c>
    </row>
    <row r="1555" spans="1:14" s="407" customFormat="1" ht="12.75" x14ac:dyDescent="0.2">
      <c r="A1555" s="152"/>
      <c r="B1555" s="73"/>
      <c r="C1555" s="51" t="s">
        <v>942</v>
      </c>
      <c r="D1555" s="89" t="s">
        <v>525</v>
      </c>
      <c r="E1555" s="89"/>
      <c r="F1555" s="89"/>
      <c r="G1555" s="89"/>
      <c r="H1555" s="89"/>
      <c r="I1555" s="89"/>
      <c r="J1555" s="212"/>
      <c r="K1555" s="212"/>
      <c r="L1555" s="212"/>
      <c r="M1555" s="212"/>
      <c r="N1555" s="212">
        <f t="shared" si="42"/>
        <v>0</v>
      </c>
    </row>
    <row r="1556" spans="1:14" s="407" customFormat="1" ht="12.75" x14ac:dyDescent="0.2">
      <c r="A1556" s="152"/>
      <c r="B1556" s="73"/>
      <c r="C1556" s="51" t="s">
        <v>943</v>
      </c>
      <c r="D1556" s="89" t="s">
        <v>525</v>
      </c>
      <c r="E1556" s="89"/>
      <c r="F1556" s="89"/>
      <c r="G1556" s="89"/>
      <c r="H1556" s="89"/>
      <c r="I1556" s="89"/>
      <c r="J1556" s="212"/>
      <c r="K1556" s="212"/>
      <c r="L1556" s="212"/>
      <c r="M1556" s="212"/>
      <c r="N1556" s="212">
        <f t="shared" si="42"/>
        <v>0</v>
      </c>
    </row>
    <row r="1557" spans="1:14" s="407" customFormat="1" ht="12.75" x14ac:dyDescent="0.2">
      <c r="A1557" s="152"/>
      <c r="B1557" s="73"/>
      <c r="C1557" s="51" t="s">
        <v>938</v>
      </c>
      <c r="D1557" s="89" t="s">
        <v>525</v>
      </c>
      <c r="E1557" s="89"/>
      <c r="F1557" s="89"/>
      <c r="G1557" s="89"/>
      <c r="H1557" s="89"/>
      <c r="I1557" s="89"/>
      <c r="J1557" s="212"/>
      <c r="K1557" s="212"/>
      <c r="L1557" s="212"/>
      <c r="M1557" s="212"/>
      <c r="N1557" s="212">
        <f t="shared" si="42"/>
        <v>0</v>
      </c>
    </row>
    <row r="1558" spans="1:14" s="407" customFormat="1" ht="12.75" x14ac:dyDescent="0.2">
      <c r="A1558" s="152"/>
      <c r="B1558" s="73"/>
      <c r="C1558" s="51" t="s">
        <v>939</v>
      </c>
      <c r="D1558" s="89" t="s">
        <v>525</v>
      </c>
      <c r="E1558" s="89"/>
      <c r="F1558" s="89"/>
      <c r="G1558" s="89"/>
      <c r="H1558" s="89"/>
      <c r="I1558" s="89"/>
      <c r="J1558" s="212"/>
      <c r="K1558" s="212"/>
      <c r="L1558" s="212"/>
      <c r="M1558" s="212"/>
      <c r="N1558" s="212">
        <f t="shared" si="42"/>
        <v>0</v>
      </c>
    </row>
    <row r="1559" spans="1:14" s="407" customFormat="1" ht="12.75" x14ac:dyDescent="0.2">
      <c r="A1559" s="152"/>
      <c r="B1559" s="73"/>
      <c r="C1559" s="51" t="s">
        <v>934</v>
      </c>
      <c r="D1559" s="89" t="s">
        <v>525</v>
      </c>
      <c r="E1559" s="89"/>
      <c r="F1559" s="89"/>
      <c r="G1559" s="89"/>
      <c r="H1559" s="89"/>
      <c r="I1559" s="89"/>
      <c r="J1559" s="212"/>
      <c r="K1559" s="212"/>
      <c r="L1559" s="212"/>
      <c r="M1559" s="212"/>
      <c r="N1559" s="212">
        <f t="shared" si="42"/>
        <v>0</v>
      </c>
    </row>
    <row r="1560" spans="1:14" s="407" customFormat="1" ht="12.75" x14ac:dyDescent="0.2">
      <c r="A1560" s="152"/>
      <c r="B1560" s="73"/>
      <c r="C1560" s="51" t="s">
        <v>935</v>
      </c>
      <c r="D1560" s="89" t="s">
        <v>525</v>
      </c>
      <c r="E1560" s="89"/>
      <c r="F1560" s="89"/>
      <c r="G1560" s="89"/>
      <c r="H1560" s="89"/>
      <c r="I1560" s="89"/>
      <c r="J1560" s="212"/>
      <c r="K1560" s="212"/>
      <c r="L1560" s="212"/>
      <c r="M1560" s="212"/>
      <c r="N1560" s="212">
        <f t="shared" si="42"/>
        <v>0</v>
      </c>
    </row>
    <row r="1561" spans="1:14" s="407" customFormat="1" ht="12.75" x14ac:dyDescent="0.2">
      <c r="A1561" s="152"/>
      <c r="B1561" s="73"/>
      <c r="C1561" s="51" t="s">
        <v>1663</v>
      </c>
      <c r="D1561" s="89" t="s">
        <v>525</v>
      </c>
      <c r="E1561" s="89"/>
      <c r="F1561" s="89"/>
      <c r="G1561" s="89"/>
      <c r="H1561" s="89"/>
      <c r="I1561" s="89"/>
      <c r="J1561" s="212"/>
      <c r="K1561" s="212"/>
      <c r="L1561" s="212"/>
      <c r="M1561" s="212"/>
      <c r="N1561" s="212"/>
    </row>
    <row r="1562" spans="1:14" s="407" customFormat="1" ht="12.75" x14ac:dyDescent="0.2">
      <c r="A1562" s="152"/>
      <c r="B1562" s="73"/>
      <c r="C1562" s="51" t="s">
        <v>1661</v>
      </c>
      <c r="D1562" s="89" t="s">
        <v>525</v>
      </c>
      <c r="E1562" s="89"/>
      <c r="F1562" s="89"/>
      <c r="G1562" s="89"/>
      <c r="H1562" s="89"/>
      <c r="I1562" s="89"/>
      <c r="J1562" s="212"/>
      <c r="K1562" s="212"/>
      <c r="L1562" s="212"/>
      <c r="M1562" s="212"/>
      <c r="N1562" s="212"/>
    </row>
    <row r="1563" spans="1:14" s="407" customFormat="1" ht="12.75" x14ac:dyDescent="0.2">
      <c r="A1563" s="152"/>
      <c r="B1563" s="73"/>
      <c r="C1563" s="51" t="s">
        <v>953</v>
      </c>
      <c r="D1563" s="89" t="s">
        <v>525</v>
      </c>
      <c r="E1563" s="89"/>
      <c r="F1563" s="89"/>
      <c r="G1563" s="89"/>
      <c r="H1563" s="89"/>
      <c r="I1563" s="89"/>
      <c r="J1563" s="212"/>
      <c r="K1563" s="212"/>
      <c r="L1563" s="212"/>
      <c r="M1563" s="212"/>
      <c r="N1563" s="212">
        <f t="shared" si="42"/>
        <v>0</v>
      </c>
    </row>
    <row r="1564" spans="1:14" s="407" customFormat="1" ht="12.75" x14ac:dyDescent="0.2">
      <c r="A1564" s="152"/>
      <c r="B1564" s="73"/>
      <c r="C1564" s="51" t="s">
        <v>924</v>
      </c>
      <c r="D1564" s="89" t="s">
        <v>525</v>
      </c>
      <c r="E1564" s="89"/>
      <c r="F1564" s="89"/>
      <c r="G1564" s="89"/>
      <c r="H1564" s="89"/>
      <c r="I1564" s="89"/>
      <c r="J1564" s="212"/>
      <c r="K1564" s="212"/>
      <c r="L1564" s="212"/>
      <c r="M1564" s="212"/>
      <c r="N1564" s="212">
        <f t="shared" si="42"/>
        <v>0</v>
      </c>
    </row>
    <row r="1565" spans="1:14" s="407" customFormat="1" ht="12.75" x14ac:dyDescent="0.2">
      <c r="A1565" s="152"/>
      <c r="B1565" s="73"/>
      <c r="C1565" s="51" t="s">
        <v>927</v>
      </c>
      <c r="D1565" s="89" t="s">
        <v>525</v>
      </c>
      <c r="E1565" s="89"/>
      <c r="F1565" s="89"/>
      <c r="G1565" s="89"/>
      <c r="H1565" s="89"/>
      <c r="I1565" s="89"/>
      <c r="J1565" s="212"/>
      <c r="K1565" s="212"/>
      <c r="L1565" s="212"/>
      <c r="M1565" s="212"/>
      <c r="N1565" s="212">
        <f t="shared" si="42"/>
        <v>0</v>
      </c>
    </row>
    <row r="1566" spans="1:14" s="407" customFormat="1" ht="12.75" x14ac:dyDescent="0.2">
      <c r="A1566" s="152"/>
      <c r="B1566" s="73"/>
      <c r="C1566" s="51" t="s">
        <v>951</v>
      </c>
      <c r="D1566" s="89" t="s">
        <v>525</v>
      </c>
      <c r="E1566" s="89"/>
      <c r="F1566" s="89"/>
      <c r="G1566" s="89"/>
      <c r="H1566" s="89"/>
      <c r="I1566" s="89"/>
      <c r="J1566" s="212"/>
      <c r="K1566" s="212"/>
      <c r="L1566" s="212"/>
      <c r="M1566" s="212"/>
      <c r="N1566" s="212">
        <f t="shared" si="42"/>
        <v>0</v>
      </c>
    </row>
    <row r="1567" spans="1:14" s="407" customFormat="1" ht="12.75" x14ac:dyDescent="0.2">
      <c r="A1567" s="152"/>
      <c r="B1567" s="73"/>
      <c r="C1567" s="51" t="s">
        <v>1055</v>
      </c>
      <c r="D1567" s="89" t="s">
        <v>525</v>
      </c>
      <c r="E1567" s="89"/>
      <c r="F1567" s="89"/>
      <c r="G1567" s="89"/>
      <c r="H1567" s="89"/>
      <c r="I1567" s="89"/>
      <c r="J1567" s="212"/>
      <c r="K1567" s="212"/>
      <c r="L1567" s="212"/>
      <c r="M1567" s="212"/>
      <c r="N1567" s="212">
        <f t="shared" si="42"/>
        <v>0</v>
      </c>
    </row>
    <row r="1568" spans="1:14" s="407" customFormat="1" ht="12.75" x14ac:dyDescent="0.2">
      <c r="A1568" s="152"/>
      <c r="B1568" s="73"/>
      <c r="C1568" s="51" t="s">
        <v>940</v>
      </c>
      <c r="D1568" s="89" t="s">
        <v>525</v>
      </c>
      <c r="E1568" s="89"/>
      <c r="F1568" s="89"/>
      <c r="G1568" s="89"/>
      <c r="H1568" s="89"/>
      <c r="I1568" s="89"/>
      <c r="J1568" s="212"/>
      <c r="K1568" s="212"/>
      <c r="L1568" s="212"/>
      <c r="M1568" s="212"/>
      <c r="N1568" s="212">
        <f t="shared" si="42"/>
        <v>0</v>
      </c>
    </row>
    <row r="1569" spans="1:14" s="407" customFormat="1" ht="12.75" x14ac:dyDescent="0.2">
      <c r="A1569" s="152"/>
      <c r="B1569" s="73"/>
      <c r="C1569" s="51" t="s">
        <v>941</v>
      </c>
      <c r="D1569" s="89" t="s">
        <v>525</v>
      </c>
      <c r="E1569" s="89"/>
      <c r="F1569" s="89"/>
      <c r="G1569" s="89"/>
      <c r="H1569" s="89"/>
      <c r="I1569" s="89"/>
      <c r="J1569" s="212"/>
      <c r="K1569" s="212"/>
      <c r="L1569" s="212"/>
      <c r="M1569" s="212"/>
      <c r="N1569" s="212">
        <f t="shared" si="42"/>
        <v>0</v>
      </c>
    </row>
    <row r="1570" spans="1:14" s="407" customFormat="1" ht="12.75" x14ac:dyDescent="0.2">
      <c r="A1570" s="152"/>
      <c r="B1570" s="73"/>
      <c r="C1570" s="51" t="s">
        <v>936</v>
      </c>
      <c r="D1570" s="89" t="s">
        <v>525</v>
      </c>
      <c r="E1570" s="89"/>
      <c r="F1570" s="89"/>
      <c r="G1570" s="89"/>
      <c r="H1570" s="89"/>
      <c r="I1570" s="89"/>
      <c r="J1570" s="212"/>
      <c r="K1570" s="212"/>
      <c r="L1570" s="212"/>
      <c r="M1570" s="212"/>
      <c r="N1570" s="212">
        <f t="shared" si="42"/>
        <v>0</v>
      </c>
    </row>
    <row r="1571" spans="1:14" s="407" customFormat="1" ht="12.75" x14ac:dyDescent="0.2">
      <c r="A1571" s="152"/>
      <c r="B1571" s="73"/>
      <c r="C1571" s="51" t="s">
        <v>937</v>
      </c>
      <c r="D1571" s="89" t="s">
        <v>525</v>
      </c>
      <c r="E1571" s="89"/>
      <c r="F1571" s="89"/>
      <c r="G1571" s="89"/>
      <c r="H1571" s="89"/>
      <c r="I1571" s="89"/>
      <c r="J1571" s="212"/>
      <c r="K1571" s="212"/>
      <c r="L1571" s="212"/>
      <c r="M1571" s="212"/>
      <c r="N1571" s="212">
        <f t="shared" si="42"/>
        <v>0</v>
      </c>
    </row>
    <row r="1572" spans="1:14" s="407" customFormat="1" ht="12.75" x14ac:dyDescent="0.2">
      <c r="A1572" s="152"/>
      <c r="B1572" s="73"/>
      <c r="C1572" s="51" t="s">
        <v>932</v>
      </c>
      <c r="D1572" s="89" t="s">
        <v>525</v>
      </c>
      <c r="E1572" s="89"/>
      <c r="F1572" s="89"/>
      <c r="G1572" s="89"/>
      <c r="H1572" s="89"/>
      <c r="I1572" s="89"/>
      <c r="J1572" s="212"/>
      <c r="K1572" s="212"/>
      <c r="L1572" s="212"/>
      <c r="M1572" s="212"/>
      <c r="N1572" s="212">
        <f t="shared" si="42"/>
        <v>0</v>
      </c>
    </row>
    <row r="1573" spans="1:14" s="407" customFormat="1" ht="12.75" x14ac:dyDescent="0.2">
      <c r="A1573" s="152"/>
      <c r="B1573" s="73"/>
      <c r="C1573" s="51" t="s">
        <v>933</v>
      </c>
      <c r="D1573" s="89" t="s">
        <v>525</v>
      </c>
      <c r="E1573" s="89"/>
      <c r="F1573" s="89"/>
      <c r="G1573" s="89"/>
      <c r="H1573" s="89"/>
      <c r="I1573" s="89"/>
      <c r="J1573" s="212"/>
      <c r="K1573" s="212"/>
      <c r="L1573" s="212"/>
      <c r="M1573" s="212"/>
      <c r="N1573" s="212">
        <f t="shared" si="42"/>
        <v>0</v>
      </c>
    </row>
    <row r="1574" spans="1:14" s="407" customFormat="1" ht="12.75" x14ac:dyDescent="0.2">
      <c r="A1574" s="152"/>
      <c r="B1574" s="73"/>
      <c r="C1574" s="51" t="s">
        <v>952</v>
      </c>
      <c r="D1574" s="89" t="s">
        <v>525</v>
      </c>
      <c r="E1574" s="89"/>
      <c r="F1574" s="89"/>
      <c r="G1574" s="89"/>
      <c r="H1574" s="89"/>
      <c r="I1574" s="89"/>
      <c r="J1574" s="212"/>
      <c r="K1574" s="212"/>
      <c r="L1574" s="212"/>
      <c r="M1574" s="212"/>
      <c r="N1574" s="212">
        <f t="shared" si="42"/>
        <v>0</v>
      </c>
    </row>
    <row r="1575" spans="1:14" s="407" customFormat="1" ht="12.75" x14ac:dyDescent="0.2">
      <c r="A1575" s="152"/>
      <c r="B1575" s="73"/>
      <c r="C1575" s="51" t="s">
        <v>923</v>
      </c>
      <c r="D1575" s="89" t="s">
        <v>525</v>
      </c>
      <c r="E1575" s="89"/>
      <c r="F1575" s="89"/>
      <c r="G1575" s="89"/>
      <c r="H1575" s="89"/>
      <c r="I1575" s="89"/>
      <c r="J1575" s="212"/>
      <c r="K1575" s="212"/>
      <c r="L1575" s="212"/>
      <c r="M1575" s="212"/>
      <c r="N1575" s="212">
        <f t="shared" si="42"/>
        <v>0</v>
      </c>
    </row>
    <row r="1576" spans="1:14" s="407" customFormat="1" ht="12.75" x14ac:dyDescent="0.2">
      <c r="A1576" s="152"/>
      <c r="B1576" s="73"/>
      <c r="C1576" s="51" t="s">
        <v>925</v>
      </c>
      <c r="D1576" s="89" t="s">
        <v>525</v>
      </c>
      <c r="E1576" s="89"/>
      <c r="F1576" s="89"/>
      <c r="G1576" s="89"/>
      <c r="H1576" s="89"/>
      <c r="I1576" s="89"/>
      <c r="J1576" s="212"/>
      <c r="K1576" s="212"/>
      <c r="L1576" s="212"/>
      <c r="M1576" s="212"/>
      <c r="N1576" s="212">
        <f t="shared" si="42"/>
        <v>0</v>
      </c>
    </row>
    <row r="1577" spans="1:14" s="407" customFormat="1" ht="12.75" x14ac:dyDescent="0.2">
      <c r="A1577" s="152"/>
      <c r="B1577" s="73"/>
      <c r="C1577" s="51" t="s">
        <v>950</v>
      </c>
      <c r="D1577" s="89" t="s">
        <v>525</v>
      </c>
      <c r="E1577" s="89"/>
      <c r="F1577" s="89"/>
      <c r="G1577" s="89"/>
      <c r="H1577" s="89"/>
      <c r="I1577" s="89"/>
      <c r="J1577" s="212"/>
      <c r="K1577" s="212"/>
      <c r="L1577" s="212"/>
      <c r="M1577" s="212"/>
      <c r="N1577" s="212">
        <f t="shared" si="42"/>
        <v>0</v>
      </c>
    </row>
    <row r="1578" spans="1:14" s="407" customFormat="1" ht="12.75" x14ac:dyDescent="0.2">
      <c r="A1578" s="152"/>
      <c r="B1578" s="73"/>
      <c r="C1578" s="51" t="s">
        <v>1054</v>
      </c>
      <c r="D1578" s="89" t="s">
        <v>525</v>
      </c>
      <c r="E1578" s="89"/>
      <c r="F1578" s="89"/>
      <c r="G1578" s="89"/>
      <c r="H1578" s="89"/>
      <c r="I1578" s="89"/>
      <c r="J1578" s="212"/>
      <c r="K1578" s="212"/>
      <c r="L1578" s="212"/>
      <c r="M1578" s="212"/>
      <c r="N1578" s="212">
        <f t="shared" si="42"/>
        <v>0</v>
      </c>
    </row>
    <row r="1579" spans="1:14" s="407" customFormat="1" ht="12.75" x14ac:dyDescent="0.2">
      <c r="A1579" s="152"/>
      <c r="B1579" s="73"/>
      <c r="C1579" s="51" t="s">
        <v>921</v>
      </c>
      <c r="D1579" s="89" t="s">
        <v>525</v>
      </c>
      <c r="E1579" s="89"/>
      <c r="F1579" s="89"/>
      <c r="G1579" s="89"/>
      <c r="H1579" s="89"/>
      <c r="I1579" s="89"/>
      <c r="J1579" s="212"/>
      <c r="K1579" s="212"/>
      <c r="L1579" s="212"/>
      <c r="M1579" s="212"/>
      <c r="N1579" s="212">
        <f t="shared" si="42"/>
        <v>0</v>
      </c>
    </row>
    <row r="1580" spans="1:14" s="407" customFormat="1" ht="12.75" x14ac:dyDescent="0.2">
      <c r="A1580" s="152"/>
      <c r="B1580" s="73"/>
      <c r="C1580" s="51" t="s">
        <v>1022</v>
      </c>
      <c r="D1580" s="89" t="s">
        <v>525</v>
      </c>
      <c r="E1580" s="89"/>
      <c r="F1580" s="89"/>
      <c r="G1580" s="89"/>
      <c r="H1580" s="89"/>
      <c r="I1580" s="89"/>
      <c r="J1580" s="212"/>
      <c r="K1580" s="212"/>
      <c r="L1580" s="212"/>
      <c r="M1580" s="212"/>
      <c r="N1580" s="212">
        <f t="shared" si="42"/>
        <v>0</v>
      </c>
    </row>
    <row r="1581" spans="1:14" s="407" customFormat="1" ht="12.75" x14ac:dyDescent="0.2">
      <c r="A1581" s="152"/>
      <c r="B1581" s="73"/>
      <c r="C1581" s="51" t="s">
        <v>1023</v>
      </c>
      <c r="D1581" s="89" t="s">
        <v>525</v>
      </c>
      <c r="E1581" s="89"/>
      <c r="F1581" s="89"/>
      <c r="G1581" s="89"/>
      <c r="H1581" s="89"/>
      <c r="I1581" s="89"/>
      <c r="J1581" s="212"/>
      <c r="K1581" s="212"/>
      <c r="L1581" s="212"/>
      <c r="M1581" s="212"/>
      <c r="N1581" s="212">
        <f t="shared" si="42"/>
        <v>0</v>
      </c>
    </row>
    <row r="1582" spans="1:14" s="407" customFormat="1" ht="12.75" x14ac:dyDescent="0.2">
      <c r="A1582" s="152"/>
      <c r="B1582" s="73"/>
      <c r="C1582" s="51" t="s">
        <v>137</v>
      </c>
      <c r="D1582" s="89" t="s">
        <v>525</v>
      </c>
      <c r="E1582" s="89"/>
      <c r="F1582" s="89"/>
      <c r="G1582" s="89"/>
      <c r="H1582" s="89"/>
      <c r="I1582" s="89"/>
      <c r="J1582" s="212"/>
      <c r="K1582" s="212"/>
      <c r="L1582" s="212"/>
      <c r="M1582" s="212"/>
      <c r="N1582" s="212">
        <f t="shared" si="42"/>
        <v>0</v>
      </c>
    </row>
    <row r="1583" spans="1:14" s="407" customFormat="1" ht="12.75" x14ac:dyDescent="0.2">
      <c r="A1583" s="152"/>
      <c r="B1583" s="73"/>
      <c r="C1583" s="51" t="s">
        <v>956</v>
      </c>
      <c r="D1583" s="89" t="s">
        <v>525</v>
      </c>
      <c r="E1583" s="89"/>
      <c r="F1583" s="89"/>
      <c r="G1583" s="89"/>
      <c r="H1583" s="89"/>
      <c r="I1583" s="89"/>
      <c r="J1583" s="212"/>
      <c r="K1583" s="212"/>
      <c r="L1583" s="212"/>
      <c r="M1583" s="212"/>
      <c r="N1583" s="212">
        <f t="shared" si="42"/>
        <v>0</v>
      </c>
    </row>
    <row r="1584" spans="1:14" s="407" customFormat="1" ht="12.75" x14ac:dyDescent="0.2">
      <c r="A1584" s="152"/>
      <c r="B1584" s="73"/>
      <c r="C1584" s="51" t="s">
        <v>1045</v>
      </c>
      <c r="D1584" s="89" t="s">
        <v>525</v>
      </c>
      <c r="E1584" s="89"/>
      <c r="F1584" s="89"/>
      <c r="G1584" s="89"/>
      <c r="H1584" s="89"/>
      <c r="I1584" s="89"/>
      <c r="J1584" s="212"/>
      <c r="K1584" s="212"/>
      <c r="L1584" s="212"/>
      <c r="M1584" s="212"/>
      <c r="N1584" s="212">
        <f t="shared" si="42"/>
        <v>0</v>
      </c>
    </row>
    <row r="1585" spans="1:14" s="407" customFormat="1" ht="12.75" x14ac:dyDescent="0.2">
      <c r="A1585" s="152"/>
      <c r="B1585" s="73"/>
      <c r="C1585" s="51" t="s">
        <v>1046</v>
      </c>
      <c r="D1585" s="89" t="s">
        <v>525</v>
      </c>
      <c r="E1585" s="89"/>
      <c r="F1585" s="89"/>
      <c r="G1585" s="89"/>
      <c r="H1585" s="89"/>
      <c r="I1585" s="89"/>
      <c r="J1585" s="212"/>
      <c r="K1585" s="212"/>
      <c r="L1585" s="212"/>
      <c r="M1585" s="212"/>
      <c r="N1585" s="212">
        <f t="shared" si="42"/>
        <v>0</v>
      </c>
    </row>
    <row r="1586" spans="1:14" s="407" customFormat="1" ht="12.75" x14ac:dyDescent="0.2">
      <c r="A1586" s="152"/>
      <c r="B1586" s="73"/>
      <c r="C1586" s="51" t="s">
        <v>1036</v>
      </c>
      <c r="D1586" s="89" t="s">
        <v>525</v>
      </c>
      <c r="E1586" s="89"/>
      <c r="F1586" s="89"/>
      <c r="G1586" s="89"/>
      <c r="H1586" s="89"/>
      <c r="I1586" s="89"/>
      <c r="J1586" s="212"/>
      <c r="K1586" s="212"/>
      <c r="L1586" s="212"/>
      <c r="M1586" s="212"/>
      <c r="N1586" s="212">
        <f t="shared" si="42"/>
        <v>0</v>
      </c>
    </row>
    <row r="1587" spans="1:14" s="407" customFormat="1" ht="12.75" x14ac:dyDescent="0.2">
      <c r="A1587" s="152"/>
      <c r="B1587" s="73"/>
      <c r="C1587" s="51" t="s">
        <v>1037</v>
      </c>
      <c r="D1587" s="89" t="s">
        <v>525</v>
      </c>
      <c r="E1587" s="89"/>
      <c r="F1587" s="89"/>
      <c r="G1587" s="89"/>
      <c r="H1587" s="89"/>
      <c r="I1587" s="89"/>
      <c r="J1587" s="212"/>
      <c r="K1587" s="212"/>
      <c r="L1587" s="212"/>
      <c r="M1587" s="212"/>
      <c r="N1587" s="212">
        <f t="shared" si="42"/>
        <v>0</v>
      </c>
    </row>
    <row r="1588" spans="1:14" s="407" customFormat="1" ht="12.75" x14ac:dyDescent="0.2">
      <c r="A1588" s="152"/>
      <c r="B1588" s="73"/>
      <c r="C1588" s="51" t="s">
        <v>990</v>
      </c>
      <c r="D1588" s="89" t="s">
        <v>525</v>
      </c>
      <c r="E1588" s="89"/>
      <c r="F1588" s="89"/>
      <c r="G1588" s="89"/>
      <c r="H1588" s="89"/>
      <c r="I1588" s="89"/>
      <c r="J1588" s="212"/>
      <c r="K1588" s="212"/>
      <c r="L1588" s="212"/>
      <c r="M1588" s="212"/>
      <c r="N1588" s="212">
        <f t="shared" si="42"/>
        <v>0</v>
      </c>
    </row>
    <row r="1589" spans="1:14" s="407" customFormat="1" ht="12.75" x14ac:dyDescent="0.2">
      <c r="A1589" s="152"/>
      <c r="B1589" s="73"/>
      <c r="C1589" s="51" t="s">
        <v>1040</v>
      </c>
      <c r="D1589" s="89" t="s">
        <v>525</v>
      </c>
      <c r="E1589" s="89"/>
      <c r="F1589" s="89"/>
      <c r="G1589" s="89"/>
      <c r="H1589" s="89"/>
      <c r="I1589" s="89"/>
      <c r="J1589" s="212"/>
      <c r="K1589" s="212"/>
      <c r="L1589" s="212"/>
      <c r="M1589" s="212"/>
      <c r="N1589" s="212">
        <f t="shared" si="42"/>
        <v>0</v>
      </c>
    </row>
    <row r="1590" spans="1:14" s="407" customFormat="1" ht="12.75" x14ac:dyDescent="0.2">
      <c r="A1590" s="152"/>
      <c r="B1590" s="73"/>
      <c r="C1590" s="51" t="s">
        <v>991</v>
      </c>
      <c r="D1590" s="89" t="s">
        <v>525</v>
      </c>
      <c r="E1590" s="89"/>
      <c r="F1590" s="89"/>
      <c r="G1590" s="89"/>
      <c r="H1590" s="89"/>
      <c r="I1590" s="89"/>
      <c r="J1590" s="212"/>
      <c r="K1590" s="212"/>
      <c r="L1590" s="212"/>
      <c r="M1590" s="212"/>
      <c r="N1590" s="212">
        <f t="shared" si="42"/>
        <v>0</v>
      </c>
    </row>
    <row r="1591" spans="1:14" s="407" customFormat="1" ht="12.75" x14ac:dyDescent="0.2">
      <c r="A1591" s="152"/>
      <c r="B1591" s="73"/>
      <c r="C1591" s="51" t="s">
        <v>959</v>
      </c>
      <c r="D1591" s="89" t="s">
        <v>525</v>
      </c>
      <c r="E1591" s="89"/>
      <c r="F1591" s="89"/>
      <c r="G1591" s="89"/>
      <c r="H1591" s="89"/>
      <c r="I1591" s="89"/>
      <c r="J1591" s="212"/>
      <c r="K1591" s="212"/>
      <c r="L1591" s="212"/>
      <c r="M1591" s="212"/>
      <c r="N1591" s="212">
        <f t="shared" si="42"/>
        <v>0</v>
      </c>
    </row>
    <row r="1592" spans="1:14" s="407" customFormat="1" ht="12.75" x14ac:dyDescent="0.2">
      <c r="A1592" s="152"/>
      <c r="B1592" s="73"/>
      <c r="C1592" s="51" t="s">
        <v>964</v>
      </c>
      <c r="D1592" s="89" t="s">
        <v>525</v>
      </c>
      <c r="E1592" s="89"/>
      <c r="F1592" s="89"/>
      <c r="G1592" s="89"/>
      <c r="H1592" s="89"/>
      <c r="I1592" s="89"/>
      <c r="J1592" s="212"/>
      <c r="K1592" s="212"/>
      <c r="L1592" s="212"/>
      <c r="M1592" s="212"/>
      <c r="N1592" s="212">
        <f t="shared" si="42"/>
        <v>0</v>
      </c>
    </row>
    <row r="1593" spans="1:14" s="407" customFormat="1" ht="12.75" x14ac:dyDescent="0.2">
      <c r="A1593" s="152"/>
      <c r="B1593" s="73"/>
      <c r="C1593" s="51" t="s">
        <v>1003</v>
      </c>
      <c r="D1593" s="89" t="s">
        <v>525</v>
      </c>
      <c r="E1593" s="89"/>
      <c r="F1593" s="89"/>
      <c r="G1593" s="89"/>
      <c r="H1593" s="89"/>
      <c r="I1593" s="89"/>
      <c r="J1593" s="212"/>
      <c r="K1593" s="212"/>
      <c r="L1593" s="212"/>
      <c r="M1593" s="212"/>
      <c r="N1593" s="212">
        <f t="shared" si="42"/>
        <v>0</v>
      </c>
    </row>
    <row r="1594" spans="1:14" s="407" customFormat="1" ht="12.75" x14ac:dyDescent="0.2">
      <c r="A1594" s="152"/>
      <c r="B1594" s="73"/>
      <c r="C1594" s="51" t="s">
        <v>992</v>
      </c>
      <c r="D1594" s="89" t="s">
        <v>525</v>
      </c>
      <c r="E1594" s="89"/>
      <c r="F1594" s="89"/>
      <c r="G1594" s="89"/>
      <c r="H1594" s="89"/>
      <c r="I1594" s="89"/>
      <c r="J1594" s="212"/>
      <c r="K1594" s="212"/>
      <c r="L1594" s="212"/>
      <c r="M1594" s="212"/>
      <c r="N1594" s="212">
        <f t="shared" si="42"/>
        <v>0</v>
      </c>
    </row>
    <row r="1595" spans="1:14" s="407" customFormat="1" ht="12.75" x14ac:dyDescent="0.2">
      <c r="A1595" s="152"/>
      <c r="B1595" s="73"/>
      <c r="C1595" s="51" t="s">
        <v>994</v>
      </c>
      <c r="D1595" s="89" t="s">
        <v>525</v>
      </c>
      <c r="E1595" s="89"/>
      <c r="F1595" s="89"/>
      <c r="G1595" s="89"/>
      <c r="H1595" s="89"/>
      <c r="I1595" s="89"/>
      <c r="J1595" s="212"/>
      <c r="K1595" s="212"/>
      <c r="L1595" s="212"/>
      <c r="M1595" s="212"/>
      <c r="N1595" s="212">
        <f t="shared" si="42"/>
        <v>0</v>
      </c>
    </row>
    <row r="1596" spans="1:14" s="407" customFormat="1" ht="12.75" x14ac:dyDescent="0.2">
      <c r="A1596" s="152"/>
      <c r="B1596" s="73"/>
      <c r="C1596" s="51" t="s">
        <v>993</v>
      </c>
      <c r="D1596" s="89" t="s">
        <v>525</v>
      </c>
      <c r="E1596" s="89"/>
      <c r="F1596" s="89"/>
      <c r="G1596" s="89"/>
      <c r="H1596" s="89"/>
      <c r="I1596" s="89"/>
      <c r="J1596" s="212"/>
      <c r="K1596" s="212"/>
      <c r="L1596" s="212"/>
      <c r="M1596" s="212"/>
      <c r="N1596" s="212">
        <f t="shared" si="42"/>
        <v>0</v>
      </c>
    </row>
    <row r="1597" spans="1:14" s="407" customFormat="1" ht="12.75" x14ac:dyDescent="0.2">
      <c r="A1597" s="152"/>
      <c r="B1597" s="73"/>
      <c r="C1597" s="51" t="s">
        <v>995</v>
      </c>
      <c r="D1597" s="89" t="s">
        <v>525</v>
      </c>
      <c r="E1597" s="89"/>
      <c r="F1597" s="89"/>
      <c r="G1597" s="89"/>
      <c r="H1597" s="89"/>
      <c r="I1597" s="89"/>
      <c r="J1597" s="212"/>
      <c r="K1597" s="212"/>
      <c r="L1597" s="212"/>
      <c r="M1597" s="212"/>
      <c r="N1597" s="212">
        <f t="shared" si="42"/>
        <v>0</v>
      </c>
    </row>
    <row r="1598" spans="1:14" s="407" customFormat="1" ht="12.75" x14ac:dyDescent="0.2">
      <c r="A1598" s="152"/>
      <c r="B1598" s="73"/>
      <c r="C1598" s="51" t="s">
        <v>1001</v>
      </c>
      <c r="D1598" s="89" t="s">
        <v>525</v>
      </c>
      <c r="E1598" s="89"/>
      <c r="F1598" s="89"/>
      <c r="G1598" s="89"/>
      <c r="H1598" s="89"/>
      <c r="I1598" s="89"/>
      <c r="J1598" s="212"/>
      <c r="K1598" s="212"/>
      <c r="L1598" s="212"/>
      <c r="M1598" s="212"/>
      <c r="N1598" s="212">
        <f t="shared" si="42"/>
        <v>0</v>
      </c>
    </row>
    <row r="1599" spans="1:14" s="407" customFormat="1" ht="12.75" x14ac:dyDescent="0.2">
      <c r="A1599" s="152"/>
      <c r="B1599" s="73"/>
      <c r="C1599" s="51" t="s">
        <v>978</v>
      </c>
      <c r="D1599" s="89" t="s">
        <v>525</v>
      </c>
      <c r="E1599" s="89"/>
      <c r="F1599" s="89"/>
      <c r="G1599" s="89"/>
      <c r="H1599" s="89"/>
      <c r="I1599" s="89"/>
      <c r="J1599" s="212"/>
      <c r="K1599" s="212"/>
      <c r="L1599" s="212"/>
      <c r="M1599" s="212"/>
      <c r="N1599" s="212">
        <f t="shared" si="42"/>
        <v>0</v>
      </c>
    </row>
    <row r="1600" spans="1:14" s="407" customFormat="1" ht="12.75" x14ac:dyDescent="0.2">
      <c r="A1600" s="152"/>
      <c r="B1600" s="73"/>
      <c r="C1600" s="51" t="s">
        <v>494</v>
      </c>
      <c r="D1600" s="89" t="s">
        <v>525</v>
      </c>
      <c r="E1600" s="89"/>
      <c r="F1600" s="89"/>
      <c r="G1600" s="89"/>
      <c r="H1600" s="89"/>
      <c r="I1600" s="89"/>
      <c r="J1600" s="212"/>
      <c r="K1600" s="212"/>
      <c r="L1600" s="212"/>
      <c r="M1600" s="212"/>
      <c r="N1600" s="212">
        <f t="shared" si="42"/>
        <v>0</v>
      </c>
    </row>
    <row r="1601" spans="1:14" s="407" customFormat="1" ht="12.75" x14ac:dyDescent="0.2">
      <c r="A1601" s="152"/>
      <c r="B1601" s="73"/>
      <c r="C1601" s="51" t="s">
        <v>976</v>
      </c>
      <c r="D1601" s="89" t="s">
        <v>525</v>
      </c>
      <c r="E1601" s="89"/>
      <c r="F1601" s="89"/>
      <c r="G1601" s="89"/>
      <c r="H1601" s="89"/>
      <c r="I1601" s="89"/>
      <c r="J1601" s="212"/>
      <c r="K1601" s="212"/>
      <c r="L1601" s="212"/>
      <c r="M1601" s="212"/>
      <c r="N1601" s="212">
        <f t="shared" si="42"/>
        <v>0</v>
      </c>
    </row>
    <row r="1602" spans="1:14" s="407" customFormat="1" ht="12.75" x14ac:dyDescent="0.2">
      <c r="A1602" s="152"/>
      <c r="B1602" s="73"/>
      <c r="C1602" s="51" t="s">
        <v>1002</v>
      </c>
      <c r="D1602" s="89" t="s">
        <v>525</v>
      </c>
      <c r="E1602" s="89"/>
      <c r="F1602" s="89"/>
      <c r="G1602" s="89"/>
      <c r="H1602" s="89"/>
      <c r="I1602" s="89"/>
      <c r="J1602" s="212"/>
      <c r="K1602" s="212"/>
      <c r="L1602" s="212"/>
      <c r="M1602" s="212"/>
      <c r="N1602" s="212">
        <f t="shared" si="42"/>
        <v>0</v>
      </c>
    </row>
    <row r="1603" spans="1:14" s="407" customFormat="1" ht="12.75" x14ac:dyDescent="0.2">
      <c r="A1603" s="152"/>
      <c r="B1603" s="73"/>
      <c r="C1603" s="51" t="s">
        <v>1014</v>
      </c>
      <c r="D1603" s="89" t="s">
        <v>525</v>
      </c>
      <c r="E1603" s="89"/>
      <c r="F1603" s="89"/>
      <c r="G1603" s="89"/>
      <c r="H1603" s="89"/>
      <c r="I1603" s="89"/>
      <c r="J1603" s="212"/>
      <c r="K1603" s="212"/>
      <c r="L1603" s="212"/>
      <c r="M1603" s="212"/>
      <c r="N1603" s="212">
        <f t="shared" si="42"/>
        <v>0</v>
      </c>
    </row>
    <row r="1604" spans="1:14" s="407" customFormat="1" ht="12.75" x14ac:dyDescent="0.2">
      <c r="A1604" s="152"/>
      <c r="B1604" s="73"/>
      <c r="C1604" s="51" t="s">
        <v>998</v>
      </c>
      <c r="D1604" s="89" t="s">
        <v>525</v>
      </c>
      <c r="E1604" s="89"/>
      <c r="F1604" s="89"/>
      <c r="G1604" s="89"/>
      <c r="H1604" s="89"/>
      <c r="I1604" s="89"/>
      <c r="J1604" s="212"/>
      <c r="K1604" s="212"/>
      <c r="L1604" s="212"/>
      <c r="M1604" s="212"/>
      <c r="N1604" s="212">
        <f t="shared" si="42"/>
        <v>0</v>
      </c>
    </row>
    <row r="1605" spans="1:14" s="407" customFormat="1" ht="12.75" x14ac:dyDescent="0.2">
      <c r="A1605" s="152"/>
      <c r="B1605" s="73"/>
      <c r="C1605" s="51" t="s">
        <v>996</v>
      </c>
      <c r="D1605" s="89" t="s">
        <v>525</v>
      </c>
      <c r="E1605" s="89"/>
      <c r="F1605" s="89"/>
      <c r="G1605" s="89"/>
      <c r="H1605" s="89"/>
      <c r="I1605" s="89"/>
      <c r="J1605" s="212"/>
      <c r="K1605" s="212"/>
      <c r="L1605" s="212"/>
      <c r="M1605" s="212"/>
      <c r="N1605" s="212">
        <f t="shared" si="42"/>
        <v>0</v>
      </c>
    </row>
    <row r="1606" spans="1:14" s="407" customFormat="1" ht="12.75" x14ac:dyDescent="0.2">
      <c r="A1606" s="152"/>
      <c r="B1606" s="73"/>
      <c r="C1606" s="51" t="s">
        <v>1043</v>
      </c>
      <c r="D1606" s="89" t="s">
        <v>525</v>
      </c>
      <c r="E1606" s="89"/>
      <c r="F1606" s="89"/>
      <c r="G1606" s="89"/>
      <c r="H1606" s="89"/>
      <c r="I1606" s="89"/>
      <c r="J1606" s="212"/>
      <c r="K1606" s="212"/>
      <c r="L1606" s="212"/>
      <c r="M1606" s="212"/>
      <c r="N1606" s="212">
        <f t="shared" si="42"/>
        <v>0</v>
      </c>
    </row>
    <row r="1607" spans="1:14" s="407" customFormat="1" ht="12.75" x14ac:dyDescent="0.2">
      <c r="A1607" s="152"/>
      <c r="B1607" s="73"/>
      <c r="C1607" s="51" t="s">
        <v>1044</v>
      </c>
      <c r="D1607" s="89" t="s">
        <v>525</v>
      </c>
      <c r="E1607" s="89"/>
      <c r="F1607" s="89"/>
      <c r="G1607" s="89"/>
      <c r="H1607" s="89"/>
      <c r="I1607" s="89"/>
      <c r="J1607" s="212"/>
      <c r="K1607" s="212"/>
      <c r="L1607" s="212"/>
      <c r="M1607" s="212"/>
      <c r="N1607" s="212">
        <f t="shared" si="42"/>
        <v>0</v>
      </c>
    </row>
    <row r="1608" spans="1:14" s="407" customFormat="1" ht="12.75" x14ac:dyDescent="0.2">
      <c r="A1608" s="152"/>
      <c r="B1608" s="73"/>
      <c r="C1608" s="51" t="s">
        <v>1039</v>
      </c>
      <c r="D1608" s="89" t="s">
        <v>525</v>
      </c>
      <c r="E1608" s="89"/>
      <c r="F1608" s="89"/>
      <c r="G1608" s="89"/>
      <c r="H1608" s="89"/>
      <c r="I1608" s="89"/>
      <c r="J1608" s="212"/>
      <c r="K1608" s="212"/>
      <c r="L1608" s="212"/>
      <c r="M1608" s="212"/>
      <c r="N1608" s="212">
        <f t="shared" si="42"/>
        <v>0</v>
      </c>
    </row>
    <row r="1609" spans="1:14" s="407" customFormat="1" ht="12.75" x14ac:dyDescent="0.2">
      <c r="A1609" s="152"/>
      <c r="B1609" s="73"/>
      <c r="C1609" s="51" t="s">
        <v>1028</v>
      </c>
      <c r="D1609" s="89" t="s">
        <v>525</v>
      </c>
      <c r="E1609" s="89"/>
      <c r="F1609" s="89"/>
      <c r="G1609" s="89"/>
      <c r="H1609" s="89"/>
      <c r="I1609" s="89"/>
      <c r="J1609" s="212"/>
      <c r="K1609" s="212"/>
      <c r="L1609" s="212"/>
      <c r="M1609" s="212"/>
      <c r="N1609" s="212">
        <f t="shared" si="42"/>
        <v>0</v>
      </c>
    </row>
    <row r="1610" spans="1:14" s="407" customFormat="1" ht="12.75" x14ac:dyDescent="0.2">
      <c r="A1610" s="152"/>
      <c r="B1610" s="73"/>
      <c r="C1610" s="51" t="s">
        <v>1029</v>
      </c>
      <c r="D1610" s="89" t="s">
        <v>525</v>
      </c>
      <c r="E1610" s="89"/>
      <c r="F1610" s="89"/>
      <c r="G1610" s="89"/>
      <c r="H1610" s="89"/>
      <c r="I1610" s="89"/>
      <c r="J1610" s="212"/>
      <c r="K1610" s="212"/>
      <c r="L1610" s="212"/>
      <c r="M1610" s="212"/>
      <c r="N1610" s="212">
        <f t="shared" si="42"/>
        <v>0</v>
      </c>
    </row>
    <row r="1611" spans="1:14" s="407" customFormat="1" ht="12.75" x14ac:dyDescent="0.2">
      <c r="A1611" s="152"/>
      <c r="B1611" s="73"/>
      <c r="C1611" s="51" t="s">
        <v>113</v>
      </c>
      <c r="D1611" s="89" t="s">
        <v>525</v>
      </c>
      <c r="E1611" s="89"/>
      <c r="F1611" s="89"/>
      <c r="G1611" s="89"/>
      <c r="H1611" s="89"/>
      <c r="I1611" s="89"/>
      <c r="J1611" s="212"/>
      <c r="K1611" s="212"/>
      <c r="L1611" s="212"/>
      <c r="M1611" s="212"/>
      <c r="N1611" s="212">
        <f t="shared" si="42"/>
        <v>0</v>
      </c>
    </row>
    <row r="1612" spans="1:14" s="407" customFormat="1" ht="12.75" x14ac:dyDescent="0.2">
      <c r="A1612" s="152"/>
      <c r="B1612" s="73"/>
      <c r="C1612" s="51" t="s">
        <v>1038</v>
      </c>
      <c r="D1612" s="89" t="s">
        <v>525</v>
      </c>
      <c r="E1612" s="89"/>
      <c r="F1612" s="89"/>
      <c r="G1612" s="89"/>
      <c r="H1612" s="89"/>
      <c r="I1612" s="89"/>
      <c r="J1612" s="212"/>
      <c r="K1612" s="212"/>
      <c r="L1612" s="212"/>
      <c r="M1612" s="212"/>
      <c r="N1612" s="212">
        <f t="shared" si="42"/>
        <v>0</v>
      </c>
    </row>
    <row r="1613" spans="1:14" s="407" customFormat="1" ht="12.75" x14ac:dyDescent="0.2">
      <c r="A1613" s="152"/>
      <c r="B1613" s="73"/>
      <c r="C1613" s="51" t="s">
        <v>1033</v>
      </c>
      <c r="D1613" s="89" t="s">
        <v>525</v>
      </c>
      <c r="E1613" s="89"/>
      <c r="F1613" s="89"/>
      <c r="G1613" s="89"/>
      <c r="H1613" s="89"/>
      <c r="I1613" s="89"/>
      <c r="J1613" s="212"/>
      <c r="K1613" s="212"/>
      <c r="L1613" s="212"/>
      <c r="M1613" s="212"/>
      <c r="N1613" s="212">
        <f t="shared" ref="N1613:N1676" si="43">SUMIFS(N$26:N$154,$C$26:$C$154,$C1613,$D$26:$D$154,$D1613)</f>
        <v>0</v>
      </c>
    </row>
    <row r="1614" spans="1:14" s="407" customFormat="1" ht="12.75" x14ac:dyDescent="0.2">
      <c r="A1614" s="152"/>
      <c r="B1614" s="73"/>
      <c r="C1614" s="51" t="s">
        <v>1007</v>
      </c>
      <c r="D1614" s="89" t="s">
        <v>525</v>
      </c>
      <c r="E1614" s="89"/>
      <c r="F1614" s="89"/>
      <c r="G1614" s="89"/>
      <c r="H1614" s="89"/>
      <c r="I1614" s="89"/>
      <c r="J1614" s="212"/>
      <c r="K1614" s="212"/>
      <c r="L1614" s="212"/>
      <c r="M1614" s="212"/>
      <c r="N1614" s="212">
        <f t="shared" si="43"/>
        <v>0</v>
      </c>
    </row>
    <row r="1615" spans="1:14" s="407" customFormat="1" ht="12.75" x14ac:dyDescent="0.2">
      <c r="A1615" s="152"/>
      <c r="B1615" s="73"/>
      <c r="C1615" s="51" t="s">
        <v>969</v>
      </c>
      <c r="D1615" s="89" t="s">
        <v>525</v>
      </c>
      <c r="E1615" s="89"/>
      <c r="F1615" s="89"/>
      <c r="G1615" s="89"/>
      <c r="H1615" s="89"/>
      <c r="I1615" s="89"/>
      <c r="J1615" s="212"/>
      <c r="K1615" s="212"/>
      <c r="L1615" s="212"/>
      <c r="M1615" s="212"/>
      <c r="N1615" s="212">
        <f t="shared" si="43"/>
        <v>0</v>
      </c>
    </row>
    <row r="1616" spans="1:14" s="407" customFormat="1" ht="12.75" x14ac:dyDescent="0.2">
      <c r="A1616" s="152"/>
      <c r="B1616" s="73"/>
      <c r="C1616" s="51" t="s">
        <v>987</v>
      </c>
      <c r="D1616" s="89" t="s">
        <v>525</v>
      </c>
      <c r="E1616" s="89"/>
      <c r="F1616" s="89"/>
      <c r="G1616" s="89"/>
      <c r="H1616" s="89"/>
      <c r="I1616" s="89"/>
      <c r="J1616" s="212"/>
      <c r="K1616" s="212"/>
      <c r="L1616" s="212"/>
      <c r="M1616" s="212"/>
      <c r="N1616" s="212">
        <f t="shared" si="43"/>
        <v>0</v>
      </c>
    </row>
    <row r="1617" spans="1:14" s="407" customFormat="1" ht="12.75" x14ac:dyDescent="0.2">
      <c r="A1617" s="152"/>
      <c r="B1617" s="73"/>
      <c r="C1617" s="51" t="s">
        <v>1000</v>
      </c>
      <c r="D1617" s="89" t="s">
        <v>525</v>
      </c>
      <c r="E1617" s="89"/>
      <c r="F1617" s="89"/>
      <c r="G1617" s="89"/>
      <c r="H1617" s="89"/>
      <c r="I1617" s="89"/>
      <c r="J1617" s="212"/>
      <c r="K1617" s="212"/>
      <c r="L1617" s="212"/>
      <c r="M1617" s="212"/>
      <c r="N1617" s="212">
        <f t="shared" si="43"/>
        <v>0</v>
      </c>
    </row>
    <row r="1618" spans="1:14" s="407" customFormat="1" ht="12.75" x14ac:dyDescent="0.2">
      <c r="A1618" s="152"/>
      <c r="B1618" s="73"/>
      <c r="C1618" s="51" t="s">
        <v>116</v>
      </c>
      <c r="D1618" s="89" t="s">
        <v>525</v>
      </c>
      <c r="E1618" s="89"/>
      <c r="F1618" s="89"/>
      <c r="G1618" s="89"/>
      <c r="H1618" s="89"/>
      <c r="I1618" s="89"/>
      <c r="J1618" s="212"/>
      <c r="K1618" s="212"/>
      <c r="L1618" s="212"/>
      <c r="M1618" s="212"/>
      <c r="N1618" s="212">
        <f t="shared" si="43"/>
        <v>0</v>
      </c>
    </row>
    <row r="1619" spans="1:14" s="407" customFormat="1" ht="12.75" x14ac:dyDescent="0.2">
      <c r="A1619" s="152"/>
      <c r="B1619" s="73"/>
      <c r="C1619" s="51" t="s">
        <v>114</v>
      </c>
      <c r="D1619" s="89" t="s">
        <v>525</v>
      </c>
      <c r="E1619" s="89"/>
      <c r="F1619" s="89"/>
      <c r="G1619" s="89"/>
      <c r="H1619" s="89"/>
      <c r="I1619" s="89"/>
      <c r="J1619" s="212"/>
      <c r="K1619" s="212"/>
      <c r="L1619" s="212"/>
      <c r="M1619" s="212"/>
      <c r="N1619" s="212">
        <f t="shared" si="43"/>
        <v>0</v>
      </c>
    </row>
    <row r="1620" spans="1:14" s="407" customFormat="1" ht="12.75" x14ac:dyDescent="0.2">
      <c r="A1620" s="152"/>
      <c r="B1620" s="73"/>
      <c r="C1620" s="51" t="s">
        <v>111</v>
      </c>
      <c r="D1620" s="89" t="s">
        <v>525</v>
      </c>
      <c r="E1620" s="89"/>
      <c r="F1620" s="89"/>
      <c r="G1620" s="89"/>
      <c r="H1620" s="89"/>
      <c r="I1620" s="89"/>
      <c r="J1620" s="212"/>
      <c r="K1620" s="212"/>
      <c r="L1620" s="212"/>
      <c r="M1620" s="212"/>
      <c r="N1620" s="212">
        <f t="shared" si="43"/>
        <v>0</v>
      </c>
    </row>
    <row r="1621" spans="1:14" s="407" customFormat="1" ht="12.75" x14ac:dyDescent="0.2">
      <c r="A1621" s="152"/>
      <c r="B1621" s="73"/>
      <c r="C1621" s="51" t="s">
        <v>117</v>
      </c>
      <c r="D1621" s="89" t="s">
        <v>525</v>
      </c>
      <c r="E1621" s="89"/>
      <c r="F1621" s="89"/>
      <c r="G1621" s="89"/>
      <c r="H1621" s="89"/>
      <c r="I1621" s="89"/>
      <c r="J1621" s="212"/>
      <c r="K1621" s="212"/>
      <c r="L1621" s="212"/>
      <c r="M1621" s="212"/>
      <c r="N1621" s="212">
        <f t="shared" si="43"/>
        <v>0</v>
      </c>
    </row>
    <row r="1622" spans="1:14" s="407" customFormat="1" ht="12.75" x14ac:dyDescent="0.2">
      <c r="A1622" s="152"/>
      <c r="B1622" s="73"/>
      <c r="C1622" s="51" t="s">
        <v>112</v>
      </c>
      <c r="D1622" s="89" t="s">
        <v>525</v>
      </c>
      <c r="E1622" s="89"/>
      <c r="F1622" s="89"/>
      <c r="G1622" s="89"/>
      <c r="H1622" s="89"/>
      <c r="I1622" s="89"/>
      <c r="J1622" s="212"/>
      <c r="K1622" s="212"/>
      <c r="L1622" s="212"/>
      <c r="M1622" s="212"/>
      <c r="N1622" s="212">
        <f t="shared" si="43"/>
        <v>0</v>
      </c>
    </row>
    <row r="1623" spans="1:14" s="407" customFormat="1" ht="12.75" x14ac:dyDescent="0.2">
      <c r="A1623" s="152"/>
      <c r="B1623" s="73"/>
      <c r="C1623" s="51" t="s">
        <v>136</v>
      </c>
      <c r="D1623" s="89" t="s">
        <v>525</v>
      </c>
      <c r="E1623" s="89"/>
      <c r="F1623" s="89"/>
      <c r="G1623" s="89"/>
      <c r="H1623" s="89"/>
      <c r="I1623" s="89"/>
      <c r="J1623" s="212"/>
      <c r="K1623" s="212"/>
      <c r="L1623" s="212"/>
      <c r="M1623" s="212"/>
      <c r="N1623" s="212">
        <f t="shared" si="43"/>
        <v>0</v>
      </c>
    </row>
    <row r="1624" spans="1:14" s="407" customFormat="1" ht="12.75" x14ac:dyDescent="0.2">
      <c r="A1624" s="152"/>
      <c r="B1624" s="73"/>
      <c r="C1624" s="51" t="s">
        <v>962</v>
      </c>
      <c r="D1624" s="89" t="s">
        <v>525</v>
      </c>
      <c r="E1624" s="89"/>
      <c r="F1624" s="89"/>
      <c r="G1624" s="89"/>
      <c r="H1624" s="89"/>
      <c r="I1624" s="89"/>
      <c r="J1624" s="212"/>
      <c r="K1624" s="212"/>
      <c r="L1624" s="212"/>
      <c r="M1624" s="212"/>
      <c r="N1624" s="212">
        <f t="shared" si="43"/>
        <v>0</v>
      </c>
    </row>
    <row r="1625" spans="1:14" s="407" customFormat="1" ht="12.75" x14ac:dyDescent="0.2">
      <c r="A1625" s="152"/>
      <c r="B1625" s="73"/>
      <c r="C1625" s="51" t="s">
        <v>115</v>
      </c>
      <c r="D1625" s="89" t="s">
        <v>525</v>
      </c>
      <c r="E1625" s="89"/>
      <c r="F1625" s="89"/>
      <c r="G1625" s="89"/>
      <c r="H1625" s="89"/>
      <c r="I1625" s="89"/>
      <c r="J1625" s="212"/>
      <c r="K1625" s="212"/>
      <c r="L1625" s="212"/>
      <c r="M1625" s="212"/>
      <c r="N1625" s="212">
        <f t="shared" si="43"/>
        <v>0</v>
      </c>
    </row>
    <row r="1626" spans="1:14" s="407" customFormat="1" ht="12.75" x14ac:dyDescent="0.2">
      <c r="A1626" s="152"/>
      <c r="B1626" s="73"/>
      <c r="C1626" s="51" t="s">
        <v>997</v>
      </c>
      <c r="D1626" s="89" t="s">
        <v>525</v>
      </c>
      <c r="E1626" s="89"/>
      <c r="F1626" s="89"/>
      <c r="G1626" s="89"/>
      <c r="H1626" s="89"/>
      <c r="I1626" s="89"/>
      <c r="J1626" s="212"/>
      <c r="K1626" s="212"/>
      <c r="L1626" s="212"/>
      <c r="M1626" s="212"/>
      <c r="N1626" s="212">
        <f t="shared" si="43"/>
        <v>0</v>
      </c>
    </row>
    <row r="1627" spans="1:14" s="407" customFormat="1" ht="12.75" x14ac:dyDescent="0.2">
      <c r="A1627" s="152"/>
      <c r="B1627" s="73"/>
      <c r="C1627" s="51" t="s">
        <v>999</v>
      </c>
      <c r="D1627" s="89" t="s">
        <v>525</v>
      </c>
      <c r="E1627" s="89"/>
      <c r="F1627" s="89"/>
      <c r="G1627" s="89"/>
      <c r="H1627" s="89"/>
      <c r="I1627" s="89"/>
      <c r="J1627" s="212"/>
      <c r="K1627" s="212"/>
      <c r="L1627" s="212"/>
      <c r="M1627" s="212"/>
      <c r="N1627" s="212">
        <f t="shared" si="43"/>
        <v>0</v>
      </c>
    </row>
    <row r="1628" spans="1:14" s="407" customFormat="1" ht="12.75" x14ac:dyDescent="0.2">
      <c r="A1628" s="152"/>
      <c r="B1628" s="73"/>
      <c r="C1628" s="51" t="s">
        <v>1049</v>
      </c>
      <c r="D1628" s="89" t="s">
        <v>525</v>
      </c>
      <c r="E1628" s="89"/>
      <c r="F1628" s="89"/>
      <c r="G1628" s="89"/>
      <c r="H1628" s="89"/>
      <c r="I1628" s="89"/>
      <c r="J1628" s="212"/>
      <c r="K1628" s="212"/>
      <c r="L1628" s="212"/>
      <c r="M1628" s="212"/>
      <c r="N1628" s="212">
        <f t="shared" si="43"/>
        <v>0</v>
      </c>
    </row>
    <row r="1629" spans="1:14" s="407" customFormat="1" ht="12.75" x14ac:dyDescent="0.2">
      <c r="A1629" s="152"/>
      <c r="B1629" s="73"/>
      <c r="C1629" s="51" t="s">
        <v>96</v>
      </c>
      <c r="D1629" s="89" t="s">
        <v>525</v>
      </c>
      <c r="E1629" s="89"/>
      <c r="F1629" s="89"/>
      <c r="G1629" s="89"/>
      <c r="H1629" s="89"/>
      <c r="I1629" s="89"/>
      <c r="J1629" s="212"/>
      <c r="K1629" s="212"/>
      <c r="L1629" s="212"/>
      <c r="M1629" s="212"/>
      <c r="N1629" s="212">
        <f t="shared" si="43"/>
        <v>0</v>
      </c>
    </row>
    <row r="1630" spans="1:14" s="407" customFormat="1" ht="12.75" x14ac:dyDescent="0.2">
      <c r="A1630" s="152"/>
      <c r="B1630" s="73"/>
      <c r="C1630" s="51" t="s">
        <v>983</v>
      </c>
      <c r="D1630" s="89" t="s">
        <v>525</v>
      </c>
      <c r="E1630" s="89"/>
      <c r="F1630" s="89"/>
      <c r="G1630" s="89"/>
      <c r="H1630" s="89"/>
      <c r="I1630" s="89"/>
      <c r="J1630" s="212"/>
      <c r="K1630" s="212"/>
      <c r="L1630" s="212"/>
      <c r="M1630" s="212"/>
      <c r="N1630" s="212">
        <f t="shared" si="43"/>
        <v>0</v>
      </c>
    </row>
    <row r="1631" spans="1:14" s="407" customFormat="1" ht="12.75" x14ac:dyDescent="0.2">
      <c r="A1631" s="152"/>
      <c r="B1631" s="73"/>
      <c r="C1631" s="51" t="s">
        <v>1042</v>
      </c>
      <c r="D1631" s="89" t="s">
        <v>525</v>
      </c>
      <c r="E1631" s="89"/>
      <c r="F1631" s="89"/>
      <c r="G1631" s="89"/>
      <c r="H1631" s="89"/>
      <c r="I1631" s="89"/>
      <c r="J1631" s="212"/>
      <c r="K1631" s="212"/>
      <c r="L1631" s="212"/>
      <c r="M1631" s="212"/>
      <c r="N1631" s="212">
        <f t="shared" si="43"/>
        <v>0</v>
      </c>
    </row>
    <row r="1632" spans="1:14" s="407" customFormat="1" ht="12.75" x14ac:dyDescent="0.2">
      <c r="A1632" s="152"/>
      <c r="B1632" s="73"/>
      <c r="C1632" s="51" t="s">
        <v>979</v>
      </c>
      <c r="D1632" s="89" t="s">
        <v>525</v>
      </c>
      <c r="E1632" s="89"/>
      <c r="F1632" s="89"/>
      <c r="G1632" s="89"/>
      <c r="H1632" s="89"/>
      <c r="I1632" s="89"/>
      <c r="J1632" s="212"/>
      <c r="K1632" s="212"/>
      <c r="L1632" s="212"/>
      <c r="M1632" s="212"/>
      <c r="N1632" s="212">
        <f t="shared" si="43"/>
        <v>0</v>
      </c>
    </row>
    <row r="1633" spans="1:14" s="407" customFormat="1" ht="12.75" x14ac:dyDescent="0.2">
      <c r="A1633" s="152"/>
      <c r="B1633" s="73"/>
      <c r="C1633" s="51" t="s">
        <v>47</v>
      </c>
      <c r="D1633" s="89" t="s">
        <v>525</v>
      </c>
      <c r="E1633" s="89"/>
      <c r="F1633" s="89"/>
      <c r="G1633" s="89"/>
      <c r="H1633" s="89"/>
      <c r="I1633" s="89"/>
      <c r="J1633" s="212"/>
      <c r="K1633" s="212"/>
      <c r="L1633" s="212"/>
      <c r="M1633" s="212"/>
      <c r="N1633" s="212">
        <f t="shared" si="43"/>
        <v>0</v>
      </c>
    </row>
    <row r="1634" spans="1:14" s="407" customFormat="1" ht="12.75" x14ac:dyDescent="0.2">
      <c r="A1634" s="152"/>
      <c r="B1634" s="73"/>
      <c r="C1634" s="51" t="s">
        <v>48</v>
      </c>
      <c r="D1634" s="89" t="s">
        <v>525</v>
      </c>
      <c r="E1634" s="89"/>
      <c r="F1634" s="89"/>
      <c r="G1634" s="89"/>
      <c r="H1634" s="89"/>
      <c r="I1634" s="89"/>
      <c r="J1634" s="212"/>
      <c r="K1634" s="212"/>
      <c r="L1634" s="212"/>
      <c r="M1634" s="212"/>
      <c r="N1634" s="212">
        <f t="shared" si="43"/>
        <v>0</v>
      </c>
    </row>
    <row r="1635" spans="1:14" s="407" customFormat="1" ht="12.75" x14ac:dyDescent="0.2">
      <c r="A1635" s="152"/>
      <c r="B1635" s="73"/>
      <c r="C1635" s="51" t="s">
        <v>1051</v>
      </c>
      <c r="D1635" s="89" t="s">
        <v>525</v>
      </c>
      <c r="E1635" s="89"/>
      <c r="F1635" s="89"/>
      <c r="G1635" s="89"/>
      <c r="H1635" s="89"/>
      <c r="I1635" s="89"/>
      <c r="J1635" s="212"/>
      <c r="K1635" s="212"/>
      <c r="L1635" s="212"/>
      <c r="M1635" s="212"/>
      <c r="N1635" s="212">
        <f t="shared" si="43"/>
        <v>0</v>
      </c>
    </row>
    <row r="1636" spans="1:14" s="407" customFormat="1" ht="12.75" x14ac:dyDescent="0.2">
      <c r="A1636" s="152"/>
      <c r="B1636" s="73"/>
      <c r="C1636" s="51" t="s">
        <v>929</v>
      </c>
      <c r="D1636" s="89" t="s">
        <v>525</v>
      </c>
      <c r="E1636" s="89"/>
      <c r="F1636" s="89"/>
      <c r="G1636" s="89"/>
      <c r="H1636" s="89"/>
      <c r="I1636" s="89"/>
      <c r="J1636" s="212"/>
      <c r="K1636" s="212"/>
      <c r="L1636" s="212"/>
      <c r="M1636" s="212"/>
      <c r="N1636" s="212">
        <f t="shared" si="43"/>
        <v>0</v>
      </c>
    </row>
    <row r="1637" spans="1:14" s="407" customFormat="1" ht="12.75" x14ac:dyDescent="0.2">
      <c r="A1637" s="152"/>
      <c r="B1637" s="73"/>
      <c r="C1637" s="51" t="s">
        <v>970</v>
      </c>
      <c r="D1637" s="89" t="s">
        <v>525</v>
      </c>
      <c r="E1637" s="89"/>
      <c r="F1637" s="89"/>
      <c r="G1637" s="89"/>
      <c r="H1637" s="89"/>
      <c r="I1637" s="89"/>
      <c r="J1637" s="212"/>
      <c r="K1637" s="212"/>
      <c r="L1637" s="212"/>
      <c r="M1637" s="212"/>
      <c r="N1637" s="212">
        <f t="shared" si="43"/>
        <v>0</v>
      </c>
    </row>
    <row r="1638" spans="1:14" s="407" customFormat="1" ht="12.75" x14ac:dyDescent="0.2">
      <c r="A1638" s="152"/>
      <c r="B1638" s="73"/>
      <c r="C1638" s="51" t="s">
        <v>122</v>
      </c>
      <c r="D1638" s="89" t="s">
        <v>525</v>
      </c>
      <c r="E1638" s="89"/>
      <c r="F1638" s="89"/>
      <c r="G1638" s="89"/>
      <c r="H1638" s="89"/>
      <c r="I1638" s="89"/>
      <c r="J1638" s="212"/>
      <c r="K1638" s="212"/>
      <c r="L1638" s="212"/>
      <c r="M1638" s="212"/>
      <c r="N1638" s="212">
        <f t="shared" si="43"/>
        <v>0</v>
      </c>
    </row>
    <row r="1639" spans="1:14" s="407" customFormat="1" ht="12.75" x14ac:dyDescent="0.2">
      <c r="A1639" s="152"/>
      <c r="B1639" s="73"/>
      <c r="C1639" s="51" t="s">
        <v>135</v>
      </c>
      <c r="D1639" s="89" t="s">
        <v>525</v>
      </c>
      <c r="E1639" s="89"/>
      <c r="F1639" s="89"/>
      <c r="G1639" s="89"/>
      <c r="H1639" s="89"/>
      <c r="I1639" s="89"/>
      <c r="J1639" s="212"/>
      <c r="K1639" s="212"/>
      <c r="L1639" s="212"/>
      <c r="M1639" s="212"/>
      <c r="N1639" s="212">
        <f t="shared" si="43"/>
        <v>0</v>
      </c>
    </row>
    <row r="1640" spans="1:14" s="407" customFormat="1" ht="12.75" x14ac:dyDescent="0.2">
      <c r="A1640" s="152"/>
      <c r="B1640" s="73"/>
      <c r="C1640" s="51" t="s">
        <v>123</v>
      </c>
      <c r="D1640" s="89" t="s">
        <v>525</v>
      </c>
      <c r="E1640" s="89"/>
      <c r="F1640" s="89"/>
      <c r="G1640" s="89"/>
      <c r="H1640" s="89"/>
      <c r="I1640" s="89"/>
      <c r="J1640" s="212"/>
      <c r="K1640" s="212"/>
      <c r="L1640" s="212"/>
      <c r="M1640" s="212"/>
      <c r="N1640" s="212">
        <f t="shared" si="43"/>
        <v>0</v>
      </c>
    </row>
    <row r="1641" spans="1:14" s="407" customFormat="1" ht="12.75" x14ac:dyDescent="0.2">
      <c r="A1641" s="152"/>
      <c r="B1641" s="73"/>
      <c r="C1641" s="51" t="s">
        <v>974</v>
      </c>
      <c r="D1641" s="89" t="s">
        <v>525</v>
      </c>
      <c r="E1641" s="89"/>
      <c r="F1641" s="89"/>
      <c r="G1641" s="89"/>
      <c r="H1641" s="89"/>
      <c r="I1641" s="89"/>
      <c r="J1641" s="212"/>
      <c r="K1641" s="212"/>
      <c r="L1641" s="212"/>
      <c r="M1641" s="212"/>
      <c r="N1641" s="212">
        <f t="shared" si="43"/>
        <v>0</v>
      </c>
    </row>
    <row r="1642" spans="1:14" s="407" customFormat="1" ht="12.75" x14ac:dyDescent="0.2">
      <c r="A1642" s="152"/>
      <c r="B1642" s="73"/>
      <c r="C1642" s="51" t="s">
        <v>975</v>
      </c>
      <c r="D1642" s="89" t="s">
        <v>525</v>
      </c>
      <c r="E1642" s="89"/>
      <c r="F1642" s="89"/>
      <c r="G1642" s="89"/>
      <c r="H1642" s="89"/>
      <c r="I1642" s="89"/>
      <c r="J1642" s="212"/>
      <c r="K1642" s="212"/>
      <c r="L1642" s="212"/>
      <c r="M1642" s="212"/>
      <c r="N1642" s="212">
        <f t="shared" si="43"/>
        <v>0</v>
      </c>
    </row>
    <row r="1643" spans="1:14" s="407" customFormat="1" ht="12.75" x14ac:dyDescent="0.2">
      <c r="A1643" s="152"/>
      <c r="B1643" s="73"/>
      <c r="C1643" s="51" t="s">
        <v>126</v>
      </c>
      <c r="D1643" s="89" t="s">
        <v>525</v>
      </c>
      <c r="E1643" s="89"/>
      <c r="F1643" s="89"/>
      <c r="G1643" s="89"/>
      <c r="H1643" s="89"/>
      <c r="I1643" s="89"/>
      <c r="J1643" s="212"/>
      <c r="K1643" s="212"/>
      <c r="L1643" s="212"/>
      <c r="M1643" s="212"/>
      <c r="N1643" s="212">
        <f t="shared" si="43"/>
        <v>0</v>
      </c>
    </row>
    <row r="1644" spans="1:14" s="407" customFormat="1" ht="12.75" x14ac:dyDescent="0.2">
      <c r="A1644" s="152"/>
      <c r="B1644" s="73"/>
      <c r="C1644" s="51" t="s">
        <v>127</v>
      </c>
      <c r="D1644" s="89" t="s">
        <v>525</v>
      </c>
      <c r="E1644" s="89"/>
      <c r="F1644" s="89"/>
      <c r="G1644" s="89"/>
      <c r="H1644" s="89"/>
      <c r="I1644" s="89"/>
      <c r="J1644" s="212"/>
      <c r="K1644" s="212"/>
      <c r="L1644" s="212"/>
      <c r="M1644" s="212"/>
      <c r="N1644" s="212">
        <f t="shared" si="43"/>
        <v>0</v>
      </c>
    </row>
    <row r="1645" spans="1:14" s="407" customFormat="1" ht="12.75" x14ac:dyDescent="0.2">
      <c r="A1645" s="152"/>
      <c r="B1645" s="73"/>
      <c r="C1645" s="51" t="s">
        <v>130</v>
      </c>
      <c r="D1645" s="89" t="s">
        <v>525</v>
      </c>
      <c r="E1645" s="89"/>
      <c r="F1645" s="89"/>
      <c r="G1645" s="89"/>
      <c r="H1645" s="89"/>
      <c r="I1645" s="89"/>
      <c r="J1645" s="212"/>
      <c r="K1645" s="212"/>
      <c r="L1645" s="212"/>
      <c r="M1645" s="212"/>
      <c r="N1645" s="212">
        <f t="shared" si="43"/>
        <v>0</v>
      </c>
    </row>
    <row r="1646" spans="1:14" s="407" customFormat="1" ht="12.75" x14ac:dyDescent="0.2">
      <c r="A1646" s="152"/>
      <c r="B1646" s="73"/>
      <c r="C1646" s="51" t="s">
        <v>125</v>
      </c>
      <c r="D1646" s="89" t="s">
        <v>525</v>
      </c>
      <c r="E1646" s="89"/>
      <c r="F1646" s="89"/>
      <c r="G1646" s="89"/>
      <c r="H1646" s="89"/>
      <c r="I1646" s="89"/>
      <c r="J1646" s="212"/>
      <c r="K1646" s="212"/>
      <c r="L1646" s="212"/>
      <c r="M1646" s="212"/>
      <c r="N1646" s="212">
        <f t="shared" si="43"/>
        <v>0</v>
      </c>
    </row>
    <row r="1647" spans="1:14" s="407" customFormat="1" ht="12.75" x14ac:dyDescent="0.2">
      <c r="A1647" s="152"/>
      <c r="B1647" s="73"/>
      <c r="C1647" s="51" t="s">
        <v>128</v>
      </c>
      <c r="D1647" s="89" t="s">
        <v>525</v>
      </c>
      <c r="E1647" s="89"/>
      <c r="F1647" s="89"/>
      <c r="G1647" s="89"/>
      <c r="H1647" s="89"/>
      <c r="I1647" s="89"/>
      <c r="J1647" s="212"/>
      <c r="K1647" s="212"/>
      <c r="L1647" s="212"/>
      <c r="M1647" s="212"/>
      <c r="N1647" s="212">
        <f t="shared" si="43"/>
        <v>0</v>
      </c>
    </row>
    <row r="1648" spans="1:14" s="407" customFormat="1" ht="12.75" x14ac:dyDescent="0.2">
      <c r="A1648" s="152"/>
      <c r="B1648" s="73"/>
      <c r="C1648" s="51" t="s">
        <v>1016</v>
      </c>
      <c r="D1648" s="89" t="s">
        <v>525</v>
      </c>
      <c r="E1648" s="89"/>
      <c r="F1648" s="89"/>
      <c r="G1648" s="89"/>
      <c r="H1648" s="89"/>
      <c r="I1648" s="89"/>
      <c r="J1648" s="212"/>
      <c r="K1648" s="212"/>
      <c r="L1648" s="212"/>
      <c r="M1648" s="212"/>
      <c r="N1648" s="212">
        <f t="shared" si="43"/>
        <v>0</v>
      </c>
    </row>
    <row r="1649" spans="1:14" s="407" customFormat="1" ht="12.75" x14ac:dyDescent="0.2">
      <c r="A1649" s="152"/>
      <c r="B1649" s="73"/>
      <c r="C1649" s="51" t="s">
        <v>1015</v>
      </c>
      <c r="D1649" s="89" t="s">
        <v>525</v>
      </c>
      <c r="E1649" s="89"/>
      <c r="F1649" s="89"/>
      <c r="G1649" s="89"/>
      <c r="H1649" s="89"/>
      <c r="I1649" s="89"/>
      <c r="J1649" s="212"/>
      <c r="K1649" s="212"/>
      <c r="L1649" s="212"/>
      <c r="M1649" s="212"/>
      <c r="N1649" s="212">
        <f t="shared" si="43"/>
        <v>0</v>
      </c>
    </row>
    <row r="1650" spans="1:14" s="407" customFormat="1" ht="12.75" x14ac:dyDescent="0.2">
      <c r="A1650" s="152"/>
      <c r="B1650" s="73"/>
      <c r="C1650" s="51" t="s">
        <v>930</v>
      </c>
      <c r="D1650" s="89" t="s">
        <v>525</v>
      </c>
      <c r="E1650" s="89"/>
      <c r="F1650" s="89"/>
      <c r="G1650" s="89"/>
      <c r="H1650" s="89"/>
      <c r="I1650" s="89"/>
      <c r="J1650" s="212"/>
      <c r="K1650" s="212"/>
      <c r="L1650" s="212"/>
      <c r="M1650" s="212"/>
      <c r="N1650" s="212">
        <f t="shared" si="43"/>
        <v>0</v>
      </c>
    </row>
    <row r="1651" spans="1:14" s="407" customFormat="1" ht="12.75" x14ac:dyDescent="0.2">
      <c r="A1651" s="152"/>
      <c r="B1651" s="73"/>
      <c r="C1651" s="51" t="s">
        <v>931</v>
      </c>
      <c r="D1651" s="89" t="s">
        <v>525</v>
      </c>
      <c r="E1651" s="89"/>
      <c r="F1651" s="89"/>
      <c r="G1651" s="89"/>
      <c r="H1651" s="89"/>
      <c r="I1651" s="89"/>
      <c r="J1651" s="212"/>
      <c r="K1651" s="212"/>
      <c r="L1651" s="212"/>
      <c r="M1651" s="212"/>
      <c r="N1651" s="212">
        <f t="shared" si="43"/>
        <v>0</v>
      </c>
    </row>
    <row r="1652" spans="1:14" s="407" customFormat="1" ht="12.75" x14ac:dyDescent="0.2">
      <c r="A1652" s="152"/>
      <c r="B1652" s="73"/>
      <c r="C1652" s="51" t="s">
        <v>926</v>
      </c>
      <c r="D1652" s="89" t="s">
        <v>525</v>
      </c>
      <c r="E1652" s="89"/>
      <c r="F1652" s="89"/>
      <c r="G1652" s="89"/>
      <c r="H1652" s="89"/>
      <c r="I1652" s="89"/>
      <c r="J1652" s="212"/>
      <c r="K1652" s="212"/>
      <c r="L1652" s="212"/>
      <c r="M1652" s="212"/>
      <c r="N1652" s="212">
        <f t="shared" si="43"/>
        <v>0</v>
      </c>
    </row>
    <row r="1653" spans="1:14" s="407" customFormat="1" ht="12.75" x14ac:dyDescent="0.2">
      <c r="A1653" s="152"/>
      <c r="B1653" s="73"/>
      <c r="C1653" s="51" t="s">
        <v>110</v>
      </c>
      <c r="D1653" s="89" t="s">
        <v>525</v>
      </c>
      <c r="E1653" s="89"/>
      <c r="F1653" s="89"/>
      <c r="G1653" s="89"/>
      <c r="H1653" s="89"/>
      <c r="I1653" s="89"/>
      <c r="J1653" s="212"/>
      <c r="K1653" s="212"/>
      <c r="L1653" s="212"/>
      <c r="M1653" s="212"/>
      <c r="N1653" s="212">
        <f t="shared" si="43"/>
        <v>0</v>
      </c>
    </row>
    <row r="1654" spans="1:14" s="407" customFormat="1" ht="12.75" x14ac:dyDescent="0.2">
      <c r="A1654" s="152"/>
      <c r="B1654" s="73"/>
      <c r="C1654" s="51" t="s">
        <v>133</v>
      </c>
      <c r="D1654" s="89" t="s">
        <v>525</v>
      </c>
      <c r="E1654" s="89"/>
      <c r="F1654" s="89"/>
      <c r="G1654" s="89"/>
      <c r="H1654" s="89"/>
      <c r="I1654" s="89"/>
      <c r="J1654" s="212"/>
      <c r="K1654" s="212"/>
      <c r="L1654" s="212"/>
      <c r="M1654" s="212"/>
      <c r="N1654" s="212">
        <f t="shared" si="43"/>
        <v>0</v>
      </c>
    </row>
    <row r="1655" spans="1:14" s="407" customFormat="1" ht="12.75" x14ac:dyDescent="0.2">
      <c r="A1655" s="152"/>
      <c r="B1655" s="73"/>
      <c r="C1655" s="51" t="s">
        <v>134</v>
      </c>
      <c r="D1655" s="89" t="s">
        <v>525</v>
      </c>
      <c r="E1655" s="89"/>
      <c r="F1655" s="89"/>
      <c r="G1655" s="89"/>
      <c r="H1655" s="89"/>
      <c r="I1655" s="89"/>
      <c r="J1655" s="212"/>
      <c r="K1655" s="212"/>
      <c r="L1655" s="212"/>
      <c r="M1655" s="212"/>
      <c r="N1655" s="212">
        <f t="shared" si="43"/>
        <v>0</v>
      </c>
    </row>
    <row r="1656" spans="1:14" s="407" customFormat="1" ht="12.75" x14ac:dyDescent="0.2">
      <c r="A1656" s="152"/>
      <c r="B1656" s="73"/>
      <c r="C1656" s="51" t="s">
        <v>138</v>
      </c>
      <c r="D1656" s="89" t="s">
        <v>525</v>
      </c>
      <c r="E1656" s="89"/>
      <c r="F1656" s="89"/>
      <c r="G1656" s="89"/>
      <c r="H1656" s="89"/>
      <c r="I1656" s="89"/>
      <c r="J1656" s="212"/>
      <c r="K1656" s="212"/>
      <c r="L1656" s="212"/>
      <c r="M1656" s="212"/>
      <c r="N1656" s="212">
        <f t="shared" si="43"/>
        <v>0</v>
      </c>
    </row>
    <row r="1657" spans="1:14" s="407" customFormat="1" ht="12.75" x14ac:dyDescent="0.2">
      <c r="A1657" s="152"/>
      <c r="B1657" s="73"/>
      <c r="C1657" s="51" t="s">
        <v>106</v>
      </c>
      <c r="D1657" s="89" t="s">
        <v>525</v>
      </c>
      <c r="E1657" s="89"/>
      <c r="F1657" s="89"/>
      <c r="G1657" s="89"/>
      <c r="H1657" s="89"/>
      <c r="I1657" s="89"/>
      <c r="J1657" s="212"/>
      <c r="K1657" s="212"/>
      <c r="L1657" s="212"/>
      <c r="M1657" s="212"/>
      <c r="N1657" s="212">
        <f t="shared" si="43"/>
        <v>0</v>
      </c>
    </row>
    <row r="1658" spans="1:14" s="407" customFormat="1" ht="12.75" x14ac:dyDescent="0.2">
      <c r="A1658" s="152"/>
      <c r="B1658" s="73"/>
      <c r="C1658" s="51" t="s">
        <v>1024</v>
      </c>
      <c r="D1658" s="89" t="s">
        <v>525</v>
      </c>
      <c r="E1658" s="89"/>
      <c r="F1658" s="89"/>
      <c r="G1658" s="89"/>
      <c r="H1658" s="89"/>
      <c r="I1658" s="89"/>
      <c r="J1658" s="212"/>
      <c r="K1658" s="212"/>
      <c r="L1658" s="212"/>
      <c r="M1658" s="212"/>
      <c r="N1658" s="212">
        <f t="shared" si="43"/>
        <v>0</v>
      </c>
    </row>
    <row r="1659" spans="1:14" s="407" customFormat="1" ht="12.75" x14ac:dyDescent="0.2">
      <c r="A1659" s="152"/>
      <c r="B1659" s="73"/>
      <c r="C1659" s="51" t="s">
        <v>1025</v>
      </c>
      <c r="D1659" s="89" t="s">
        <v>525</v>
      </c>
      <c r="E1659" s="89"/>
      <c r="F1659" s="89"/>
      <c r="G1659" s="89"/>
      <c r="H1659" s="89"/>
      <c r="I1659" s="89"/>
      <c r="J1659" s="212"/>
      <c r="K1659" s="212"/>
      <c r="L1659" s="212"/>
      <c r="M1659" s="212"/>
      <c r="N1659" s="212">
        <f t="shared" si="43"/>
        <v>0</v>
      </c>
    </row>
    <row r="1660" spans="1:14" s="407" customFormat="1" ht="12.75" x14ac:dyDescent="0.2">
      <c r="A1660" s="152"/>
      <c r="B1660" s="73"/>
      <c r="C1660" s="51" t="s">
        <v>960</v>
      </c>
      <c r="D1660" s="89" t="s">
        <v>525</v>
      </c>
      <c r="E1660" s="89"/>
      <c r="F1660" s="89"/>
      <c r="G1660" s="89"/>
      <c r="H1660" s="89"/>
      <c r="I1660" s="89"/>
      <c r="J1660" s="212"/>
      <c r="K1660" s="212"/>
      <c r="L1660" s="212"/>
      <c r="M1660" s="212"/>
      <c r="N1660" s="212">
        <f t="shared" si="43"/>
        <v>0</v>
      </c>
    </row>
    <row r="1661" spans="1:14" s="407" customFormat="1" ht="12.75" x14ac:dyDescent="0.2">
      <c r="A1661" s="152"/>
      <c r="B1661" s="73"/>
      <c r="C1661" s="51" t="s">
        <v>961</v>
      </c>
      <c r="D1661" s="89" t="s">
        <v>525</v>
      </c>
      <c r="E1661" s="89"/>
      <c r="F1661" s="89"/>
      <c r="G1661" s="89"/>
      <c r="H1661" s="89"/>
      <c r="I1661" s="89"/>
      <c r="J1661" s="212"/>
      <c r="K1661" s="212"/>
      <c r="L1661" s="212"/>
      <c r="M1661" s="212"/>
      <c r="N1661" s="212">
        <f t="shared" si="43"/>
        <v>0</v>
      </c>
    </row>
    <row r="1662" spans="1:14" s="407" customFormat="1" ht="12.75" x14ac:dyDescent="0.2">
      <c r="A1662" s="152"/>
      <c r="B1662" s="73"/>
      <c r="C1662" s="51" t="s">
        <v>948</v>
      </c>
      <c r="D1662" s="89" t="s">
        <v>525</v>
      </c>
      <c r="E1662" s="89"/>
      <c r="F1662" s="89"/>
      <c r="G1662" s="89"/>
      <c r="H1662" s="89"/>
      <c r="I1662" s="89"/>
      <c r="J1662" s="212"/>
      <c r="K1662" s="212"/>
      <c r="L1662" s="212"/>
      <c r="M1662" s="212"/>
      <c r="N1662" s="212">
        <f t="shared" si="43"/>
        <v>0</v>
      </c>
    </row>
    <row r="1663" spans="1:14" s="407" customFormat="1" ht="12.75" x14ac:dyDescent="0.2">
      <c r="A1663" s="152"/>
      <c r="B1663" s="73"/>
      <c r="C1663" s="51" t="s">
        <v>949</v>
      </c>
      <c r="D1663" s="89" t="s">
        <v>525</v>
      </c>
      <c r="E1663" s="89"/>
      <c r="F1663" s="89"/>
      <c r="G1663" s="89"/>
      <c r="H1663" s="89"/>
      <c r="I1663" s="89"/>
      <c r="J1663" s="212"/>
      <c r="K1663" s="212"/>
      <c r="L1663" s="212"/>
      <c r="M1663" s="212"/>
      <c r="N1663" s="212">
        <f t="shared" si="43"/>
        <v>0</v>
      </c>
    </row>
    <row r="1664" spans="1:14" s="407" customFormat="1" ht="12.75" x14ac:dyDescent="0.2">
      <c r="A1664" s="152"/>
      <c r="B1664" s="73"/>
      <c r="C1664" s="51" t="s">
        <v>132</v>
      </c>
      <c r="D1664" s="89" t="s">
        <v>525</v>
      </c>
      <c r="E1664" s="89"/>
      <c r="F1664" s="89"/>
      <c r="G1664" s="89"/>
      <c r="H1664" s="89"/>
      <c r="I1664" s="89"/>
      <c r="J1664" s="212"/>
      <c r="K1664" s="212"/>
      <c r="L1664" s="212"/>
      <c r="M1664" s="212"/>
      <c r="N1664" s="212">
        <f t="shared" si="43"/>
        <v>0</v>
      </c>
    </row>
    <row r="1665" spans="1:14" s="407" customFormat="1" ht="12.75" x14ac:dyDescent="0.2">
      <c r="A1665" s="152"/>
      <c r="B1665" s="73"/>
      <c r="C1665" s="51" t="s">
        <v>121</v>
      </c>
      <c r="D1665" s="89" t="s">
        <v>525</v>
      </c>
      <c r="E1665" s="89"/>
      <c r="F1665" s="89"/>
      <c r="G1665" s="89"/>
      <c r="H1665" s="89"/>
      <c r="I1665" s="89"/>
      <c r="J1665" s="212"/>
      <c r="K1665" s="212"/>
      <c r="L1665" s="212"/>
      <c r="M1665" s="212"/>
      <c r="N1665" s="212">
        <f t="shared" si="43"/>
        <v>0</v>
      </c>
    </row>
    <row r="1666" spans="1:14" s="407" customFormat="1" ht="12.75" x14ac:dyDescent="0.2">
      <c r="A1666" s="152"/>
      <c r="B1666" s="73"/>
      <c r="C1666" s="51" t="s">
        <v>131</v>
      </c>
      <c r="D1666" s="89" t="s">
        <v>525</v>
      </c>
      <c r="E1666" s="89"/>
      <c r="F1666" s="89"/>
      <c r="G1666" s="89"/>
      <c r="H1666" s="89"/>
      <c r="I1666" s="89"/>
      <c r="J1666" s="212"/>
      <c r="K1666" s="212"/>
      <c r="L1666" s="212"/>
      <c r="M1666" s="212"/>
      <c r="N1666" s="212">
        <f t="shared" si="43"/>
        <v>0</v>
      </c>
    </row>
    <row r="1667" spans="1:14" s="407" customFormat="1" ht="12.75" x14ac:dyDescent="0.2">
      <c r="A1667" s="152"/>
      <c r="B1667" s="73"/>
      <c r="C1667" s="51" t="s">
        <v>967</v>
      </c>
      <c r="D1667" s="89" t="s">
        <v>525</v>
      </c>
      <c r="E1667" s="89"/>
      <c r="F1667" s="89"/>
      <c r="G1667" s="89"/>
      <c r="H1667" s="89"/>
      <c r="I1667" s="89"/>
      <c r="J1667" s="212"/>
      <c r="K1667" s="212"/>
      <c r="L1667" s="212"/>
      <c r="M1667" s="212"/>
      <c r="N1667" s="212">
        <f t="shared" si="43"/>
        <v>0</v>
      </c>
    </row>
    <row r="1668" spans="1:14" s="407" customFormat="1" ht="12.75" x14ac:dyDescent="0.2">
      <c r="A1668" s="152"/>
      <c r="B1668" s="73"/>
      <c r="C1668" s="51" t="s">
        <v>118</v>
      </c>
      <c r="D1668" s="89" t="s">
        <v>525</v>
      </c>
      <c r="E1668" s="89"/>
      <c r="F1668" s="89"/>
      <c r="G1668" s="89"/>
      <c r="H1668" s="89"/>
      <c r="I1668" s="89"/>
      <c r="J1668" s="212"/>
      <c r="K1668" s="212"/>
      <c r="L1668" s="212"/>
      <c r="M1668" s="212"/>
      <c r="N1668" s="212">
        <f t="shared" si="43"/>
        <v>0</v>
      </c>
    </row>
    <row r="1669" spans="1:14" s="407" customFormat="1" ht="12.75" x14ac:dyDescent="0.2">
      <c r="A1669" s="152"/>
      <c r="B1669" s="73"/>
      <c r="C1669" s="51" t="s">
        <v>971</v>
      </c>
      <c r="D1669" s="89" t="s">
        <v>525</v>
      </c>
      <c r="E1669" s="89"/>
      <c r="F1669" s="89"/>
      <c r="G1669" s="89"/>
      <c r="H1669" s="89"/>
      <c r="I1669" s="89"/>
      <c r="J1669" s="212"/>
      <c r="K1669" s="212"/>
      <c r="L1669" s="212"/>
      <c r="M1669" s="212"/>
      <c r="N1669" s="212">
        <f t="shared" si="43"/>
        <v>0</v>
      </c>
    </row>
    <row r="1670" spans="1:14" s="407" customFormat="1" ht="12.75" x14ac:dyDescent="0.2">
      <c r="A1670" s="152"/>
      <c r="B1670" s="73"/>
      <c r="C1670" s="51" t="s">
        <v>957</v>
      </c>
      <c r="D1670" s="89" t="s">
        <v>525</v>
      </c>
      <c r="E1670" s="89"/>
      <c r="F1670" s="89"/>
      <c r="G1670" s="89"/>
      <c r="H1670" s="89"/>
      <c r="I1670" s="89"/>
      <c r="J1670" s="212"/>
      <c r="K1670" s="212"/>
      <c r="L1670" s="212"/>
      <c r="M1670" s="212"/>
      <c r="N1670" s="212">
        <f t="shared" si="43"/>
        <v>0</v>
      </c>
    </row>
    <row r="1671" spans="1:14" s="407" customFormat="1" ht="12.75" x14ac:dyDescent="0.2">
      <c r="A1671" s="152"/>
      <c r="B1671" s="73"/>
      <c r="C1671" s="51" t="s">
        <v>97</v>
      </c>
      <c r="D1671" s="89" t="s">
        <v>525</v>
      </c>
      <c r="E1671" s="89"/>
      <c r="F1671" s="89"/>
      <c r="G1671" s="89"/>
      <c r="H1671" s="89"/>
      <c r="I1671" s="89"/>
      <c r="J1671" s="212"/>
      <c r="K1671" s="212"/>
      <c r="L1671" s="212"/>
      <c r="M1671" s="212"/>
      <c r="N1671" s="212">
        <f t="shared" si="43"/>
        <v>0</v>
      </c>
    </row>
    <row r="1672" spans="1:14" s="407" customFormat="1" ht="12.75" x14ac:dyDescent="0.2">
      <c r="A1672" s="152"/>
      <c r="B1672" s="73"/>
      <c r="C1672" s="51" t="s">
        <v>49</v>
      </c>
      <c r="D1672" s="89" t="s">
        <v>525</v>
      </c>
      <c r="E1672" s="89"/>
      <c r="F1672" s="89"/>
      <c r="G1672" s="89"/>
      <c r="H1672" s="89"/>
      <c r="I1672" s="89"/>
      <c r="J1672" s="212"/>
      <c r="K1672" s="212"/>
      <c r="L1672" s="212"/>
      <c r="M1672" s="212"/>
      <c r="N1672" s="212">
        <f t="shared" si="43"/>
        <v>0</v>
      </c>
    </row>
    <row r="1673" spans="1:14" s="407" customFormat="1" ht="12.75" x14ac:dyDescent="0.2">
      <c r="A1673" s="152"/>
      <c r="B1673" s="73"/>
      <c r="C1673" s="51" t="s">
        <v>1017</v>
      </c>
      <c r="D1673" s="89" t="s">
        <v>525</v>
      </c>
      <c r="E1673" s="89"/>
      <c r="F1673" s="89"/>
      <c r="G1673" s="89"/>
      <c r="H1673" s="89"/>
      <c r="I1673" s="89"/>
      <c r="J1673" s="212"/>
      <c r="K1673" s="212"/>
      <c r="L1673" s="212"/>
      <c r="M1673" s="212"/>
      <c r="N1673" s="212">
        <f t="shared" si="43"/>
        <v>0</v>
      </c>
    </row>
    <row r="1674" spans="1:14" s="407" customFormat="1" ht="12.75" x14ac:dyDescent="0.2">
      <c r="A1674" s="152"/>
      <c r="B1674" s="73"/>
      <c r="C1674" s="51" t="s">
        <v>1018</v>
      </c>
      <c r="D1674" s="89" t="s">
        <v>525</v>
      </c>
      <c r="E1674" s="89"/>
      <c r="F1674" s="89"/>
      <c r="G1674" s="89"/>
      <c r="H1674" s="89"/>
      <c r="I1674" s="89"/>
      <c r="J1674" s="212"/>
      <c r="K1674" s="212"/>
      <c r="L1674" s="212"/>
      <c r="M1674" s="212"/>
      <c r="N1674" s="212">
        <f t="shared" si="43"/>
        <v>0</v>
      </c>
    </row>
    <row r="1675" spans="1:14" s="407" customFormat="1" ht="12.75" x14ac:dyDescent="0.2">
      <c r="A1675" s="152"/>
      <c r="B1675" s="73"/>
      <c r="C1675" s="51" t="s">
        <v>928</v>
      </c>
      <c r="D1675" s="89" t="s">
        <v>525</v>
      </c>
      <c r="E1675" s="89"/>
      <c r="F1675" s="89"/>
      <c r="G1675" s="89"/>
      <c r="H1675" s="89"/>
      <c r="I1675" s="89"/>
      <c r="J1675" s="212"/>
      <c r="K1675" s="212"/>
      <c r="L1675" s="212"/>
      <c r="M1675" s="212"/>
      <c r="N1675" s="212">
        <f t="shared" si="43"/>
        <v>0</v>
      </c>
    </row>
    <row r="1676" spans="1:14" s="407" customFormat="1" ht="12.75" x14ac:dyDescent="0.2">
      <c r="A1676" s="152"/>
      <c r="B1676" s="73"/>
      <c r="C1676" s="51" t="s">
        <v>946</v>
      </c>
      <c r="D1676" s="89" t="s">
        <v>525</v>
      </c>
      <c r="E1676" s="89"/>
      <c r="F1676" s="89"/>
      <c r="G1676" s="89"/>
      <c r="H1676" s="89"/>
      <c r="I1676" s="89"/>
      <c r="J1676" s="212"/>
      <c r="K1676" s="212"/>
      <c r="L1676" s="212"/>
      <c r="M1676" s="212"/>
      <c r="N1676" s="212">
        <f t="shared" si="43"/>
        <v>0</v>
      </c>
    </row>
    <row r="1677" spans="1:14" s="407" customFormat="1" ht="12.75" x14ac:dyDescent="0.2">
      <c r="A1677" s="152"/>
      <c r="B1677" s="73"/>
      <c r="C1677" s="51" t="s">
        <v>947</v>
      </c>
      <c r="D1677" s="89" t="s">
        <v>525</v>
      </c>
      <c r="E1677" s="89"/>
      <c r="F1677" s="89"/>
      <c r="G1677" s="89"/>
      <c r="H1677" s="89"/>
      <c r="I1677" s="89"/>
      <c r="J1677" s="212"/>
      <c r="K1677" s="212"/>
      <c r="L1677" s="212"/>
      <c r="M1677" s="212"/>
      <c r="N1677" s="212">
        <f t="shared" ref="N1677:N1740" si="44">SUMIFS(N$26:N$154,$C$26:$C$154,$C1677,$D$26:$D$154,$D1677)</f>
        <v>0</v>
      </c>
    </row>
    <row r="1678" spans="1:14" s="407" customFormat="1" ht="12.75" x14ac:dyDescent="0.2">
      <c r="A1678" s="152"/>
      <c r="B1678" s="73"/>
      <c r="C1678" s="51" t="s">
        <v>1020</v>
      </c>
      <c r="D1678" s="89" t="s">
        <v>525</v>
      </c>
      <c r="E1678" s="89"/>
      <c r="F1678" s="89"/>
      <c r="G1678" s="89"/>
      <c r="H1678" s="89"/>
      <c r="I1678" s="89"/>
      <c r="J1678" s="212"/>
      <c r="K1678" s="212"/>
      <c r="L1678" s="212"/>
      <c r="M1678" s="212"/>
      <c r="N1678" s="212">
        <f t="shared" si="44"/>
        <v>0</v>
      </c>
    </row>
    <row r="1679" spans="1:14" s="407" customFormat="1" ht="12.75" x14ac:dyDescent="0.2">
      <c r="A1679" s="152"/>
      <c r="B1679" s="73"/>
      <c r="C1679" s="51" t="s">
        <v>1021</v>
      </c>
      <c r="D1679" s="89" t="s">
        <v>525</v>
      </c>
      <c r="E1679" s="89"/>
      <c r="F1679" s="89"/>
      <c r="G1679" s="89"/>
      <c r="H1679" s="89"/>
      <c r="I1679" s="89"/>
      <c r="J1679" s="212"/>
      <c r="K1679" s="212"/>
      <c r="L1679" s="212"/>
      <c r="M1679" s="212"/>
      <c r="N1679" s="212">
        <f t="shared" si="44"/>
        <v>0</v>
      </c>
    </row>
    <row r="1680" spans="1:14" s="407" customFormat="1" ht="12.75" x14ac:dyDescent="0.2">
      <c r="A1680" s="152"/>
      <c r="B1680" s="73"/>
      <c r="C1680" s="51" t="s">
        <v>489</v>
      </c>
      <c r="D1680" s="89" t="s">
        <v>525</v>
      </c>
      <c r="E1680" s="89"/>
      <c r="F1680" s="89"/>
      <c r="G1680" s="89"/>
      <c r="H1680" s="89"/>
      <c r="I1680" s="89"/>
      <c r="J1680" s="212"/>
      <c r="K1680" s="212"/>
      <c r="L1680" s="212"/>
      <c r="M1680" s="212"/>
      <c r="N1680" s="212">
        <f t="shared" si="44"/>
        <v>0</v>
      </c>
    </row>
    <row r="1681" spans="1:14" s="407" customFormat="1" ht="12.75" x14ac:dyDescent="0.2">
      <c r="A1681" s="152"/>
      <c r="B1681" s="73"/>
      <c r="C1681" s="51" t="s">
        <v>968</v>
      </c>
      <c r="D1681" s="89" t="s">
        <v>525</v>
      </c>
      <c r="E1681" s="89"/>
      <c r="F1681" s="89"/>
      <c r="G1681" s="89"/>
      <c r="H1681" s="89"/>
      <c r="I1681" s="89"/>
      <c r="J1681" s="212"/>
      <c r="K1681" s="212"/>
      <c r="L1681" s="212"/>
      <c r="M1681" s="212"/>
      <c r="N1681" s="212">
        <f t="shared" si="44"/>
        <v>0</v>
      </c>
    </row>
    <row r="1682" spans="1:14" s="407" customFormat="1" ht="12.75" x14ac:dyDescent="0.2">
      <c r="A1682" s="152"/>
      <c r="B1682" s="73"/>
      <c r="C1682" s="51" t="s">
        <v>98</v>
      </c>
      <c r="D1682" s="89" t="s">
        <v>525</v>
      </c>
      <c r="E1682" s="89"/>
      <c r="F1682" s="89"/>
      <c r="G1682" s="89"/>
      <c r="H1682" s="89"/>
      <c r="I1682" s="89"/>
      <c r="J1682" s="212"/>
      <c r="K1682" s="212"/>
      <c r="L1682" s="212"/>
      <c r="M1682" s="212"/>
      <c r="N1682" s="212">
        <f t="shared" si="44"/>
        <v>0</v>
      </c>
    </row>
    <row r="1683" spans="1:14" s="407" customFormat="1" ht="12.75" x14ac:dyDescent="0.2">
      <c r="A1683" s="152"/>
      <c r="B1683" s="73"/>
      <c r="C1683" s="51" t="s">
        <v>1048</v>
      </c>
      <c r="D1683" s="89" t="s">
        <v>525</v>
      </c>
      <c r="E1683" s="89"/>
      <c r="F1683" s="89"/>
      <c r="G1683" s="89"/>
      <c r="H1683" s="89"/>
      <c r="I1683" s="89"/>
      <c r="J1683" s="212"/>
      <c r="K1683" s="212"/>
      <c r="L1683" s="212"/>
      <c r="M1683" s="212"/>
      <c r="N1683" s="212">
        <f t="shared" si="44"/>
        <v>0</v>
      </c>
    </row>
    <row r="1684" spans="1:14" s="407" customFormat="1" ht="12.75" x14ac:dyDescent="0.2">
      <c r="A1684" s="152"/>
      <c r="B1684" s="73"/>
      <c r="C1684" s="51" t="s">
        <v>1030</v>
      </c>
      <c r="D1684" s="89" t="s">
        <v>525</v>
      </c>
      <c r="E1684" s="89"/>
      <c r="F1684" s="89"/>
      <c r="G1684" s="89"/>
      <c r="H1684" s="89"/>
      <c r="I1684" s="89"/>
      <c r="J1684" s="212"/>
      <c r="K1684" s="212"/>
      <c r="L1684" s="212"/>
      <c r="M1684" s="212"/>
      <c r="N1684" s="212">
        <f t="shared" si="44"/>
        <v>0</v>
      </c>
    </row>
    <row r="1685" spans="1:14" s="407" customFormat="1" ht="12.75" x14ac:dyDescent="0.2">
      <c r="A1685" s="152"/>
      <c r="B1685" s="73"/>
      <c r="C1685" s="51" t="s">
        <v>977</v>
      </c>
      <c r="D1685" s="89" t="s">
        <v>525</v>
      </c>
      <c r="E1685" s="89"/>
      <c r="F1685" s="89"/>
      <c r="G1685" s="89"/>
      <c r="H1685" s="89"/>
      <c r="I1685" s="89"/>
      <c r="J1685" s="212"/>
      <c r="K1685" s="212"/>
      <c r="L1685" s="212"/>
      <c r="M1685" s="212"/>
      <c r="N1685" s="212">
        <f t="shared" si="44"/>
        <v>0</v>
      </c>
    </row>
    <row r="1686" spans="1:14" s="407" customFormat="1" ht="12.75" x14ac:dyDescent="0.2">
      <c r="A1686" s="152"/>
      <c r="B1686" s="73"/>
      <c r="C1686" s="51" t="s">
        <v>99</v>
      </c>
      <c r="D1686" s="89" t="s">
        <v>525</v>
      </c>
      <c r="E1686" s="89"/>
      <c r="F1686" s="89"/>
      <c r="G1686" s="89"/>
      <c r="H1686" s="89"/>
      <c r="I1686" s="89"/>
      <c r="J1686" s="212"/>
      <c r="K1686" s="212"/>
      <c r="L1686" s="212"/>
      <c r="M1686" s="212"/>
      <c r="N1686" s="212">
        <f t="shared" si="44"/>
        <v>0</v>
      </c>
    </row>
    <row r="1687" spans="1:14" s="407" customFormat="1" ht="12.75" x14ac:dyDescent="0.2">
      <c r="A1687" s="152"/>
      <c r="B1687" s="73"/>
      <c r="C1687" s="51" t="s">
        <v>1047</v>
      </c>
      <c r="D1687" s="89" t="s">
        <v>525</v>
      </c>
      <c r="E1687" s="89"/>
      <c r="F1687" s="89"/>
      <c r="G1687" s="89"/>
      <c r="H1687" s="89"/>
      <c r="I1687" s="89"/>
      <c r="J1687" s="212"/>
      <c r="K1687" s="212"/>
      <c r="L1687" s="212"/>
      <c r="M1687" s="212"/>
      <c r="N1687" s="212">
        <f t="shared" si="44"/>
        <v>0</v>
      </c>
    </row>
    <row r="1688" spans="1:14" s="407" customFormat="1" ht="12.75" x14ac:dyDescent="0.2">
      <c r="A1688" s="152"/>
      <c r="B1688" s="73"/>
      <c r="C1688" s="51" t="s">
        <v>1041</v>
      </c>
      <c r="D1688" s="89" t="s">
        <v>525</v>
      </c>
      <c r="E1688" s="89"/>
      <c r="F1688" s="89"/>
      <c r="G1688" s="89"/>
      <c r="H1688" s="89"/>
      <c r="I1688" s="89"/>
      <c r="J1688" s="212"/>
      <c r="K1688" s="212"/>
      <c r="L1688" s="212"/>
      <c r="M1688" s="212"/>
      <c r="N1688" s="212">
        <f t="shared" si="44"/>
        <v>0</v>
      </c>
    </row>
    <row r="1689" spans="1:14" s="407" customFormat="1" ht="12.75" x14ac:dyDescent="0.2">
      <c r="A1689" s="152"/>
      <c r="B1689" s="73"/>
      <c r="C1689" s="51" t="s">
        <v>102</v>
      </c>
      <c r="D1689" s="89" t="s">
        <v>525</v>
      </c>
      <c r="E1689" s="89"/>
      <c r="F1689" s="89"/>
      <c r="G1689" s="89"/>
      <c r="H1689" s="89"/>
      <c r="I1689" s="89"/>
      <c r="J1689" s="212"/>
      <c r="K1689" s="212"/>
      <c r="L1689" s="212"/>
      <c r="M1689" s="212"/>
      <c r="N1689" s="212">
        <f t="shared" si="44"/>
        <v>0</v>
      </c>
    </row>
    <row r="1690" spans="1:14" s="407" customFormat="1" ht="12.75" x14ac:dyDescent="0.2">
      <c r="A1690" s="152"/>
      <c r="B1690" s="73"/>
      <c r="C1690" s="51" t="s">
        <v>124</v>
      </c>
      <c r="D1690" s="89" t="s">
        <v>525</v>
      </c>
      <c r="E1690" s="89"/>
      <c r="F1690" s="89"/>
      <c r="G1690" s="89"/>
      <c r="H1690" s="89"/>
      <c r="I1690" s="89"/>
      <c r="J1690" s="212"/>
      <c r="K1690" s="212"/>
      <c r="L1690" s="212"/>
      <c r="M1690" s="212"/>
      <c r="N1690" s="212">
        <f t="shared" si="44"/>
        <v>0</v>
      </c>
    </row>
    <row r="1691" spans="1:14" s="407" customFormat="1" ht="12.75" x14ac:dyDescent="0.2">
      <c r="A1691" s="152"/>
      <c r="B1691" s="73"/>
      <c r="C1691" s="51" t="s">
        <v>103</v>
      </c>
      <c r="D1691" s="89" t="s">
        <v>525</v>
      </c>
      <c r="E1691" s="89"/>
      <c r="F1691" s="89"/>
      <c r="G1691" s="89"/>
      <c r="H1691" s="89"/>
      <c r="I1691" s="89"/>
      <c r="J1691" s="212"/>
      <c r="K1691" s="212"/>
      <c r="L1691" s="212"/>
      <c r="M1691" s="212"/>
      <c r="N1691" s="212">
        <f t="shared" si="44"/>
        <v>0</v>
      </c>
    </row>
    <row r="1692" spans="1:14" s="407" customFormat="1" ht="12.75" x14ac:dyDescent="0.2">
      <c r="A1692" s="152"/>
      <c r="B1692" s="73"/>
      <c r="C1692" s="51" t="s">
        <v>104</v>
      </c>
      <c r="D1692" s="89" t="s">
        <v>525</v>
      </c>
      <c r="E1692" s="89"/>
      <c r="F1692" s="89"/>
      <c r="G1692" s="89"/>
      <c r="H1692" s="89"/>
      <c r="I1692" s="89"/>
      <c r="J1692" s="212"/>
      <c r="K1692" s="212"/>
      <c r="L1692" s="212"/>
      <c r="M1692" s="212"/>
      <c r="N1692" s="212">
        <f t="shared" si="44"/>
        <v>0</v>
      </c>
    </row>
    <row r="1693" spans="1:14" s="407" customFormat="1" ht="12.75" x14ac:dyDescent="0.2">
      <c r="A1693" s="152"/>
      <c r="B1693" s="73"/>
      <c r="C1693" s="51" t="s">
        <v>491</v>
      </c>
      <c r="D1693" s="89" t="s">
        <v>525</v>
      </c>
      <c r="E1693" s="89"/>
      <c r="F1693" s="89"/>
      <c r="G1693" s="89"/>
      <c r="H1693" s="89"/>
      <c r="I1693" s="89"/>
      <c r="J1693" s="212"/>
      <c r="K1693" s="212"/>
      <c r="L1693" s="212"/>
      <c r="M1693" s="212"/>
      <c r="N1693" s="212">
        <f t="shared" si="44"/>
        <v>0</v>
      </c>
    </row>
    <row r="1694" spans="1:14" s="407" customFormat="1" ht="12.75" x14ac:dyDescent="0.2">
      <c r="A1694" s="152"/>
      <c r="B1694" s="73"/>
      <c r="C1694" s="51" t="s">
        <v>105</v>
      </c>
      <c r="D1694" s="89" t="s">
        <v>525</v>
      </c>
      <c r="E1694" s="89"/>
      <c r="F1694" s="89"/>
      <c r="G1694" s="89"/>
      <c r="H1694" s="89"/>
      <c r="I1694" s="89"/>
      <c r="J1694" s="212"/>
      <c r="K1694" s="212"/>
      <c r="L1694" s="212"/>
      <c r="M1694" s="212"/>
      <c r="N1694" s="212">
        <f t="shared" si="44"/>
        <v>0</v>
      </c>
    </row>
    <row r="1695" spans="1:14" s="407" customFormat="1" ht="12.75" x14ac:dyDescent="0.2">
      <c r="A1695" s="152"/>
      <c r="B1695" s="73"/>
      <c r="C1695" s="51" t="s">
        <v>129</v>
      </c>
      <c r="D1695" s="89" t="s">
        <v>525</v>
      </c>
      <c r="E1695" s="89"/>
      <c r="F1695" s="89"/>
      <c r="G1695" s="89"/>
      <c r="H1695" s="89"/>
      <c r="I1695" s="89"/>
      <c r="J1695" s="212"/>
      <c r="K1695" s="212"/>
      <c r="L1695" s="212"/>
      <c r="M1695" s="212"/>
      <c r="N1695" s="212">
        <f t="shared" si="44"/>
        <v>0</v>
      </c>
    </row>
    <row r="1696" spans="1:14" s="407" customFormat="1" ht="12.75" x14ac:dyDescent="0.2">
      <c r="A1696" s="152"/>
      <c r="B1696" s="73"/>
      <c r="C1696" s="73" t="s">
        <v>108</v>
      </c>
      <c r="D1696" s="89" t="s">
        <v>525</v>
      </c>
      <c r="E1696" s="89"/>
      <c r="F1696" s="89"/>
      <c r="G1696" s="89"/>
      <c r="H1696" s="89"/>
      <c r="I1696" s="89"/>
      <c r="J1696" s="212"/>
      <c r="K1696" s="212"/>
      <c r="L1696" s="212"/>
      <c r="M1696" s="212"/>
      <c r="N1696" s="212">
        <f t="shared" si="44"/>
        <v>0</v>
      </c>
    </row>
    <row r="1697" spans="1:14" s="407" customFormat="1" ht="12.75" x14ac:dyDescent="0.2">
      <c r="A1697" s="152"/>
      <c r="B1697" s="73"/>
      <c r="C1697" s="51" t="s">
        <v>119</v>
      </c>
      <c r="D1697" s="89" t="s">
        <v>525</v>
      </c>
      <c r="E1697" s="89"/>
      <c r="F1697" s="89"/>
      <c r="G1697" s="89"/>
      <c r="H1697" s="89"/>
      <c r="I1697" s="89"/>
      <c r="J1697" s="212"/>
      <c r="K1697" s="212"/>
      <c r="L1697" s="212"/>
      <c r="M1697" s="212"/>
      <c r="N1697" s="212">
        <f t="shared" si="44"/>
        <v>0</v>
      </c>
    </row>
    <row r="1698" spans="1:14" s="407" customFormat="1" ht="12.75" x14ac:dyDescent="0.2">
      <c r="A1698" s="152"/>
      <c r="B1698" s="73"/>
      <c r="C1698" s="51" t="s">
        <v>954</v>
      </c>
      <c r="D1698" s="89" t="s">
        <v>525</v>
      </c>
      <c r="E1698" s="89"/>
      <c r="F1698" s="89"/>
      <c r="G1698" s="89"/>
      <c r="H1698" s="89"/>
      <c r="I1698" s="89"/>
      <c r="J1698" s="212"/>
      <c r="K1698" s="212"/>
      <c r="L1698" s="212"/>
      <c r="M1698" s="212"/>
      <c r="N1698" s="212">
        <f t="shared" si="44"/>
        <v>0</v>
      </c>
    </row>
    <row r="1699" spans="1:14" s="407" customFormat="1" ht="12.75" x14ac:dyDescent="0.2">
      <c r="A1699" s="152"/>
      <c r="B1699" s="73"/>
      <c r="C1699" s="51" t="s">
        <v>1031</v>
      </c>
      <c r="D1699" s="89" t="s">
        <v>525</v>
      </c>
      <c r="E1699" s="89"/>
      <c r="F1699" s="89"/>
      <c r="G1699" s="89"/>
      <c r="H1699" s="89"/>
      <c r="I1699" s="89"/>
      <c r="J1699" s="212"/>
      <c r="K1699" s="212"/>
      <c r="L1699" s="212"/>
      <c r="M1699" s="212"/>
      <c r="N1699" s="212">
        <f t="shared" si="44"/>
        <v>0</v>
      </c>
    </row>
    <row r="1700" spans="1:14" s="407" customFormat="1" ht="12.75" x14ac:dyDescent="0.2">
      <c r="A1700" s="152"/>
      <c r="B1700" s="73"/>
      <c r="C1700" s="51" t="s">
        <v>1009</v>
      </c>
      <c r="D1700" s="89" t="s">
        <v>525</v>
      </c>
      <c r="E1700" s="89"/>
      <c r="F1700" s="89"/>
      <c r="G1700" s="89"/>
      <c r="H1700" s="89"/>
      <c r="I1700" s="89"/>
      <c r="J1700" s="212"/>
      <c r="K1700" s="212"/>
      <c r="L1700" s="212"/>
      <c r="M1700" s="212"/>
      <c r="N1700" s="212">
        <f t="shared" si="44"/>
        <v>0</v>
      </c>
    </row>
    <row r="1701" spans="1:14" s="407" customFormat="1" ht="12.75" x14ac:dyDescent="0.2">
      <c r="A1701" s="152"/>
      <c r="B1701" s="73"/>
      <c r="C1701" s="51" t="s">
        <v>107</v>
      </c>
      <c r="D1701" s="89" t="s">
        <v>525</v>
      </c>
      <c r="E1701" s="89"/>
      <c r="F1701" s="89"/>
      <c r="G1701" s="89"/>
      <c r="H1701" s="89"/>
      <c r="I1701" s="89"/>
      <c r="J1701" s="212"/>
      <c r="K1701" s="212"/>
      <c r="L1701" s="212"/>
      <c r="M1701" s="212"/>
      <c r="N1701" s="212">
        <f t="shared" si="44"/>
        <v>0</v>
      </c>
    </row>
    <row r="1702" spans="1:14" s="407" customFormat="1" ht="12.75" x14ac:dyDescent="0.2">
      <c r="A1702" s="152"/>
      <c r="B1702" s="73"/>
      <c r="C1702" s="51" t="s">
        <v>1026</v>
      </c>
      <c r="D1702" s="89" t="s">
        <v>525</v>
      </c>
      <c r="E1702" s="89"/>
      <c r="F1702" s="89"/>
      <c r="G1702" s="89"/>
      <c r="H1702" s="89"/>
      <c r="I1702" s="89"/>
      <c r="J1702" s="212"/>
      <c r="K1702" s="212"/>
      <c r="L1702" s="212"/>
      <c r="M1702" s="212"/>
      <c r="N1702" s="212">
        <f t="shared" si="44"/>
        <v>0</v>
      </c>
    </row>
    <row r="1703" spans="1:14" s="407" customFormat="1" ht="12.75" x14ac:dyDescent="0.2">
      <c r="A1703" s="152"/>
      <c r="B1703" s="73"/>
      <c r="C1703" s="51" t="s">
        <v>1027</v>
      </c>
      <c r="D1703" s="89" t="s">
        <v>525</v>
      </c>
      <c r="E1703" s="89"/>
      <c r="F1703" s="89"/>
      <c r="G1703" s="89"/>
      <c r="H1703" s="89"/>
      <c r="I1703" s="89"/>
      <c r="J1703" s="212"/>
      <c r="K1703" s="212"/>
      <c r="L1703" s="212"/>
      <c r="M1703" s="212"/>
      <c r="N1703" s="212">
        <f t="shared" si="44"/>
        <v>0</v>
      </c>
    </row>
    <row r="1704" spans="1:14" s="407" customFormat="1" ht="12.75" x14ac:dyDescent="0.2">
      <c r="A1704" s="152"/>
      <c r="B1704" s="73"/>
      <c r="C1704" s="51" t="s">
        <v>955</v>
      </c>
      <c r="D1704" s="89" t="s">
        <v>525</v>
      </c>
      <c r="E1704" s="89"/>
      <c r="F1704" s="89"/>
      <c r="G1704" s="89"/>
      <c r="H1704" s="89"/>
      <c r="I1704" s="89"/>
      <c r="J1704" s="212"/>
      <c r="K1704" s="212"/>
      <c r="L1704" s="212"/>
      <c r="M1704" s="212"/>
      <c r="N1704" s="212">
        <f t="shared" si="44"/>
        <v>0</v>
      </c>
    </row>
    <row r="1705" spans="1:14" s="407" customFormat="1" ht="12.75" x14ac:dyDescent="0.2">
      <c r="A1705" s="152"/>
      <c r="B1705" s="73"/>
      <c r="C1705" s="51" t="s">
        <v>958</v>
      </c>
      <c r="D1705" s="89" t="s">
        <v>525</v>
      </c>
      <c r="E1705" s="89"/>
      <c r="F1705" s="89"/>
      <c r="G1705" s="89"/>
      <c r="H1705" s="89"/>
      <c r="I1705" s="89"/>
      <c r="J1705" s="212"/>
      <c r="K1705" s="212"/>
      <c r="L1705" s="212"/>
      <c r="M1705" s="212"/>
      <c r="N1705" s="212">
        <f t="shared" si="44"/>
        <v>0</v>
      </c>
    </row>
    <row r="1706" spans="1:14" s="407" customFormat="1" ht="12.75" x14ac:dyDescent="0.2">
      <c r="A1706" s="152"/>
      <c r="B1706" s="73"/>
      <c r="C1706" s="51" t="s">
        <v>1032</v>
      </c>
      <c r="D1706" s="89" t="s">
        <v>525</v>
      </c>
      <c r="E1706" s="89"/>
      <c r="F1706" s="89"/>
      <c r="G1706" s="89"/>
      <c r="H1706" s="89"/>
      <c r="I1706" s="89"/>
      <c r="J1706" s="212"/>
      <c r="K1706" s="212"/>
      <c r="L1706" s="212"/>
      <c r="M1706" s="212"/>
      <c r="N1706" s="212">
        <f t="shared" si="44"/>
        <v>0</v>
      </c>
    </row>
    <row r="1707" spans="1:14" s="407" customFormat="1" ht="12.75" x14ac:dyDescent="0.2">
      <c r="A1707" s="152"/>
      <c r="B1707" s="73"/>
      <c r="C1707" s="51" t="s">
        <v>109</v>
      </c>
      <c r="D1707" s="89" t="s">
        <v>525</v>
      </c>
      <c r="E1707" s="89"/>
      <c r="F1707" s="89"/>
      <c r="G1707" s="89"/>
      <c r="H1707" s="89"/>
      <c r="I1707" s="89"/>
      <c r="J1707" s="212"/>
      <c r="K1707" s="212"/>
      <c r="L1707" s="212"/>
      <c r="M1707" s="212"/>
      <c r="N1707" s="212">
        <f t="shared" si="44"/>
        <v>0</v>
      </c>
    </row>
    <row r="1708" spans="1:14" s="407" customFormat="1" ht="12.75" x14ac:dyDescent="0.2">
      <c r="A1708" s="152"/>
      <c r="B1708" s="73"/>
      <c r="C1708" s="51" t="s">
        <v>966</v>
      </c>
      <c r="D1708" s="89" t="s">
        <v>525</v>
      </c>
      <c r="E1708" s="89"/>
      <c r="F1708" s="89"/>
      <c r="G1708" s="89"/>
      <c r="H1708" s="89"/>
      <c r="I1708" s="89"/>
      <c r="J1708" s="212"/>
      <c r="K1708" s="212"/>
      <c r="L1708" s="212"/>
      <c r="M1708" s="212"/>
      <c r="N1708" s="212">
        <f t="shared" si="44"/>
        <v>0</v>
      </c>
    </row>
    <row r="1709" spans="1:14" s="407" customFormat="1" ht="12.75" x14ac:dyDescent="0.2">
      <c r="A1709" s="152"/>
      <c r="B1709" s="73"/>
      <c r="C1709" s="51" t="s">
        <v>981</v>
      </c>
      <c r="D1709" s="89" t="s">
        <v>525</v>
      </c>
      <c r="E1709" s="89"/>
      <c r="F1709" s="89"/>
      <c r="G1709" s="89"/>
      <c r="H1709" s="89"/>
      <c r="I1709" s="89"/>
      <c r="J1709" s="212"/>
      <c r="K1709" s="212"/>
      <c r="L1709" s="212"/>
      <c r="M1709" s="212"/>
      <c r="N1709" s="212">
        <f t="shared" si="44"/>
        <v>0</v>
      </c>
    </row>
    <row r="1710" spans="1:14" s="407" customFormat="1" ht="12.75" x14ac:dyDescent="0.2">
      <c r="A1710" s="152"/>
      <c r="B1710" s="73"/>
      <c r="C1710" s="51" t="s">
        <v>963</v>
      </c>
      <c r="D1710" s="89" t="s">
        <v>525</v>
      </c>
      <c r="E1710" s="89"/>
      <c r="F1710" s="89"/>
      <c r="G1710" s="89"/>
      <c r="H1710" s="89"/>
      <c r="I1710" s="89"/>
      <c r="J1710" s="212"/>
      <c r="K1710" s="212"/>
      <c r="L1710" s="212"/>
      <c r="M1710" s="212"/>
      <c r="N1710" s="212">
        <f t="shared" si="44"/>
        <v>0</v>
      </c>
    </row>
    <row r="1711" spans="1:14" s="407" customFormat="1" ht="12.75" x14ac:dyDescent="0.2">
      <c r="A1711" s="152"/>
      <c r="B1711" s="73"/>
      <c r="C1711" s="51" t="s">
        <v>120</v>
      </c>
      <c r="D1711" s="89" t="s">
        <v>525</v>
      </c>
      <c r="E1711" s="89"/>
      <c r="F1711" s="89"/>
      <c r="G1711" s="89"/>
      <c r="H1711" s="89"/>
      <c r="I1711" s="89"/>
      <c r="J1711" s="212"/>
      <c r="K1711" s="212"/>
      <c r="L1711" s="212"/>
      <c r="M1711" s="212"/>
      <c r="N1711" s="212">
        <f t="shared" si="44"/>
        <v>0</v>
      </c>
    </row>
    <row r="1712" spans="1:14" s="407" customFormat="1" ht="12.75" x14ac:dyDescent="0.2">
      <c r="A1712" s="152"/>
      <c r="B1712" s="73"/>
      <c r="C1712" s="51" t="s">
        <v>989</v>
      </c>
      <c r="D1712" s="89" t="s">
        <v>525</v>
      </c>
      <c r="E1712" s="89"/>
      <c r="F1712" s="89"/>
      <c r="G1712" s="89"/>
      <c r="H1712" s="89"/>
      <c r="I1712" s="89"/>
      <c r="J1712" s="212"/>
      <c r="K1712" s="212"/>
      <c r="L1712" s="212"/>
      <c r="M1712" s="212"/>
      <c r="N1712" s="212">
        <f t="shared" si="44"/>
        <v>0</v>
      </c>
    </row>
    <row r="1713" spans="1:14" s="407" customFormat="1" ht="12.75" x14ac:dyDescent="0.2">
      <c r="A1713" s="152"/>
      <c r="B1713" s="73"/>
      <c r="C1713" s="51" t="s">
        <v>986</v>
      </c>
      <c r="D1713" s="89" t="s">
        <v>245</v>
      </c>
      <c r="E1713" s="89"/>
      <c r="F1713" s="89"/>
      <c r="G1713" s="89"/>
      <c r="H1713" s="89"/>
      <c r="I1713" s="89"/>
      <c r="J1713" s="212"/>
      <c r="K1713" s="212"/>
      <c r="L1713" s="212"/>
      <c r="M1713" s="212"/>
      <c r="N1713" s="212">
        <f t="shared" si="44"/>
        <v>0</v>
      </c>
    </row>
    <row r="1714" spans="1:14" s="407" customFormat="1" ht="12.75" x14ac:dyDescent="0.2">
      <c r="A1714" s="152"/>
      <c r="B1714" s="73"/>
      <c r="C1714" s="51" t="s">
        <v>988</v>
      </c>
      <c r="D1714" s="89" t="s">
        <v>245</v>
      </c>
      <c r="E1714" s="89"/>
      <c r="F1714" s="89"/>
      <c r="G1714" s="89"/>
      <c r="H1714" s="89"/>
      <c r="I1714" s="89"/>
      <c r="J1714" s="212"/>
      <c r="K1714" s="212"/>
      <c r="L1714" s="212"/>
      <c r="M1714" s="212"/>
      <c r="N1714" s="212">
        <f t="shared" si="44"/>
        <v>0</v>
      </c>
    </row>
    <row r="1715" spans="1:14" s="407" customFormat="1" ht="12.75" x14ac:dyDescent="0.2">
      <c r="A1715" s="152"/>
      <c r="B1715" s="73"/>
      <c r="C1715" s="51" t="s">
        <v>1058</v>
      </c>
      <c r="D1715" s="89" t="s">
        <v>245</v>
      </c>
      <c r="E1715" s="89"/>
      <c r="F1715" s="89"/>
      <c r="G1715" s="89"/>
      <c r="H1715" s="89"/>
      <c r="I1715" s="89"/>
      <c r="J1715" s="212"/>
      <c r="K1715" s="212"/>
      <c r="L1715" s="212"/>
      <c r="M1715" s="212"/>
      <c r="N1715" s="212">
        <f t="shared" si="44"/>
        <v>0</v>
      </c>
    </row>
    <row r="1716" spans="1:14" s="407" customFormat="1" ht="12.75" x14ac:dyDescent="0.2">
      <c r="A1716" s="152"/>
      <c r="B1716" s="73"/>
      <c r="C1716" s="51" t="s">
        <v>972</v>
      </c>
      <c r="D1716" s="89" t="s">
        <v>245</v>
      </c>
      <c r="E1716" s="89"/>
      <c r="F1716" s="89"/>
      <c r="G1716" s="89"/>
      <c r="H1716" s="89"/>
      <c r="I1716" s="89"/>
      <c r="J1716" s="212"/>
      <c r="K1716" s="212"/>
      <c r="L1716" s="212"/>
      <c r="M1716" s="212"/>
      <c r="N1716" s="212">
        <f t="shared" si="44"/>
        <v>0</v>
      </c>
    </row>
    <row r="1717" spans="1:14" s="407" customFormat="1" ht="12.75" x14ac:dyDescent="0.2">
      <c r="A1717" s="152"/>
      <c r="B1717" s="73"/>
      <c r="C1717" s="51" t="s">
        <v>973</v>
      </c>
      <c r="D1717" s="89" t="s">
        <v>245</v>
      </c>
      <c r="E1717" s="89"/>
      <c r="F1717" s="89"/>
      <c r="G1717" s="89"/>
      <c r="H1717" s="89"/>
      <c r="I1717" s="89"/>
      <c r="J1717" s="212"/>
      <c r="K1717" s="212"/>
      <c r="L1717" s="212"/>
      <c r="M1717" s="212"/>
      <c r="N1717" s="212">
        <f t="shared" si="44"/>
        <v>0</v>
      </c>
    </row>
    <row r="1718" spans="1:14" s="407" customFormat="1" ht="12.75" x14ac:dyDescent="0.2">
      <c r="A1718" s="152"/>
      <c r="B1718" s="73"/>
      <c r="C1718" s="51" t="s">
        <v>980</v>
      </c>
      <c r="D1718" s="89" t="s">
        <v>245</v>
      </c>
      <c r="E1718" s="89"/>
      <c r="F1718" s="89"/>
      <c r="G1718" s="89"/>
      <c r="H1718" s="89"/>
      <c r="I1718" s="89"/>
      <c r="J1718" s="212"/>
      <c r="K1718" s="212"/>
      <c r="L1718" s="212"/>
      <c r="M1718" s="212"/>
      <c r="N1718" s="212">
        <f t="shared" si="44"/>
        <v>0</v>
      </c>
    </row>
    <row r="1719" spans="1:14" s="407" customFormat="1" ht="12.75" x14ac:dyDescent="0.2">
      <c r="A1719" s="152"/>
      <c r="B1719" s="73"/>
      <c r="C1719" s="51" t="s">
        <v>982</v>
      </c>
      <c r="D1719" s="89" t="s">
        <v>245</v>
      </c>
      <c r="E1719" s="89"/>
      <c r="F1719" s="89"/>
      <c r="G1719" s="89"/>
      <c r="H1719" s="89"/>
      <c r="I1719" s="89"/>
      <c r="J1719" s="212"/>
      <c r="K1719" s="212"/>
      <c r="L1719" s="212"/>
      <c r="M1719" s="212"/>
      <c r="N1719" s="212">
        <f t="shared" si="44"/>
        <v>0</v>
      </c>
    </row>
    <row r="1720" spans="1:14" s="407" customFormat="1" ht="12.75" x14ac:dyDescent="0.2">
      <c r="A1720" s="152"/>
      <c r="B1720" s="73"/>
      <c r="C1720" s="51" t="s">
        <v>46</v>
      </c>
      <c r="D1720" s="89" t="s">
        <v>245</v>
      </c>
      <c r="E1720" s="89"/>
      <c r="F1720" s="89"/>
      <c r="G1720" s="89"/>
      <c r="H1720" s="89"/>
      <c r="I1720" s="89"/>
      <c r="J1720" s="212"/>
      <c r="K1720" s="212"/>
      <c r="L1720" s="212"/>
      <c r="M1720" s="212"/>
      <c r="N1720" s="212">
        <f t="shared" si="44"/>
        <v>0</v>
      </c>
    </row>
    <row r="1721" spans="1:14" s="407" customFormat="1" ht="12.75" x14ac:dyDescent="0.2">
      <c r="A1721" s="152"/>
      <c r="B1721" s="73"/>
      <c r="C1721" s="51" t="s">
        <v>1019</v>
      </c>
      <c r="D1721" s="89" t="s">
        <v>245</v>
      </c>
      <c r="E1721" s="89"/>
      <c r="F1721" s="89"/>
      <c r="G1721" s="89"/>
      <c r="H1721" s="89"/>
      <c r="I1721" s="89"/>
      <c r="J1721" s="212"/>
      <c r="K1721" s="212"/>
      <c r="L1721" s="212"/>
      <c r="M1721" s="212"/>
      <c r="N1721" s="212">
        <f t="shared" si="44"/>
        <v>7281</v>
      </c>
    </row>
    <row r="1722" spans="1:14" s="407" customFormat="1" ht="12.75" x14ac:dyDescent="0.2">
      <c r="A1722" s="152"/>
      <c r="B1722" s="73"/>
      <c r="C1722" s="51" t="s">
        <v>1050</v>
      </c>
      <c r="D1722" s="89" t="s">
        <v>245</v>
      </c>
      <c r="E1722" s="89"/>
      <c r="F1722" s="89"/>
      <c r="G1722" s="89"/>
      <c r="H1722" s="89"/>
      <c r="I1722" s="89"/>
      <c r="J1722" s="212"/>
      <c r="K1722" s="212"/>
      <c r="L1722" s="212"/>
      <c r="M1722" s="212"/>
      <c r="N1722" s="212">
        <f t="shared" si="44"/>
        <v>0</v>
      </c>
    </row>
    <row r="1723" spans="1:14" s="407" customFormat="1" ht="12.75" x14ac:dyDescent="0.2">
      <c r="A1723" s="152"/>
      <c r="B1723" s="73"/>
      <c r="C1723" s="51" t="s">
        <v>100</v>
      </c>
      <c r="D1723" s="89" t="s">
        <v>245</v>
      </c>
      <c r="E1723" s="89"/>
      <c r="F1723" s="89"/>
      <c r="G1723" s="89"/>
      <c r="H1723" s="89"/>
      <c r="I1723" s="89"/>
      <c r="J1723" s="212"/>
      <c r="K1723" s="212"/>
      <c r="L1723" s="212"/>
      <c r="M1723" s="212"/>
      <c r="N1723" s="212">
        <f t="shared" si="44"/>
        <v>0</v>
      </c>
    </row>
    <row r="1724" spans="1:14" s="407" customFormat="1" ht="12.75" x14ac:dyDescent="0.2">
      <c r="A1724" s="152"/>
      <c r="B1724" s="73"/>
      <c r="C1724" s="51" t="s">
        <v>101</v>
      </c>
      <c r="D1724" s="89" t="s">
        <v>245</v>
      </c>
      <c r="E1724" s="89"/>
      <c r="F1724" s="89"/>
      <c r="G1724" s="89"/>
      <c r="H1724" s="89"/>
      <c r="I1724" s="89"/>
      <c r="J1724" s="212"/>
      <c r="K1724" s="212"/>
      <c r="L1724" s="212"/>
      <c r="M1724" s="212"/>
      <c r="N1724" s="212">
        <f t="shared" si="44"/>
        <v>0</v>
      </c>
    </row>
    <row r="1725" spans="1:14" s="407" customFormat="1" ht="12.75" x14ac:dyDescent="0.2">
      <c r="A1725" s="152"/>
      <c r="B1725" s="73"/>
      <c r="C1725" s="51" t="s">
        <v>1056</v>
      </c>
      <c r="D1725" s="89" t="s">
        <v>245</v>
      </c>
      <c r="E1725" s="89"/>
      <c r="F1725" s="89"/>
      <c r="G1725" s="89"/>
      <c r="H1725" s="89"/>
      <c r="I1725" s="89"/>
      <c r="J1725" s="212"/>
      <c r="K1725" s="212"/>
      <c r="L1725" s="212"/>
      <c r="M1725" s="212"/>
      <c r="N1725" s="212">
        <f t="shared" si="44"/>
        <v>0</v>
      </c>
    </row>
    <row r="1726" spans="1:14" s="407" customFormat="1" ht="12.75" x14ac:dyDescent="0.2">
      <c r="A1726" s="152"/>
      <c r="B1726" s="73"/>
      <c r="C1726" s="51" t="s">
        <v>1057</v>
      </c>
      <c r="D1726" s="89" t="s">
        <v>245</v>
      </c>
      <c r="E1726" s="89"/>
      <c r="F1726" s="89"/>
      <c r="G1726" s="89"/>
      <c r="H1726" s="89"/>
      <c r="I1726" s="89"/>
      <c r="J1726" s="212"/>
      <c r="K1726" s="212"/>
      <c r="L1726" s="212"/>
      <c r="M1726" s="212"/>
      <c r="N1726" s="212">
        <f t="shared" si="44"/>
        <v>0</v>
      </c>
    </row>
    <row r="1727" spans="1:14" s="407" customFormat="1" ht="12.75" x14ac:dyDescent="0.2">
      <c r="A1727" s="152"/>
      <c r="B1727" s="73"/>
      <c r="C1727" s="51" t="s">
        <v>944</v>
      </c>
      <c r="D1727" s="89" t="s">
        <v>245</v>
      </c>
      <c r="E1727" s="89"/>
      <c r="F1727" s="89"/>
      <c r="G1727" s="89"/>
      <c r="H1727" s="89"/>
      <c r="I1727" s="89"/>
      <c r="J1727" s="212"/>
      <c r="K1727" s="212"/>
      <c r="L1727" s="212"/>
      <c r="M1727" s="212"/>
      <c r="N1727" s="212">
        <f t="shared" si="44"/>
        <v>0</v>
      </c>
    </row>
    <row r="1728" spans="1:14" s="407" customFormat="1" ht="12.75" x14ac:dyDescent="0.2">
      <c r="A1728" s="152"/>
      <c r="B1728" s="73"/>
      <c r="C1728" s="51" t="s">
        <v>945</v>
      </c>
      <c r="D1728" s="89" t="s">
        <v>245</v>
      </c>
      <c r="E1728" s="89"/>
      <c r="F1728" s="89"/>
      <c r="G1728" s="89"/>
      <c r="H1728" s="89"/>
      <c r="I1728" s="89"/>
      <c r="J1728" s="212"/>
      <c r="K1728" s="212"/>
      <c r="L1728" s="212"/>
      <c r="M1728" s="212"/>
      <c r="N1728" s="212">
        <f t="shared" si="44"/>
        <v>0</v>
      </c>
    </row>
    <row r="1729" spans="1:14" s="407" customFormat="1" ht="12.75" x14ac:dyDescent="0.2">
      <c r="A1729" s="152"/>
      <c r="B1729" s="73"/>
      <c r="C1729" s="51" t="s">
        <v>965</v>
      </c>
      <c r="D1729" s="89" t="s">
        <v>245</v>
      </c>
      <c r="E1729" s="89"/>
      <c r="F1729" s="89"/>
      <c r="G1729" s="89"/>
      <c r="H1729" s="89"/>
      <c r="I1729" s="89"/>
      <c r="J1729" s="212"/>
      <c r="K1729" s="212"/>
      <c r="L1729" s="212"/>
      <c r="M1729" s="212"/>
      <c r="N1729" s="212">
        <f t="shared" si="44"/>
        <v>0</v>
      </c>
    </row>
    <row r="1730" spans="1:14" s="407" customFormat="1" ht="12.75" x14ac:dyDescent="0.2">
      <c r="A1730" s="152"/>
      <c r="B1730" s="73"/>
      <c r="C1730" s="51" t="s">
        <v>1011</v>
      </c>
      <c r="D1730" s="89" t="s">
        <v>245</v>
      </c>
      <c r="E1730" s="89"/>
      <c r="F1730" s="89"/>
      <c r="G1730" s="89"/>
      <c r="H1730" s="89"/>
      <c r="I1730" s="89"/>
      <c r="J1730" s="212"/>
      <c r="K1730" s="212"/>
      <c r="L1730" s="212"/>
      <c r="M1730" s="212"/>
      <c r="N1730" s="212">
        <f t="shared" si="44"/>
        <v>0</v>
      </c>
    </row>
    <row r="1731" spans="1:14" s="407" customFormat="1" ht="12.75" x14ac:dyDescent="0.2">
      <c r="A1731" s="152"/>
      <c r="B1731" s="73"/>
      <c r="C1731" s="51" t="s">
        <v>1010</v>
      </c>
      <c r="D1731" s="89" t="s">
        <v>245</v>
      </c>
      <c r="E1731" s="89"/>
      <c r="F1731" s="89"/>
      <c r="G1731" s="89"/>
      <c r="H1731" s="89"/>
      <c r="I1731" s="89"/>
      <c r="J1731" s="212"/>
      <c r="K1731" s="212"/>
      <c r="L1731" s="212"/>
      <c r="M1731" s="212"/>
      <c r="N1731" s="212">
        <f t="shared" si="44"/>
        <v>0</v>
      </c>
    </row>
    <row r="1732" spans="1:14" s="407" customFormat="1" ht="12.75" x14ac:dyDescent="0.2">
      <c r="A1732" s="152"/>
      <c r="B1732" s="73"/>
      <c r="C1732" s="51" t="s">
        <v>1013</v>
      </c>
      <c r="D1732" s="89" t="s">
        <v>245</v>
      </c>
      <c r="E1732" s="89"/>
      <c r="F1732" s="89"/>
      <c r="G1732" s="89"/>
      <c r="H1732" s="89"/>
      <c r="I1732" s="89"/>
      <c r="J1732" s="212"/>
      <c r="K1732" s="212"/>
      <c r="L1732" s="212"/>
      <c r="M1732" s="212"/>
      <c r="N1732" s="212">
        <f t="shared" si="44"/>
        <v>0</v>
      </c>
    </row>
    <row r="1733" spans="1:14" s="407" customFormat="1" ht="12.75" x14ac:dyDescent="0.2">
      <c r="A1733" s="152"/>
      <c r="B1733" s="73"/>
      <c r="C1733" s="51" t="s">
        <v>1012</v>
      </c>
      <c r="D1733" s="89" t="s">
        <v>245</v>
      </c>
      <c r="E1733" s="89"/>
      <c r="F1733" s="89"/>
      <c r="G1733" s="89"/>
      <c r="H1733" s="89"/>
      <c r="I1733" s="89"/>
      <c r="J1733" s="212"/>
      <c r="K1733" s="212"/>
      <c r="L1733" s="212"/>
      <c r="M1733" s="212"/>
      <c r="N1733" s="212">
        <f t="shared" si="44"/>
        <v>0</v>
      </c>
    </row>
    <row r="1734" spans="1:14" s="407" customFormat="1" ht="12.75" x14ac:dyDescent="0.2">
      <c r="A1734" s="152"/>
      <c r="B1734" s="73"/>
      <c r="C1734" s="51" t="s">
        <v>1052</v>
      </c>
      <c r="D1734" s="89" t="s">
        <v>245</v>
      </c>
      <c r="E1734" s="89"/>
      <c r="F1734" s="89"/>
      <c r="G1734" s="89"/>
      <c r="H1734" s="89"/>
      <c r="I1734" s="89"/>
      <c r="J1734" s="212"/>
      <c r="K1734" s="212"/>
      <c r="L1734" s="212"/>
      <c r="M1734" s="212"/>
      <c r="N1734" s="212">
        <f t="shared" si="44"/>
        <v>0</v>
      </c>
    </row>
    <row r="1735" spans="1:14" s="407" customFormat="1" ht="12.75" x14ac:dyDescent="0.2">
      <c r="A1735" s="152"/>
      <c r="B1735" s="73"/>
      <c r="C1735" s="51" t="s">
        <v>1053</v>
      </c>
      <c r="D1735" s="89" t="s">
        <v>245</v>
      </c>
      <c r="E1735" s="89"/>
      <c r="F1735" s="89"/>
      <c r="G1735" s="89"/>
      <c r="H1735" s="89"/>
      <c r="I1735" s="89"/>
      <c r="J1735" s="212"/>
      <c r="K1735" s="212"/>
      <c r="L1735" s="212"/>
      <c r="M1735" s="212"/>
      <c r="N1735" s="212">
        <f t="shared" si="44"/>
        <v>0</v>
      </c>
    </row>
    <row r="1736" spans="1:14" s="407" customFormat="1" ht="12.75" x14ac:dyDescent="0.2">
      <c r="A1736" s="152"/>
      <c r="B1736" s="73"/>
      <c r="C1736" s="51" t="s">
        <v>984</v>
      </c>
      <c r="D1736" s="89" t="s">
        <v>245</v>
      </c>
      <c r="E1736" s="89"/>
      <c r="F1736" s="89"/>
      <c r="G1736" s="89"/>
      <c r="H1736" s="89"/>
      <c r="I1736" s="89"/>
      <c r="J1736" s="212"/>
      <c r="K1736" s="212"/>
      <c r="L1736" s="212"/>
      <c r="M1736" s="212"/>
      <c r="N1736" s="212">
        <f t="shared" si="44"/>
        <v>0</v>
      </c>
    </row>
    <row r="1737" spans="1:14" s="407" customFormat="1" ht="12.75" x14ac:dyDescent="0.2">
      <c r="A1737" s="152"/>
      <c r="B1737" s="73"/>
      <c r="C1737" s="51" t="s">
        <v>985</v>
      </c>
      <c r="D1737" s="89" t="s">
        <v>245</v>
      </c>
      <c r="E1737" s="89"/>
      <c r="F1737" s="89"/>
      <c r="G1737" s="89"/>
      <c r="H1737" s="89"/>
      <c r="I1737" s="89"/>
      <c r="J1737" s="212"/>
      <c r="K1737" s="212"/>
      <c r="L1737" s="212"/>
      <c r="M1737" s="212"/>
      <c r="N1737" s="212">
        <f t="shared" si="44"/>
        <v>0</v>
      </c>
    </row>
    <row r="1738" spans="1:14" s="407" customFormat="1" ht="12.75" x14ac:dyDescent="0.2">
      <c r="A1738" s="152"/>
      <c r="B1738" s="73"/>
      <c r="C1738" s="51" t="s">
        <v>1005</v>
      </c>
      <c r="D1738" s="89" t="s">
        <v>245</v>
      </c>
      <c r="E1738" s="89"/>
      <c r="F1738" s="89"/>
      <c r="G1738" s="89"/>
      <c r="H1738" s="89"/>
      <c r="I1738" s="89"/>
      <c r="J1738" s="212"/>
      <c r="K1738" s="212"/>
      <c r="L1738" s="212"/>
      <c r="M1738" s="212"/>
      <c r="N1738" s="212">
        <f t="shared" si="44"/>
        <v>0</v>
      </c>
    </row>
    <row r="1739" spans="1:14" s="407" customFormat="1" ht="12.75" x14ac:dyDescent="0.2">
      <c r="A1739" s="152"/>
      <c r="B1739" s="73"/>
      <c r="C1739" s="51" t="s">
        <v>1004</v>
      </c>
      <c r="D1739" s="89" t="s">
        <v>245</v>
      </c>
      <c r="E1739" s="89"/>
      <c r="F1739" s="89"/>
      <c r="G1739" s="89"/>
      <c r="H1739" s="89"/>
      <c r="I1739" s="89"/>
      <c r="J1739" s="212"/>
      <c r="K1739" s="212"/>
      <c r="L1739" s="212"/>
      <c r="M1739" s="212"/>
      <c r="N1739" s="212">
        <f t="shared" si="44"/>
        <v>0</v>
      </c>
    </row>
    <row r="1740" spans="1:14" s="407" customFormat="1" ht="12.75" x14ac:dyDescent="0.2">
      <c r="A1740" s="152"/>
      <c r="B1740" s="73"/>
      <c r="C1740" s="51" t="s">
        <v>1008</v>
      </c>
      <c r="D1740" s="89" t="s">
        <v>245</v>
      </c>
      <c r="E1740" s="89"/>
      <c r="F1740" s="89"/>
      <c r="G1740" s="89"/>
      <c r="H1740" s="89"/>
      <c r="I1740" s="89"/>
      <c r="J1740" s="212"/>
      <c r="K1740" s="212"/>
      <c r="L1740" s="212"/>
      <c r="M1740" s="212"/>
      <c r="N1740" s="212">
        <f t="shared" si="44"/>
        <v>0</v>
      </c>
    </row>
    <row r="1741" spans="1:14" s="407" customFormat="1" ht="12.75" x14ac:dyDescent="0.2">
      <c r="A1741" s="152"/>
      <c r="B1741" s="73"/>
      <c r="C1741" s="51" t="s">
        <v>1006</v>
      </c>
      <c r="D1741" s="89" t="s">
        <v>245</v>
      </c>
      <c r="E1741" s="89"/>
      <c r="F1741" s="89"/>
      <c r="G1741" s="89"/>
      <c r="H1741" s="89"/>
      <c r="I1741" s="89"/>
      <c r="J1741" s="212"/>
      <c r="K1741" s="212"/>
      <c r="L1741" s="212"/>
      <c r="M1741" s="212"/>
      <c r="N1741" s="212">
        <f t="shared" ref="N1741:N1804" si="45">SUMIFS(N$26:N$154,$C$26:$C$154,$C1741,$D$26:$D$154,$D1741)</f>
        <v>0</v>
      </c>
    </row>
    <row r="1742" spans="1:14" s="407" customFormat="1" ht="12.75" x14ac:dyDescent="0.2">
      <c r="A1742" s="152"/>
      <c r="B1742" s="73"/>
      <c r="C1742" s="51" t="s">
        <v>1034</v>
      </c>
      <c r="D1742" s="89" t="s">
        <v>245</v>
      </c>
      <c r="E1742" s="89"/>
      <c r="F1742" s="89"/>
      <c r="G1742" s="89"/>
      <c r="H1742" s="89"/>
      <c r="I1742" s="89"/>
      <c r="J1742" s="212"/>
      <c r="K1742" s="212"/>
      <c r="L1742" s="212"/>
      <c r="M1742" s="212"/>
      <c r="N1742" s="212">
        <f t="shared" si="45"/>
        <v>0</v>
      </c>
    </row>
    <row r="1743" spans="1:14" s="407" customFormat="1" ht="12.75" x14ac:dyDescent="0.2">
      <c r="A1743" s="152"/>
      <c r="B1743" s="73"/>
      <c r="C1743" s="51" t="s">
        <v>1035</v>
      </c>
      <c r="D1743" s="89" t="s">
        <v>245</v>
      </c>
      <c r="E1743" s="89"/>
      <c r="F1743" s="89"/>
      <c r="G1743" s="89"/>
      <c r="H1743" s="89"/>
      <c r="I1743" s="89"/>
      <c r="J1743" s="212"/>
      <c r="K1743" s="212"/>
      <c r="L1743" s="212"/>
      <c r="M1743" s="212"/>
      <c r="N1743" s="212">
        <f t="shared" si="45"/>
        <v>0</v>
      </c>
    </row>
    <row r="1744" spans="1:14" s="407" customFormat="1" ht="12.75" x14ac:dyDescent="0.2">
      <c r="A1744" s="152"/>
      <c r="B1744" s="73"/>
      <c r="C1744" s="51" t="s">
        <v>922</v>
      </c>
      <c r="D1744" s="89" t="s">
        <v>245</v>
      </c>
      <c r="E1744" s="89"/>
      <c r="F1744" s="89"/>
      <c r="G1744" s="89"/>
      <c r="H1744" s="89"/>
      <c r="I1744" s="89"/>
      <c r="J1744" s="212"/>
      <c r="K1744" s="212"/>
      <c r="L1744" s="212"/>
      <c r="M1744" s="212"/>
      <c r="N1744" s="212">
        <f t="shared" si="45"/>
        <v>0</v>
      </c>
    </row>
    <row r="1745" spans="1:14" s="407" customFormat="1" ht="12.75" x14ac:dyDescent="0.2">
      <c r="A1745" s="152"/>
      <c r="B1745" s="73"/>
      <c r="C1745" s="51" t="s">
        <v>942</v>
      </c>
      <c r="D1745" s="89" t="s">
        <v>245</v>
      </c>
      <c r="E1745" s="89"/>
      <c r="F1745" s="89"/>
      <c r="G1745" s="89"/>
      <c r="H1745" s="89"/>
      <c r="I1745" s="89"/>
      <c r="J1745" s="212"/>
      <c r="K1745" s="212"/>
      <c r="L1745" s="212"/>
      <c r="M1745" s="212"/>
      <c r="N1745" s="212">
        <f t="shared" si="45"/>
        <v>0</v>
      </c>
    </row>
    <row r="1746" spans="1:14" s="407" customFormat="1" ht="12.75" x14ac:dyDescent="0.2">
      <c r="A1746" s="152"/>
      <c r="B1746" s="73"/>
      <c r="C1746" s="51" t="s">
        <v>943</v>
      </c>
      <c r="D1746" s="89" t="s">
        <v>245</v>
      </c>
      <c r="E1746" s="89"/>
      <c r="F1746" s="89"/>
      <c r="G1746" s="89"/>
      <c r="H1746" s="89"/>
      <c r="I1746" s="89"/>
      <c r="J1746" s="212"/>
      <c r="K1746" s="212"/>
      <c r="L1746" s="212"/>
      <c r="M1746" s="212"/>
      <c r="N1746" s="212">
        <f t="shared" si="45"/>
        <v>0</v>
      </c>
    </row>
    <row r="1747" spans="1:14" s="407" customFormat="1" ht="12.75" x14ac:dyDescent="0.2">
      <c r="A1747" s="152"/>
      <c r="B1747" s="73"/>
      <c r="C1747" s="51" t="s">
        <v>938</v>
      </c>
      <c r="D1747" s="89" t="s">
        <v>245</v>
      </c>
      <c r="E1747" s="89"/>
      <c r="F1747" s="89"/>
      <c r="G1747" s="89"/>
      <c r="H1747" s="89"/>
      <c r="I1747" s="89"/>
      <c r="J1747" s="212"/>
      <c r="K1747" s="212"/>
      <c r="L1747" s="212"/>
      <c r="M1747" s="212"/>
      <c r="N1747" s="212">
        <f t="shared" si="45"/>
        <v>0</v>
      </c>
    </row>
    <row r="1748" spans="1:14" s="407" customFormat="1" ht="12.75" x14ac:dyDescent="0.2">
      <c r="A1748" s="152"/>
      <c r="B1748" s="73"/>
      <c r="C1748" s="51" t="s">
        <v>939</v>
      </c>
      <c r="D1748" s="89" t="s">
        <v>245</v>
      </c>
      <c r="E1748" s="89"/>
      <c r="F1748" s="89"/>
      <c r="G1748" s="89"/>
      <c r="H1748" s="89"/>
      <c r="I1748" s="89"/>
      <c r="J1748" s="212"/>
      <c r="K1748" s="212"/>
      <c r="L1748" s="212"/>
      <c r="M1748" s="212"/>
      <c r="N1748" s="212">
        <f t="shared" si="45"/>
        <v>50</v>
      </c>
    </row>
    <row r="1749" spans="1:14" s="407" customFormat="1" ht="12.75" x14ac:dyDescent="0.2">
      <c r="A1749" s="152"/>
      <c r="B1749" s="73"/>
      <c r="C1749" s="51" t="s">
        <v>934</v>
      </c>
      <c r="D1749" s="89" t="s">
        <v>245</v>
      </c>
      <c r="E1749" s="89"/>
      <c r="F1749" s="89"/>
      <c r="G1749" s="89"/>
      <c r="H1749" s="89"/>
      <c r="I1749" s="89"/>
      <c r="J1749" s="212"/>
      <c r="K1749" s="212"/>
      <c r="L1749" s="212"/>
      <c r="M1749" s="212"/>
      <c r="N1749" s="212">
        <f t="shared" si="45"/>
        <v>0</v>
      </c>
    </row>
    <row r="1750" spans="1:14" s="407" customFormat="1" ht="12.75" x14ac:dyDescent="0.2">
      <c r="A1750" s="152"/>
      <c r="B1750" s="73"/>
      <c r="C1750" s="51" t="s">
        <v>935</v>
      </c>
      <c r="D1750" s="89" t="s">
        <v>245</v>
      </c>
      <c r="E1750" s="89"/>
      <c r="F1750" s="89"/>
      <c r="G1750" s="89"/>
      <c r="H1750" s="89"/>
      <c r="I1750" s="89"/>
      <c r="J1750" s="212"/>
      <c r="K1750" s="212"/>
      <c r="L1750" s="212"/>
      <c r="M1750" s="212"/>
      <c r="N1750" s="212">
        <f t="shared" si="45"/>
        <v>0</v>
      </c>
    </row>
    <row r="1751" spans="1:14" s="407" customFormat="1" ht="12.75" x14ac:dyDescent="0.2">
      <c r="A1751" s="152"/>
      <c r="B1751" s="73"/>
      <c r="C1751" s="51" t="s">
        <v>953</v>
      </c>
      <c r="D1751" s="89" t="s">
        <v>245</v>
      </c>
      <c r="E1751" s="89"/>
      <c r="F1751" s="89"/>
      <c r="G1751" s="89"/>
      <c r="H1751" s="89"/>
      <c r="I1751" s="89"/>
      <c r="J1751" s="212"/>
      <c r="K1751" s="212"/>
      <c r="L1751" s="212"/>
      <c r="M1751" s="212"/>
      <c r="N1751" s="212">
        <f t="shared" si="45"/>
        <v>0</v>
      </c>
    </row>
    <row r="1752" spans="1:14" s="407" customFormat="1" ht="12.75" x14ac:dyDescent="0.2">
      <c r="A1752" s="152"/>
      <c r="B1752" s="73"/>
      <c r="C1752" s="51" t="s">
        <v>924</v>
      </c>
      <c r="D1752" s="89" t="s">
        <v>245</v>
      </c>
      <c r="E1752" s="89"/>
      <c r="F1752" s="89"/>
      <c r="G1752" s="89"/>
      <c r="H1752" s="89"/>
      <c r="I1752" s="89"/>
      <c r="J1752" s="212"/>
      <c r="K1752" s="212"/>
      <c r="L1752" s="212"/>
      <c r="M1752" s="212"/>
      <c r="N1752" s="212">
        <f t="shared" si="45"/>
        <v>0</v>
      </c>
    </row>
    <row r="1753" spans="1:14" s="407" customFormat="1" ht="12.75" x14ac:dyDescent="0.2">
      <c r="A1753" s="152"/>
      <c r="B1753" s="73"/>
      <c r="C1753" s="51" t="s">
        <v>927</v>
      </c>
      <c r="D1753" s="89" t="s">
        <v>245</v>
      </c>
      <c r="E1753" s="89"/>
      <c r="F1753" s="89"/>
      <c r="G1753" s="89"/>
      <c r="H1753" s="89"/>
      <c r="I1753" s="89"/>
      <c r="J1753" s="212"/>
      <c r="K1753" s="212"/>
      <c r="L1753" s="212"/>
      <c r="M1753" s="212"/>
      <c r="N1753" s="212">
        <f t="shared" si="45"/>
        <v>0</v>
      </c>
    </row>
    <row r="1754" spans="1:14" s="407" customFormat="1" ht="12.75" x14ac:dyDescent="0.2">
      <c r="A1754" s="152"/>
      <c r="B1754" s="73"/>
      <c r="C1754" s="51" t="s">
        <v>951</v>
      </c>
      <c r="D1754" s="89" t="s">
        <v>245</v>
      </c>
      <c r="E1754" s="89"/>
      <c r="F1754" s="89"/>
      <c r="G1754" s="89"/>
      <c r="H1754" s="89"/>
      <c r="I1754" s="89"/>
      <c r="J1754" s="212"/>
      <c r="K1754" s="212"/>
      <c r="L1754" s="212"/>
      <c r="M1754" s="212"/>
      <c r="N1754" s="212">
        <f t="shared" si="45"/>
        <v>0</v>
      </c>
    </row>
    <row r="1755" spans="1:14" s="407" customFormat="1" ht="12.75" x14ac:dyDescent="0.2">
      <c r="A1755" s="152"/>
      <c r="B1755" s="73"/>
      <c r="C1755" s="51" t="s">
        <v>1055</v>
      </c>
      <c r="D1755" s="89" t="s">
        <v>245</v>
      </c>
      <c r="E1755" s="89"/>
      <c r="F1755" s="89"/>
      <c r="G1755" s="89"/>
      <c r="H1755" s="89"/>
      <c r="I1755" s="89"/>
      <c r="J1755" s="212"/>
      <c r="K1755" s="212"/>
      <c r="L1755" s="212"/>
      <c r="M1755" s="212"/>
      <c r="N1755" s="212">
        <f t="shared" si="45"/>
        <v>0</v>
      </c>
    </row>
    <row r="1756" spans="1:14" s="407" customFormat="1" ht="12.75" x14ac:dyDescent="0.2">
      <c r="A1756" s="152"/>
      <c r="B1756" s="73"/>
      <c r="C1756" s="51" t="s">
        <v>940</v>
      </c>
      <c r="D1756" s="89" t="s">
        <v>245</v>
      </c>
      <c r="E1756" s="89"/>
      <c r="F1756" s="89"/>
      <c r="G1756" s="89"/>
      <c r="H1756" s="89"/>
      <c r="I1756" s="89"/>
      <c r="J1756" s="212"/>
      <c r="K1756" s="212"/>
      <c r="L1756" s="212"/>
      <c r="M1756" s="212"/>
      <c r="N1756" s="212">
        <f t="shared" si="45"/>
        <v>0</v>
      </c>
    </row>
    <row r="1757" spans="1:14" s="407" customFormat="1" ht="12.75" x14ac:dyDescent="0.2">
      <c r="A1757" s="152"/>
      <c r="B1757" s="73"/>
      <c r="C1757" s="51" t="s">
        <v>941</v>
      </c>
      <c r="D1757" s="89" t="s">
        <v>245</v>
      </c>
      <c r="E1757" s="89"/>
      <c r="F1757" s="89"/>
      <c r="G1757" s="89"/>
      <c r="H1757" s="89"/>
      <c r="I1757" s="89"/>
      <c r="J1757" s="212"/>
      <c r="K1757" s="212"/>
      <c r="L1757" s="212"/>
      <c r="M1757" s="212"/>
      <c r="N1757" s="212">
        <f t="shared" si="45"/>
        <v>0</v>
      </c>
    </row>
    <row r="1758" spans="1:14" s="407" customFormat="1" ht="12.75" x14ac:dyDescent="0.2">
      <c r="A1758" s="152"/>
      <c r="B1758" s="73"/>
      <c r="C1758" s="51" t="s">
        <v>936</v>
      </c>
      <c r="D1758" s="89" t="s">
        <v>245</v>
      </c>
      <c r="E1758" s="89"/>
      <c r="F1758" s="89"/>
      <c r="G1758" s="89"/>
      <c r="H1758" s="89"/>
      <c r="I1758" s="89"/>
      <c r="J1758" s="212"/>
      <c r="K1758" s="212"/>
      <c r="L1758" s="212"/>
      <c r="M1758" s="212"/>
      <c r="N1758" s="212">
        <f t="shared" si="45"/>
        <v>0</v>
      </c>
    </row>
    <row r="1759" spans="1:14" s="407" customFormat="1" ht="12.75" x14ac:dyDescent="0.2">
      <c r="A1759" s="152"/>
      <c r="B1759" s="73"/>
      <c r="C1759" s="51" t="s">
        <v>937</v>
      </c>
      <c r="D1759" s="89" t="s">
        <v>245</v>
      </c>
      <c r="E1759" s="89"/>
      <c r="F1759" s="89"/>
      <c r="G1759" s="89"/>
      <c r="H1759" s="89"/>
      <c r="I1759" s="89"/>
      <c r="J1759" s="212"/>
      <c r="K1759" s="212"/>
      <c r="L1759" s="212"/>
      <c r="M1759" s="212"/>
      <c r="N1759" s="212">
        <f t="shared" si="45"/>
        <v>50</v>
      </c>
    </row>
    <row r="1760" spans="1:14" s="407" customFormat="1" ht="12.75" x14ac:dyDescent="0.2">
      <c r="A1760" s="152"/>
      <c r="B1760" s="73"/>
      <c r="C1760" s="51" t="s">
        <v>932</v>
      </c>
      <c r="D1760" s="89" t="s">
        <v>245</v>
      </c>
      <c r="E1760" s="89"/>
      <c r="F1760" s="89"/>
      <c r="G1760" s="89"/>
      <c r="H1760" s="89"/>
      <c r="I1760" s="89"/>
      <c r="J1760" s="212"/>
      <c r="K1760" s="212"/>
      <c r="L1760" s="212"/>
      <c r="M1760" s="212"/>
      <c r="N1760" s="212">
        <f t="shared" si="45"/>
        <v>0</v>
      </c>
    </row>
    <row r="1761" spans="1:14" s="407" customFormat="1" ht="12.75" x14ac:dyDescent="0.2">
      <c r="A1761" s="152"/>
      <c r="B1761" s="73"/>
      <c r="C1761" s="51" t="s">
        <v>933</v>
      </c>
      <c r="D1761" s="89" t="s">
        <v>245</v>
      </c>
      <c r="E1761" s="89"/>
      <c r="F1761" s="89"/>
      <c r="G1761" s="89"/>
      <c r="H1761" s="89"/>
      <c r="I1761" s="89"/>
      <c r="J1761" s="212"/>
      <c r="K1761" s="212"/>
      <c r="L1761" s="212"/>
      <c r="M1761" s="212"/>
      <c r="N1761" s="212">
        <f t="shared" si="45"/>
        <v>0</v>
      </c>
    </row>
    <row r="1762" spans="1:14" s="407" customFormat="1" ht="12.75" x14ac:dyDescent="0.2">
      <c r="A1762" s="152"/>
      <c r="B1762" s="73"/>
      <c r="C1762" s="51" t="s">
        <v>952</v>
      </c>
      <c r="D1762" s="89" t="s">
        <v>245</v>
      </c>
      <c r="E1762" s="89"/>
      <c r="F1762" s="89"/>
      <c r="G1762" s="89"/>
      <c r="H1762" s="89"/>
      <c r="I1762" s="89"/>
      <c r="J1762" s="212"/>
      <c r="K1762" s="212"/>
      <c r="L1762" s="212"/>
      <c r="M1762" s="212"/>
      <c r="N1762" s="212">
        <f t="shared" si="45"/>
        <v>0</v>
      </c>
    </row>
    <row r="1763" spans="1:14" s="407" customFormat="1" ht="12.75" x14ac:dyDescent="0.2">
      <c r="A1763" s="152"/>
      <c r="B1763" s="73"/>
      <c r="C1763" s="51" t="s">
        <v>923</v>
      </c>
      <c r="D1763" s="89" t="s">
        <v>245</v>
      </c>
      <c r="E1763" s="89"/>
      <c r="F1763" s="89"/>
      <c r="G1763" s="89"/>
      <c r="H1763" s="89"/>
      <c r="I1763" s="89"/>
      <c r="J1763" s="212"/>
      <c r="K1763" s="212"/>
      <c r="L1763" s="212"/>
      <c r="M1763" s="212"/>
      <c r="N1763" s="212">
        <f t="shared" si="45"/>
        <v>0</v>
      </c>
    </row>
    <row r="1764" spans="1:14" s="407" customFormat="1" ht="12.75" x14ac:dyDescent="0.2">
      <c r="A1764" s="152"/>
      <c r="B1764" s="73"/>
      <c r="C1764" s="51" t="s">
        <v>925</v>
      </c>
      <c r="D1764" s="89" t="s">
        <v>245</v>
      </c>
      <c r="E1764" s="89"/>
      <c r="F1764" s="89"/>
      <c r="G1764" s="89"/>
      <c r="H1764" s="89"/>
      <c r="I1764" s="89"/>
      <c r="J1764" s="212"/>
      <c r="K1764" s="212"/>
      <c r="L1764" s="212"/>
      <c r="M1764" s="212"/>
      <c r="N1764" s="212">
        <f t="shared" si="45"/>
        <v>0</v>
      </c>
    </row>
    <row r="1765" spans="1:14" s="407" customFormat="1" ht="12.75" x14ac:dyDescent="0.2">
      <c r="A1765" s="152"/>
      <c r="B1765" s="73"/>
      <c r="C1765" s="51" t="s">
        <v>950</v>
      </c>
      <c r="D1765" s="89" t="s">
        <v>245</v>
      </c>
      <c r="E1765" s="89"/>
      <c r="F1765" s="89"/>
      <c r="G1765" s="89"/>
      <c r="H1765" s="89"/>
      <c r="I1765" s="89"/>
      <c r="J1765" s="212"/>
      <c r="K1765" s="212"/>
      <c r="L1765" s="212"/>
      <c r="M1765" s="212"/>
      <c r="N1765" s="212">
        <f t="shared" si="45"/>
        <v>0</v>
      </c>
    </row>
    <row r="1766" spans="1:14" s="407" customFormat="1" ht="12.75" x14ac:dyDescent="0.2">
      <c r="A1766" s="152"/>
      <c r="B1766" s="73"/>
      <c r="C1766" s="51" t="s">
        <v>1054</v>
      </c>
      <c r="D1766" s="89" t="s">
        <v>245</v>
      </c>
      <c r="E1766" s="89"/>
      <c r="F1766" s="89"/>
      <c r="G1766" s="89"/>
      <c r="H1766" s="89"/>
      <c r="I1766" s="89"/>
      <c r="J1766" s="212"/>
      <c r="K1766" s="212"/>
      <c r="L1766" s="212"/>
      <c r="M1766" s="212"/>
      <c r="N1766" s="212">
        <f t="shared" si="45"/>
        <v>0</v>
      </c>
    </row>
    <row r="1767" spans="1:14" s="407" customFormat="1" ht="12.75" x14ac:dyDescent="0.2">
      <c r="A1767" s="152"/>
      <c r="B1767" s="73"/>
      <c r="C1767" s="51" t="s">
        <v>921</v>
      </c>
      <c r="D1767" s="89" t="s">
        <v>245</v>
      </c>
      <c r="E1767" s="89"/>
      <c r="F1767" s="89"/>
      <c r="G1767" s="89"/>
      <c r="H1767" s="89"/>
      <c r="I1767" s="89"/>
      <c r="J1767" s="212"/>
      <c r="K1767" s="212"/>
      <c r="L1767" s="212"/>
      <c r="M1767" s="212"/>
      <c r="N1767" s="212">
        <f t="shared" si="45"/>
        <v>0</v>
      </c>
    </row>
    <row r="1768" spans="1:14" s="407" customFormat="1" ht="12.75" x14ac:dyDescent="0.2">
      <c r="A1768" s="152"/>
      <c r="B1768" s="73"/>
      <c r="C1768" s="51" t="s">
        <v>1022</v>
      </c>
      <c r="D1768" s="89" t="s">
        <v>245</v>
      </c>
      <c r="E1768" s="89"/>
      <c r="F1768" s="89"/>
      <c r="G1768" s="89"/>
      <c r="H1768" s="89"/>
      <c r="I1768" s="89"/>
      <c r="J1768" s="212"/>
      <c r="K1768" s="212"/>
      <c r="L1768" s="212"/>
      <c r="M1768" s="212"/>
      <c r="N1768" s="212">
        <f t="shared" si="45"/>
        <v>0</v>
      </c>
    </row>
    <row r="1769" spans="1:14" s="407" customFormat="1" ht="12.75" x14ac:dyDescent="0.2">
      <c r="A1769" s="152"/>
      <c r="B1769" s="73"/>
      <c r="C1769" s="51" t="s">
        <v>1023</v>
      </c>
      <c r="D1769" s="89" t="s">
        <v>245</v>
      </c>
      <c r="E1769" s="89"/>
      <c r="F1769" s="89"/>
      <c r="G1769" s="89"/>
      <c r="H1769" s="89"/>
      <c r="I1769" s="89"/>
      <c r="J1769" s="212"/>
      <c r="K1769" s="212"/>
      <c r="L1769" s="212"/>
      <c r="M1769" s="212"/>
      <c r="N1769" s="212">
        <f t="shared" si="45"/>
        <v>0</v>
      </c>
    </row>
    <row r="1770" spans="1:14" s="407" customFormat="1" ht="12.75" x14ac:dyDescent="0.2">
      <c r="A1770" s="152"/>
      <c r="B1770" s="73"/>
      <c r="C1770" s="51" t="s">
        <v>137</v>
      </c>
      <c r="D1770" s="89" t="s">
        <v>245</v>
      </c>
      <c r="E1770" s="89"/>
      <c r="F1770" s="89"/>
      <c r="G1770" s="89"/>
      <c r="H1770" s="89"/>
      <c r="I1770" s="89"/>
      <c r="J1770" s="212"/>
      <c r="K1770" s="212"/>
      <c r="L1770" s="212"/>
      <c r="M1770" s="212"/>
      <c r="N1770" s="212">
        <f t="shared" si="45"/>
        <v>0</v>
      </c>
    </row>
    <row r="1771" spans="1:14" s="407" customFormat="1" ht="12.75" x14ac:dyDescent="0.2">
      <c r="A1771" s="152"/>
      <c r="B1771" s="73"/>
      <c r="C1771" s="51" t="s">
        <v>956</v>
      </c>
      <c r="D1771" s="89" t="s">
        <v>245</v>
      </c>
      <c r="E1771" s="89"/>
      <c r="F1771" s="89"/>
      <c r="G1771" s="89"/>
      <c r="H1771" s="89"/>
      <c r="I1771" s="89"/>
      <c r="J1771" s="212"/>
      <c r="K1771" s="212"/>
      <c r="L1771" s="212"/>
      <c r="M1771" s="212"/>
      <c r="N1771" s="212">
        <f t="shared" si="45"/>
        <v>0</v>
      </c>
    </row>
    <row r="1772" spans="1:14" s="407" customFormat="1" ht="12.75" x14ac:dyDescent="0.2">
      <c r="A1772" s="152"/>
      <c r="B1772" s="73"/>
      <c r="C1772" s="51" t="s">
        <v>1045</v>
      </c>
      <c r="D1772" s="89" t="s">
        <v>245</v>
      </c>
      <c r="E1772" s="89"/>
      <c r="F1772" s="89"/>
      <c r="G1772" s="89"/>
      <c r="H1772" s="89"/>
      <c r="I1772" s="89"/>
      <c r="J1772" s="212"/>
      <c r="K1772" s="212"/>
      <c r="L1772" s="212"/>
      <c r="M1772" s="212"/>
      <c r="N1772" s="212">
        <f t="shared" si="45"/>
        <v>0</v>
      </c>
    </row>
    <row r="1773" spans="1:14" s="407" customFormat="1" ht="12.75" x14ac:dyDescent="0.2">
      <c r="A1773" s="152"/>
      <c r="B1773" s="73"/>
      <c r="C1773" s="51" t="s">
        <v>1046</v>
      </c>
      <c r="D1773" s="89" t="s">
        <v>245</v>
      </c>
      <c r="E1773" s="89"/>
      <c r="F1773" s="89"/>
      <c r="G1773" s="89"/>
      <c r="H1773" s="89"/>
      <c r="I1773" s="89"/>
      <c r="J1773" s="212"/>
      <c r="K1773" s="212"/>
      <c r="L1773" s="212"/>
      <c r="M1773" s="212"/>
      <c r="N1773" s="212">
        <f t="shared" si="45"/>
        <v>0</v>
      </c>
    </row>
    <row r="1774" spans="1:14" s="407" customFormat="1" ht="12.75" x14ac:dyDescent="0.2">
      <c r="A1774" s="152"/>
      <c r="B1774" s="73"/>
      <c r="C1774" s="51" t="s">
        <v>1036</v>
      </c>
      <c r="D1774" s="89" t="s">
        <v>245</v>
      </c>
      <c r="E1774" s="89"/>
      <c r="F1774" s="89"/>
      <c r="G1774" s="89"/>
      <c r="H1774" s="89"/>
      <c r="I1774" s="89"/>
      <c r="J1774" s="212"/>
      <c r="K1774" s="212"/>
      <c r="L1774" s="212"/>
      <c r="M1774" s="212"/>
      <c r="N1774" s="212">
        <f t="shared" si="45"/>
        <v>0</v>
      </c>
    </row>
    <row r="1775" spans="1:14" s="407" customFormat="1" ht="12.75" x14ac:dyDescent="0.2">
      <c r="A1775" s="152"/>
      <c r="B1775" s="73"/>
      <c r="C1775" s="51" t="s">
        <v>1037</v>
      </c>
      <c r="D1775" s="89" t="s">
        <v>245</v>
      </c>
      <c r="E1775" s="89"/>
      <c r="F1775" s="89"/>
      <c r="G1775" s="89"/>
      <c r="H1775" s="89"/>
      <c r="I1775" s="89"/>
      <c r="J1775" s="212"/>
      <c r="K1775" s="212"/>
      <c r="L1775" s="212"/>
      <c r="M1775" s="212"/>
      <c r="N1775" s="212">
        <f t="shared" si="45"/>
        <v>0</v>
      </c>
    </row>
    <row r="1776" spans="1:14" s="407" customFormat="1" ht="12.75" x14ac:dyDescent="0.2">
      <c r="A1776" s="152"/>
      <c r="B1776" s="73"/>
      <c r="C1776" s="51" t="s">
        <v>990</v>
      </c>
      <c r="D1776" s="89" t="s">
        <v>245</v>
      </c>
      <c r="E1776" s="89"/>
      <c r="F1776" s="89"/>
      <c r="G1776" s="89"/>
      <c r="H1776" s="89"/>
      <c r="I1776" s="89"/>
      <c r="J1776" s="212"/>
      <c r="K1776" s="212"/>
      <c r="L1776" s="212"/>
      <c r="M1776" s="212"/>
      <c r="N1776" s="212">
        <f t="shared" si="45"/>
        <v>0</v>
      </c>
    </row>
    <row r="1777" spans="1:14" s="407" customFormat="1" ht="12.75" x14ac:dyDescent="0.2">
      <c r="A1777" s="152"/>
      <c r="B1777" s="73"/>
      <c r="C1777" s="51" t="s">
        <v>1040</v>
      </c>
      <c r="D1777" s="89" t="s">
        <v>245</v>
      </c>
      <c r="E1777" s="89"/>
      <c r="F1777" s="89"/>
      <c r="G1777" s="89"/>
      <c r="H1777" s="89"/>
      <c r="I1777" s="89"/>
      <c r="J1777" s="212"/>
      <c r="K1777" s="212"/>
      <c r="L1777" s="212"/>
      <c r="M1777" s="212"/>
      <c r="N1777" s="212">
        <f t="shared" si="45"/>
        <v>0</v>
      </c>
    </row>
    <row r="1778" spans="1:14" s="407" customFormat="1" ht="12.75" x14ac:dyDescent="0.2">
      <c r="A1778" s="152"/>
      <c r="B1778" s="73"/>
      <c r="C1778" s="51" t="s">
        <v>991</v>
      </c>
      <c r="D1778" s="89" t="s">
        <v>245</v>
      </c>
      <c r="E1778" s="89"/>
      <c r="F1778" s="89"/>
      <c r="G1778" s="89"/>
      <c r="H1778" s="89"/>
      <c r="I1778" s="89"/>
      <c r="J1778" s="212"/>
      <c r="K1778" s="212"/>
      <c r="L1778" s="212"/>
      <c r="M1778" s="212"/>
      <c r="N1778" s="212">
        <f t="shared" si="45"/>
        <v>0</v>
      </c>
    </row>
    <row r="1779" spans="1:14" s="407" customFormat="1" ht="12.75" x14ac:dyDescent="0.2">
      <c r="A1779" s="152"/>
      <c r="B1779" s="73"/>
      <c r="C1779" s="51" t="s">
        <v>959</v>
      </c>
      <c r="D1779" s="89" t="s">
        <v>245</v>
      </c>
      <c r="E1779" s="89"/>
      <c r="F1779" s="89"/>
      <c r="G1779" s="89"/>
      <c r="H1779" s="89"/>
      <c r="I1779" s="89"/>
      <c r="J1779" s="212"/>
      <c r="K1779" s="212"/>
      <c r="L1779" s="212"/>
      <c r="M1779" s="212"/>
      <c r="N1779" s="212">
        <f t="shared" si="45"/>
        <v>0</v>
      </c>
    </row>
    <row r="1780" spans="1:14" s="407" customFormat="1" ht="12.75" x14ac:dyDescent="0.2">
      <c r="A1780" s="152"/>
      <c r="B1780" s="73"/>
      <c r="C1780" s="51" t="s">
        <v>964</v>
      </c>
      <c r="D1780" s="89" t="s">
        <v>245</v>
      </c>
      <c r="E1780" s="89"/>
      <c r="F1780" s="89"/>
      <c r="G1780" s="89"/>
      <c r="H1780" s="89"/>
      <c r="I1780" s="89"/>
      <c r="J1780" s="212"/>
      <c r="K1780" s="212"/>
      <c r="L1780" s="212"/>
      <c r="M1780" s="212"/>
      <c r="N1780" s="212">
        <f t="shared" si="45"/>
        <v>0</v>
      </c>
    </row>
    <row r="1781" spans="1:14" s="407" customFormat="1" ht="12.75" x14ac:dyDescent="0.2">
      <c r="A1781" s="152"/>
      <c r="B1781" s="73"/>
      <c r="C1781" s="51" t="s">
        <v>1003</v>
      </c>
      <c r="D1781" s="89" t="s">
        <v>245</v>
      </c>
      <c r="E1781" s="89"/>
      <c r="F1781" s="89"/>
      <c r="G1781" s="89"/>
      <c r="H1781" s="89"/>
      <c r="I1781" s="89"/>
      <c r="J1781" s="212"/>
      <c r="K1781" s="212"/>
      <c r="L1781" s="212"/>
      <c r="M1781" s="212"/>
      <c r="N1781" s="212">
        <f t="shared" si="45"/>
        <v>0</v>
      </c>
    </row>
    <row r="1782" spans="1:14" s="407" customFormat="1" ht="12.75" x14ac:dyDescent="0.2">
      <c r="A1782" s="152"/>
      <c r="B1782" s="73"/>
      <c r="C1782" s="51" t="s">
        <v>992</v>
      </c>
      <c r="D1782" s="89" t="s">
        <v>245</v>
      </c>
      <c r="E1782" s="89"/>
      <c r="F1782" s="89"/>
      <c r="G1782" s="89"/>
      <c r="H1782" s="89"/>
      <c r="I1782" s="89"/>
      <c r="J1782" s="212"/>
      <c r="K1782" s="212"/>
      <c r="L1782" s="212"/>
      <c r="M1782" s="212"/>
      <c r="N1782" s="212">
        <f t="shared" si="45"/>
        <v>0</v>
      </c>
    </row>
    <row r="1783" spans="1:14" s="407" customFormat="1" ht="12.75" x14ac:dyDescent="0.2">
      <c r="A1783" s="152"/>
      <c r="B1783" s="73"/>
      <c r="C1783" s="51" t="s">
        <v>994</v>
      </c>
      <c r="D1783" s="89" t="s">
        <v>245</v>
      </c>
      <c r="E1783" s="89"/>
      <c r="F1783" s="89"/>
      <c r="G1783" s="89"/>
      <c r="H1783" s="89"/>
      <c r="I1783" s="89"/>
      <c r="J1783" s="212"/>
      <c r="K1783" s="212"/>
      <c r="L1783" s="212"/>
      <c r="M1783" s="212"/>
      <c r="N1783" s="212">
        <f t="shared" si="45"/>
        <v>0</v>
      </c>
    </row>
    <row r="1784" spans="1:14" s="407" customFormat="1" ht="12.75" x14ac:dyDescent="0.2">
      <c r="A1784" s="152"/>
      <c r="B1784" s="73"/>
      <c r="C1784" s="51" t="s">
        <v>993</v>
      </c>
      <c r="D1784" s="89" t="s">
        <v>245</v>
      </c>
      <c r="E1784" s="89"/>
      <c r="F1784" s="89"/>
      <c r="G1784" s="89"/>
      <c r="H1784" s="89"/>
      <c r="I1784" s="89"/>
      <c r="J1784" s="212"/>
      <c r="K1784" s="212"/>
      <c r="L1784" s="212"/>
      <c r="M1784" s="212"/>
      <c r="N1784" s="212">
        <f t="shared" si="45"/>
        <v>0</v>
      </c>
    </row>
    <row r="1785" spans="1:14" s="407" customFormat="1" ht="12.75" x14ac:dyDescent="0.2">
      <c r="A1785" s="152"/>
      <c r="B1785" s="73"/>
      <c r="C1785" s="51" t="s">
        <v>995</v>
      </c>
      <c r="D1785" s="89" t="s">
        <v>245</v>
      </c>
      <c r="E1785" s="89"/>
      <c r="F1785" s="89"/>
      <c r="G1785" s="89"/>
      <c r="H1785" s="89"/>
      <c r="I1785" s="89"/>
      <c r="J1785" s="212"/>
      <c r="K1785" s="212"/>
      <c r="L1785" s="212"/>
      <c r="M1785" s="212"/>
      <c r="N1785" s="212">
        <f t="shared" si="45"/>
        <v>0</v>
      </c>
    </row>
    <row r="1786" spans="1:14" s="407" customFormat="1" ht="12.75" x14ac:dyDescent="0.2">
      <c r="A1786" s="152"/>
      <c r="B1786" s="73"/>
      <c r="C1786" s="51" t="s">
        <v>1001</v>
      </c>
      <c r="D1786" s="89" t="s">
        <v>245</v>
      </c>
      <c r="E1786" s="89"/>
      <c r="F1786" s="89"/>
      <c r="G1786" s="89"/>
      <c r="H1786" s="89"/>
      <c r="I1786" s="89"/>
      <c r="J1786" s="212"/>
      <c r="K1786" s="212"/>
      <c r="L1786" s="212"/>
      <c r="M1786" s="212"/>
      <c r="N1786" s="212">
        <f t="shared" si="45"/>
        <v>0</v>
      </c>
    </row>
    <row r="1787" spans="1:14" s="407" customFormat="1" ht="12.75" x14ac:dyDescent="0.2">
      <c r="A1787" s="152"/>
      <c r="B1787" s="73"/>
      <c r="C1787" s="51" t="s">
        <v>978</v>
      </c>
      <c r="D1787" s="89" t="s">
        <v>245</v>
      </c>
      <c r="E1787" s="89"/>
      <c r="F1787" s="89"/>
      <c r="G1787" s="89"/>
      <c r="H1787" s="89"/>
      <c r="I1787" s="89"/>
      <c r="J1787" s="212"/>
      <c r="K1787" s="212"/>
      <c r="L1787" s="212"/>
      <c r="M1787" s="212"/>
      <c r="N1787" s="212">
        <f t="shared" si="45"/>
        <v>0</v>
      </c>
    </row>
    <row r="1788" spans="1:14" s="407" customFormat="1" ht="12.75" x14ac:dyDescent="0.2">
      <c r="A1788" s="152"/>
      <c r="B1788" s="73"/>
      <c r="C1788" s="51" t="s">
        <v>494</v>
      </c>
      <c r="D1788" s="89" t="s">
        <v>245</v>
      </c>
      <c r="E1788" s="89"/>
      <c r="F1788" s="89"/>
      <c r="G1788" s="89"/>
      <c r="H1788" s="89"/>
      <c r="I1788" s="89"/>
      <c r="J1788" s="212"/>
      <c r="K1788" s="212"/>
      <c r="L1788" s="212"/>
      <c r="M1788" s="212"/>
      <c r="N1788" s="212">
        <f t="shared" si="45"/>
        <v>0</v>
      </c>
    </row>
    <row r="1789" spans="1:14" s="407" customFormat="1" ht="12.75" x14ac:dyDescent="0.2">
      <c r="A1789" s="152"/>
      <c r="B1789" s="73"/>
      <c r="C1789" s="51" t="s">
        <v>976</v>
      </c>
      <c r="D1789" s="89" t="s">
        <v>245</v>
      </c>
      <c r="E1789" s="89"/>
      <c r="F1789" s="89"/>
      <c r="G1789" s="89"/>
      <c r="H1789" s="89"/>
      <c r="I1789" s="89"/>
      <c r="J1789" s="212"/>
      <c r="K1789" s="212"/>
      <c r="L1789" s="212"/>
      <c r="M1789" s="212"/>
      <c r="N1789" s="212">
        <f t="shared" si="45"/>
        <v>0</v>
      </c>
    </row>
    <row r="1790" spans="1:14" s="407" customFormat="1" ht="12.75" x14ac:dyDescent="0.2">
      <c r="A1790" s="152"/>
      <c r="B1790" s="73"/>
      <c r="C1790" s="51" t="s">
        <v>1002</v>
      </c>
      <c r="D1790" s="89" t="s">
        <v>245</v>
      </c>
      <c r="E1790" s="89"/>
      <c r="F1790" s="89"/>
      <c r="G1790" s="89"/>
      <c r="H1790" s="89"/>
      <c r="I1790" s="89"/>
      <c r="J1790" s="212"/>
      <c r="K1790" s="212"/>
      <c r="L1790" s="212"/>
      <c r="M1790" s="212"/>
      <c r="N1790" s="212">
        <f t="shared" si="45"/>
        <v>0</v>
      </c>
    </row>
    <row r="1791" spans="1:14" s="407" customFormat="1" ht="12.75" x14ac:dyDescent="0.2">
      <c r="A1791" s="152"/>
      <c r="B1791" s="73"/>
      <c r="C1791" s="51" t="s">
        <v>1014</v>
      </c>
      <c r="D1791" s="89" t="s">
        <v>245</v>
      </c>
      <c r="E1791" s="89"/>
      <c r="F1791" s="89"/>
      <c r="G1791" s="89"/>
      <c r="H1791" s="89"/>
      <c r="I1791" s="89"/>
      <c r="J1791" s="212"/>
      <c r="K1791" s="212"/>
      <c r="L1791" s="212"/>
      <c r="M1791" s="212"/>
      <c r="N1791" s="212">
        <f t="shared" si="45"/>
        <v>0</v>
      </c>
    </row>
    <row r="1792" spans="1:14" s="407" customFormat="1" ht="12.75" x14ac:dyDescent="0.2">
      <c r="A1792" s="152"/>
      <c r="B1792" s="73"/>
      <c r="C1792" s="51" t="s">
        <v>998</v>
      </c>
      <c r="D1792" s="89" t="s">
        <v>245</v>
      </c>
      <c r="E1792" s="89"/>
      <c r="F1792" s="89"/>
      <c r="G1792" s="89"/>
      <c r="H1792" s="89"/>
      <c r="I1792" s="89"/>
      <c r="J1792" s="212"/>
      <c r="K1792" s="212"/>
      <c r="L1792" s="212"/>
      <c r="M1792" s="212"/>
      <c r="N1792" s="212">
        <f t="shared" si="45"/>
        <v>0</v>
      </c>
    </row>
    <row r="1793" spans="1:14" s="407" customFormat="1" ht="12.75" x14ac:dyDescent="0.2">
      <c r="A1793" s="152"/>
      <c r="B1793" s="73"/>
      <c r="C1793" s="51" t="s">
        <v>996</v>
      </c>
      <c r="D1793" s="89" t="s">
        <v>245</v>
      </c>
      <c r="E1793" s="89"/>
      <c r="F1793" s="89"/>
      <c r="G1793" s="89"/>
      <c r="H1793" s="89"/>
      <c r="I1793" s="89"/>
      <c r="J1793" s="212"/>
      <c r="K1793" s="212"/>
      <c r="L1793" s="212"/>
      <c r="M1793" s="212"/>
      <c r="N1793" s="212">
        <f t="shared" si="45"/>
        <v>0</v>
      </c>
    </row>
    <row r="1794" spans="1:14" s="407" customFormat="1" ht="12.75" x14ac:dyDescent="0.2">
      <c r="A1794" s="152"/>
      <c r="B1794" s="73"/>
      <c r="C1794" s="51" t="s">
        <v>1043</v>
      </c>
      <c r="D1794" s="89" t="s">
        <v>245</v>
      </c>
      <c r="E1794" s="89"/>
      <c r="F1794" s="89"/>
      <c r="G1794" s="89"/>
      <c r="H1794" s="89"/>
      <c r="I1794" s="89"/>
      <c r="J1794" s="212"/>
      <c r="K1794" s="212"/>
      <c r="L1794" s="212"/>
      <c r="M1794" s="212"/>
      <c r="N1794" s="212">
        <f t="shared" si="45"/>
        <v>0</v>
      </c>
    </row>
    <row r="1795" spans="1:14" s="407" customFormat="1" ht="12.75" x14ac:dyDescent="0.2">
      <c r="A1795" s="152"/>
      <c r="B1795" s="73"/>
      <c r="C1795" s="51" t="s">
        <v>1044</v>
      </c>
      <c r="D1795" s="89" t="s">
        <v>245</v>
      </c>
      <c r="E1795" s="89"/>
      <c r="F1795" s="89"/>
      <c r="G1795" s="89"/>
      <c r="H1795" s="89"/>
      <c r="I1795" s="89"/>
      <c r="J1795" s="212"/>
      <c r="K1795" s="212"/>
      <c r="L1795" s="212"/>
      <c r="M1795" s="212"/>
      <c r="N1795" s="212">
        <f t="shared" si="45"/>
        <v>43.49</v>
      </c>
    </row>
    <row r="1796" spans="1:14" s="407" customFormat="1" ht="12.75" x14ac:dyDescent="0.2">
      <c r="A1796" s="152"/>
      <c r="B1796" s="73"/>
      <c r="C1796" s="51" t="s">
        <v>1039</v>
      </c>
      <c r="D1796" s="89" t="s">
        <v>245</v>
      </c>
      <c r="E1796" s="89"/>
      <c r="F1796" s="89"/>
      <c r="G1796" s="89"/>
      <c r="H1796" s="89"/>
      <c r="I1796" s="89"/>
      <c r="J1796" s="212"/>
      <c r="K1796" s="212"/>
      <c r="L1796" s="212"/>
      <c r="M1796" s="212"/>
      <c r="N1796" s="212">
        <f t="shared" si="45"/>
        <v>0</v>
      </c>
    </row>
    <row r="1797" spans="1:14" s="407" customFormat="1" ht="12.75" x14ac:dyDescent="0.2">
      <c r="A1797" s="152"/>
      <c r="B1797" s="73"/>
      <c r="C1797" s="51" t="s">
        <v>1028</v>
      </c>
      <c r="D1797" s="89" t="s">
        <v>245</v>
      </c>
      <c r="E1797" s="89"/>
      <c r="F1797" s="89"/>
      <c r="G1797" s="89"/>
      <c r="H1797" s="89"/>
      <c r="I1797" s="89"/>
      <c r="J1797" s="212"/>
      <c r="K1797" s="212"/>
      <c r="L1797" s="212"/>
      <c r="M1797" s="212"/>
      <c r="N1797" s="212">
        <f t="shared" si="45"/>
        <v>0</v>
      </c>
    </row>
    <row r="1798" spans="1:14" s="407" customFormat="1" ht="12.75" x14ac:dyDescent="0.2">
      <c r="A1798" s="152"/>
      <c r="B1798" s="73"/>
      <c r="C1798" s="51" t="s">
        <v>1029</v>
      </c>
      <c r="D1798" s="89" t="s">
        <v>245</v>
      </c>
      <c r="E1798" s="89"/>
      <c r="F1798" s="89"/>
      <c r="G1798" s="89"/>
      <c r="H1798" s="89"/>
      <c r="I1798" s="89"/>
      <c r="J1798" s="212"/>
      <c r="K1798" s="212"/>
      <c r="L1798" s="212"/>
      <c r="M1798" s="212"/>
      <c r="N1798" s="212">
        <f t="shared" si="45"/>
        <v>0</v>
      </c>
    </row>
    <row r="1799" spans="1:14" s="407" customFormat="1" ht="12.75" x14ac:dyDescent="0.2">
      <c r="A1799" s="152"/>
      <c r="B1799" s="73"/>
      <c r="C1799" s="51" t="s">
        <v>113</v>
      </c>
      <c r="D1799" s="89" t="s">
        <v>245</v>
      </c>
      <c r="E1799" s="89"/>
      <c r="F1799" s="89"/>
      <c r="G1799" s="89"/>
      <c r="H1799" s="89"/>
      <c r="I1799" s="89"/>
      <c r="J1799" s="212"/>
      <c r="K1799" s="212"/>
      <c r="L1799" s="212"/>
      <c r="M1799" s="212"/>
      <c r="N1799" s="212">
        <f t="shared" si="45"/>
        <v>0</v>
      </c>
    </row>
    <row r="1800" spans="1:14" s="407" customFormat="1" ht="12.75" x14ac:dyDescent="0.2">
      <c r="A1800" s="152"/>
      <c r="B1800" s="73"/>
      <c r="C1800" s="51" t="s">
        <v>1038</v>
      </c>
      <c r="D1800" s="89" t="s">
        <v>245</v>
      </c>
      <c r="E1800" s="89"/>
      <c r="F1800" s="89"/>
      <c r="G1800" s="89"/>
      <c r="H1800" s="89"/>
      <c r="I1800" s="89"/>
      <c r="J1800" s="212"/>
      <c r="K1800" s="212"/>
      <c r="L1800" s="212"/>
      <c r="M1800" s="212"/>
      <c r="N1800" s="212">
        <f t="shared" si="45"/>
        <v>0</v>
      </c>
    </row>
    <row r="1801" spans="1:14" s="407" customFormat="1" ht="12.75" x14ac:dyDescent="0.2">
      <c r="A1801" s="152"/>
      <c r="B1801" s="73"/>
      <c r="C1801" s="51" t="s">
        <v>1033</v>
      </c>
      <c r="D1801" s="89" t="s">
        <v>245</v>
      </c>
      <c r="E1801" s="89"/>
      <c r="F1801" s="89"/>
      <c r="G1801" s="89"/>
      <c r="H1801" s="89"/>
      <c r="I1801" s="89"/>
      <c r="J1801" s="212"/>
      <c r="K1801" s="212"/>
      <c r="L1801" s="212"/>
      <c r="M1801" s="212"/>
      <c r="N1801" s="212">
        <f t="shared" si="45"/>
        <v>0</v>
      </c>
    </row>
    <row r="1802" spans="1:14" s="407" customFormat="1" ht="12.75" x14ac:dyDescent="0.2">
      <c r="A1802" s="152"/>
      <c r="B1802" s="73"/>
      <c r="C1802" s="51" t="s">
        <v>1007</v>
      </c>
      <c r="D1802" s="89" t="s">
        <v>245</v>
      </c>
      <c r="E1802" s="89"/>
      <c r="F1802" s="89"/>
      <c r="G1802" s="89"/>
      <c r="H1802" s="89"/>
      <c r="I1802" s="89"/>
      <c r="J1802" s="212"/>
      <c r="K1802" s="212"/>
      <c r="L1802" s="212"/>
      <c r="M1802" s="212"/>
      <c r="N1802" s="212">
        <f t="shared" si="45"/>
        <v>0</v>
      </c>
    </row>
    <row r="1803" spans="1:14" s="407" customFormat="1" ht="12.75" x14ac:dyDescent="0.2">
      <c r="A1803" s="152"/>
      <c r="B1803" s="73"/>
      <c r="C1803" s="51" t="s">
        <v>969</v>
      </c>
      <c r="D1803" s="89" t="s">
        <v>245</v>
      </c>
      <c r="E1803" s="89"/>
      <c r="F1803" s="89"/>
      <c r="G1803" s="89"/>
      <c r="H1803" s="89"/>
      <c r="I1803" s="89"/>
      <c r="J1803" s="212"/>
      <c r="K1803" s="212"/>
      <c r="L1803" s="212"/>
      <c r="M1803" s="212"/>
      <c r="N1803" s="212">
        <f t="shared" si="45"/>
        <v>0</v>
      </c>
    </row>
    <row r="1804" spans="1:14" s="407" customFormat="1" ht="12.75" x14ac:dyDescent="0.2">
      <c r="A1804" s="152"/>
      <c r="B1804" s="73"/>
      <c r="C1804" s="51" t="s">
        <v>987</v>
      </c>
      <c r="D1804" s="89" t="s">
        <v>245</v>
      </c>
      <c r="E1804" s="89"/>
      <c r="F1804" s="89"/>
      <c r="G1804" s="89"/>
      <c r="H1804" s="89"/>
      <c r="I1804" s="89"/>
      <c r="J1804" s="212"/>
      <c r="K1804" s="212"/>
      <c r="L1804" s="212"/>
      <c r="M1804" s="212"/>
      <c r="N1804" s="212">
        <f t="shared" si="45"/>
        <v>0</v>
      </c>
    </row>
    <row r="1805" spans="1:14" s="407" customFormat="1" ht="12.75" x14ac:dyDescent="0.2">
      <c r="A1805" s="152"/>
      <c r="B1805" s="73"/>
      <c r="C1805" s="51" t="s">
        <v>1000</v>
      </c>
      <c r="D1805" s="89" t="s">
        <v>245</v>
      </c>
      <c r="E1805" s="89"/>
      <c r="F1805" s="89"/>
      <c r="G1805" s="89"/>
      <c r="H1805" s="89"/>
      <c r="I1805" s="89"/>
      <c r="J1805" s="212"/>
      <c r="K1805" s="212"/>
      <c r="L1805" s="212"/>
      <c r="M1805" s="212"/>
      <c r="N1805" s="212">
        <f t="shared" ref="N1805:N1868" si="46">SUMIFS(N$26:N$154,$C$26:$C$154,$C1805,$D$26:$D$154,$D1805)</f>
        <v>0</v>
      </c>
    </row>
    <row r="1806" spans="1:14" s="407" customFormat="1" ht="12.75" x14ac:dyDescent="0.2">
      <c r="A1806" s="152"/>
      <c r="B1806" s="73"/>
      <c r="C1806" s="51" t="s">
        <v>116</v>
      </c>
      <c r="D1806" s="89" t="s">
        <v>245</v>
      </c>
      <c r="E1806" s="89"/>
      <c r="F1806" s="89"/>
      <c r="G1806" s="89"/>
      <c r="H1806" s="89"/>
      <c r="I1806" s="89"/>
      <c r="J1806" s="212"/>
      <c r="K1806" s="212"/>
      <c r="L1806" s="212"/>
      <c r="M1806" s="212"/>
      <c r="N1806" s="212">
        <f t="shared" si="46"/>
        <v>0</v>
      </c>
    </row>
    <row r="1807" spans="1:14" s="407" customFormat="1" ht="12.75" x14ac:dyDescent="0.2">
      <c r="A1807" s="152"/>
      <c r="B1807" s="73"/>
      <c r="C1807" s="51" t="s">
        <v>114</v>
      </c>
      <c r="D1807" s="89" t="s">
        <v>245</v>
      </c>
      <c r="E1807" s="89"/>
      <c r="F1807" s="89"/>
      <c r="G1807" s="89"/>
      <c r="H1807" s="89"/>
      <c r="I1807" s="89"/>
      <c r="J1807" s="212"/>
      <c r="K1807" s="212"/>
      <c r="L1807" s="212"/>
      <c r="M1807" s="212"/>
      <c r="N1807" s="212">
        <f t="shared" si="46"/>
        <v>0</v>
      </c>
    </row>
    <row r="1808" spans="1:14" s="407" customFormat="1" ht="12.75" x14ac:dyDescent="0.2">
      <c r="A1808" s="152"/>
      <c r="B1808" s="73"/>
      <c r="C1808" s="51" t="s">
        <v>111</v>
      </c>
      <c r="D1808" s="89" t="s">
        <v>245</v>
      </c>
      <c r="E1808" s="89"/>
      <c r="F1808" s="89"/>
      <c r="G1808" s="89"/>
      <c r="H1808" s="89"/>
      <c r="I1808" s="89"/>
      <c r="J1808" s="212"/>
      <c r="K1808" s="212"/>
      <c r="L1808" s="212"/>
      <c r="M1808" s="212"/>
      <c r="N1808" s="212">
        <f t="shared" si="46"/>
        <v>0</v>
      </c>
    </row>
    <row r="1809" spans="1:14" s="407" customFormat="1" ht="12.75" x14ac:dyDescent="0.2">
      <c r="A1809" s="152"/>
      <c r="B1809" s="73"/>
      <c r="C1809" s="51" t="s">
        <v>117</v>
      </c>
      <c r="D1809" s="89" t="s">
        <v>245</v>
      </c>
      <c r="E1809" s="89"/>
      <c r="F1809" s="89"/>
      <c r="G1809" s="89"/>
      <c r="H1809" s="89"/>
      <c r="I1809" s="89"/>
      <c r="J1809" s="212"/>
      <c r="K1809" s="212"/>
      <c r="L1809" s="212"/>
      <c r="M1809" s="212"/>
      <c r="N1809" s="212">
        <f t="shared" si="46"/>
        <v>0</v>
      </c>
    </row>
    <row r="1810" spans="1:14" s="407" customFormat="1" ht="12.75" x14ac:dyDescent="0.2">
      <c r="A1810" s="152"/>
      <c r="B1810" s="73"/>
      <c r="C1810" s="51" t="s">
        <v>112</v>
      </c>
      <c r="D1810" s="89" t="s">
        <v>245</v>
      </c>
      <c r="E1810" s="89"/>
      <c r="F1810" s="89"/>
      <c r="G1810" s="89"/>
      <c r="H1810" s="89"/>
      <c r="I1810" s="89"/>
      <c r="J1810" s="212"/>
      <c r="K1810" s="212"/>
      <c r="L1810" s="212"/>
      <c r="M1810" s="212"/>
      <c r="N1810" s="212">
        <f t="shared" si="46"/>
        <v>0</v>
      </c>
    </row>
    <row r="1811" spans="1:14" s="407" customFormat="1" ht="12.75" x14ac:dyDescent="0.2">
      <c r="A1811" s="152"/>
      <c r="B1811" s="73"/>
      <c r="C1811" s="51" t="s">
        <v>136</v>
      </c>
      <c r="D1811" s="89" t="s">
        <v>245</v>
      </c>
      <c r="E1811" s="89"/>
      <c r="F1811" s="89"/>
      <c r="G1811" s="89"/>
      <c r="H1811" s="89"/>
      <c r="I1811" s="89"/>
      <c r="J1811" s="212"/>
      <c r="K1811" s="212"/>
      <c r="L1811" s="212"/>
      <c r="M1811" s="212"/>
      <c r="N1811" s="212">
        <f t="shared" si="46"/>
        <v>0</v>
      </c>
    </row>
    <row r="1812" spans="1:14" s="407" customFormat="1" ht="12.75" x14ac:dyDescent="0.2">
      <c r="A1812" s="152"/>
      <c r="B1812" s="73"/>
      <c r="C1812" s="51" t="s">
        <v>962</v>
      </c>
      <c r="D1812" s="89" t="s">
        <v>245</v>
      </c>
      <c r="E1812" s="89"/>
      <c r="F1812" s="89"/>
      <c r="G1812" s="89"/>
      <c r="H1812" s="89"/>
      <c r="I1812" s="89"/>
      <c r="J1812" s="212"/>
      <c r="K1812" s="212"/>
      <c r="L1812" s="212"/>
      <c r="M1812" s="212"/>
      <c r="N1812" s="212">
        <f t="shared" si="46"/>
        <v>0</v>
      </c>
    </row>
    <row r="1813" spans="1:14" s="407" customFormat="1" ht="12.75" x14ac:dyDescent="0.2">
      <c r="A1813" s="152"/>
      <c r="B1813" s="73"/>
      <c r="C1813" s="51" t="s">
        <v>115</v>
      </c>
      <c r="D1813" s="89" t="s">
        <v>245</v>
      </c>
      <c r="E1813" s="89"/>
      <c r="F1813" s="89"/>
      <c r="G1813" s="89"/>
      <c r="H1813" s="89"/>
      <c r="I1813" s="89"/>
      <c r="J1813" s="212"/>
      <c r="K1813" s="212"/>
      <c r="L1813" s="212"/>
      <c r="M1813" s="212"/>
      <c r="N1813" s="212">
        <f t="shared" si="46"/>
        <v>0</v>
      </c>
    </row>
    <row r="1814" spans="1:14" s="407" customFormat="1" ht="12.75" x14ac:dyDescent="0.2">
      <c r="A1814" s="152"/>
      <c r="B1814" s="73"/>
      <c r="C1814" s="51" t="s">
        <v>997</v>
      </c>
      <c r="D1814" s="89" t="s">
        <v>245</v>
      </c>
      <c r="E1814" s="89"/>
      <c r="F1814" s="89"/>
      <c r="G1814" s="89"/>
      <c r="H1814" s="89"/>
      <c r="I1814" s="89"/>
      <c r="J1814" s="212"/>
      <c r="K1814" s="212"/>
      <c r="L1814" s="212"/>
      <c r="M1814" s="212"/>
      <c r="N1814" s="212">
        <f t="shared" si="46"/>
        <v>0</v>
      </c>
    </row>
    <row r="1815" spans="1:14" s="407" customFormat="1" ht="12.75" x14ac:dyDescent="0.2">
      <c r="A1815" s="152"/>
      <c r="B1815" s="73"/>
      <c r="C1815" s="51" t="s">
        <v>999</v>
      </c>
      <c r="D1815" s="89" t="s">
        <v>245</v>
      </c>
      <c r="E1815" s="89"/>
      <c r="F1815" s="89"/>
      <c r="G1815" s="89"/>
      <c r="H1815" s="89"/>
      <c r="I1815" s="89"/>
      <c r="J1815" s="212"/>
      <c r="K1815" s="212"/>
      <c r="L1815" s="212"/>
      <c r="M1815" s="212"/>
      <c r="N1815" s="212">
        <f t="shared" si="46"/>
        <v>0</v>
      </c>
    </row>
    <row r="1816" spans="1:14" s="407" customFormat="1" ht="12.75" x14ac:dyDescent="0.2">
      <c r="A1816" s="152"/>
      <c r="B1816" s="73"/>
      <c r="C1816" s="51" t="s">
        <v>1049</v>
      </c>
      <c r="D1816" s="89" t="s">
        <v>245</v>
      </c>
      <c r="E1816" s="89"/>
      <c r="F1816" s="89"/>
      <c r="G1816" s="89"/>
      <c r="H1816" s="89"/>
      <c r="I1816" s="89"/>
      <c r="J1816" s="212"/>
      <c r="K1816" s="212"/>
      <c r="L1816" s="212"/>
      <c r="M1816" s="212"/>
      <c r="N1816" s="212">
        <f t="shared" si="46"/>
        <v>0</v>
      </c>
    </row>
    <row r="1817" spans="1:14" s="407" customFormat="1" ht="12.75" x14ac:dyDescent="0.2">
      <c r="A1817" s="152"/>
      <c r="B1817" s="73"/>
      <c r="C1817" s="51" t="s">
        <v>96</v>
      </c>
      <c r="D1817" s="89" t="s">
        <v>245</v>
      </c>
      <c r="E1817" s="89"/>
      <c r="F1817" s="89"/>
      <c r="G1817" s="89"/>
      <c r="H1817" s="89"/>
      <c r="I1817" s="89"/>
      <c r="J1817" s="212"/>
      <c r="K1817" s="212"/>
      <c r="L1817" s="212"/>
      <c r="M1817" s="212"/>
      <c r="N1817" s="212">
        <f t="shared" si="46"/>
        <v>0</v>
      </c>
    </row>
    <row r="1818" spans="1:14" s="407" customFormat="1" ht="12.75" x14ac:dyDescent="0.2">
      <c r="A1818" s="152"/>
      <c r="B1818" s="73"/>
      <c r="C1818" s="51" t="s">
        <v>983</v>
      </c>
      <c r="D1818" s="89" t="s">
        <v>245</v>
      </c>
      <c r="E1818" s="89"/>
      <c r="F1818" s="89"/>
      <c r="G1818" s="89"/>
      <c r="H1818" s="89"/>
      <c r="I1818" s="89"/>
      <c r="J1818" s="212"/>
      <c r="K1818" s="212"/>
      <c r="L1818" s="212"/>
      <c r="M1818" s="212"/>
      <c r="N1818" s="212">
        <f t="shared" si="46"/>
        <v>0</v>
      </c>
    </row>
    <row r="1819" spans="1:14" s="407" customFormat="1" ht="12.75" x14ac:dyDescent="0.2">
      <c r="A1819" s="152"/>
      <c r="B1819" s="73"/>
      <c r="C1819" s="51" t="s">
        <v>1042</v>
      </c>
      <c r="D1819" s="89" t="s">
        <v>245</v>
      </c>
      <c r="E1819" s="89"/>
      <c r="F1819" s="89"/>
      <c r="G1819" s="89"/>
      <c r="H1819" s="89"/>
      <c r="I1819" s="89"/>
      <c r="J1819" s="212"/>
      <c r="K1819" s="212"/>
      <c r="L1819" s="212"/>
      <c r="M1819" s="212"/>
      <c r="N1819" s="212">
        <f t="shared" si="46"/>
        <v>0</v>
      </c>
    </row>
    <row r="1820" spans="1:14" s="407" customFormat="1" ht="12.75" x14ac:dyDescent="0.2">
      <c r="A1820" s="152"/>
      <c r="B1820" s="73"/>
      <c r="C1820" s="51" t="s">
        <v>979</v>
      </c>
      <c r="D1820" s="89" t="s">
        <v>245</v>
      </c>
      <c r="E1820" s="89"/>
      <c r="F1820" s="89"/>
      <c r="G1820" s="89"/>
      <c r="H1820" s="89"/>
      <c r="I1820" s="89"/>
      <c r="J1820" s="212"/>
      <c r="K1820" s="212"/>
      <c r="L1820" s="212"/>
      <c r="M1820" s="212"/>
      <c r="N1820" s="212">
        <f t="shared" si="46"/>
        <v>0</v>
      </c>
    </row>
    <row r="1821" spans="1:14" s="407" customFormat="1" ht="12.75" x14ac:dyDescent="0.2">
      <c r="A1821" s="152"/>
      <c r="B1821" s="73"/>
      <c r="C1821" s="51" t="s">
        <v>47</v>
      </c>
      <c r="D1821" s="89" t="s">
        <v>245</v>
      </c>
      <c r="E1821" s="89"/>
      <c r="F1821" s="89"/>
      <c r="G1821" s="89"/>
      <c r="H1821" s="89"/>
      <c r="I1821" s="89"/>
      <c r="J1821" s="212"/>
      <c r="K1821" s="212"/>
      <c r="L1821" s="212"/>
      <c r="M1821" s="212"/>
      <c r="N1821" s="212">
        <f t="shared" si="46"/>
        <v>0</v>
      </c>
    </row>
    <row r="1822" spans="1:14" s="407" customFormat="1" ht="12.75" x14ac:dyDescent="0.2">
      <c r="A1822" s="152"/>
      <c r="B1822" s="73"/>
      <c r="C1822" s="51" t="s">
        <v>48</v>
      </c>
      <c r="D1822" s="89" t="s">
        <v>245</v>
      </c>
      <c r="E1822" s="89"/>
      <c r="F1822" s="89"/>
      <c r="G1822" s="89"/>
      <c r="H1822" s="89"/>
      <c r="I1822" s="89"/>
      <c r="J1822" s="212"/>
      <c r="K1822" s="212"/>
      <c r="L1822" s="212"/>
      <c r="M1822" s="212"/>
      <c r="N1822" s="212">
        <f t="shared" si="46"/>
        <v>0</v>
      </c>
    </row>
    <row r="1823" spans="1:14" s="407" customFormat="1" ht="12.75" x14ac:dyDescent="0.2">
      <c r="A1823" s="152"/>
      <c r="B1823" s="73"/>
      <c r="C1823" s="51" t="s">
        <v>1051</v>
      </c>
      <c r="D1823" s="89" t="s">
        <v>245</v>
      </c>
      <c r="E1823" s="89"/>
      <c r="F1823" s="89"/>
      <c r="G1823" s="89"/>
      <c r="H1823" s="89"/>
      <c r="I1823" s="89"/>
      <c r="J1823" s="212"/>
      <c r="K1823" s="212"/>
      <c r="L1823" s="212"/>
      <c r="M1823" s="212"/>
      <c r="N1823" s="212">
        <f t="shared" si="46"/>
        <v>0</v>
      </c>
    </row>
    <row r="1824" spans="1:14" s="407" customFormat="1" ht="12.75" x14ac:dyDescent="0.2">
      <c r="A1824" s="152"/>
      <c r="B1824" s="73"/>
      <c r="C1824" s="51" t="s">
        <v>929</v>
      </c>
      <c r="D1824" s="89" t="s">
        <v>245</v>
      </c>
      <c r="E1824" s="89"/>
      <c r="F1824" s="89"/>
      <c r="G1824" s="89"/>
      <c r="H1824" s="89"/>
      <c r="I1824" s="89"/>
      <c r="J1824" s="212"/>
      <c r="K1824" s="212"/>
      <c r="L1824" s="212"/>
      <c r="M1824" s="212"/>
      <c r="N1824" s="212">
        <f t="shared" si="46"/>
        <v>0</v>
      </c>
    </row>
    <row r="1825" spans="1:14" s="407" customFormat="1" ht="12.75" x14ac:dyDescent="0.2">
      <c r="A1825" s="152"/>
      <c r="B1825" s="73"/>
      <c r="C1825" s="51" t="s">
        <v>970</v>
      </c>
      <c r="D1825" s="89" t="s">
        <v>245</v>
      </c>
      <c r="E1825" s="89"/>
      <c r="F1825" s="89"/>
      <c r="G1825" s="89"/>
      <c r="H1825" s="89"/>
      <c r="I1825" s="89"/>
      <c r="J1825" s="212"/>
      <c r="K1825" s="212"/>
      <c r="L1825" s="212"/>
      <c r="M1825" s="212"/>
      <c r="N1825" s="212">
        <f t="shared" si="46"/>
        <v>0</v>
      </c>
    </row>
    <row r="1826" spans="1:14" s="407" customFormat="1" ht="12.75" x14ac:dyDescent="0.2">
      <c r="A1826" s="152"/>
      <c r="B1826" s="73"/>
      <c r="C1826" s="51" t="s">
        <v>122</v>
      </c>
      <c r="D1826" s="89" t="s">
        <v>245</v>
      </c>
      <c r="E1826" s="89"/>
      <c r="F1826" s="89"/>
      <c r="G1826" s="89"/>
      <c r="H1826" s="89"/>
      <c r="I1826" s="89"/>
      <c r="J1826" s="212"/>
      <c r="K1826" s="212"/>
      <c r="L1826" s="212"/>
      <c r="M1826" s="212"/>
      <c r="N1826" s="212">
        <f t="shared" si="46"/>
        <v>0</v>
      </c>
    </row>
    <row r="1827" spans="1:14" s="407" customFormat="1" ht="12.75" x14ac:dyDescent="0.2">
      <c r="A1827" s="152"/>
      <c r="B1827" s="73"/>
      <c r="C1827" s="51" t="s">
        <v>135</v>
      </c>
      <c r="D1827" s="89" t="s">
        <v>245</v>
      </c>
      <c r="E1827" s="89"/>
      <c r="F1827" s="89"/>
      <c r="G1827" s="89"/>
      <c r="H1827" s="89"/>
      <c r="I1827" s="89"/>
      <c r="J1827" s="212"/>
      <c r="K1827" s="212"/>
      <c r="L1827" s="212"/>
      <c r="M1827" s="212"/>
      <c r="N1827" s="212">
        <f t="shared" si="46"/>
        <v>0</v>
      </c>
    </row>
    <row r="1828" spans="1:14" s="407" customFormat="1" ht="12.75" x14ac:dyDescent="0.2">
      <c r="A1828" s="152"/>
      <c r="B1828" s="73"/>
      <c r="C1828" s="51" t="s">
        <v>123</v>
      </c>
      <c r="D1828" s="89" t="s">
        <v>245</v>
      </c>
      <c r="E1828" s="89"/>
      <c r="F1828" s="89"/>
      <c r="G1828" s="89"/>
      <c r="H1828" s="89"/>
      <c r="I1828" s="89"/>
      <c r="J1828" s="212"/>
      <c r="K1828" s="212"/>
      <c r="L1828" s="212"/>
      <c r="M1828" s="212"/>
      <c r="N1828" s="212">
        <f t="shared" si="46"/>
        <v>0</v>
      </c>
    </row>
    <row r="1829" spans="1:14" s="407" customFormat="1" ht="12.75" x14ac:dyDescent="0.2">
      <c r="A1829" s="152"/>
      <c r="B1829" s="73"/>
      <c r="C1829" s="51" t="s">
        <v>974</v>
      </c>
      <c r="D1829" s="89" t="s">
        <v>245</v>
      </c>
      <c r="E1829" s="89"/>
      <c r="F1829" s="89"/>
      <c r="G1829" s="89"/>
      <c r="H1829" s="89"/>
      <c r="I1829" s="89"/>
      <c r="J1829" s="212"/>
      <c r="K1829" s="212"/>
      <c r="L1829" s="212"/>
      <c r="M1829" s="212"/>
      <c r="N1829" s="212">
        <f t="shared" si="46"/>
        <v>0</v>
      </c>
    </row>
    <row r="1830" spans="1:14" s="407" customFormat="1" ht="12.75" x14ac:dyDescent="0.2">
      <c r="A1830" s="152"/>
      <c r="B1830" s="73"/>
      <c r="C1830" s="51" t="s">
        <v>975</v>
      </c>
      <c r="D1830" s="89" t="s">
        <v>245</v>
      </c>
      <c r="E1830" s="89"/>
      <c r="F1830" s="89"/>
      <c r="G1830" s="89"/>
      <c r="H1830" s="89"/>
      <c r="I1830" s="89"/>
      <c r="J1830" s="212"/>
      <c r="K1830" s="212"/>
      <c r="L1830" s="212"/>
      <c r="M1830" s="212"/>
      <c r="N1830" s="212">
        <f t="shared" si="46"/>
        <v>0</v>
      </c>
    </row>
    <row r="1831" spans="1:14" s="407" customFormat="1" ht="12.75" x14ac:dyDescent="0.2">
      <c r="A1831" s="152"/>
      <c r="B1831" s="73"/>
      <c r="C1831" s="51" t="s">
        <v>126</v>
      </c>
      <c r="D1831" s="89" t="s">
        <v>245</v>
      </c>
      <c r="E1831" s="89"/>
      <c r="F1831" s="89"/>
      <c r="G1831" s="89"/>
      <c r="H1831" s="89"/>
      <c r="I1831" s="89"/>
      <c r="J1831" s="212"/>
      <c r="K1831" s="212"/>
      <c r="L1831" s="212"/>
      <c r="M1831" s="212"/>
      <c r="N1831" s="212">
        <f t="shared" si="46"/>
        <v>0</v>
      </c>
    </row>
    <row r="1832" spans="1:14" s="407" customFormat="1" ht="12.75" x14ac:dyDescent="0.2">
      <c r="A1832" s="152"/>
      <c r="B1832" s="73"/>
      <c r="C1832" s="51" t="s">
        <v>127</v>
      </c>
      <c r="D1832" s="89" t="s">
        <v>245</v>
      </c>
      <c r="E1832" s="89"/>
      <c r="F1832" s="89"/>
      <c r="G1832" s="89"/>
      <c r="H1832" s="89"/>
      <c r="I1832" s="89"/>
      <c r="J1832" s="212"/>
      <c r="K1832" s="212"/>
      <c r="L1832" s="212"/>
      <c r="M1832" s="212"/>
      <c r="N1832" s="212">
        <f t="shared" si="46"/>
        <v>0</v>
      </c>
    </row>
    <row r="1833" spans="1:14" s="407" customFormat="1" ht="12.75" x14ac:dyDescent="0.2">
      <c r="A1833" s="152"/>
      <c r="B1833" s="73"/>
      <c r="C1833" s="51" t="s">
        <v>130</v>
      </c>
      <c r="D1833" s="89" t="s">
        <v>245</v>
      </c>
      <c r="E1833" s="89"/>
      <c r="F1833" s="89"/>
      <c r="G1833" s="89"/>
      <c r="H1833" s="89"/>
      <c r="I1833" s="89"/>
      <c r="J1833" s="212"/>
      <c r="K1833" s="212"/>
      <c r="L1833" s="212"/>
      <c r="M1833" s="212"/>
      <c r="N1833" s="212">
        <f t="shared" si="46"/>
        <v>0</v>
      </c>
    </row>
    <row r="1834" spans="1:14" s="407" customFormat="1" ht="12.75" x14ac:dyDescent="0.2">
      <c r="A1834" s="152"/>
      <c r="B1834" s="73"/>
      <c r="C1834" s="51" t="s">
        <v>125</v>
      </c>
      <c r="D1834" s="89" t="s">
        <v>245</v>
      </c>
      <c r="E1834" s="89"/>
      <c r="F1834" s="89"/>
      <c r="G1834" s="89"/>
      <c r="H1834" s="89"/>
      <c r="I1834" s="89"/>
      <c r="J1834" s="212"/>
      <c r="K1834" s="212"/>
      <c r="L1834" s="212"/>
      <c r="M1834" s="212"/>
      <c r="N1834" s="212">
        <f t="shared" si="46"/>
        <v>0</v>
      </c>
    </row>
    <row r="1835" spans="1:14" s="407" customFormat="1" ht="12.75" x14ac:dyDescent="0.2">
      <c r="A1835" s="152"/>
      <c r="B1835" s="73"/>
      <c r="C1835" s="51" t="s">
        <v>128</v>
      </c>
      <c r="D1835" s="89" t="s">
        <v>245</v>
      </c>
      <c r="E1835" s="89"/>
      <c r="F1835" s="89"/>
      <c r="G1835" s="89"/>
      <c r="H1835" s="89"/>
      <c r="I1835" s="89"/>
      <c r="J1835" s="212"/>
      <c r="K1835" s="212"/>
      <c r="L1835" s="212"/>
      <c r="M1835" s="212"/>
      <c r="N1835" s="212">
        <f t="shared" si="46"/>
        <v>0</v>
      </c>
    </row>
    <row r="1836" spans="1:14" s="407" customFormat="1" ht="12.75" x14ac:dyDescent="0.2">
      <c r="A1836" s="152"/>
      <c r="B1836" s="73"/>
      <c r="C1836" s="51" t="s">
        <v>1016</v>
      </c>
      <c r="D1836" s="89" t="s">
        <v>245</v>
      </c>
      <c r="E1836" s="89"/>
      <c r="F1836" s="89"/>
      <c r="G1836" s="89"/>
      <c r="H1836" s="89"/>
      <c r="I1836" s="89"/>
      <c r="J1836" s="212"/>
      <c r="K1836" s="212"/>
      <c r="L1836" s="212"/>
      <c r="M1836" s="212"/>
      <c r="N1836" s="212">
        <f t="shared" si="46"/>
        <v>0</v>
      </c>
    </row>
    <row r="1837" spans="1:14" s="407" customFormat="1" ht="12.75" x14ac:dyDescent="0.2">
      <c r="A1837" s="152"/>
      <c r="B1837" s="73"/>
      <c r="C1837" s="51" t="s">
        <v>1015</v>
      </c>
      <c r="D1837" s="89" t="s">
        <v>245</v>
      </c>
      <c r="E1837" s="89"/>
      <c r="F1837" s="89"/>
      <c r="G1837" s="89"/>
      <c r="H1837" s="89"/>
      <c r="I1837" s="89"/>
      <c r="J1837" s="212"/>
      <c r="K1837" s="212"/>
      <c r="L1837" s="212"/>
      <c r="M1837" s="212"/>
      <c r="N1837" s="212">
        <f t="shared" si="46"/>
        <v>0</v>
      </c>
    </row>
    <row r="1838" spans="1:14" s="407" customFormat="1" ht="12.75" x14ac:dyDescent="0.2">
      <c r="A1838" s="152"/>
      <c r="B1838" s="73"/>
      <c r="C1838" s="51" t="s">
        <v>930</v>
      </c>
      <c r="D1838" s="89" t="s">
        <v>245</v>
      </c>
      <c r="E1838" s="89"/>
      <c r="F1838" s="89"/>
      <c r="G1838" s="89"/>
      <c r="H1838" s="89"/>
      <c r="I1838" s="89"/>
      <c r="J1838" s="212"/>
      <c r="K1838" s="212"/>
      <c r="L1838" s="212"/>
      <c r="M1838" s="212"/>
      <c r="N1838" s="212">
        <f t="shared" si="46"/>
        <v>0</v>
      </c>
    </row>
    <row r="1839" spans="1:14" s="407" customFormat="1" ht="12.75" x14ac:dyDescent="0.2">
      <c r="A1839" s="152"/>
      <c r="B1839" s="73"/>
      <c r="C1839" s="51" t="s">
        <v>931</v>
      </c>
      <c r="D1839" s="89" t="s">
        <v>245</v>
      </c>
      <c r="E1839" s="89"/>
      <c r="F1839" s="89"/>
      <c r="G1839" s="89"/>
      <c r="H1839" s="89"/>
      <c r="I1839" s="89"/>
      <c r="J1839" s="212"/>
      <c r="K1839" s="212"/>
      <c r="L1839" s="212"/>
      <c r="M1839" s="212"/>
      <c r="N1839" s="212">
        <f t="shared" si="46"/>
        <v>0</v>
      </c>
    </row>
    <row r="1840" spans="1:14" s="407" customFormat="1" ht="12.75" x14ac:dyDescent="0.2">
      <c r="A1840" s="152"/>
      <c r="B1840" s="73"/>
      <c r="C1840" s="51" t="s">
        <v>926</v>
      </c>
      <c r="D1840" s="89" t="s">
        <v>245</v>
      </c>
      <c r="E1840" s="89"/>
      <c r="F1840" s="89"/>
      <c r="G1840" s="89"/>
      <c r="H1840" s="89"/>
      <c r="I1840" s="89"/>
      <c r="J1840" s="212"/>
      <c r="K1840" s="212"/>
      <c r="L1840" s="212"/>
      <c r="M1840" s="212"/>
      <c r="N1840" s="212">
        <f t="shared" si="46"/>
        <v>0</v>
      </c>
    </row>
    <row r="1841" spans="1:14" s="407" customFormat="1" ht="12.75" x14ac:dyDescent="0.2">
      <c r="A1841" s="152"/>
      <c r="B1841" s="73"/>
      <c r="C1841" s="51" t="s">
        <v>110</v>
      </c>
      <c r="D1841" s="89" t="s">
        <v>245</v>
      </c>
      <c r="E1841" s="89"/>
      <c r="F1841" s="89"/>
      <c r="G1841" s="89"/>
      <c r="H1841" s="89"/>
      <c r="I1841" s="89"/>
      <c r="J1841" s="212"/>
      <c r="K1841" s="212"/>
      <c r="L1841" s="212"/>
      <c r="M1841" s="212"/>
      <c r="N1841" s="212">
        <f t="shared" si="46"/>
        <v>0</v>
      </c>
    </row>
    <row r="1842" spans="1:14" s="407" customFormat="1" ht="12.75" x14ac:dyDescent="0.2">
      <c r="A1842" s="152"/>
      <c r="B1842" s="73"/>
      <c r="C1842" s="51" t="s">
        <v>133</v>
      </c>
      <c r="D1842" s="89" t="s">
        <v>245</v>
      </c>
      <c r="E1842" s="89"/>
      <c r="F1842" s="89"/>
      <c r="G1842" s="89"/>
      <c r="H1842" s="89"/>
      <c r="I1842" s="89"/>
      <c r="J1842" s="212"/>
      <c r="K1842" s="212"/>
      <c r="L1842" s="212"/>
      <c r="M1842" s="212"/>
      <c r="N1842" s="212">
        <f t="shared" si="46"/>
        <v>0</v>
      </c>
    </row>
    <row r="1843" spans="1:14" s="407" customFormat="1" ht="12.75" x14ac:dyDescent="0.2">
      <c r="A1843" s="152"/>
      <c r="B1843" s="73"/>
      <c r="C1843" s="51" t="s">
        <v>134</v>
      </c>
      <c r="D1843" s="89" t="s">
        <v>245</v>
      </c>
      <c r="E1843" s="89"/>
      <c r="F1843" s="89"/>
      <c r="G1843" s="89"/>
      <c r="H1843" s="89"/>
      <c r="I1843" s="89"/>
      <c r="J1843" s="212"/>
      <c r="K1843" s="212"/>
      <c r="L1843" s="212"/>
      <c r="M1843" s="212"/>
      <c r="N1843" s="212">
        <f t="shared" si="46"/>
        <v>0</v>
      </c>
    </row>
    <row r="1844" spans="1:14" s="407" customFormat="1" ht="12.75" x14ac:dyDescent="0.2">
      <c r="A1844" s="152"/>
      <c r="B1844" s="73"/>
      <c r="C1844" s="51" t="s">
        <v>138</v>
      </c>
      <c r="D1844" s="89" t="s">
        <v>245</v>
      </c>
      <c r="E1844" s="89"/>
      <c r="F1844" s="89"/>
      <c r="G1844" s="89"/>
      <c r="H1844" s="89"/>
      <c r="I1844" s="89"/>
      <c r="J1844" s="212"/>
      <c r="K1844" s="212"/>
      <c r="L1844" s="212"/>
      <c r="M1844" s="212"/>
      <c r="N1844" s="212">
        <f t="shared" si="46"/>
        <v>0</v>
      </c>
    </row>
    <row r="1845" spans="1:14" s="407" customFormat="1" ht="12.75" x14ac:dyDescent="0.2">
      <c r="A1845" s="152"/>
      <c r="B1845" s="73"/>
      <c r="C1845" s="51" t="s">
        <v>106</v>
      </c>
      <c r="D1845" s="89" t="s">
        <v>245</v>
      </c>
      <c r="E1845" s="89"/>
      <c r="F1845" s="89"/>
      <c r="G1845" s="89"/>
      <c r="H1845" s="89"/>
      <c r="I1845" s="89"/>
      <c r="J1845" s="212"/>
      <c r="K1845" s="212"/>
      <c r="L1845" s="212"/>
      <c r="M1845" s="212"/>
      <c r="N1845" s="212">
        <f t="shared" si="46"/>
        <v>0</v>
      </c>
    </row>
    <row r="1846" spans="1:14" s="407" customFormat="1" ht="12.75" x14ac:dyDescent="0.2">
      <c r="A1846" s="152"/>
      <c r="B1846" s="73"/>
      <c r="C1846" s="51" t="s">
        <v>1024</v>
      </c>
      <c r="D1846" s="89" t="s">
        <v>245</v>
      </c>
      <c r="E1846" s="89"/>
      <c r="F1846" s="89"/>
      <c r="G1846" s="89"/>
      <c r="H1846" s="89"/>
      <c r="I1846" s="89"/>
      <c r="J1846" s="212"/>
      <c r="K1846" s="212"/>
      <c r="L1846" s="212"/>
      <c r="M1846" s="212"/>
      <c r="N1846" s="212">
        <f t="shared" si="46"/>
        <v>0</v>
      </c>
    </row>
    <row r="1847" spans="1:14" s="407" customFormat="1" ht="12.75" x14ac:dyDescent="0.2">
      <c r="A1847" s="152"/>
      <c r="B1847" s="73"/>
      <c r="C1847" s="51" t="s">
        <v>1025</v>
      </c>
      <c r="D1847" s="89" t="s">
        <v>245</v>
      </c>
      <c r="E1847" s="89"/>
      <c r="F1847" s="89"/>
      <c r="G1847" s="89"/>
      <c r="H1847" s="89"/>
      <c r="I1847" s="89"/>
      <c r="J1847" s="212"/>
      <c r="K1847" s="212"/>
      <c r="L1847" s="212"/>
      <c r="M1847" s="212"/>
      <c r="N1847" s="212">
        <f t="shared" si="46"/>
        <v>0</v>
      </c>
    </row>
    <row r="1848" spans="1:14" s="407" customFormat="1" ht="12.75" x14ac:dyDescent="0.2">
      <c r="A1848" s="152"/>
      <c r="B1848" s="73"/>
      <c r="C1848" s="51" t="s">
        <v>960</v>
      </c>
      <c r="D1848" s="89" t="s">
        <v>245</v>
      </c>
      <c r="E1848" s="89"/>
      <c r="F1848" s="89"/>
      <c r="G1848" s="89"/>
      <c r="H1848" s="89"/>
      <c r="I1848" s="89"/>
      <c r="J1848" s="212"/>
      <c r="K1848" s="212"/>
      <c r="L1848" s="212"/>
      <c r="M1848" s="212"/>
      <c r="N1848" s="212">
        <f t="shared" si="46"/>
        <v>0</v>
      </c>
    </row>
    <row r="1849" spans="1:14" s="407" customFormat="1" ht="12.75" x14ac:dyDescent="0.2">
      <c r="A1849" s="152"/>
      <c r="B1849" s="73"/>
      <c r="C1849" s="51" t="s">
        <v>961</v>
      </c>
      <c r="D1849" s="89" t="s">
        <v>245</v>
      </c>
      <c r="E1849" s="89"/>
      <c r="F1849" s="89"/>
      <c r="G1849" s="89"/>
      <c r="H1849" s="89"/>
      <c r="I1849" s="89"/>
      <c r="J1849" s="212"/>
      <c r="K1849" s="212"/>
      <c r="L1849" s="212"/>
      <c r="M1849" s="212"/>
      <c r="N1849" s="212">
        <f t="shared" si="46"/>
        <v>0</v>
      </c>
    </row>
    <row r="1850" spans="1:14" s="407" customFormat="1" ht="12.75" x14ac:dyDescent="0.2">
      <c r="A1850" s="152"/>
      <c r="B1850" s="73"/>
      <c r="C1850" s="51" t="s">
        <v>948</v>
      </c>
      <c r="D1850" s="89" t="s">
        <v>245</v>
      </c>
      <c r="E1850" s="89"/>
      <c r="F1850" s="89"/>
      <c r="G1850" s="89"/>
      <c r="H1850" s="89"/>
      <c r="I1850" s="89"/>
      <c r="J1850" s="212"/>
      <c r="K1850" s="212"/>
      <c r="L1850" s="212"/>
      <c r="M1850" s="212"/>
      <c r="N1850" s="212">
        <f t="shared" si="46"/>
        <v>0</v>
      </c>
    </row>
    <row r="1851" spans="1:14" s="407" customFormat="1" ht="12.75" x14ac:dyDescent="0.2">
      <c r="A1851" s="152"/>
      <c r="B1851" s="73"/>
      <c r="C1851" s="51" t="s">
        <v>949</v>
      </c>
      <c r="D1851" s="89" t="s">
        <v>245</v>
      </c>
      <c r="E1851" s="89"/>
      <c r="F1851" s="89"/>
      <c r="G1851" s="89"/>
      <c r="H1851" s="89"/>
      <c r="I1851" s="89"/>
      <c r="J1851" s="212"/>
      <c r="K1851" s="212"/>
      <c r="L1851" s="212"/>
      <c r="M1851" s="212"/>
      <c r="N1851" s="212">
        <f t="shared" si="46"/>
        <v>0</v>
      </c>
    </row>
    <row r="1852" spans="1:14" s="407" customFormat="1" ht="12.75" x14ac:dyDescent="0.2">
      <c r="A1852" s="152"/>
      <c r="B1852" s="73"/>
      <c r="C1852" s="51" t="s">
        <v>132</v>
      </c>
      <c r="D1852" s="89" t="s">
        <v>245</v>
      </c>
      <c r="E1852" s="89"/>
      <c r="F1852" s="89"/>
      <c r="G1852" s="89"/>
      <c r="H1852" s="89"/>
      <c r="I1852" s="89"/>
      <c r="J1852" s="212"/>
      <c r="K1852" s="212"/>
      <c r="L1852" s="212"/>
      <c r="M1852" s="212"/>
      <c r="N1852" s="212">
        <f t="shared" si="46"/>
        <v>0</v>
      </c>
    </row>
    <row r="1853" spans="1:14" s="407" customFormat="1" ht="12.75" x14ac:dyDescent="0.2">
      <c r="A1853" s="152"/>
      <c r="B1853" s="73"/>
      <c r="C1853" s="51" t="s">
        <v>121</v>
      </c>
      <c r="D1853" s="89" t="s">
        <v>245</v>
      </c>
      <c r="E1853" s="89"/>
      <c r="F1853" s="89"/>
      <c r="G1853" s="89"/>
      <c r="H1853" s="89"/>
      <c r="I1853" s="89"/>
      <c r="J1853" s="212"/>
      <c r="K1853" s="212"/>
      <c r="L1853" s="212"/>
      <c r="M1853" s="212"/>
      <c r="N1853" s="212">
        <f t="shared" si="46"/>
        <v>0</v>
      </c>
    </row>
    <row r="1854" spans="1:14" s="407" customFormat="1" ht="12.75" x14ac:dyDescent="0.2">
      <c r="A1854" s="152"/>
      <c r="B1854" s="73"/>
      <c r="C1854" s="51" t="s">
        <v>131</v>
      </c>
      <c r="D1854" s="89" t="s">
        <v>245</v>
      </c>
      <c r="E1854" s="89"/>
      <c r="F1854" s="89"/>
      <c r="G1854" s="89"/>
      <c r="H1854" s="89"/>
      <c r="I1854" s="89"/>
      <c r="J1854" s="212"/>
      <c r="K1854" s="212"/>
      <c r="L1854" s="212"/>
      <c r="M1854" s="212"/>
      <c r="N1854" s="212">
        <f t="shared" si="46"/>
        <v>0</v>
      </c>
    </row>
    <row r="1855" spans="1:14" s="407" customFormat="1" ht="12.75" x14ac:dyDescent="0.2">
      <c r="A1855" s="152"/>
      <c r="B1855" s="73"/>
      <c r="C1855" s="51" t="s">
        <v>967</v>
      </c>
      <c r="D1855" s="89" t="s">
        <v>245</v>
      </c>
      <c r="E1855" s="89"/>
      <c r="F1855" s="89"/>
      <c r="G1855" s="89"/>
      <c r="H1855" s="89"/>
      <c r="I1855" s="89"/>
      <c r="J1855" s="212"/>
      <c r="K1855" s="212"/>
      <c r="L1855" s="212"/>
      <c r="M1855" s="212"/>
      <c r="N1855" s="212">
        <f t="shared" si="46"/>
        <v>0</v>
      </c>
    </row>
    <row r="1856" spans="1:14" s="407" customFormat="1" ht="12.75" x14ac:dyDescent="0.2">
      <c r="A1856" s="152"/>
      <c r="B1856" s="73"/>
      <c r="C1856" s="51" t="s">
        <v>118</v>
      </c>
      <c r="D1856" s="89" t="s">
        <v>245</v>
      </c>
      <c r="E1856" s="89"/>
      <c r="F1856" s="89"/>
      <c r="G1856" s="89"/>
      <c r="H1856" s="89"/>
      <c r="I1856" s="89"/>
      <c r="J1856" s="212"/>
      <c r="K1856" s="212"/>
      <c r="L1856" s="212"/>
      <c r="M1856" s="212"/>
      <c r="N1856" s="212">
        <f t="shared" si="46"/>
        <v>0</v>
      </c>
    </row>
    <row r="1857" spans="1:14" s="407" customFormat="1" ht="12.75" x14ac:dyDescent="0.2">
      <c r="A1857" s="152"/>
      <c r="B1857" s="73"/>
      <c r="C1857" s="51" t="s">
        <v>971</v>
      </c>
      <c r="D1857" s="89" t="s">
        <v>245</v>
      </c>
      <c r="E1857" s="89"/>
      <c r="F1857" s="89"/>
      <c r="G1857" s="89"/>
      <c r="H1857" s="89"/>
      <c r="I1857" s="89"/>
      <c r="J1857" s="212"/>
      <c r="K1857" s="212"/>
      <c r="L1857" s="212"/>
      <c r="M1857" s="212"/>
      <c r="N1857" s="212">
        <f t="shared" si="46"/>
        <v>0</v>
      </c>
    </row>
    <row r="1858" spans="1:14" s="407" customFormat="1" ht="12.75" x14ac:dyDescent="0.2">
      <c r="A1858" s="152"/>
      <c r="B1858" s="73"/>
      <c r="C1858" s="51" t="s">
        <v>957</v>
      </c>
      <c r="D1858" s="89" t="s">
        <v>245</v>
      </c>
      <c r="E1858" s="89"/>
      <c r="F1858" s="89"/>
      <c r="G1858" s="89"/>
      <c r="H1858" s="89"/>
      <c r="I1858" s="89"/>
      <c r="J1858" s="212"/>
      <c r="K1858" s="212"/>
      <c r="L1858" s="212"/>
      <c r="M1858" s="212"/>
      <c r="N1858" s="212">
        <f t="shared" si="46"/>
        <v>0</v>
      </c>
    </row>
    <row r="1859" spans="1:14" s="407" customFormat="1" ht="12.75" x14ac:dyDescent="0.2">
      <c r="A1859" s="152"/>
      <c r="B1859" s="73"/>
      <c r="C1859" s="51" t="s">
        <v>97</v>
      </c>
      <c r="D1859" s="89" t="s">
        <v>245</v>
      </c>
      <c r="E1859" s="89"/>
      <c r="F1859" s="89"/>
      <c r="G1859" s="89"/>
      <c r="H1859" s="89"/>
      <c r="I1859" s="89"/>
      <c r="J1859" s="212"/>
      <c r="K1859" s="212"/>
      <c r="L1859" s="212"/>
      <c r="M1859" s="212"/>
      <c r="N1859" s="212">
        <f t="shared" si="46"/>
        <v>0</v>
      </c>
    </row>
    <row r="1860" spans="1:14" s="407" customFormat="1" ht="12.75" x14ac:dyDescent="0.2">
      <c r="A1860" s="152"/>
      <c r="B1860" s="73"/>
      <c r="C1860" s="51" t="s">
        <v>49</v>
      </c>
      <c r="D1860" s="89" t="s">
        <v>245</v>
      </c>
      <c r="E1860" s="89"/>
      <c r="F1860" s="89"/>
      <c r="G1860" s="89"/>
      <c r="H1860" s="89"/>
      <c r="I1860" s="89"/>
      <c r="J1860" s="212"/>
      <c r="K1860" s="212"/>
      <c r="L1860" s="212"/>
      <c r="M1860" s="212"/>
      <c r="N1860" s="212">
        <f t="shared" si="46"/>
        <v>0</v>
      </c>
    </row>
    <row r="1861" spans="1:14" s="407" customFormat="1" ht="12.75" x14ac:dyDescent="0.2">
      <c r="A1861" s="152"/>
      <c r="B1861" s="73"/>
      <c r="C1861" s="51" t="s">
        <v>1017</v>
      </c>
      <c r="D1861" s="89" t="s">
        <v>245</v>
      </c>
      <c r="E1861" s="89"/>
      <c r="F1861" s="89"/>
      <c r="G1861" s="89"/>
      <c r="H1861" s="89"/>
      <c r="I1861" s="89"/>
      <c r="J1861" s="212"/>
      <c r="K1861" s="212"/>
      <c r="L1861" s="212"/>
      <c r="M1861" s="212"/>
      <c r="N1861" s="212">
        <f t="shared" si="46"/>
        <v>0</v>
      </c>
    </row>
    <row r="1862" spans="1:14" s="407" customFormat="1" ht="12.75" x14ac:dyDescent="0.2">
      <c r="A1862" s="152"/>
      <c r="B1862" s="73"/>
      <c r="C1862" s="51" t="s">
        <v>1018</v>
      </c>
      <c r="D1862" s="89" t="s">
        <v>245</v>
      </c>
      <c r="E1862" s="89"/>
      <c r="F1862" s="89"/>
      <c r="G1862" s="89"/>
      <c r="H1862" s="89"/>
      <c r="I1862" s="89"/>
      <c r="J1862" s="212"/>
      <c r="K1862" s="212"/>
      <c r="L1862" s="212"/>
      <c r="M1862" s="212"/>
      <c r="N1862" s="212">
        <f t="shared" si="46"/>
        <v>0</v>
      </c>
    </row>
    <row r="1863" spans="1:14" s="407" customFormat="1" ht="12.75" x14ac:dyDescent="0.2">
      <c r="A1863" s="152"/>
      <c r="B1863" s="73"/>
      <c r="C1863" s="51" t="s">
        <v>928</v>
      </c>
      <c r="D1863" s="89" t="s">
        <v>245</v>
      </c>
      <c r="E1863" s="89"/>
      <c r="F1863" s="89"/>
      <c r="G1863" s="89"/>
      <c r="H1863" s="89"/>
      <c r="I1863" s="89"/>
      <c r="J1863" s="212"/>
      <c r="K1863" s="212"/>
      <c r="L1863" s="212"/>
      <c r="M1863" s="212"/>
      <c r="N1863" s="212">
        <f t="shared" si="46"/>
        <v>0</v>
      </c>
    </row>
    <row r="1864" spans="1:14" s="407" customFormat="1" ht="12.75" x14ac:dyDescent="0.2">
      <c r="A1864" s="152"/>
      <c r="B1864" s="73"/>
      <c r="C1864" s="51" t="s">
        <v>946</v>
      </c>
      <c r="D1864" s="89" t="s">
        <v>245</v>
      </c>
      <c r="E1864" s="89"/>
      <c r="F1864" s="89"/>
      <c r="G1864" s="89"/>
      <c r="H1864" s="89"/>
      <c r="I1864" s="89"/>
      <c r="J1864" s="212"/>
      <c r="K1864" s="212"/>
      <c r="L1864" s="212"/>
      <c r="M1864" s="212"/>
      <c r="N1864" s="212">
        <f t="shared" si="46"/>
        <v>0</v>
      </c>
    </row>
    <row r="1865" spans="1:14" s="407" customFormat="1" ht="12.75" x14ac:dyDescent="0.2">
      <c r="A1865" s="152"/>
      <c r="B1865" s="73"/>
      <c r="C1865" s="51" t="s">
        <v>947</v>
      </c>
      <c r="D1865" s="89" t="s">
        <v>245</v>
      </c>
      <c r="E1865" s="89"/>
      <c r="F1865" s="89"/>
      <c r="G1865" s="89"/>
      <c r="H1865" s="89"/>
      <c r="I1865" s="89"/>
      <c r="J1865" s="212"/>
      <c r="K1865" s="212"/>
      <c r="L1865" s="212"/>
      <c r="M1865" s="212"/>
      <c r="N1865" s="212">
        <f t="shared" si="46"/>
        <v>0</v>
      </c>
    </row>
    <row r="1866" spans="1:14" s="407" customFormat="1" ht="12.75" x14ac:dyDescent="0.2">
      <c r="A1866" s="152"/>
      <c r="B1866" s="73"/>
      <c r="C1866" s="51" t="s">
        <v>1020</v>
      </c>
      <c r="D1866" s="89" t="s">
        <v>245</v>
      </c>
      <c r="E1866" s="89"/>
      <c r="F1866" s="89"/>
      <c r="G1866" s="89"/>
      <c r="H1866" s="89"/>
      <c r="I1866" s="89"/>
      <c r="J1866" s="212"/>
      <c r="K1866" s="212"/>
      <c r="L1866" s="212"/>
      <c r="M1866" s="212"/>
      <c r="N1866" s="212">
        <f t="shared" si="46"/>
        <v>0</v>
      </c>
    </row>
    <row r="1867" spans="1:14" s="407" customFormat="1" ht="12.75" x14ac:dyDescent="0.2">
      <c r="A1867" s="152"/>
      <c r="B1867" s="73"/>
      <c r="C1867" s="51" t="s">
        <v>1021</v>
      </c>
      <c r="D1867" s="89" t="s">
        <v>245</v>
      </c>
      <c r="E1867" s="89"/>
      <c r="F1867" s="89"/>
      <c r="G1867" s="89"/>
      <c r="H1867" s="89"/>
      <c r="I1867" s="89"/>
      <c r="J1867" s="212"/>
      <c r="K1867" s="212"/>
      <c r="L1867" s="212"/>
      <c r="M1867" s="212"/>
      <c r="N1867" s="212">
        <f t="shared" si="46"/>
        <v>0</v>
      </c>
    </row>
    <row r="1868" spans="1:14" s="407" customFormat="1" ht="12.75" x14ac:dyDescent="0.2">
      <c r="A1868" s="152"/>
      <c r="B1868" s="73"/>
      <c r="C1868" s="51" t="s">
        <v>489</v>
      </c>
      <c r="D1868" s="89" t="s">
        <v>245</v>
      </c>
      <c r="E1868" s="89"/>
      <c r="F1868" s="89"/>
      <c r="G1868" s="89"/>
      <c r="H1868" s="89"/>
      <c r="I1868" s="89"/>
      <c r="J1868" s="212"/>
      <c r="K1868" s="212"/>
      <c r="L1868" s="212"/>
      <c r="M1868" s="212"/>
      <c r="N1868" s="212">
        <f t="shared" si="46"/>
        <v>0</v>
      </c>
    </row>
    <row r="1869" spans="1:14" s="407" customFormat="1" ht="12.75" x14ac:dyDescent="0.2">
      <c r="A1869" s="152"/>
      <c r="B1869" s="73"/>
      <c r="C1869" s="51" t="s">
        <v>968</v>
      </c>
      <c r="D1869" s="89" t="s">
        <v>245</v>
      </c>
      <c r="E1869" s="89"/>
      <c r="F1869" s="89"/>
      <c r="G1869" s="89"/>
      <c r="H1869" s="89"/>
      <c r="I1869" s="89"/>
      <c r="J1869" s="212"/>
      <c r="K1869" s="212"/>
      <c r="L1869" s="212"/>
      <c r="M1869" s="212"/>
      <c r="N1869" s="212">
        <f t="shared" ref="N1869:N1932" si="47">SUMIFS(N$26:N$154,$C$26:$C$154,$C1869,$D$26:$D$154,$D1869)</f>
        <v>0</v>
      </c>
    </row>
    <row r="1870" spans="1:14" s="407" customFormat="1" ht="12.75" x14ac:dyDescent="0.2">
      <c r="A1870" s="152"/>
      <c r="B1870" s="73"/>
      <c r="C1870" s="51" t="s">
        <v>98</v>
      </c>
      <c r="D1870" s="89" t="s">
        <v>245</v>
      </c>
      <c r="E1870" s="89"/>
      <c r="F1870" s="89"/>
      <c r="G1870" s="89"/>
      <c r="H1870" s="89"/>
      <c r="I1870" s="89"/>
      <c r="J1870" s="212"/>
      <c r="K1870" s="212"/>
      <c r="L1870" s="212"/>
      <c r="M1870" s="212"/>
      <c r="N1870" s="212">
        <f t="shared" si="47"/>
        <v>0</v>
      </c>
    </row>
    <row r="1871" spans="1:14" s="407" customFormat="1" ht="12.75" x14ac:dyDescent="0.2">
      <c r="A1871" s="152"/>
      <c r="B1871" s="73"/>
      <c r="C1871" s="51" t="s">
        <v>1048</v>
      </c>
      <c r="D1871" s="89" t="s">
        <v>245</v>
      </c>
      <c r="E1871" s="89"/>
      <c r="F1871" s="89"/>
      <c r="G1871" s="89"/>
      <c r="H1871" s="89"/>
      <c r="I1871" s="89"/>
      <c r="J1871" s="212"/>
      <c r="K1871" s="212"/>
      <c r="L1871" s="212"/>
      <c r="M1871" s="212"/>
      <c r="N1871" s="212">
        <f t="shared" si="47"/>
        <v>0</v>
      </c>
    </row>
    <row r="1872" spans="1:14" s="407" customFormat="1" ht="12.75" x14ac:dyDescent="0.2">
      <c r="A1872" s="152"/>
      <c r="B1872" s="73"/>
      <c r="C1872" s="51" t="s">
        <v>1030</v>
      </c>
      <c r="D1872" s="89" t="s">
        <v>245</v>
      </c>
      <c r="E1872" s="89"/>
      <c r="F1872" s="89"/>
      <c r="G1872" s="89"/>
      <c r="H1872" s="89"/>
      <c r="I1872" s="89"/>
      <c r="J1872" s="212"/>
      <c r="K1872" s="212"/>
      <c r="L1872" s="212"/>
      <c r="M1872" s="212"/>
      <c r="N1872" s="212">
        <f t="shared" si="47"/>
        <v>0</v>
      </c>
    </row>
    <row r="1873" spans="1:14" s="407" customFormat="1" ht="12.75" x14ac:dyDescent="0.2">
      <c r="A1873" s="152"/>
      <c r="B1873" s="73"/>
      <c r="C1873" s="51" t="s">
        <v>977</v>
      </c>
      <c r="D1873" s="89" t="s">
        <v>245</v>
      </c>
      <c r="E1873" s="89"/>
      <c r="F1873" s="89"/>
      <c r="G1873" s="89"/>
      <c r="H1873" s="89"/>
      <c r="I1873" s="89"/>
      <c r="J1873" s="212"/>
      <c r="K1873" s="212"/>
      <c r="L1873" s="212"/>
      <c r="M1873" s="212"/>
      <c r="N1873" s="212">
        <f t="shared" si="47"/>
        <v>0</v>
      </c>
    </row>
    <row r="1874" spans="1:14" s="407" customFormat="1" ht="12.75" x14ac:dyDescent="0.2">
      <c r="A1874" s="152"/>
      <c r="B1874" s="73"/>
      <c r="C1874" s="51" t="s">
        <v>99</v>
      </c>
      <c r="D1874" s="89" t="s">
        <v>245</v>
      </c>
      <c r="E1874" s="89"/>
      <c r="F1874" s="89"/>
      <c r="G1874" s="89"/>
      <c r="H1874" s="89"/>
      <c r="I1874" s="89"/>
      <c r="J1874" s="212"/>
      <c r="K1874" s="212"/>
      <c r="L1874" s="212"/>
      <c r="M1874" s="212"/>
      <c r="N1874" s="212">
        <f t="shared" si="47"/>
        <v>0</v>
      </c>
    </row>
    <row r="1875" spans="1:14" s="407" customFormat="1" ht="12.75" x14ac:dyDescent="0.2">
      <c r="A1875" s="152"/>
      <c r="B1875" s="73"/>
      <c r="C1875" s="51" t="s">
        <v>1047</v>
      </c>
      <c r="D1875" s="89" t="s">
        <v>245</v>
      </c>
      <c r="E1875" s="89"/>
      <c r="F1875" s="89"/>
      <c r="G1875" s="89"/>
      <c r="H1875" s="89"/>
      <c r="I1875" s="89"/>
      <c r="J1875" s="212"/>
      <c r="K1875" s="212"/>
      <c r="L1875" s="212"/>
      <c r="M1875" s="212"/>
      <c r="N1875" s="212">
        <f t="shared" si="47"/>
        <v>0</v>
      </c>
    </row>
    <row r="1876" spans="1:14" s="407" customFormat="1" ht="12.75" x14ac:dyDescent="0.2">
      <c r="A1876" s="152"/>
      <c r="B1876" s="73"/>
      <c r="C1876" s="51" t="s">
        <v>1041</v>
      </c>
      <c r="D1876" s="89" t="s">
        <v>245</v>
      </c>
      <c r="E1876" s="89"/>
      <c r="F1876" s="89"/>
      <c r="G1876" s="89"/>
      <c r="H1876" s="89"/>
      <c r="I1876" s="89"/>
      <c r="J1876" s="212"/>
      <c r="K1876" s="212"/>
      <c r="L1876" s="212"/>
      <c r="M1876" s="212"/>
      <c r="N1876" s="212">
        <f t="shared" si="47"/>
        <v>0</v>
      </c>
    </row>
    <row r="1877" spans="1:14" s="407" customFormat="1" ht="12.75" x14ac:dyDescent="0.2">
      <c r="A1877" s="152"/>
      <c r="B1877" s="73"/>
      <c r="C1877" s="51" t="s">
        <v>102</v>
      </c>
      <c r="D1877" s="89" t="s">
        <v>245</v>
      </c>
      <c r="E1877" s="89"/>
      <c r="F1877" s="89"/>
      <c r="G1877" s="89"/>
      <c r="H1877" s="89"/>
      <c r="I1877" s="89"/>
      <c r="J1877" s="212"/>
      <c r="K1877" s="212"/>
      <c r="L1877" s="212"/>
      <c r="M1877" s="212"/>
      <c r="N1877" s="212">
        <f t="shared" si="47"/>
        <v>0</v>
      </c>
    </row>
    <row r="1878" spans="1:14" s="407" customFormat="1" ht="12.75" x14ac:dyDescent="0.2">
      <c r="A1878" s="152"/>
      <c r="B1878" s="73"/>
      <c r="C1878" s="51" t="s">
        <v>124</v>
      </c>
      <c r="D1878" s="89" t="s">
        <v>245</v>
      </c>
      <c r="E1878" s="89"/>
      <c r="F1878" s="89"/>
      <c r="G1878" s="89"/>
      <c r="H1878" s="89"/>
      <c r="I1878" s="89"/>
      <c r="J1878" s="212"/>
      <c r="K1878" s="212"/>
      <c r="L1878" s="212"/>
      <c r="M1878" s="212"/>
      <c r="N1878" s="212">
        <f t="shared" si="47"/>
        <v>0</v>
      </c>
    </row>
    <row r="1879" spans="1:14" s="407" customFormat="1" ht="12.75" x14ac:dyDescent="0.2">
      <c r="A1879" s="152"/>
      <c r="B1879" s="73"/>
      <c r="C1879" s="51" t="s">
        <v>103</v>
      </c>
      <c r="D1879" s="89" t="s">
        <v>245</v>
      </c>
      <c r="E1879" s="89"/>
      <c r="F1879" s="89"/>
      <c r="G1879" s="89"/>
      <c r="H1879" s="89"/>
      <c r="I1879" s="89"/>
      <c r="J1879" s="212"/>
      <c r="K1879" s="212"/>
      <c r="L1879" s="212"/>
      <c r="M1879" s="212"/>
      <c r="N1879" s="212">
        <f t="shared" si="47"/>
        <v>0</v>
      </c>
    </row>
    <row r="1880" spans="1:14" s="407" customFormat="1" ht="12.75" x14ac:dyDescent="0.2">
      <c r="A1880" s="152"/>
      <c r="B1880" s="73"/>
      <c r="C1880" s="51" t="s">
        <v>104</v>
      </c>
      <c r="D1880" s="89" t="s">
        <v>245</v>
      </c>
      <c r="E1880" s="89"/>
      <c r="F1880" s="89"/>
      <c r="G1880" s="89"/>
      <c r="H1880" s="89"/>
      <c r="I1880" s="89"/>
      <c r="J1880" s="212"/>
      <c r="K1880" s="212"/>
      <c r="L1880" s="212"/>
      <c r="M1880" s="212"/>
      <c r="N1880" s="212">
        <f t="shared" si="47"/>
        <v>0</v>
      </c>
    </row>
    <row r="1881" spans="1:14" s="407" customFormat="1" ht="12.75" x14ac:dyDescent="0.2">
      <c r="A1881" s="152"/>
      <c r="B1881" s="73"/>
      <c r="C1881" s="51" t="s">
        <v>491</v>
      </c>
      <c r="D1881" s="89" t="s">
        <v>245</v>
      </c>
      <c r="E1881" s="89"/>
      <c r="F1881" s="89"/>
      <c r="G1881" s="89"/>
      <c r="H1881" s="89"/>
      <c r="I1881" s="89"/>
      <c r="J1881" s="212"/>
      <c r="K1881" s="212"/>
      <c r="L1881" s="212"/>
      <c r="M1881" s="212"/>
      <c r="N1881" s="212">
        <f t="shared" si="47"/>
        <v>0</v>
      </c>
    </row>
    <row r="1882" spans="1:14" s="407" customFormat="1" ht="12.75" x14ac:dyDescent="0.2">
      <c r="A1882" s="152"/>
      <c r="B1882" s="73"/>
      <c r="C1882" s="51" t="s">
        <v>105</v>
      </c>
      <c r="D1882" s="89" t="s">
        <v>245</v>
      </c>
      <c r="E1882" s="89"/>
      <c r="F1882" s="89"/>
      <c r="G1882" s="89"/>
      <c r="H1882" s="89"/>
      <c r="I1882" s="89"/>
      <c r="J1882" s="212"/>
      <c r="K1882" s="212"/>
      <c r="L1882" s="212"/>
      <c r="M1882" s="212"/>
      <c r="N1882" s="212">
        <f t="shared" si="47"/>
        <v>0</v>
      </c>
    </row>
    <row r="1883" spans="1:14" s="407" customFormat="1" ht="12.75" x14ac:dyDescent="0.2">
      <c r="A1883" s="152"/>
      <c r="B1883" s="73"/>
      <c r="C1883" s="51" t="s">
        <v>129</v>
      </c>
      <c r="D1883" s="89" t="s">
        <v>245</v>
      </c>
      <c r="E1883" s="89"/>
      <c r="F1883" s="89"/>
      <c r="G1883" s="89"/>
      <c r="H1883" s="89"/>
      <c r="I1883" s="89"/>
      <c r="J1883" s="212"/>
      <c r="K1883" s="212"/>
      <c r="L1883" s="212"/>
      <c r="M1883" s="212"/>
      <c r="N1883" s="212">
        <f t="shared" si="47"/>
        <v>0</v>
      </c>
    </row>
    <row r="1884" spans="1:14" s="407" customFormat="1" ht="12.75" x14ac:dyDescent="0.2">
      <c r="A1884" s="152"/>
      <c r="B1884" s="73"/>
      <c r="C1884" s="73" t="s">
        <v>108</v>
      </c>
      <c r="D1884" s="89" t="s">
        <v>245</v>
      </c>
      <c r="E1884" s="89"/>
      <c r="F1884" s="89"/>
      <c r="G1884" s="89"/>
      <c r="H1884" s="89"/>
      <c r="I1884" s="89"/>
      <c r="J1884" s="212"/>
      <c r="K1884" s="212"/>
      <c r="L1884" s="212"/>
      <c r="M1884" s="212"/>
      <c r="N1884" s="212">
        <f t="shared" si="47"/>
        <v>0</v>
      </c>
    </row>
    <row r="1885" spans="1:14" s="407" customFormat="1" ht="12.75" x14ac:dyDescent="0.2">
      <c r="A1885" s="152"/>
      <c r="B1885" s="73"/>
      <c r="C1885" s="51" t="s">
        <v>119</v>
      </c>
      <c r="D1885" s="89" t="s">
        <v>245</v>
      </c>
      <c r="E1885" s="89"/>
      <c r="F1885" s="89"/>
      <c r="G1885" s="89"/>
      <c r="H1885" s="89"/>
      <c r="I1885" s="89"/>
      <c r="J1885" s="212"/>
      <c r="K1885" s="212"/>
      <c r="L1885" s="212"/>
      <c r="M1885" s="212"/>
      <c r="N1885" s="212">
        <f t="shared" si="47"/>
        <v>0</v>
      </c>
    </row>
    <row r="1886" spans="1:14" s="407" customFormat="1" ht="12.75" x14ac:dyDescent="0.2">
      <c r="A1886" s="152"/>
      <c r="B1886" s="73"/>
      <c r="C1886" s="51" t="s">
        <v>954</v>
      </c>
      <c r="D1886" s="89" t="s">
        <v>245</v>
      </c>
      <c r="E1886" s="89"/>
      <c r="F1886" s="89"/>
      <c r="G1886" s="89"/>
      <c r="H1886" s="89"/>
      <c r="I1886" s="89"/>
      <c r="J1886" s="212"/>
      <c r="K1886" s="212"/>
      <c r="L1886" s="212"/>
      <c r="M1886" s="212"/>
      <c r="N1886" s="212">
        <f t="shared" si="47"/>
        <v>739.37</v>
      </c>
    </row>
    <row r="1887" spans="1:14" s="407" customFormat="1" ht="12.75" x14ac:dyDescent="0.2">
      <c r="A1887" s="152"/>
      <c r="B1887" s="73"/>
      <c r="C1887" s="51" t="s">
        <v>1031</v>
      </c>
      <c r="D1887" s="89" t="s">
        <v>245</v>
      </c>
      <c r="E1887" s="89"/>
      <c r="F1887" s="89"/>
      <c r="G1887" s="89"/>
      <c r="H1887" s="89"/>
      <c r="I1887" s="89"/>
      <c r="J1887" s="212"/>
      <c r="K1887" s="212"/>
      <c r="L1887" s="212"/>
      <c r="M1887" s="212"/>
      <c r="N1887" s="212">
        <f t="shared" si="47"/>
        <v>0</v>
      </c>
    </row>
    <row r="1888" spans="1:14" s="407" customFormat="1" ht="12.75" x14ac:dyDescent="0.2">
      <c r="A1888" s="152"/>
      <c r="B1888" s="73"/>
      <c r="C1888" s="51" t="s">
        <v>1009</v>
      </c>
      <c r="D1888" s="89" t="s">
        <v>245</v>
      </c>
      <c r="E1888" s="89"/>
      <c r="F1888" s="89"/>
      <c r="G1888" s="89"/>
      <c r="H1888" s="89"/>
      <c r="I1888" s="89"/>
      <c r="J1888" s="212"/>
      <c r="K1888" s="212"/>
      <c r="L1888" s="212"/>
      <c r="M1888" s="212"/>
      <c r="N1888" s="212">
        <f t="shared" si="47"/>
        <v>0</v>
      </c>
    </row>
    <row r="1889" spans="1:14" s="407" customFormat="1" ht="12.75" x14ac:dyDescent="0.2">
      <c r="A1889" s="152"/>
      <c r="B1889" s="73"/>
      <c r="C1889" s="51" t="s">
        <v>107</v>
      </c>
      <c r="D1889" s="89" t="s">
        <v>245</v>
      </c>
      <c r="E1889" s="89"/>
      <c r="F1889" s="89"/>
      <c r="G1889" s="89"/>
      <c r="H1889" s="89"/>
      <c r="I1889" s="89"/>
      <c r="J1889" s="212"/>
      <c r="K1889" s="212"/>
      <c r="L1889" s="212"/>
      <c r="M1889" s="212"/>
      <c r="N1889" s="212">
        <f t="shared" si="47"/>
        <v>0</v>
      </c>
    </row>
    <row r="1890" spans="1:14" s="407" customFormat="1" ht="12.75" x14ac:dyDescent="0.2">
      <c r="A1890" s="152"/>
      <c r="B1890" s="73"/>
      <c r="C1890" s="51" t="s">
        <v>1026</v>
      </c>
      <c r="D1890" s="89" t="s">
        <v>245</v>
      </c>
      <c r="E1890" s="89"/>
      <c r="F1890" s="89"/>
      <c r="G1890" s="89"/>
      <c r="H1890" s="89"/>
      <c r="I1890" s="89"/>
      <c r="J1890" s="212"/>
      <c r="K1890" s="212"/>
      <c r="L1890" s="212"/>
      <c r="M1890" s="212"/>
      <c r="N1890" s="212">
        <f t="shared" si="47"/>
        <v>0</v>
      </c>
    </row>
    <row r="1891" spans="1:14" s="407" customFormat="1" ht="12.75" x14ac:dyDescent="0.2">
      <c r="A1891" s="152"/>
      <c r="B1891" s="73"/>
      <c r="C1891" s="51" t="s">
        <v>1027</v>
      </c>
      <c r="D1891" s="89" t="s">
        <v>245</v>
      </c>
      <c r="E1891" s="89"/>
      <c r="F1891" s="89"/>
      <c r="G1891" s="89"/>
      <c r="H1891" s="89"/>
      <c r="I1891" s="89"/>
      <c r="J1891" s="212"/>
      <c r="K1891" s="212"/>
      <c r="L1891" s="212"/>
      <c r="M1891" s="212"/>
      <c r="N1891" s="212">
        <f t="shared" si="47"/>
        <v>0</v>
      </c>
    </row>
    <row r="1892" spans="1:14" s="407" customFormat="1" ht="12.75" x14ac:dyDescent="0.2">
      <c r="A1892" s="152"/>
      <c r="B1892" s="73"/>
      <c r="C1892" s="51" t="s">
        <v>955</v>
      </c>
      <c r="D1892" s="89" t="s">
        <v>245</v>
      </c>
      <c r="E1892" s="89"/>
      <c r="F1892" s="89"/>
      <c r="G1892" s="89"/>
      <c r="H1892" s="89"/>
      <c r="I1892" s="89"/>
      <c r="J1892" s="212"/>
      <c r="K1892" s="212"/>
      <c r="L1892" s="212"/>
      <c r="M1892" s="212"/>
      <c r="N1892" s="212">
        <f t="shared" si="47"/>
        <v>0</v>
      </c>
    </row>
    <row r="1893" spans="1:14" s="407" customFormat="1" ht="12.75" x14ac:dyDescent="0.2">
      <c r="A1893" s="152"/>
      <c r="B1893" s="73"/>
      <c r="C1893" s="51" t="s">
        <v>958</v>
      </c>
      <c r="D1893" s="89" t="s">
        <v>245</v>
      </c>
      <c r="E1893" s="89"/>
      <c r="F1893" s="89"/>
      <c r="G1893" s="89"/>
      <c r="H1893" s="89"/>
      <c r="I1893" s="89"/>
      <c r="J1893" s="212"/>
      <c r="K1893" s="212"/>
      <c r="L1893" s="212"/>
      <c r="M1893" s="212"/>
      <c r="N1893" s="212">
        <f t="shared" si="47"/>
        <v>86.99</v>
      </c>
    </row>
    <row r="1894" spans="1:14" s="407" customFormat="1" ht="12.75" x14ac:dyDescent="0.2">
      <c r="A1894" s="152"/>
      <c r="B1894" s="73"/>
      <c r="C1894" s="51" t="s">
        <v>1032</v>
      </c>
      <c r="D1894" s="89" t="s">
        <v>245</v>
      </c>
      <c r="E1894" s="89"/>
      <c r="F1894" s="89"/>
      <c r="G1894" s="89"/>
      <c r="H1894" s="89"/>
      <c r="I1894" s="89"/>
      <c r="J1894" s="212"/>
      <c r="K1894" s="212"/>
      <c r="L1894" s="212"/>
      <c r="M1894" s="212"/>
      <c r="N1894" s="212">
        <f t="shared" si="47"/>
        <v>0</v>
      </c>
    </row>
    <row r="1895" spans="1:14" s="407" customFormat="1" ht="12.75" x14ac:dyDescent="0.2">
      <c r="A1895" s="152"/>
      <c r="B1895" s="73"/>
      <c r="C1895" s="51" t="s">
        <v>109</v>
      </c>
      <c r="D1895" s="89" t="s">
        <v>245</v>
      </c>
      <c r="E1895" s="89"/>
      <c r="F1895" s="89"/>
      <c r="G1895" s="89"/>
      <c r="H1895" s="89"/>
      <c r="I1895" s="89"/>
      <c r="J1895" s="212"/>
      <c r="K1895" s="212"/>
      <c r="L1895" s="212"/>
      <c r="M1895" s="212"/>
      <c r="N1895" s="212">
        <f t="shared" si="47"/>
        <v>0</v>
      </c>
    </row>
    <row r="1896" spans="1:14" s="407" customFormat="1" ht="12.75" x14ac:dyDescent="0.2">
      <c r="A1896" s="152"/>
      <c r="B1896" s="73"/>
      <c r="C1896" s="51" t="s">
        <v>966</v>
      </c>
      <c r="D1896" s="89" t="s">
        <v>245</v>
      </c>
      <c r="E1896" s="89"/>
      <c r="F1896" s="89"/>
      <c r="G1896" s="89"/>
      <c r="H1896" s="89"/>
      <c r="I1896" s="89"/>
      <c r="J1896" s="212"/>
      <c r="K1896" s="212"/>
      <c r="L1896" s="212"/>
      <c r="M1896" s="212"/>
      <c r="N1896" s="212">
        <f t="shared" si="47"/>
        <v>0</v>
      </c>
    </row>
    <row r="1897" spans="1:14" s="407" customFormat="1" ht="12.75" x14ac:dyDescent="0.2">
      <c r="A1897" s="152"/>
      <c r="B1897" s="73"/>
      <c r="C1897" s="51" t="s">
        <v>981</v>
      </c>
      <c r="D1897" s="89" t="s">
        <v>245</v>
      </c>
      <c r="E1897" s="89"/>
      <c r="F1897" s="89"/>
      <c r="G1897" s="89"/>
      <c r="H1897" s="89"/>
      <c r="I1897" s="89"/>
      <c r="J1897" s="212"/>
      <c r="K1897" s="212"/>
      <c r="L1897" s="212"/>
      <c r="M1897" s="212"/>
      <c r="N1897" s="212">
        <f t="shared" si="47"/>
        <v>0</v>
      </c>
    </row>
    <row r="1898" spans="1:14" s="407" customFormat="1" ht="12.75" x14ac:dyDescent="0.2">
      <c r="A1898" s="152"/>
      <c r="B1898" s="73"/>
      <c r="C1898" s="51" t="s">
        <v>963</v>
      </c>
      <c r="D1898" s="89" t="s">
        <v>245</v>
      </c>
      <c r="E1898" s="89"/>
      <c r="F1898" s="89"/>
      <c r="G1898" s="89"/>
      <c r="H1898" s="89"/>
      <c r="I1898" s="89"/>
      <c r="J1898" s="212"/>
      <c r="K1898" s="212"/>
      <c r="L1898" s="212"/>
      <c r="M1898" s="212"/>
      <c r="N1898" s="212">
        <f t="shared" si="47"/>
        <v>0</v>
      </c>
    </row>
    <row r="1899" spans="1:14" s="407" customFormat="1" ht="12.75" x14ac:dyDescent="0.2">
      <c r="A1899" s="152"/>
      <c r="B1899" s="73"/>
      <c r="C1899" s="51" t="s">
        <v>120</v>
      </c>
      <c r="D1899" s="89" t="s">
        <v>245</v>
      </c>
      <c r="E1899" s="89"/>
      <c r="F1899" s="89"/>
      <c r="G1899" s="89"/>
      <c r="H1899" s="89"/>
      <c r="I1899" s="89"/>
      <c r="J1899" s="212"/>
      <c r="K1899" s="212"/>
      <c r="L1899" s="212"/>
      <c r="M1899" s="212"/>
      <c r="N1899" s="212">
        <f t="shared" si="47"/>
        <v>0</v>
      </c>
    </row>
    <row r="1900" spans="1:14" s="407" customFormat="1" ht="12.75" x14ac:dyDescent="0.2">
      <c r="A1900" s="152"/>
      <c r="B1900" s="73"/>
      <c r="C1900" s="51" t="s">
        <v>989</v>
      </c>
      <c r="D1900" s="89" t="s">
        <v>245</v>
      </c>
      <c r="E1900" s="89"/>
      <c r="F1900" s="89"/>
      <c r="G1900" s="89"/>
      <c r="H1900" s="89"/>
      <c r="I1900" s="89"/>
      <c r="J1900" s="212"/>
      <c r="K1900" s="212"/>
      <c r="L1900" s="212"/>
      <c r="M1900" s="212"/>
      <c r="N1900" s="212">
        <f t="shared" si="47"/>
        <v>0</v>
      </c>
    </row>
    <row r="1901" spans="1:14" s="407" customFormat="1" ht="12.75" x14ac:dyDescent="0.2">
      <c r="A1901" s="152"/>
      <c r="B1901" s="73"/>
      <c r="C1901" s="51" t="s">
        <v>986</v>
      </c>
      <c r="D1901" s="89" t="s">
        <v>526</v>
      </c>
      <c r="E1901" s="89"/>
      <c r="F1901" s="89"/>
      <c r="G1901" s="89"/>
      <c r="H1901" s="89"/>
      <c r="I1901" s="89"/>
      <c r="J1901" s="212"/>
      <c r="K1901" s="212"/>
      <c r="L1901" s="212"/>
      <c r="M1901" s="212"/>
      <c r="N1901" s="212">
        <f t="shared" si="47"/>
        <v>0</v>
      </c>
    </row>
    <row r="1902" spans="1:14" s="407" customFormat="1" ht="12.75" x14ac:dyDescent="0.2">
      <c r="A1902" s="152"/>
      <c r="B1902" s="73"/>
      <c r="C1902" s="51" t="s">
        <v>988</v>
      </c>
      <c r="D1902" s="89" t="s">
        <v>526</v>
      </c>
      <c r="E1902" s="89"/>
      <c r="F1902" s="89"/>
      <c r="G1902" s="89"/>
      <c r="H1902" s="89"/>
      <c r="I1902" s="89"/>
      <c r="J1902" s="212"/>
      <c r="K1902" s="212"/>
      <c r="L1902" s="212"/>
      <c r="M1902" s="212"/>
      <c r="N1902" s="212">
        <f t="shared" si="47"/>
        <v>0</v>
      </c>
    </row>
    <row r="1903" spans="1:14" s="407" customFormat="1" ht="12.75" x14ac:dyDescent="0.2">
      <c r="A1903" s="152"/>
      <c r="B1903" s="73"/>
      <c r="C1903" s="51" t="s">
        <v>1058</v>
      </c>
      <c r="D1903" s="89" t="s">
        <v>526</v>
      </c>
      <c r="E1903" s="89"/>
      <c r="F1903" s="89"/>
      <c r="G1903" s="89"/>
      <c r="H1903" s="89"/>
      <c r="I1903" s="89"/>
      <c r="J1903" s="212"/>
      <c r="K1903" s="212"/>
      <c r="L1903" s="212"/>
      <c r="M1903" s="212"/>
      <c r="N1903" s="212">
        <f t="shared" si="47"/>
        <v>0</v>
      </c>
    </row>
    <row r="1904" spans="1:14" s="407" customFormat="1" ht="12.75" x14ac:dyDescent="0.2">
      <c r="A1904" s="152"/>
      <c r="B1904" s="73"/>
      <c r="C1904" s="51" t="s">
        <v>972</v>
      </c>
      <c r="D1904" s="89" t="s">
        <v>526</v>
      </c>
      <c r="E1904" s="89"/>
      <c r="F1904" s="89"/>
      <c r="G1904" s="89"/>
      <c r="H1904" s="89"/>
      <c r="I1904" s="89"/>
      <c r="J1904" s="212"/>
      <c r="K1904" s="212"/>
      <c r="L1904" s="212"/>
      <c r="M1904" s="212"/>
      <c r="N1904" s="212">
        <f t="shared" si="47"/>
        <v>0</v>
      </c>
    </row>
    <row r="1905" spans="1:14" s="407" customFormat="1" ht="12.75" x14ac:dyDescent="0.2">
      <c r="A1905" s="152"/>
      <c r="B1905" s="73"/>
      <c r="C1905" s="51" t="s">
        <v>973</v>
      </c>
      <c r="D1905" s="89" t="s">
        <v>526</v>
      </c>
      <c r="E1905" s="89"/>
      <c r="F1905" s="89"/>
      <c r="G1905" s="89"/>
      <c r="H1905" s="89"/>
      <c r="I1905" s="89"/>
      <c r="J1905" s="212"/>
      <c r="K1905" s="212"/>
      <c r="L1905" s="212"/>
      <c r="M1905" s="212"/>
      <c r="N1905" s="212">
        <f t="shared" si="47"/>
        <v>0</v>
      </c>
    </row>
    <row r="1906" spans="1:14" s="407" customFormat="1" ht="12.75" x14ac:dyDescent="0.2">
      <c r="A1906" s="152"/>
      <c r="B1906" s="73"/>
      <c r="C1906" s="51" t="s">
        <v>980</v>
      </c>
      <c r="D1906" s="89" t="s">
        <v>526</v>
      </c>
      <c r="E1906" s="89"/>
      <c r="F1906" s="89"/>
      <c r="G1906" s="89"/>
      <c r="H1906" s="89"/>
      <c r="I1906" s="89"/>
      <c r="J1906" s="212"/>
      <c r="K1906" s="212"/>
      <c r="L1906" s="212"/>
      <c r="M1906" s="212"/>
      <c r="N1906" s="212">
        <f t="shared" si="47"/>
        <v>0</v>
      </c>
    </row>
    <row r="1907" spans="1:14" s="407" customFormat="1" ht="12.75" x14ac:dyDescent="0.2">
      <c r="A1907" s="152"/>
      <c r="B1907" s="73"/>
      <c r="C1907" s="51" t="s">
        <v>982</v>
      </c>
      <c r="D1907" s="89" t="s">
        <v>526</v>
      </c>
      <c r="E1907" s="89"/>
      <c r="F1907" s="89"/>
      <c r="G1907" s="89"/>
      <c r="H1907" s="89"/>
      <c r="I1907" s="89"/>
      <c r="J1907" s="212"/>
      <c r="K1907" s="212"/>
      <c r="L1907" s="212"/>
      <c r="M1907" s="212"/>
      <c r="N1907" s="212">
        <f t="shared" si="47"/>
        <v>0</v>
      </c>
    </row>
    <row r="1908" spans="1:14" s="407" customFormat="1" ht="12.75" x14ac:dyDescent="0.2">
      <c r="A1908" s="152"/>
      <c r="B1908" s="73"/>
      <c r="C1908" s="51" t="s">
        <v>46</v>
      </c>
      <c r="D1908" s="89" t="s">
        <v>526</v>
      </c>
      <c r="E1908" s="89"/>
      <c r="F1908" s="89"/>
      <c r="G1908" s="89"/>
      <c r="H1908" s="89"/>
      <c r="I1908" s="89"/>
      <c r="J1908" s="212"/>
      <c r="K1908" s="212"/>
      <c r="L1908" s="212"/>
      <c r="M1908" s="212"/>
      <c r="N1908" s="212">
        <f t="shared" si="47"/>
        <v>0</v>
      </c>
    </row>
    <row r="1909" spans="1:14" s="407" customFormat="1" ht="12.75" x14ac:dyDescent="0.2">
      <c r="A1909" s="152"/>
      <c r="B1909" s="73"/>
      <c r="C1909" s="51" t="s">
        <v>1019</v>
      </c>
      <c r="D1909" s="89" t="s">
        <v>526</v>
      </c>
      <c r="E1909" s="89"/>
      <c r="F1909" s="89"/>
      <c r="G1909" s="89"/>
      <c r="H1909" s="89"/>
      <c r="I1909" s="89"/>
      <c r="J1909" s="212"/>
      <c r="K1909" s="212"/>
      <c r="L1909" s="212"/>
      <c r="M1909" s="212"/>
      <c r="N1909" s="212">
        <f t="shared" si="47"/>
        <v>0</v>
      </c>
    </row>
    <row r="1910" spans="1:14" s="407" customFormat="1" ht="12.75" x14ac:dyDescent="0.2">
      <c r="A1910" s="152"/>
      <c r="B1910" s="73"/>
      <c r="C1910" s="51" t="s">
        <v>1050</v>
      </c>
      <c r="D1910" s="89" t="s">
        <v>526</v>
      </c>
      <c r="E1910" s="89"/>
      <c r="F1910" s="89"/>
      <c r="G1910" s="89"/>
      <c r="H1910" s="89"/>
      <c r="I1910" s="89"/>
      <c r="J1910" s="212"/>
      <c r="K1910" s="212"/>
      <c r="L1910" s="212"/>
      <c r="M1910" s="212"/>
      <c r="N1910" s="212">
        <f t="shared" si="47"/>
        <v>0</v>
      </c>
    </row>
    <row r="1911" spans="1:14" s="407" customFormat="1" ht="12.75" x14ac:dyDescent="0.2">
      <c r="A1911" s="152"/>
      <c r="B1911" s="73"/>
      <c r="C1911" s="51" t="s">
        <v>100</v>
      </c>
      <c r="D1911" s="89" t="s">
        <v>526</v>
      </c>
      <c r="E1911" s="89"/>
      <c r="F1911" s="89"/>
      <c r="G1911" s="89"/>
      <c r="H1911" s="89"/>
      <c r="I1911" s="89"/>
      <c r="J1911" s="212"/>
      <c r="K1911" s="212"/>
      <c r="L1911" s="212"/>
      <c r="M1911" s="212"/>
      <c r="N1911" s="212">
        <f t="shared" si="47"/>
        <v>0</v>
      </c>
    </row>
    <row r="1912" spans="1:14" s="407" customFormat="1" ht="12.75" x14ac:dyDescent="0.2">
      <c r="A1912" s="152"/>
      <c r="B1912" s="73"/>
      <c r="C1912" s="51" t="s">
        <v>101</v>
      </c>
      <c r="D1912" s="89" t="s">
        <v>526</v>
      </c>
      <c r="E1912" s="89"/>
      <c r="F1912" s="89"/>
      <c r="G1912" s="89"/>
      <c r="H1912" s="89"/>
      <c r="I1912" s="89"/>
      <c r="J1912" s="212"/>
      <c r="K1912" s="212"/>
      <c r="L1912" s="212"/>
      <c r="M1912" s="212"/>
      <c r="N1912" s="212">
        <f t="shared" si="47"/>
        <v>0</v>
      </c>
    </row>
    <row r="1913" spans="1:14" s="407" customFormat="1" ht="12.75" x14ac:dyDescent="0.2">
      <c r="A1913" s="152"/>
      <c r="B1913" s="73"/>
      <c r="C1913" s="51" t="s">
        <v>1056</v>
      </c>
      <c r="D1913" s="89" t="s">
        <v>526</v>
      </c>
      <c r="E1913" s="89"/>
      <c r="F1913" s="89"/>
      <c r="G1913" s="89"/>
      <c r="H1913" s="89"/>
      <c r="I1913" s="89"/>
      <c r="J1913" s="212"/>
      <c r="K1913" s="212"/>
      <c r="L1913" s="212"/>
      <c r="M1913" s="212"/>
      <c r="N1913" s="212">
        <f t="shared" si="47"/>
        <v>0</v>
      </c>
    </row>
    <row r="1914" spans="1:14" s="407" customFormat="1" ht="12.75" x14ac:dyDescent="0.2">
      <c r="A1914" s="152"/>
      <c r="B1914" s="73"/>
      <c r="C1914" s="51" t="s">
        <v>1057</v>
      </c>
      <c r="D1914" s="89" t="s">
        <v>526</v>
      </c>
      <c r="E1914" s="89"/>
      <c r="F1914" s="89"/>
      <c r="G1914" s="89"/>
      <c r="H1914" s="89"/>
      <c r="I1914" s="89"/>
      <c r="J1914" s="212"/>
      <c r="K1914" s="212"/>
      <c r="L1914" s="212"/>
      <c r="M1914" s="212"/>
      <c r="N1914" s="212">
        <f t="shared" si="47"/>
        <v>0</v>
      </c>
    </row>
    <row r="1915" spans="1:14" s="407" customFormat="1" ht="12.75" x14ac:dyDescent="0.2">
      <c r="A1915" s="152"/>
      <c r="B1915" s="73"/>
      <c r="C1915" s="51" t="s">
        <v>944</v>
      </c>
      <c r="D1915" s="89" t="s">
        <v>526</v>
      </c>
      <c r="E1915" s="89"/>
      <c r="F1915" s="89"/>
      <c r="G1915" s="89"/>
      <c r="H1915" s="89"/>
      <c r="I1915" s="89"/>
      <c r="J1915" s="212"/>
      <c r="K1915" s="212"/>
      <c r="L1915" s="212"/>
      <c r="M1915" s="212"/>
      <c r="N1915" s="212">
        <f t="shared" si="47"/>
        <v>0</v>
      </c>
    </row>
    <row r="1916" spans="1:14" s="407" customFormat="1" ht="12.75" x14ac:dyDescent="0.2">
      <c r="A1916" s="152"/>
      <c r="B1916" s="73"/>
      <c r="C1916" s="51" t="s">
        <v>945</v>
      </c>
      <c r="D1916" s="89" t="s">
        <v>526</v>
      </c>
      <c r="E1916" s="89"/>
      <c r="F1916" s="89"/>
      <c r="G1916" s="89"/>
      <c r="H1916" s="89"/>
      <c r="I1916" s="89"/>
      <c r="J1916" s="212"/>
      <c r="K1916" s="212"/>
      <c r="L1916" s="212"/>
      <c r="M1916" s="212"/>
      <c r="N1916" s="212">
        <f t="shared" si="47"/>
        <v>0</v>
      </c>
    </row>
    <row r="1917" spans="1:14" s="407" customFormat="1" ht="12.75" x14ac:dyDescent="0.2">
      <c r="A1917" s="152"/>
      <c r="B1917" s="73"/>
      <c r="C1917" s="51" t="s">
        <v>965</v>
      </c>
      <c r="D1917" s="89" t="s">
        <v>526</v>
      </c>
      <c r="E1917" s="89"/>
      <c r="F1917" s="89"/>
      <c r="G1917" s="89"/>
      <c r="H1917" s="89"/>
      <c r="I1917" s="89"/>
      <c r="J1917" s="212"/>
      <c r="K1917" s="212"/>
      <c r="L1917" s="212"/>
      <c r="M1917" s="212"/>
      <c r="N1917" s="212">
        <f t="shared" si="47"/>
        <v>0</v>
      </c>
    </row>
    <row r="1918" spans="1:14" s="407" customFormat="1" ht="12.75" x14ac:dyDescent="0.2">
      <c r="A1918" s="152"/>
      <c r="B1918" s="73"/>
      <c r="C1918" s="51" t="s">
        <v>1011</v>
      </c>
      <c r="D1918" s="89" t="s">
        <v>526</v>
      </c>
      <c r="E1918" s="89"/>
      <c r="F1918" s="89"/>
      <c r="G1918" s="89"/>
      <c r="H1918" s="89"/>
      <c r="I1918" s="89"/>
      <c r="J1918" s="212"/>
      <c r="K1918" s="212"/>
      <c r="L1918" s="212"/>
      <c r="M1918" s="212"/>
      <c r="N1918" s="212">
        <f t="shared" si="47"/>
        <v>0</v>
      </c>
    </row>
    <row r="1919" spans="1:14" s="407" customFormat="1" ht="12.75" x14ac:dyDescent="0.2">
      <c r="A1919" s="152"/>
      <c r="B1919" s="73"/>
      <c r="C1919" s="51" t="s">
        <v>1010</v>
      </c>
      <c r="D1919" s="89" t="s">
        <v>526</v>
      </c>
      <c r="E1919" s="89"/>
      <c r="F1919" s="89"/>
      <c r="G1919" s="89"/>
      <c r="H1919" s="89"/>
      <c r="I1919" s="89"/>
      <c r="J1919" s="212"/>
      <c r="K1919" s="212"/>
      <c r="L1919" s="212"/>
      <c r="M1919" s="212"/>
      <c r="N1919" s="212">
        <f t="shared" si="47"/>
        <v>0</v>
      </c>
    </row>
    <row r="1920" spans="1:14" s="407" customFormat="1" ht="12.75" x14ac:dyDescent="0.2">
      <c r="A1920" s="152"/>
      <c r="B1920" s="73"/>
      <c r="C1920" s="51" t="s">
        <v>1013</v>
      </c>
      <c r="D1920" s="89" t="s">
        <v>526</v>
      </c>
      <c r="E1920" s="89"/>
      <c r="F1920" s="89"/>
      <c r="G1920" s="89"/>
      <c r="H1920" s="89"/>
      <c r="I1920" s="89"/>
      <c r="J1920" s="212"/>
      <c r="K1920" s="212"/>
      <c r="L1920" s="212"/>
      <c r="M1920" s="212"/>
      <c r="N1920" s="212">
        <f t="shared" si="47"/>
        <v>0</v>
      </c>
    </row>
    <row r="1921" spans="1:14" s="407" customFormat="1" ht="12.75" x14ac:dyDescent="0.2">
      <c r="A1921" s="152"/>
      <c r="B1921" s="73"/>
      <c r="C1921" s="51" t="s">
        <v>1012</v>
      </c>
      <c r="D1921" s="89" t="s">
        <v>526</v>
      </c>
      <c r="E1921" s="89"/>
      <c r="F1921" s="89"/>
      <c r="G1921" s="89"/>
      <c r="H1921" s="89"/>
      <c r="I1921" s="89"/>
      <c r="J1921" s="212"/>
      <c r="K1921" s="212"/>
      <c r="L1921" s="212"/>
      <c r="M1921" s="212"/>
      <c r="N1921" s="212">
        <f t="shared" si="47"/>
        <v>0</v>
      </c>
    </row>
    <row r="1922" spans="1:14" s="407" customFormat="1" ht="12.75" x14ac:dyDescent="0.2">
      <c r="A1922" s="152"/>
      <c r="B1922" s="73"/>
      <c r="C1922" s="51" t="s">
        <v>1052</v>
      </c>
      <c r="D1922" s="89" t="s">
        <v>526</v>
      </c>
      <c r="E1922" s="89"/>
      <c r="F1922" s="89"/>
      <c r="G1922" s="89"/>
      <c r="H1922" s="89"/>
      <c r="I1922" s="89"/>
      <c r="J1922" s="212"/>
      <c r="K1922" s="212"/>
      <c r="L1922" s="212"/>
      <c r="M1922" s="212"/>
      <c r="N1922" s="212">
        <f t="shared" si="47"/>
        <v>0</v>
      </c>
    </row>
    <row r="1923" spans="1:14" s="407" customFormat="1" ht="12.75" x14ac:dyDescent="0.2">
      <c r="A1923" s="152"/>
      <c r="B1923" s="73"/>
      <c r="C1923" s="51" t="s">
        <v>1053</v>
      </c>
      <c r="D1923" s="89" t="s">
        <v>526</v>
      </c>
      <c r="E1923" s="89"/>
      <c r="F1923" s="89"/>
      <c r="G1923" s="89"/>
      <c r="H1923" s="89"/>
      <c r="I1923" s="89"/>
      <c r="J1923" s="212"/>
      <c r="K1923" s="212"/>
      <c r="L1923" s="212"/>
      <c r="M1923" s="212"/>
      <c r="N1923" s="212">
        <f t="shared" si="47"/>
        <v>0</v>
      </c>
    </row>
    <row r="1924" spans="1:14" s="407" customFormat="1" ht="12.75" x14ac:dyDescent="0.2">
      <c r="A1924" s="152"/>
      <c r="B1924" s="73"/>
      <c r="C1924" s="51" t="s">
        <v>984</v>
      </c>
      <c r="D1924" s="89" t="s">
        <v>526</v>
      </c>
      <c r="E1924" s="89"/>
      <c r="F1924" s="89"/>
      <c r="G1924" s="89"/>
      <c r="H1924" s="89"/>
      <c r="I1924" s="89"/>
      <c r="J1924" s="212"/>
      <c r="K1924" s="212"/>
      <c r="L1924" s="212"/>
      <c r="M1924" s="212"/>
      <c r="N1924" s="212">
        <f t="shared" si="47"/>
        <v>0</v>
      </c>
    </row>
    <row r="1925" spans="1:14" s="407" customFormat="1" ht="12.75" x14ac:dyDescent="0.2">
      <c r="A1925" s="152"/>
      <c r="B1925" s="73"/>
      <c r="C1925" s="51" t="s">
        <v>985</v>
      </c>
      <c r="D1925" s="89" t="s">
        <v>526</v>
      </c>
      <c r="E1925" s="89"/>
      <c r="F1925" s="89"/>
      <c r="G1925" s="89"/>
      <c r="H1925" s="89"/>
      <c r="I1925" s="89"/>
      <c r="J1925" s="212"/>
      <c r="K1925" s="212"/>
      <c r="L1925" s="212"/>
      <c r="M1925" s="212"/>
      <c r="N1925" s="212">
        <f t="shared" si="47"/>
        <v>0</v>
      </c>
    </row>
    <row r="1926" spans="1:14" s="407" customFormat="1" ht="12.75" x14ac:dyDescent="0.2">
      <c r="A1926" s="152"/>
      <c r="B1926" s="73"/>
      <c r="C1926" s="51" t="s">
        <v>1005</v>
      </c>
      <c r="D1926" s="89" t="s">
        <v>526</v>
      </c>
      <c r="E1926" s="89"/>
      <c r="F1926" s="89"/>
      <c r="G1926" s="89"/>
      <c r="H1926" s="89"/>
      <c r="I1926" s="89"/>
      <c r="J1926" s="212"/>
      <c r="K1926" s="212"/>
      <c r="L1926" s="212"/>
      <c r="M1926" s="212"/>
      <c r="N1926" s="212">
        <f t="shared" si="47"/>
        <v>0</v>
      </c>
    </row>
    <row r="1927" spans="1:14" s="407" customFormat="1" ht="12.75" x14ac:dyDescent="0.2">
      <c r="A1927" s="152"/>
      <c r="B1927" s="73"/>
      <c r="C1927" s="51" t="s">
        <v>1004</v>
      </c>
      <c r="D1927" s="89" t="s">
        <v>526</v>
      </c>
      <c r="E1927" s="89"/>
      <c r="F1927" s="89"/>
      <c r="G1927" s="89"/>
      <c r="H1927" s="89"/>
      <c r="I1927" s="89"/>
      <c r="J1927" s="212"/>
      <c r="K1927" s="212"/>
      <c r="L1927" s="212"/>
      <c r="M1927" s="212"/>
      <c r="N1927" s="212">
        <f t="shared" si="47"/>
        <v>0</v>
      </c>
    </row>
    <row r="1928" spans="1:14" s="407" customFormat="1" ht="12.75" x14ac:dyDescent="0.2">
      <c r="A1928" s="152"/>
      <c r="B1928" s="73"/>
      <c r="C1928" s="51" t="s">
        <v>1008</v>
      </c>
      <c r="D1928" s="89" t="s">
        <v>526</v>
      </c>
      <c r="E1928" s="89"/>
      <c r="F1928" s="89"/>
      <c r="G1928" s="89"/>
      <c r="H1928" s="89"/>
      <c r="I1928" s="89"/>
      <c r="J1928" s="212"/>
      <c r="K1928" s="212"/>
      <c r="L1928" s="212"/>
      <c r="M1928" s="212"/>
      <c r="N1928" s="212">
        <f t="shared" si="47"/>
        <v>0</v>
      </c>
    </row>
    <row r="1929" spans="1:14" s="407" customFormat="1" ht="12.75" x14ac:dyDescent="0.2">
      <c r="A1929" s="152"/>
      <c r="B1929" s="73"/>
      <c r="C1929" s="51" t="s">
        <v>1006</v>
      </c>
      <c r="D1929" s="89" t="s">
        <v>526</v>
      </c>
      <c r="E1929" s="89"/>
      <c r="F1929" s="89"/>
      <c r="G1929" s="89"/>
      <c r="H1929" s="89"/>
      <c r="I1929" s="89"/>
      <c r="J1929" s="212"/>
      <c r="K1929" s="212"/>
      <c r="L1929" s="212"/>
      <c r="M1929" s="212"/>
      <c r="N1929" s="212">
        <f t="shared" si="47"/>
        <v>0</v>
      </c>
    </row>
    <row r="1930" spans="1:14" s="407" customFormat="1" ht="12.75" x14ac:dyDescent="0.2">
      <c r="A1930" s="152"/>
      <c r="B1930" s="73"/>
      <c r="C1930" s="51" t="s">
        <v>1034</v>
      </c>
      <c r="D1930" s="89" t="s">
        <v>526</v>
      </c>
      <c r="E1930" s="89"/>
      <c r="F1930" s="89"/>
      <c r="G1930" s="89"/>
      <c r="H1930" s="89"/>
      <c r="I1930" s="89"/>
      <c r="J1930" s="212"/>
      <c r="K1930" s="212"/>
      <c r="L1930" s="212"/>
      <c r="M1930" s="212"/>
      <c r="N1930" s="212">
        <f t="shared" si="47"/>
        <v>0</v>
      </c>
    </row>
    <row r="1931" spans="1:14" s="407" customFormat="1" ht="12.75" x14ac:dyDescent="0.2">
      <c r="A1931" s="152"/>
      <c r="B1931" s="73"/>
      <c r="C1931" s="51" t="s">
        <v>1035</v>
      </c>
      <c r="D1931" s="89" t="s">
        <v>526</v>
      </c>
      <c r="E1931" s="89"/>
      <c r="F1931" s="89"/>
      <c r="G1931" s="89"/>
      <c r="H1931" s="89"/>
      <c r="I1931" s="89"/>
      <c r="J1931" s="212"/>
      <c r="K1931" s="212"/>
      <c r="L1931" s="212"/>
      <c r="M1931" s="212"/>
      <c r="N1931" s="212">
        <f t="shared" si="47"/>
        <v>0</v>
      </c>
    </row>
    <row r="1932" spans="1:14" s="407" customFormat="1" ht="12.75" x14ac:dyDescent="0.2">
      <c r="A1932" s="152"/>
      <c r="B1932" s="73"/>
      <c r="C1932" s="51" t="s">
        <v>922</v>
      </c>
      <c r="D1932" s="89" t="s">
        <v>526</v>
      </c>
      <c r="E1932" s="89"/>
      <c r="F1932" s="89"/>
      <c r="G1932" s="89"/>
      <c r="H1932" s="89"/>
      <c r="I1932" s="89"/>
      <c r="J1932" s="212"/>
      <c r="K1932" s="212"/>
      <c r="L1932" s="212"/>
      <c r="M1932" s="212"/>
      <c r="N1932" s="212">
        <f t="shared" si="47"/>
        <v>0</v>
      </c>
    </row>
    <row r="1933" spans="1:14" s="407" customFormat="1" ht="12.75" x14ac:dyDescent="0.2">
      <c r="A1933" s="152"/>
      <c r="B1933" s="73"/>
      <c r="C1933" s="51" t="s">
        <v>942</v>
      </c>
      <c r="D1933" s="89" t="s">
        <v>526</v>
      </c>
      <c r="E1933" s="89"/>
      <c r="F1933" s="89"/>
      <c r="G1933" s="89"/>
      <c r="H1933" s="89"/>
      <c r="I1933" s="89"/>
      <c r="J1933" s="212"/>
      <c r="K1933" s="212"/>
      <c r="L1933" s="212"/>
      <c r="M1933" s="212"/>
      <c r="N1933" s="212">
        <f t="shared" ref="N1933:N1996" si="48">SUMIFS(N$26:N$154,$C$26:$C$154,$C1933,$D$26:$D$154,$D1933)</f>
        <v>0</v>
      </c>
    </row>
    <row r="1934" spans="1:14" s="407" customFormat="1" ht="12.75" x14ac:dyDescent="0.2">
      <c r="A1934" s="152"/>
      <c r="B1934" s="73"/>
      <c r="C1934" s="51" t="s">
        <v>943</v>
      </c>
      <c r="D1934" s="89" t="s">
        <v>526</v>
      </c>
      <c r="E1934" s="89"/>
      <c r="F1934" s="89"/>
      <c r="G1934" s="89"/>
      <c r="H1934" s="89"/>
      <c r="I1934" s="89"/>
      <c r="J1934" s="212"/>
      <c r="K1934" s="212"/>
      <c r="L1934" s="212"/>
      <c r="M1934" s="212"/>
      <c r="N1934" s="212">
        <f t="shared" si="48"/>
        <v>0</v>
      </c>
    </row>
    <row r="1935" spans="1:14" s="407" customFormat="1" ht="12.75" x14ac:dyDescent="0.2">
      <c r="A1935" s="152"/>
      <c r="B1935" s="73"/>
      <c r="C1935" s="51" t="s">
        <v>938</v>
      </c>
      <c r="D1935" s="89" t="s">
        <v>526</v>
      </c>
      <c r="E1935" s="89"/>
      <c r="F1935" s="89"/>
      <c r="G1935" s="89"/>
      <c r="H1935" s="89"/>
      <c r="I1935" s="89"/>
      <c r="J1935" s="212"/>
      <c r="K1935" s="212"/>
      <c r="L1935" s="212"/>
      <c r="M1935" s="212"/>
      <c r="N1935" s="212">
        <f t="shared" si="48"/>
        <v>0</v>
      </c>
    </row>
    <row r="1936" spans="1:14" s="407" customFormat="1" ht="12.75" x14ac:dyDescent="0.2">
      <c r="A1936" s="152"/>
      <c r="B1936" s="73"/>
      <c r="C1936" s="51" t="s">
        <v>939</v>
      </c>
      <c r="D1936" s="89" t="s">
        <v>526</v>
      </c>
      <c r="E1936" s="89"/>
      <c r="F1936" s="89"/>
      <c r="G1936" s="89"/>
      <c r="H1936" s="89"/>
      <c r="I1936" s="89"/>
      <c r="J1936" s="212"/>
      <c r="K1936" s="212"/>
      <c r="L1936" s="212"/>
      <c r="M1936" s="212"/>
      <c r="N1936" s="212">
        <f t="shared" si="48"/>
        <v>0</v>
      </c>
    </row>
    <row r="1937" spans="1:14" s="407" customFormat="1" ht="12.75" x14ac:dyDescent="0.2">
      <c r="A1937" s="152"/>
      <c r="B1937" s="73"/>
      <c r="C1937" s="51" t="s">
        <v>934</v>
      </c>
      <c r="D1937" s="89" t="s">
        <v>526</v>
      </c>
      <c r="E1937" s="89"/>
      <c r="F1937" s="89"/>
      <c r="G1937" s="89"/>
      <c r="H1937" s="89"/>
      <c r="I1937" s="89"/>
      <c r="J1937" s="212"/>
      <c r="K1937" s="212"/>
      <c r="L1937" s="212"/>
      <c r="M1937" s="212"/>
      <c r="N1937" s="212">
        <f t="shared" si="48"/>
        <v>0</v>
      </c>
    </row>
    <row r="1938" spans="1:14" s="407" customFormat="1" ht="12.75" x14ac:dyDescent="0.2">
      <c r="A1938" s="152"/>
      <c r="B1938" s="73"/>
      <c r="C1938" s="51" t="s">
        <v>935</v>
      </c>
      <c r="D1938" s="89" t="s">
        <v>526</v>
      </c>
      <c r="E1938" s="89"/>
      <c r="F1938" s="89"/>
      <c r="G1938" s="89"/>
      <c r="H1938" s="89"/>
      <c r="I1938" s="89"/>
      <c r="J1938" s="212"/>
      <c r="K1938" s="212"/>
      <c r="L1938" s="212"/>
      <c r="M1938" s="212"/>
      <c r="N1938" s="212">
        <f t="shared" si="48"/>
        <v>0</v>
      </c>
    </row>
    <row r="1939" spans="1:14" s="407" customFormat="1" ht="12.75" x14ac:dyDescent="0.2">
      <c r="A1939" s="152"/>
      <c r="B1939" s="73"/>
      <c r="C1939" s="51" t="s">
        <v>953</v>
      </c>
      <c r="D1939" s="89" t="s">
        <v>526</v>
      </c>
      <c r="E1939" s="89"/>
      <c r="F1939" s="89"/>
      <c r="G1939" s="89"/>
      <c r="H1939" s="89"/>
      <c r="I1939" s="89"/>
      <c r="J1939" s="212"/>
      <c r="K1939" s="212"/>
      <c r="L1939" s="212"/>
      <c r="M1939" s="212"/>
      <c r="N1939" s="212">
        <f t="shared" si="48"/>
        <v>0</v>
      </c>
    </row>
    <row r="1940" spans="1:14" s="407" customFormat="1" ht="12.75" x14ac:dyDescent="0.2">
      <c r="A1940" s="152"/>
      <c r="B1940" s="73"/>
      <c r="C1940" s="51" t="s">
        <v>924</v>
      </c>
      <c r="D1940" s="89" t="s">
        <v>526</v>
      </c>
      <c r="E1940" s="89"/>
      <c r="F1940" s="89"/>
      <c r="G1940" s="89"/>
      <c r="H1940" s="89"/>
      <c r="I1940" s="89"/>
      <c r="J1940" s="212"/>
      <c r="K1940" s="212"/>
      <c r="L1940" s="212"/>
      <c r="M1940" s="212"/>
      <c r="N1940" s="212">
        <f t="shared" si="48"/>
        <v>0</v>
      </c>
    </row>
    <row r="1941" spans="1:14" s="407" customFormat="1" ht="12.75" x14ac:dyDescent="0.2">
      <c r="A1941" s="152"/>
      <c r="B1941" s="73"/>
      <c r="C1941" s="51" t="s">
        <v>927</v>
      </c>
      <c r="D1941" s="89" t="s">
        <v>526</v>
      </c>
      <c r="E1941" s="89"/>
      <c r="F1941" s="89"/>
      <c r="G1941" s="89"/>
      <c r="H1941" s="89"/>
      <c r="I1941" s="89"/>
      <c r="J1941" s="212"/>
      <c r="K1941" s="212"/>
      <c r="L1941" s="212"/>
      <c r="M1941" s="212"/>
      <c r="N1941" s="212">
        <f t="shared" si="48"/>
        <v>0</v>
      </c>
    </row>
    <row r="1942" spans="1:14" s="407" customFormat="1" ht="12.75" x14ac:dyDescent="0.2">
      <c r="A1942" s="152"/>
      <c r="B1942" s="73"/>
      <c r="C1942" s="51" t="s">
        <v>951</v>
      </c>
      <c r="D1942" s="89" t="s">
        <v>526</v>
      </c>
      <c r="E1942" s="89"/>
      <c r="F1942" s="89"/>
      <c r="G1942" s="89"/>
      <c r="H1942" s="89"/>
      <c r="I1942" s="89"/>
      <c r="J1942" s="212"/>
      <c r="K1942" s="212"/>
      <c r="L1942" s="212"/>
      <c r="M1942" s="212"/>
      <c r="N1942" s="212">
        <f t="shared" si="48"/>
        <v>0</v>
      </c>
    </row>
    <row r="1943" spans="1:14" s="407" customFormat="1" ht="12.75" x14ac:dyDescent="0.2">
      <c r="A1943" s="152"/>
      <c r="B1943" s="73"/>
      <c r="C1943" s="51" t="s">
        <v>1055</v>
      </c>
      <c r="D1943" s="89" t="s">
        <v>526</v>
      </c>
      <c r="E1943" s="89"/>
      <c r="F1943" s="89"/>
      <c r="G1943" s="89"/>
      <c r="H1943" s="89"/>
      <c r="I1943" s="89"/>
      <c r="J1943" s="212"/>
      <c r="K1943" s="212"/>
      <c r="L1943" s="212"/>
      <c r="M1943" s="212"/>
      <c r="N1943" s="212">
        <f t="shared" si="48"/>
        <v>0</v>
      </c>
    </row>
    <row r="1944" spans="1:14" s="407" customFormat="1" ht="12.75" x14ac:dyDescent="0.2">
      <c r="A1944" s="152"/>
      <c r="B1944" s="73"/>
      <c r="C1944" s="51" t="s">
        <v>940</v>
      </c>
      <c r="D1944" s="89" t="s">
        <v>526</v>
      </c>
      <c r="E1944" s="89"/>
      <c r="F1944" s="89"/>
      <c r="G1944" s="89"/>
      <c r="H1944" s="89"/>
      <c r="I1944" s="89"/>
      <c r="J1944" s="212"/>
      <c r="K1944" s="212"/>
      <c r="L1944" s="212"/>
      <c r="M1944" s="212"/>
      <c r="N1944" s="212">
        <f t="shared" si="48"/>
        <v>0</v>
      </c>
    </row>
    <row r="1945" spans="1:14" s="407" customFormat="1" ht="12.75" x14ac:dyDescent="0.2">
      <c r="A1945" s="152"/>
      <c r="B1945" s="73"/>
      <c r="C1945" s="51" t="s">
        <v>941</v>
      </c>
      <c r="D1945" s="89" t="s">
        <v>526</v>
      </c>
      <c r="E1945" s="89"/>
      <c r="F1945" s="89"/>
      <c r="G1945" s="89"/>
      <c r="H1945" s="89"/>
      <c r="I1945" s="89"/>
      <c r="J1945" s="212"/>
      <c r="K1945" s="212"/>
      <c r="L1945" s="212"/>
      <c r="M1945" s="212"/>
      <c r="N1945" s="212">
        <f t="shared" si="48"/>
        <v>0</v>
      </c>
    </row>
    <row r="1946" spans="1:14" s="407" customFormat="1" ht="12.75" x14ac:dyDescent="0.2">
      <c r="A1946" s="152"/>
      <c r="B1946" s="73"/>
      <c r="C1946" s="51" t="s">
        <v>936</v>
      </c>
      <c r="D1946" s="89" t="s">
        <v>526</v>
      </c>
      <c r="E1946" s="89"/>
      <c r="F1946" s="89"/>
      <c r="G1946" s="89"/>
      <c r="H1946" s="89"/>
      <c r="I1946" s="89"/>
      <c r="J1946" s="212"/>
      <c r="K1946" s="212"/>
      <c r="L1946" s="212"/>
      <c r="M1946" s="212"/>
      <c r="N1946" s="212">
        <f t="shared" si="48"/>
        <v>0</v>
      </c>
    </row>
    <row r="1947" spans="1:14" s="407" customFormat="1" ht="12.75" x14ac:dyDescent="0.2">
      <c r="A1947" s="152"/>
      <c r="B1947" s="73"/>
      <c r="C1947" s="51" t="s">
        <v>937</v>
      </c>
      <c r="D1947" s="89" t="s">
        <v>526</v>
      </c>
      <c r="E1947" s="89"/>
      <c r="F1947" s="89"/>
      <c r="G1947" s="89"/>
      <c r="H1947" s="89"/>
      <c r="I1947" s="89"/>
      <c r="J1947" s="212"/>
      <c r="K1947" s="212"/>
      <c r="L1947" s="212"/>
      <c r="M1947" s="212"/>
      <c r="N1947" s="212">
        <f t="shared" si="48"/>
        <v>0</v>
      </c>
    </row>
    <row r="1948" spans="1:14" s="407" customFormat="1" ht="12.75" x14ac:dyDescent="0.2">
      <c r="A1948" s="152"/>
      <c r="B1948" s="73"/>
      <c r="C1948" s="51" t="s">
        <v>932</v>
      </c>
      <c r="D1948" s="89" t="s">
        <v>526</v>
      </c>
      <c r="E1948" s="89"/>
      <c r="F1948" s="89"/>
      <c r="G1948" s="89"/>
      <c r="H1948" s="89"/>
      <c r="I1948" s="89"/>
      <c r="J1948" s="212"/>
      <c r="K1948" s="212"/>
      <c r="L1948" s="212"/>
      <c r="M1948" s="212"/>
      <c r="N1948" s="212">
        <f t="shared" si="48"/>
        <v>0</v>
      </c>
    </row>
    <row r="1949" spans="1:14" s="407" customFormat="1" ht="12.75" x14ac:dyDescent="0.2">
      <c r="A1949" s="152"/>
      <c r="B1949" s="73"/>
      <c r="C1949" s="51" t="s">
        <v>933</v>
      </c>
      <c r="D1949" s="89" t="s">
        <v>526</v>
      </c>
      <c r="E1949" s="89"/>
      <c r="F1949" s="89"/>
      <c r="G1949" s="89"/>
      <c r="H1949" s="89"/>
      <c r="I1949" s="89"/>
      <c r="J1949" s="212"/>
      <c r="K1949" s="212"/>
      <c r="L1949" s="212"/>
      <c r="M1949" s="212"/>
      <c r="N1949" s="212">
        <f t="shared" si="48"/>
        <v>0</v>
      </c>
    </row>
    <row r="1950" spans="1:14" s="407" customFormat="1" ht="12.75" x14ac:dyDescent="0.2">
      <c r="A1950" s="152"/>
      <c r="B1950" s="73"/>
      <c r="C1950" s="51" t="s">
        <v>952</v>
      </c>
      <c r="D1950" s="89" t="s">
        <v>526</v>
      </c>
      <c r="E1950" s="89"/>
      <c r="F1950" s="89"/>
      <c r="G1950" s="89"/>
      <c r="H1950" s="89"/>
      <c r="I1950" s="89"/>
      <c r="J1950" s="212"/>
      <c r="K1950" s="212"/>
      <c r="L1950" s="212"/>
      <c r="M1950" s="212"/>
      <c r="N1950" s="212">
        <f t="shared" si="48"/>
        <v>0</v>
      </c>
    </row>
    <row r="1951" spans="1:14" s="407" customFormat="1" ht="12.75" x14ac:dyDescent="0.2">
      <c r="A1951" s="152"/>
      <c r="B1951" s="73"/>
      <c r="C1951" s="51" t="s">
        <v>923</v>
      </c>
      <c r="D1951" s="89" t="s">
        <v>526</v>
      </c>
      <c r="E1951" s="89"/>
      <c r="F1951" s="89"/>
      <c r="G1951" s="89"/>
      <c r="H1951" s="89"/>
      <c r="I1951" s="89"/>
      <c r="J1951" s="212"/>
      <c r="K1951" s="212"/>
      <c r="L1951" s="212"/>
      <c r="M1951" s="212"/>
      <c r="N1951" s="212">
        <f t="shared" si="48"/>
        <v>0</v>
      </c>
    </row>
    <row r="1952" spans="1:14" s="407" customFormat="1" ht="12.75" x14ac:dyDescent="0.2">
      <c r="A1952" s="152"/>
      <c r="B1952" s="73"/>
      <c r="C1952" s="51" t="s">
        <v>925</v>
      </c>
      <c r="D1952" s="89" t="s">
        <v>526</v>
      </c>
      <c r="E1952" s="89"/>
      <c r="F1952" s="89"/>
      <c r="G1952" s="89"/>
      <c r="H1952" s="89"/>
      <c r="I1952" s="89"/>
      <c r="J1952" s="212"/>
      <c r="K1952" s="212"/>
      <c r="L1952" s="212"/>
      <c r="M1952" s="212"/>
      <c r="N1952" s="212">
        <f t="shared" si="48"/>
        <v>0</v>
      </c>
    </row>
    <row r="1953" spans="1:14" s="407" customFormat="1" ht="12.75" x14ac:dyDescent="0.2">
      <c r="A1953" s="152"/>
      <c r="B1953" s="73"/>
      <c r="C1953" s="51" t="s">
        <v>950</v>
      </c>
      <c r="D1953" s="89" t="s">
        <v>526</v>
      </c>
      <c r="E1953" s="89"/>
      <c r="F1953" s="89"/>
      <c r="G1953" s="89"/>
      <c r="H1953" s="89"/>
      <c r="I1953" s="89"/>
      <c r="J1953" s="212"/>
      <c r="K1953" s="212"/>
      <c r="L1953" s="212"/>
      <c r="M1953" s="212"/>
      <c r="N1953" s="212">
        <f t="shared" si="48"/>
        <v>0</v>
      </c>
    </row>
    <row r="1954" spans="1:14" s="407" customFormat="1" ht="12.75" x14ac:dyDescent="0.2">
      <c r="A1954" s="152"/>
      <c r="B1954" s="73"/>
      <c r="C1954" s="51" t="s">
        <v>1054</v>
      </c>
      <c r="D1954" s="89" t="s">
        <v>526</v>
      </c>
      <c r="E1954" s="89"/>
      <c r="F1954" s="89"/>
      <c r="G1954" s="89"/>
      <c r="H1954" s="89"/>
      <c r="I1954" s="89"/>
      <c r="J1954" s="212"/>
      <c r="K1954" s="212"/>
      <c r="L1954" s="212"/>
      <c r="M1954" s="212"/>
      <c r="N1954" s="212">
        <f t="shared" si="48"/>
        <v>0</v>
      </c>
    </row>
    <row r="1955" spans="1:14" s="407" customFormat="1" ht="12.75" x14ac:dyDescent="0.2">
      <c r="A1955" s="152"/>
      <c r="B1955" s="73"/>
      <c r="C1955" s="51" t="s">
        <v>921</v>
      </c>
      <c r="D1955" s="89" t="s">
        <v>526</v>
      </c>
      <c r="E1955" s="89"/>
      <c r="F1955" s="89"/>
      <c r="G1955" s="89"/>
      <c r="H1955" s="89"/>
      <c r="I1955" s="89"/>
      <c r="J1955" s="212"/>
      <c r="K1955" s="212"/>
      <c r="L1955" s="212"/>
      <c r="M1955" s="212"/>
      <c r="N1955" s="212">
        <f t="shared" si="48"/>
        <v>0</v>
      </c>
    </row>
    <row r="1956" spans="1:14" s="407" customFormat="1" ht="12.75" x14ac:dyDescent="0.2">
      <c r="A1956" s="152"/>
      <c r="B1956" s="73"/>
      <c r="C1956" s="51" t="s">
        <v>1022</v>
      </c>
      <c r="D1956" s="89" t="s">
        <v>526</v>
      </c>
      <c r="E1956" s="89"/>
      <c r="F1956" s="89"/>
      <c r="G1956" s="89"/>
      <c r="H1956" s="89"/>
      <c r="I1956" s="89"/>
      <c r="J1956" s="212"/>
      <c r="K1956" s="212"/>
      <c r="L1956" s="212"/>
      <c r="M1956" s="212"/>
      <c r="N1956" s="212">
        <f t="shared" si="48"/>
        <v>0</v>
      </c>
    </row>
    <row r="1957" spans="1:14" s="407" customFormat="1" ht="12.75" x14ac:dyDescent="0.2">
      <c r="A1957" s="152"/>
      <c r="B1957" s="73"/>
      <c r="C1957" s="51" t="s">
        <v>1023</v>
      </c>
      <c r="D1957" s="89" t="s">
        <v>526</v>
      </c>
      <c r="E1957" s="89"/>
      <c r="F1957" s="89"/>
      <c r="G1957" s="89"/>
      <c r="H1957" s="89"/>
      <c r="I1957" s="89"/>
      <c r="J1957" s="212"/>
      <c r="K1957" s="212"/>
      <c r="L1957" s="212"/>
      <c r="M1957" s="212"/>
      <c r="N1957" s="212">
        <f t="shared" si="48"/>
        <v>0</v>
      </c>
    </row>
    <row r="1958" spans="1:14" s="407" customFormat="1" ht="12.75" x14ac:dyDescent="0.2">
      <c r="A1958" s="152"/>
      <c r="B1958" s="73"/>
      <c r="C1958" s="51" t="s">
        <v>137</v>
      </c>
      <c r="D1958" s="89" t="s">
        <v>526</v>
      </c>
      <c r="E1958" s="89"/>
      <c r="F1958" s="89"/>
      <c r="G1958" s="89"/>
      <c r="H1958" s="89"/>
      <c r="I1958" s="89"/>
      <c r="J1958" s="212"/>
      <c r="K1958" s="212"/>
      <c r="L1958" s="212"/>
      <c r="M1958" s="212"/>
      <c r="N1958" s="212">
        <f t="shared" si="48"/>
        <v>0</v>
      </c>
    </row>
    <row r="1959" spans="1:14" s="407" customFormat="1" ht="12.75" x14ac:dyDescent="0.2">
      <c r="A1959" s="152"/>
      <c r="B1959" s="73"/>
      <c r="C1959" s="51" t="s">
        <v>956</v>
      </c>
      <c r="D1959" s="89" t="s">
        <v>526</v>
      </c>
      <c r="E1959" s="89"/>
      <c r="F1959" s="89"/>
      <c r="G1959" s="89"/>
      <c r="H1959" s="89"/>
      <c r="I1959" s="89"/>
      <c r="J1959" s="212"/>
      <c r="K1959" s="212"/>
      <c r="L1959" s="212"/>
      <c r="M1959" s="212"/>
      <c r="N1959" s="212">
        <f t="shared" si="48"/>
        <v>0</v>
      </c>
    </row>
    <row r="1960" spans="1:14" s="407" customFormat="1" ht="12.75" x14ac:dyDescent="0.2">
      <c r="A1960" s="152"/>
      <c r="B1960" s="73"/>
      <c r="C1960" s="51" t="s">
        <v>1045</v>
      </c>
      <c r="D1960" s="89" t="s">
        <v>526</v>
      </c>
      <c r="E1960" s="89"/>
      <c r="F1960" s="89"/>
      <c r="G1960" s="89"/>
      <c r="H1960" s="89"/>
      <c r="I1960" s="89"/>
      <c r="J1960" s="212"/>
      <c r="K1960" s="212"/>
      <c r="L1960" s="212"/>
      <c r="M1960" s="212"/>
      <c r="N1960" s="212">
        <f t="shared" si="48"/>
        <v>0</v>
      </c>
    </row>
    <row r="1961" spans="1:14" s="407" customFormat="1" ht="12.75" x14ac:dyDescent="0.2">
      <c r="A1961" s="152"/>
      <c r="B1961" s="73"/>
      <c r="C1961" s="51" t="s">
        <v>1046</v>
      </c>
      <c r="D1961" s="89" t="s">
        <v>526</v>
      </c>
      <c r="E1961" s="89"/>
      <c r="F1961" s="89"/>
      <c r="G1961" s="89"/>
      <c r="H1961" s="89"/>
      <c r="I1961" s="89"/>
      <c r="J1961" s="212"/>
      <c r="K1961" s="212"/>
      <c r="L1961" s="212"/>
      <c r="M1961" s="212"/>
      <c r="N1961" s="212">
        <f t="shared" si="48"/>
        <v>0</v>
      </c>
    </row>
    <row r="1962" spans="1:14" s="407" customFormat="1" ht="12.75" x14ac:dyDescent="0.2">
      <c r="A1962" s="152"/>
      <c r="B1962" s="73"/>
      <c r="C1962" s="51" t="s">
        <v>1036</v>
      </c>
      <c r="D1962" s="89" t="s">
        <v>526</v>
      </c>
      <c r="E1962" s="89"/>
      <c r="F1962" s="89"/>
      <c r="G1962" s="89"/>
      <c r="H1962" s="89"/>
      <c r="I1962" s="89"/>
      <c r="J1962" s="212"/>
      <c r="K1962" s="212"/>
      <c r="L1962" s="212"/>
      <c r="M1962" s="212"/>
      <c r="N1962" s="212">
        <f t="shared" si="48"/>
        <v>0</v>
      </c>
    </row>
    <row r="1963" spans="1:14" s="407" customFormat="1" ht="12.75" x14ac:dyDescent="0.2">
      <c r="A1963" s="152"/>
      <c r="B1963" s="73"/>
      <c r="C1963" s="51" t="s">
        <v>1037</v>
      </c>
      <c r="D1963" s="89" t="s">
        <v>526</v>
      </c>
      <c r="E1963" s="89"/>
      <c r="F1963" s="89"/>
      <c r="G1963" s="89"/>
      <c r="H1963" s="89"/>
      <c r="I1963" s="89"/>
      <c r="J1963" s="212"/>
      <c r="K1963" s="212"/>
      <c r="L1963" s="212"/>
      <c r="M1963" s="212"/>
      <c r="N1963" s="212">
        <f t="shared" si="48"/>
        <v>0</v>
      </c>
    </row>
    <row r="1964" spans="1:14" s="407" customFormat="1" ht="12.75" x14ac:dyDescent="0.2">
      <c r="A1964" s="152"/>
      <c r="B1964" s="73"/>
      <c r="C1964" s="51" t="s">
        <v>990</v>
      </c>
      <c r="D1964" s="89" t="s">
        <v>526</v>
      </c>
      <c r="E1964" s="89"/>
      <c r="F1964" s="89"/>
      <c r="G1964" s="89"/>
      <c r="H1964" s="89"/>
      <c r="I1964" s="89"/>
      <c r="J1964" s="212"/>
      <c r="K1964" s="212"/>
      <c r="L1964" s="212"/>
      <c r="M1964" s="212"/>
      <c r="N1964" s="212">
        <f t="shared" si="48"/>
        <v>0</v>
      </c>
    </row>
    <row r="1965" spans="1:14" s="407" customFormat="1" ht="12.75" x14ac:dyDescent="0.2">
      <c r="A1965" s="152"/>
      <c r="B1965" s="73"/>
      <c r="C1965" s="51" t="s">
        <v>1040</v>
      </c>
      <c r="D1965" s="89" t="s">
        <v>526</v>
      </c>
      <c r="E1965" s="89"/>
      <c r="F1965" s="89"/>
      <c r="G1965" s="89"/>
      <c r="H1965" s="89"/>
      <c r="I1965" s="89"/>
      <c r="J1965" s="212"/>
      <c r="K1965" s="212"/>
      <c r="L1965" s="212"/>
      <c r="M1965" s="212"/>
      <c r="N1965" s="212">
        <f t="shared" si="48"/>
        <v>0</v>
      </c>
    </row>
    <row r="1966" spans="1:14" s="407" customFormat="1" ht="12.75" x14ac:dyDescent="0.2">
      <c r="A1966" s="152"/>
      <c r="B1966" s="73"/>
      <c r="C1966" s="51" t="s">
        <v>991</v>
      </c>
      <c r="D1966" s="89" t="s">
        <v>526</v>
      </c>
      <c r="E1966" s="89"/>
      <c r="F1966" s="89"/>
      <c r="G1966" s="89"/>
      <c r="H1966" s="89"/>
      <c r="I1966" s="89"/>
      <c r="J1966" s="212"/>
      <c r="K1966" s="212"/>
      <c r="L1966" s="212"/>
      <c r="M1966" s="212"/>
      <c r="N1966" s="212">
        <f t="shared" si="48"/>
        <v>0</v>
      </c>
    </row>
    <row r="1967" spans="1:14" s="407" customFormat="1" ht="12.75" x14ac:dyDescent="0.2">
      <c r="A1967" s="152"/>
      <c r="B1967" s="73"/>
      <c r="C1967" s="51" t="s">
        <v>959</v>
      </c>
      <c r="D1967" s="89" t="s">
        <v>526</v>
      </c>
      <c r="E1967" s="89"/>
      <c r="F1967" s="89"/>
      <c r="G1967" s="89"/>
      <c r="H1967" s="89"/>
      <c r="I1967" s="89"/>
      <c r="J1967" s="212"/>
      <c r="K1967" s="212"/>
      <c r="L1967" s="212"/>
      <c r="M1967" s="212"/>
      <c r="N1967" s="212">
        <f t="shared" si="48"/>
        <v>0</v>
      </c>
    </row>
    <row r="1968" spans="1:14" s="407" customFormat="1" ht="12.75" x14ac:dyDescent="0.2">
      <c r="A1968" s="152"/>
      <c r="B1968" s="73"/>
      <c r="C1968" s="51" t="s">
        <v>964</v>
      </c>
      <c r="D1968" s="89" t="s">
        <v>526</v>
      </c>
      <c r="E1968" s="89"/>
      <c r="F1968" s="89"/>
      <c r="G1968" s="89"/>
      <c r="H1968" s="89"/>
      <c r="I1968" s="89"/>
      <c r="J1968" s="212"/>
      <c r="K1968" s="212"/>
      <c r="L1968" s="212"/>
      <c r="M1968" s="212"/>
      <c r="N1968" s="212">
        <f t="shared" si="48"/>
        <v>0</v>
      </c>
    </row>
    <row r="1969" spans="1:14" s="407" customFormat="1" ht="12.75" x14ac:dyDescent="0.2">
      <c r="A1969" s="152"/>
      <c r="B1969" s="73"/>
      <c r="C1969" s="51" t="s">
        <v>1003</v>
      </c>
      <c r="D1969" s="89" t="s">
        <v>526</v>
      </c>
      <c r="E1969" s="89"/>
      <c r="F1969" s="89"/>
      <c r="G1969" s="89"/>
      <c r="H1969" s="89"/>
      <c r="I1969" s="89"/>
      <c r="J1969" s="212"/>
      <c r="K1969" s="212"/>
      <c r="L1969" s="212"/>
      <c r="M1969" s="212"/>
      <c r="N1969" s="212">
        <f t="shared" si="48"/>
        <v>0</v>
      </c>
    </row>
    <row r="1970" spans="1:14" s="407" customFormat="1" ht="12.75" x14ac:dyDescent="0.2">
      <c r="A1970" s="152"/>
      <c r="B1970" s="73"/>
      <c r="C1970" s="51" t="s">
        <v>992</v>
      </c>
      <c r="D1970" s="89" t="s">
        <v>526</v>
      </c>
      <c r="E1970" s="89"/>
      <c r="F1970" s="89"/>
      <c r="G1970" s="89"/>
      <c r="H1970" s="89"/>
      <c r="I1970" s="89"/>
      <c r="J1970" s="212"/>
      <c r="K1970" s="212"/>
      <c r="L1970" s="212"/>
      <c r="M1970" s="212"/>
      <c r="N1970" s="212">
        <f t="shared" si="48"/>
        <v>0</v>
      </c>
    </row>
    <row r="1971" spans="1:14" s="407" customFormat="1" ht="12.75" x14ac:dyDescent="0.2">
      <c r="A1971" s="152"/>
      <c r="B1971" s="73"/>
      <c r="C1971" s="51" t="s">
        <v>994</v>
      </c>
      <c r="D1971" s="89" t="s">
        <v>526</v>
      </c>
      <c r="E1971" s="89"/>
      <c r="F1971" s="89"/>
      <c r="G1971" s="89"/>
      <c r="H1971" s="89"/>
      <c r="I1971" s="89"/>
      <c r="J1971" s="212"/>
      <c r="K1971" s="212"/>
      <c r="L1971" s="212"/>
      <c r="M1971" s="212"/>
      <c r="N1971" s="212">
        <f t="shared" si="48"/>
        <v>0</v>
      </c>
    </row>
    <row r="1972" spans="1:14" s="407" customFormat="1" ht="12.75" x14ac:dyDescent="0.2">
      <c r="A1972" s="152"/>
      <c r="B1972" s="73"/>
      <c r="C1972" s="51" t="s">
        <v>993</v>
      </c>
      <c r="D1972" s="89" t="s">
        <v>526</v>
      </c>
      <c r="E1972" s="89"/>
      <c r="F1972" s="89"/>
      <c r="G1972" s="89"/>
      <c r="H1972" s="89"/>
      <c r="I1972" s="89"/>
      <c r="J1972" s="212"/>
      <c r="K1972" s="212"/>
      <c r="L1972" s="212"/>
      <c r="M1972" s="212"/>
      <c r="N1972" s="212">
        <f t="shared" si="48"/>
        <v>0</v>
      </c>
    </row>
    <row r="1973" spans="1:14" s="407" customFormat="1" ht="12.75" x14ac:dyDescent="0.2">
      <c r="A1973" s="152"/>
      <c r="B1973" s="73"/>
      <c r="C1973" s="51" t="s">
        <v>995</v>
      </c>
      <c r="D1973" s="89" t="s">
        <v>526</v>
      </c>
      <c r="E1973" s="89"/>
      <c r="F1973" s="89"/>
      <c r="G1973" s="89"/>
      <c r="H1973" s="89"/>
      <c r="I1973" s="89"/>
      <c r="J1973" s="212"/>
      <c r="K1973" s="212"/>
      <c r="L1973" s="212"/>
      <c r="M1973" s="212"/>
      <c r="N1973" s="212">
        <f t="shared" si="48"/>
        <v>0</v>
      </c>
    </row>
    <row r="1974" spans="1:14" s="407" customFormat="1" ht="12.75" x14ac:dyDescent="0.2">
      <c r="A1974" s="152"/>
      <c r="B1974" s="73"/>
      <c r="C1974" s="51" t="s">
        <v>1001</v>
      </c>
      <c r="D1974" s="89" t="s">
        <v>526</v>
      </c>
      <c r="E1974" s="89"/>
      <c r="F1974" s="89"/>
      <c r="G1974" s="89"/>
      <c r="H1974" s="89"/>
      <c r="I1974" s="89"/>
      <c r="J1974" s="212"/>
      <c r="K1974" s="212"/>
      <c r="L1974" s="212"/>
      <c r="M1974" s="212"/>
      <c r="N1974" s="212">
        <f t="shared" si="48"/>
        <v>0</v>
      </c>
    </row>
    <row r="1975" spans="1:14" s="407" customFormat="1" ht="12.75" x14ac:dyDescent="0.2">
      <c r="A1975" s="152"/>
      <c r="B1975" s="73"/>
      <c r="C1975" s="51" t="s">
        <v>978</v>
      </c>
      <c r="D1975" s="89" t="s">
        <v>526</v>
      </c>
      <c r="E1975" s="89"/>
      <c r="F1975" s="89"/>
      <c r="G1975" s="89"/>
      <c r="H1975" s="89"/>
      <c r="I1975" s="89"/>
      <c r="J1975" s="212"/>
      <c r="K1975" s="212"/>
      <c r="L1975" s="212"/>
      <c r="M1975" s="212"/>
      <c r="N1975" s="212">
        <f t="shared" si="48"/>
        <v>0</v>
      </c>
    </row>
    <row r="1976" spans="1:14" s="407" customFormat="1" ht="12.75" x14ac:dyDescent="0.2">
      <c r="A1976" s="152"/>
      <c r="B1976" s="73"/>
      <c r="C1976" s="51" t="s">
        <v>494</v>
      </c>
      <c r="D1976" s="89" t="s">
        <v>526</v>
      </c>
      <c r="E1976" s="89"/>
      <c r="F1976" s="89"/>
      <c r="G1976" s="89"/>
      <c r="H1976" s="89"/>
      <c r="I1976" s="89"/>
      <c r="J1976" s="212"/>
      <c r="K1976" s="212"/>
      <c r="L1976" s="212"/>
      <c r="M1976" s="212"/>
      <c r="N1976" s="212">
        <f t="shared" si="48"/>
        <v>0</v>
      </c>
    </row>
    <row r="1977" spans="1:14" s="407" customFormat="1" ht="12.75" x14ac:dyDescent="0.2">
      <c r="A1977" s="152"/>
      <c r="B1977" s="73"/>
      <c r="C1977" s="51" t="s">
        <v>976</v>
      </c>
      <c r="D1977" s="89" t="s">
        <v>526</v>
      </c>
      <c r="E1977" s="89"/>
      <c r="F1977" s="89"/>
      <c r="G1977" s="89"/>
      <c r="H1977" s="89"/>
      <c r="I1977" s="89"/>
      <c r="J1977" s="212"/>
      <c r="K1977" s="212"/>
      <c r="L1977" s="212"/>
      <c r="M1977" s="212"/>
      <c r="N1977" s="212">
        <f t="shared" si="48"/>
        <v>0</v>
      </c>
    </row>
    <row r="1978" spans="1:14" s="407" customFormat="1" ht="12.75" x14ac:dyDescent="0.2">
      <c r="A1978" s="152"/>
      <c r="B1978" s="73"/>
      <c r="C1978" s="51" t="s">
        <v>1002</v>
      </c>
      <c r="D1978" s="89" t="s">
        <v>526</v>
      </c>
      <c r="E1978" s="89"/>
      <c r="F1978" s="89"/>
      <c r="G1978" s="89"/>
      <c r="H1978" s="89"/>
      <c r="I1978" s="89"/>
      <c r="J1978" s="212"/>
      <c r="K1978" s="212"/>
      <c r="L1978" s="212"/>
      <c r="M1978" s="212"/>
      <c r="N1978" s="212">
        <f t="shared" si="48"/>
        <v>0</v>
      </c>
    </row>
    <row r="1979" spans="1:14" s="407" customFormat="1" ht="12.75" x14ac:dyDescent="0.2">
      <c r="A1979" s="152"/>
      <c r="B1979" s="73"/>
      <c r="C1979" s="51" t="s">
        <v>1014</v>
      </c>
      <c r="D1979" s="89" t="s">
        <v>526</v>
      </c>
      <c r="E1979" s="89"/>
      <c r="F1979" s="89"/>
      <c r="G1979" s="89"/>
      <c r="H1979" s="89"/>
      <c r="I1979" s="89"/>
      <c r="J1979" s="212"/>
      <c r="K1979" s="212"/>
      <c r="L1979" s="212"/>
      <c r="M1979" s="212"/>
      <c r="N1979" s="212">
        <f t="shared" si="48"/>
        <v>0</v>
      </c>
    </row>
    <row r="1980" spans="1:14" s="407" customFormat="1" ht="12.75" x14ac:dyDescent="0.2">
      <c r="A1980" s="152"/>
      <c r="B1980" s="73"/>
      <c r="C1980" s="51" t="s">
        <v>998</v>
      </c>
      <c r="D1980" s="89" t="s">
        <v>526</v>
      </c>
      <c r="E1980" s="89"/>
      <c r="F1980" s="89"/>
      <c r="G1980" s="89"/>
      <c r="H1980" s="89"/>
      <c r="I1980" s="89"/>
      <c r="J1980" s="212"/>
      <c r="K1980" s="212"/>
      <c r="L1980" s="212"/>
      <c r="M1980" s="212"/>
      <c r="N1980" s="212">
        <f t="shared" si="48"/>
        <v>0</v>
      </c>
    </row>
    <row r="1981" spans="1:14" s="407" customFormat="1" ht="12.75" x14ac:dyDescent="0.2">
      <c r="A1981" s="152"/>
      <c r="B1981" s="73"/>
      <c r="C1981" s="51" t="s">
        <v>996</v>
      </c>
      <c r="D1981" s="89" t="s">
        <v>526</v>
      </c>
      <c r="E1981" s="89"/>
      <c r="F1981" s="89"/>
      <c r="G1981" s="89"/>
      <c r="H1981" s="89"/>
      <c r="I1981" s="89"/>
      <c r="J1981" s="212"/>
      <c r="K1981" s="212"/>
      <c r="L1981" s="212"/>
      <c r="M1981" s="212"/>
      <c r="N1981" s="212">
        <f t="shared" si="48"/>
        <v>0</v>
      </c>
    </row>
    <row r="1982" spans="1:14" s="407" customFormat="1" ht="12.75" x14ac:dyDescent="0.2">
      <c r="A1982" s="152"/>
      <c r="B1982" s="73"/>
      <c r="C1982" s="51" t="s">
        <v>1043</v>
      </c>
      <c r="D1982" s="89" t="s">
        <v>526</v>
      </c>
      <c r="E1982" s="89"/>
      <c r="F1982" s="89"/>
      <c r="G1982" s="89"/>
      <c r="H1982" s="89"/>
      <c r="I1982" s="89"/>
      <c r="J1982" s="212"/>
      <c r="K1982" s="212"/>
      <c r="L1982" s="212"/>
      <c r="M1982" s="212"/>
      <c r="N1982" s="212">
        <f t="shared" si="48"/>
        <v>0</v>
      </c>
    </row>
    <row r="1983" spans="1:14" s="407" customFormat="1" ht="12.75" x14ac:dyDescent="0.2">
      <c r="A1983" s="152"/>
      <c r="B1983" s="73"/>
      <c r="C1983" s="51" t="s">
        <v>1044</v>
      </c>
      <c r="D1983" s="89" t="s">
        <v>526</v>
      </c>
      <c r="E1983" s="89"/>
      <c r="F1983" s="89"/>
      <c r="G1983" s="89"/>
      <c r="H1983" s="89"/>
      <c r="I1983" s="89"/>
      <c r="J1983" s="212"/>
      <c r="K1983" s="212"/>
      <c r="L1983" s="212"/>
      <c r="M1983" s="212"/>
      <c r="N1983" s="212">
        <f t="shared" si="48"/>
        <v>0</v>
      </c>
    </row>
    <row r="1984" spans="1:14" s="407" customFormat="1" ht="12.75" x14ac:dyDescent="0.2">
      <c r="A1984" s="152"/>
      <c r="B1984" s="73"/>
      <c r="C1984" s="51" t="s">
        <v>1039</v>
      </c>
      <c r="D1984" s="89" t="s">
        <v>526</v>
      </c>
      <c r="E1984" s="89"/>
      <c r="F1984" s="89"/>
      <c r="G1984" s="89"/>
      <c r="H1984" s="89"/>
      <c r="I1984" s="89"/>
      <c r="J1984" s="212"/>
      <c r="K1984" s="212"/>
      <c r="L1984" s="212"/>
      <c r="M1984" s="212"/>
      <c r="N1984" s="212">
        <f t="shared" si="48"/>
        <v>0</v>
      </c>
    </row>
    <row r="1985" spans="1:14" s="407" customFormat="1" ht="12.75" x14ac:dyDescent="0.2">
      <c r="A1985" s="152"/>
      <c r="B1985" s="73"/>
      <c r="C1985" s="51" t="s">
        <v>1028</v>
      </c>
      <c r="D1985" s="89" t="s">
        <v>526</v>
      </c>
      <c r="E1985" s="89"/>
      <c r="F1985" s="89"/>
      <c r="G1985" s="89"/>
      <c r="H1985" s="89"/>
      <c r="I1985" s="89"/>
      <c r="J1985" s="212"/>
      <c r="K1985" s="212"/>
      <c r="L1985" s="212"/>
      <c r="M1985" s="212"/>
      <c r="N1985" s="212">
        <f t="shared" si="48"/>
        <v>0</v>
      </c>
    </row>
    <row r="1986" spans="1:14" s="407" customFormat="1" ht="12.75" x14ac:dyDescent="0.2">
      <c r="A1986" s="152"/>
      <c r="B1986" s="73"/>
      <c r="C1986" s="51" t="s">
        <v>1029</v>
      </c>
      <c r="D1986" s="89" t="s">
        <v>526</v>
      </c>
      <c r="E1986" s="89"/>
      <c r="F1986" s="89"/>
      <c r="G1986" s="89"/>
      <c r="H1986" s="89"/>
      <c r="I1986" s="89"/>
      <c r="J1986" s="212"/>
      <c r="K1986" s="212"/>
      <c r="L1986" s="212"/>
      <c r="M1986" s="212"/>
      <c r="N1986" s="212">
        <f t="shared" si="48"/>
        <v>0</v>
      </c>
    </row>
    <row r="1987" spans="1:14" s="407" customFormat="1" ht="12.75" x14ac:dyDescent="0.2">
      <c r="A1987" s="152"/>
      <c r="B1987" s="73"/>
      <c r="C1987" s="51" t="s">
        <v>113</v>
      </c>
      <c r="D1987" s="89" t="s">
        <v>526</v>
      </c>
      <c r="E1987" s="89"/>
      <c r="F1987" s="89"/>
      <c r="G1987" s="89"/>
      <c r="H1987" s="89"/>
      <c r="I1987" s="89"/>
      <c r="J1987" s="212"/>
      <c r="K1987" s="212"/>
      <c r="L1987" s="212"/>
      <c r="M1987" s="212"/>
      <c r="N1987" s="212">
        <f t="shared" si="48"/>
        <v>0</v>
      </c>
    </row>
    <row r="1988" spans="1:14" s="407" customFormat="1" ht="12.75" x14ac:dyDescent="0.2">
      <c r="A1988" s="152"/>
      <c r="B1988" s="73"/>
      <c r="C1988" s="51" t="s">
        <v>1038</v>
      </c>
      <c r="D1988" s="89" t="s">
        <v>526</v>
      </c>
      <c r="E1988" s="89"/>
      <c r="F1988" s="89"/>
      <c r="G1988" s="89"/>
      <c r="H1988" s="89"/>
      <c r="I1988" s="89"/>
      <c r="J1988" s="212"/>
      <c r="K1988" s="212"/>
      <c r="L1988" s="212"/>
      <c r="M1988" s="212"/>
      <c r="N1988" s="212">
        <f t="shared" si="48"/>
        <v>0</v>
      </c>
    </row>
    <row r="1989" spans="1:14" s="407" customFormat="1" ht="12.75" x14ac:dyDescent="0.2">
      <c r="A1989" s="152"/>
      <c r="B1989" s="73"/>
      <c r="C1989" s="51" t="s">
        <v>1033</v>
      </c>
      <c r="D1989" s="89" t="s">
        <v>526</v>
      </c>
      <c r="E1989" s="89"/>
      <c r="F1989" s="89"/>
      <c r="G1989" s="89"/>
      <c r="H1989" s="89"/>
      <c r="I1989" s="89"/>
      <c r="J1989" s="212"/>
      <c r="K1989" s="212"/>
      <c r="L1989" s="212"/>
      <c r="M1989" s="212"/>
      <c r="N1989" s="212">
        <f t="shared" si="48"/>
        <v>0</v>
      </c>
    </row>
    <row r="1990" spans="1:14" s="407" customFormat="1" ht="12.75" x14ac:dyDescent="0.2">
      <c r="A1990" s="152"/>
      <c r="B1990" s="73"/>
      <c r="C1990" s="51" t="s">
        <v>1007</v>
      </c>
      <c r="D1990" s="89" t="s">
        <v>526</v>
      </c>
      <c r="E1990" s="89"/>
      <c r="F1990" s="89"/>
      <c r="G1990" s="89"/>
      <c r="H1990" s="89"/>
      <c r="I1990" s="89"/>
      <c r="J1990" s="212"/>
      <c r="K1990" s="212"/>
      <c r="L1990" s="212"/>
      <c r="M1990" s="212"/>
      <c r="N1990" s="212">
        <f t="shared" si="48"/>
        <v>0</v>
      </c>
    </row>
    <row r="1991" spans="1:14" s="407" customFormat="1" ht="12.75" x14ac:dyDescent="0.2">
      <c r="A1991" s="152"/>
      <c r="B1991" s="73"/>
      <c r="C1991" s="51" t="s">
        <v>969</v>
      </c>
      <c r="D1991" s="89" t="s">
        <v>526</v>
      </c>
      <c r="E1991" s="89"/>
      <c r="F1991" s="89"/>
      <c r="G1991" s="89"/>
      <c r="H1991" s="89"/>
      <c r="I1991" s="89"/>
      <c r="J1991" s="212"/>
      <c r="K1991" s="212"/>
      <c r="L1991" s="212"/>
      <c r="M1991" s="212"/>
      <c r="N1991" s="212">
        <f t="shared" si="48"/>
        <v>0</v>
      </c>
    </row>
    <row r="1992" spans="1:14" s="407" customFormat="1" ht="12.75" x14ac:dyDescent="0.2">
      <c r="A1992" s="152"/>
      <c r="B1992" s="73"/>
      <c r="C1992" s="51" t="s">
        <v>987</v>
      </c>
      <c r="D1992" s="89" t="s">
        <v>526</v>
      </c>
      <c r="E1992" s="89"/>
      <c r="F1992" s="89"/>
      <c r="G1992" s="89"/>
      <c r="H1992" s="89"/>
      <c r="I1992" s="89"/>
      <c r="J1992" s="212"/>
      <c r="K1992" s="212"/>
      <c r="L1992" s="212"/>
      <c r="M1992" s="212"/>
      <c r="N1992" s="212">
        <f t="shared" si="48"/>
        <v>0</v>
      </c>
    </row>
    <row r="1993" spans="1:14" s="407" customFormat="1" ht="12.75" x14ac:dyDescent="0.2">
      <c r="A1993" s="152"/>
      <c r="B1993" s="73"/>
      <c r="C1993" s="51" t="s">
        <v>1000</v>
      </c>
      <c r="D1993" s="89" t="s">
        <v>526</v>
      </c>
      <c r="E1993" s="89"/>
      <c r="F1993" s="89"/>
      <c r="G1993" s="89"/>
      <c r="H1993" s="89"/>
      <c r="I1993" s="89"/>
      <c r="J1993" s="212"/>
      <c r="K1993" s="212"/>
      <c r="L1993" s="212"/>
      <c r="M1993" s="212"/>
      <c r="N1993" s="212">
        <f t="shared" si="48"/>
        <v>0</v>
      </c>
    </row>
    <row r="1994" spans="1:14" s="407" customFormat="1" ht="12.75" x14ac:dyDescent="0.2">
      <c r="A1994" s="152"/>
      <c r="B1994" s="73"/>
      <c r="C1994" s="51" t="s">
        <v>116</v>
      </c>
      <c r="D1994" s="89" t="s">
        <v>526</v>
      </c>
      <c r="E1994" s="89"/>
      <c r="F1994" s="89"/>
      <c r="G1994" s="89"/>
      <c r="H1994" s="89"/>
      <c r="I1994" s="89"/>
      <c r="J1994" s="212"/>
      <c r="K1994" s="212"/>
      <c r="L1994" s="212"/>
      <c r="M1994" s="212"/>
      <c r="N1994" s="212">
        <f t="shared" si="48"/>
        <v>0</v>
      </c>
    </row>
    <row r="1995" spans="1:14" s="407" customFormat="1" ht="12.75" x14ac:dyDescent="0.2">
      <c r="A1995" s="152"/>
      <c r="B1995" s="73"/>
      <c r="C1995" s="51" t="s">
        <v>114</v>
      </c>
      <c r="D1995" s="89" t="s">
        <v>526</v>
      </c>
      <c r="E1995" s="89"/>
      <c r="F1995" s="89"/>
      <c r="G1995" s="89"/>
      <c r="H1995" s="89"/>
      <c r="I1995" s="89"/>
      <c r="J1995" s="212"/>
      <c r="K1995" s="212"/>
      <c r="L1995" s="212"/>
      <c r="M1995" s="212"/>
      <c r="N1995" s="212">
        <f t="shared" si="48"/>
        <v>0</v>
      </c>
    </row>
    <row r="1996" spans="1:14" s="407" customFormat="1" ht="12.75" x14ac:dyDescent="0.2">
      <c r="A1996" s="152"/>
      <c r="B1996" s="73"/>
      <c r="C1996" s="51" t="s">
        <v>111</v>
      </c>
      <c r="D1996" s="89" t="s">
        <v>526</v>
      </c>
      <c r="E1996" s="89"/>
      <c r="F1996" s="89"/>
      <c r="G1996" s="89"/>
      <c r="H1996" s="89"/>
      <c r="I1996" s="89"/>
      <c r="J1996" s="212"/>
      <c r="K1996" s="212"/>
      <c r="L1996" s="212"/>
      <c r="M1996" s="212"/>
      <c r="N1996" s="212">
        <f t="shared" si="48"/>
        <v>0</v>
      </c>
    </row>
    <row r="1997" spans="1:14" s="407" customFormat="1" ht="12.75" x14ac:dyDescent="0.2">
      <c r="A1997" s="152"/>
      <c r="B1997" s="73"/>
      <c r="C1997" s="51" t="s">
        <v>117</v>
      </c>
      <c r="D1997" s="89" t="s">
        <v>526</v>
      </c>
      <c r="E1997" s="89"/>
      <c r="F1997" s="89"/>
      <c r="G1997" s="89"/>
      <c r="H1997" s="89"/>
      <c r="I1997" s="89"/>
      <c r="J1997" s="212"/>
      <c r="K1997" s="212"/>
      <c r="L1997" s="212"/>
      <c r="M1997" s="212"/>
      <c r="N1997" s="212">
        <f t="shared" ref="N1997:N2060" si="49">SUMIFS(N$26:N$154,$C$26:$C$154,$C1997,$D$26:$D$154,$D1997)</f>
        <v>0</v>
      </c>
    </row>
    <row r="1998" spans="1:14" s="407" customFormat="1" ht="12.75" x14ac:dyDescent="0.2">
      <c r="A1998" s="152"/>
      <c r="B1998" s="73"/>
      <c r="C1998" s="51" t="s">
        <v>112</v>
      </c>
      <c r="D1998" s="89" t="s">
        <v>526</v>
      </c>
      <c r="E1998" s="89"/>
      <c r="F1998" s="89"/>
      <c r="G1998" s="89"/>
      <c r="H1998" s="89"/>
      <c r="I1998" s="89"/>
      <c r="J1998" s="212"/>
      <c r="K1998" s="212"/>
      <c r="L1998" s="212"/>
      <c r="M1998" s="212"/>
      <c r="N1998" s="212">
        <f t="shared" si="49"/>
        <v>0</v>
      </c>
    </row>
    <row r="1999" spans="1:14" s="407" customFormat="1" ht="12.75" x14ac:dyDescent="0.2">
      <c r="A1999" s="152"/>
      <c r="B1999" s="73"/>
      <c r="C1999" s="51" t="s">
        <v>136</v>
      </c>
      <c r="D1999" s="89" t="s">
        <v>526</v>
      </c>
      <c r="E1999" s="89"/>
      <c r="F1999" s="89"/>
      <c r="G1999" s="89"/>
      <c r="H1999" s="89"/>
      <c r="I1999" s="89"/>
      <c r="J1999" s="212"/>
      <c r="K1999" s="212"/>
      <c r="L1999" s="212"/>
      <c r="M1999" s="212"/>
      <c r="N1999" s="212">
        <f t="shared" si="49"/>
        <v>0</v>
      </c>
    </row>
    <row r="2000" spans="1:14" s="407" customFormat="1" ht="12.75" x14ac:dyDescent="0.2">
      <c r="A2000" s="152"/>
      <c r="B2000" s="73"/>
      <c r="C2000" s="51" t="s">
        <v>962</v>
      </c>
      <c r="D2000" s="89" t="s">
        <v>526</v>
      </c>
      <c r="E2000" s="89"/>
      <c r="F2000" s="89"/>
      <c r="G2000" s="89"/>
      <c r="H2000" s="89"/>
      <c r="I2000" s="89"/>
      <c r="J2000" s="212"/>
      <c r="K2000" s="212"/>
      <c r="L2000" s="212"/>
      <c r="M2000" s="212"/>
      <c r="N2000" s="212">
        <f t="shared" si="49"/>
        <v>0</v>
      </c>
    </row>
    <row r="2001" spans="1:14" s="407" customFormat="1" ht="12.75" x14ac:dyDescent="0.2">
      <c r="A2001" s="152"/>
      <c r="B2001" s="73"/>
      <c r="C2001" s="51" t="s">
        <v>115</v>
      </c>
      <c r="D2001" s="89" t="s">
        <v>526</v>
      </c>
      <c r="E2001" s="89"/>
      <c r="F2001" s="89"/>
      <c r="G2001" s="89"/>
      <c r="H2001" s="89"/>
      <c r="I2001" s="89"/>
      <c r="J2001" s="212"/>
      <c r="K2001" s="212"/>
      <c r="L2001" s="212"/>
      <c r="M2001" s="212"/>
      <c r="N2001" s="212">
        <f t="shared" si="49"/>
        <v>0</v>
      </c>
    </row>
    <row r="2002" spans="1:14" s="407" customFormat="1" ht="12.75" x14ac:dyDescent="0.2">
      <c r="A2002" s="152"/>
      <c r="B2002" s="73"/>
      <c r="C2002" s="51" t="s">
        <v>997</v>
      </c>
      <c r="D2002" s="89" t="s">
        <v>526</v>
      </c>
      <c r="E2002" s="89"/>
      <c r="F2002" s="89"/>
      <c r="G2002" s="89"/>
      <c r="H2002" s="89"/>
      <c r="I2002" s="89"/>
      <c r="J2002" s="212"/>
      <c r="K2002" s="212"/>
      <c r="L2002" s="212"/>
      <c r="M2002" s="212"/>
      <c r="N2002" s="212">
        <f t="shared" si="49"/>
        <v>0</v>
      </c>
    </row>
    <row r="2003" spans="1:14" s="407" customFormat="1" ht="12.75" x14ac:dyDescent="0.2">
      <c r="A2003" s="152"/>
      <c r="B2003" s="73"/>
      <c r="C2003" s="51" t="s">
        <v>999</v>
      </c>
      <c r="D2003" s="89" t="s">
        <v>526</v>
      </c>
      <c r="E2003" s="89"/>
      <c r="F2003" s="89"/>
      <c r="G2003" s="89"/>
      <c r="H2003" s="89"/>
      <c r="I2003" s="89"/>
      <c r="J2003" s="212"/>
      <c r="K2003" s="212"/>
      <c r="L2003" s="212"/>
      <c r="M2003" s="212"/>
      <c r="N2003" s="212">
        <f t="shared" si="49"/>
        <v>0</v>
      </c>
    </row>
    <row r="2004" spans="1:14" s="407" customFormat="1" ht="12.75" x14ac:dyDescent="0.2">
      <c r="A2004" s="152"/>
      <c r="B2004" s="73"/>
      <c r="C2004" s="51" t="s">
        <v>1049</v>
      </c>
      <c r="D2004" s="89" t="s">
        <v>526</v>
      </c>
      <c r="E2004" s="89"/>
      <c r="F2004" s="89"/>
      <c r="G2004" s="89"/>
      <c r="H2004" s="89"/>
      <c r="I2004" s="89"/>
      <c r="J2004" s="212"/>
      <c r="K2004" s="212"/>
      <c r="L2004" s="212"/>
      <c r="M2004" s="212"/>
      <c r="N2004" s="212">
        <f t="shared" si="49"/>
        <v>0</v>
      </c>
    </row>
    <row r="2005" spans="1:14" s="407" customFormat="1" ht="12.75" x14ac:dyDescent="0.2">
      <c r="A2005" s="152"/>
      <c r="B2005" s="73"/>
      <c r="C2005" s="51" t="s">
        <v>96</v>
      </c>
      <c r="D2005" s="89" t="s">
        <v>526</v>
      </c>
      <c r="E2005" s="89"/>
      <c r="F2005" s="89"/>
      <c r="G2005" s="89"/>
      <c r="H2005" s="89"/>
      <c r="I2005" s="89"/>
      <c r="J2005" s="212"/>
      <c r="K2005" s="212"/>
      <c r="L2005" s="212"/>
      <c r="M2005" s="212"/>
      <c r="N2005" s="212">
        <f t="shared" si="49"/>
        <v>0</v>
      </c>
    </row>
    <row r="2006" spans="1:14" s="407" customFormat="1" ht="12.75" x14ac:dyDescent="0.2">
      <c r="A2006" s="152"/>
      <c r="B2006" s="73"/>
      <c r="C2006" s="51" t="s">
        <v>983</v>
      </c>
      <c r="D2006" s="89" t="s">
        <v>526</v>
      </c>
      <c r="E2006" s="89"/>
      <c r="F2006" s="89"/>
      <c r="G2006" s="89"/>
      <c r="H2006" s="89"/>
      <c r="I2006" s="89"/>
      <c r="J2006" s="212"/>
      <c r="K2006" s="212"/>
      <c r="L2006" s="212"/>
      <c r="M2006" s="212"/>
      <c r="N2006" s="212">
        <f t="shared" si="49"/>
        <v>0</v>
      </c>
    </row>
    <row r="2007" spans="1:14" s="407" customFormat="1" ht="12.75" x14ac:dyDescent="0.2">
      <c r="A2007" s="152"/>
      <c r="B2007" s="73"/>
      <c r="C2007" s="51" t="s">
        <v>1042</v>
      </c>
      <c r="D2007" s="89" t="s">
        <v>526</v>
      </c>
      <c r="E2007" s="89"/>
      <c r="F2007" s="89"/>
      <c r="G2007" s="89"/>
      <c r="H2007" s="89"/>
      <c r="I2007" s="89"/>
      <c r="J2007" s="212"/>
      <c r="K2007" s="212"/>
      <c r="L2007" s="212"/>
      <c r="M2007" s="212"/>
      <c r="N2007" s="212">
        <f t="shared" si="49"/>
        <v>0</v>
      </c>
    </row>
    <row r="2008" spans="1:14" s="407" customFormat="1" ht="12.75" x14ac:dyDescent="0.2">
      <c r="A2008" s="152"/>
      <c r="B2008" s="73"/>
      <c r="C2008" s="51" t="s">
        <v>979</v>
      </c>
      <c r="D2008" s="89" t="s">
        <v>526</v>
      </c>
      <c r="E2008" s="89"/>
      <c r="F2008" s="89"/>
      <c r="G2008" s="89"/>
      <c r="H2008" s="89"/>
      <c r="I2008" s="89"/>
      <c r="J2008" s="212"/>
      <c r="K2008" s="212"/>
      <c r="L2008" s="212"/>
      <c r="M2008" s="212"/>
      <c r="N2008" s="212">
        <f t="shared" si="49"/>
        <v>0</v>
      </c>
    </row>
    <row r="2009" spans="1:14" s="407" customFormat="1" ht="12.75" x14ac:dyDescent="0.2">
      <c r="A2009" s="152"/>
      <c r="B2009" s="73"/>
      <c r="C2009" s="51" t="s">
        <v>47</v>
      </c>
      <c r="D2009" s="89" t="s">
        <v>526</v>
      </c>
      <c r="E2009" s="89"/>
      <c r="F2009" s="89"/>
      <c r="G2009" s="89"/>
      <c r="H2009" s="89"/>
      <c r="I2009" s="89"/>
      <c r="J2009" s="212"/>
      <c r="K2009" s="212"/>
      <c r="L2009" s="212"/>
      <c r="M2009" s="212"/>
      <c r="N2009" s="212">
        <f t="shared" si="49"/>
        <v>0</v>
      </c>
    </row>
    <row r="2010" spans="1:14" s="407" customFormat="1" ht="12.75" x14ac:dyDescent="0.2">
      <c r="A2010" s="152"/>
      <c r="B2010" s="73"/>
      <c r="C2010" s="51" t="s">
        <v>48</v>
      </c>
      <c r="D2010" s="89" t="s">
        <v>526</v>
      </c>
      <c r="E2010" s="89"/>
      <c r="F2010" s="89"/>
      <c r="G2010" s="89"/>
      <c r="H2010" s="89"/>
      <c r="I2010" s="89"/>
      <c r="J2010" s="212"/>
      <c r="K2010" s="212"/>
      <c r="L2010" s="212"/>
      <c r="M2010" s="212"/>
      <c r="N2010" s="212">
        <f t="shared" si="49"/>
        <v>0</v>
      </c>
    </row>
    <row r="2011" spans="1:14" s="407" customFormat="1" ht="12.75" x14ac:dyDescent="0.2">
      <c r="A2011" s="152"/>
      <c r="B2011" s="73"/>
      <c r="C2011" s="51" t="s">
        <v>1051</v>
      </c>
      <c r="D2011" s="89" t="s">
        <v>526</v>
      </c>
      <c r="E2011" s="89"/>
      <c r="F2011" s="89"/>
      <c r="G2011" s="89"/>
      <c r="H2011" s="89"/>
      <c r="I2011" s="89"/>
      <c r="J2011" s="212"/>
      <c r="K2011" s="212"/>
      <c r="L2011" s="212"/>
      <c r="M2011" s="212"/>
      <c r="N2011" s="212">
        <f t="shared" si="49"/>
        <v>0</v>
      </c>
    </row>
    <row r="2012" spans="1:14" s="407" customFormat="1" ht="12.75" x14ac:dyDescent="0.2">
      <c r="A2012" s="152"/>
      <c r="B2012" s="73"/>
      <c r="C2012" s="51" t="s">
        <v>929</v>
      </c>
      <c r="D2012" s="89" t="s">
        <v>526</v>
      </c>
      <c r="E2012" s="89"/>
      <c r="F2012" s="89"/>
      <c r="G2012" s="89"/>
      <c r="H2012" s="89"/>
      <c r="I2012" s="89"/>
      <c r="J2012" s="212"/>
      <c r="K2012" s="212"/>
      <c r="L2012" s="212"/>
      <c r="M2012" s="212"/>
      <c r="N2012" s="212">
        <f t="shared" si="49"/>
        <v>0</v>
      </c>
    </row>
    <row r="2013" spans="1:14" s="407" customFormat="1" ht="12.75" x14ac:dyDescent="0.2">
      <c r="A2013" s="152"/>
      <c r="B2013" s="73"/>
      <c r="C2013" s="51" t="s">
        <v>970</v>
      </c>
      <c r="D2013" s="89" t="s">
        <v>526</v>
      </c>
      <c r="E2013" s="89"/>
      <c r="F2013" s="89"/>
      <c r="G2013" s="89"/>
      <c r="H2013" s="89"/>
      <c r="I2013" s="89"/>
      <c r="J2013" s="212"/>
      <c r="K2013" s="212"/>
      <c r="L2013" s="212"/>
      <c r="M2013" s="212"/>
      <c r="N2013" s="212">
        <f t="shared" si="49"/>
        <v>0</v>
      </c>
    </row>
    <row r="2014" spans="1:14" s="407" customFormat="1" ht="12.75" x14ac:dyDescent="0.2">
      <c r="A2014" s="152"/>
      <c r="B2014" s="73"/>
      <c r="C2014" s="51" t="s">
        <v>122</v>
      </c>
      <c r="D2014" s="89" t="s">
        <v>526</v>
      </c>
      <c r="E2014" s="89"/>
      <c r="F2014" s="89"/>
      <c r="G2014" s="89"/>
      <c r="H2014" s="89"/>
      <c r="I2014" s="89"/>
      <c r="J2014" s="212"/>
      <c r="K2014" s="212"/>
      <c r="L2014" s="212"/>
      <c r="M2014" s="212"/>
      <c r="N2014" s="212">
        <f t="shared" si="49"/>
        <v>0</v>
      </c>
    </row>
    <row r="2015" spans="1:14" s="407" customFormat="1" ht="12.75" x14ac:dyDescent="0.2">
      <c r="A2015" s="152"/>
      <c r="B2015" s="73"/>
      <c r="C2015" s="51" t="s">
        <v>135</v>
      </c>
      <c r="D2015" s="89" t="s">
        <v>526</v>
      </c>
      <c r="E2015" s="89"/>
      <c r="F2015" s="89"/>
      <c r="G2015" s="89"/>
      <c r="H2015" s="89"/>
      <c r="I2015" s="89"/>
      <c r="J2015" s="212"/>
      <c r="K2015" s="212"/>
      <c r="L2015" s="212"/>
      <c r="M2015" s="212"/>
      <c r="N2015" s="212">
        <f t="shared" si="49"/>
        <v>0</v>
      </c>
    </row>
    <row r="2016" spans="1:14" s="407" customFormat="1" ht="12.75" x14ac:dyDescent="0.2">
      <c r="A2016" s="152"/>
      <c r="B2016" s="73"/>
      <c r="C2016" s="51" t="s">
        <v>123</v>
      </c>
      <c r="D2016" s="89" t="s">
        <v>526</v>
      </c>
      <c r="E2016" s="89"/>
      <c r="F2016" s="89"/>
      <c r="G2016" s="89"/>
      <c r="H2016" s="89"/>
      <c r="I2016" s="89"/>
      <c r="J2016" s="212"/>
      <c r="K2016" s="212"/>
      <c r="L2016" s="212"/>
      <c r="M2016" s="212"/>
      <c r="N2016" s="212">
        <f t="shared" si="49"/>
        <v>0</v>
      </c>
    </row>
    <row r="2017" spans="1:14" s="407" customFormat="1" ht="12.75" x14ac:dyDescent="0.2">
      <c r="A2017" s="152"/>
      <c r="B2017" s="73"/>
      <c r="C2017" s="51" t="s">
        <v>974</v>
      </c>
      <c r="D2017" s="89" t="s">
        <v>526</v>
      </c>
      <c r="E2017" s="89"/>
      <c r="F2017" s="89"/>
      <c r="G2017" s="89"/>
      <c r="H2017" s="89"/>
      <c r="I2017" s="89"/>
      <c r="J2017" s="212"/>
      <c r="K2017" s="212"/>
      <c r="L2017" s="212"/>
      <c r="M2017" s="212"/>
      <c r="N2017" s="212">
        <f t="shared" si="49"/>
        <v>0</v>
      </c>
    </row>
    <row r="2018" spans="1:14" s="407" customFormat="1" ht="12.75" x14ac:dyDescent="0.2">
      <c r="A2018" s="152"/>
      <c r="B2018" s="73"/>
      <c r="C2018" s="51" t="s">
        <v>975</v>
      </c>
      <c r="D2018" s="89" t="s">
        <v>526</v>
      </c>
      <c r="E2018" s="89"/>
      <c r="F2018" s="89"/>
      <c r="G2018" s="89"/>
      <c r="H2018" s="89"/>
      <c r="I2018" s="89"/>
      <c r="J2018" s="212"/>
      <c r="K2018" s="212"/>
      <c r="L2018" s="212"/>
      <c r="M2018" s="212"/>
      <c r="N2018" s="212">
        <f t="shared" si="49"/>
        <v>0</v>
      </c>
    </row>
    <row r="2019" spans="1:14" s="407" customFormat="1" ht="12.75" x14ac:dyDescent="0.2">
      <c r="A2019" s="152"/>
      <c r="B2019" s="73"/>
      <c r="C2019" s="51" t="s">
        <v>126</v>
      </c>
      <c r="D2019" s="89" t="s">
        <v>526</v>
      </c>
      <c r="E2019" s="89"/>
      <c r="F2019" s="89"/>
      <c r="G2019" s="89"/>
      <c r="H2019" s="89"/>
      <c r="I2019" s="89"/>
      <c r="J2019" s="212"/>
      <c r="K2019" s="212"/>
      <c r="L2019" s="212"/>
      <c r="M2019" s="212"/>
      <c r="N2019" s="212">
        <f t="shared" si="49"/>
        <v>0</v>
      </c>
    </row>
    <row r="2020" spans="1:14" s="407" customFormat="1" ht="12.75" x14ac:dyDescent="0.2">
      <c r="A2020" s="152"/>
      <c r="B2020" s="73"/>
      <c r="C2020" s="51" t="s">
        <v>127</v>
      </c>
      <c r="D2020" s="89" t="s">
        <v>526</v>
      </c>
      <c r="E2020" s="89"/>
      <c r="F2020" s="89"/>
      <c r="G2020" s="89"/>
      <c r="H2020" s="89"/>
      <c r="I2020" s="89"/>
      <c r="J2020" s="212"/>
      <c r="K2020" s="212"/>
      <c r="L2020" s="212"/>
      <c r="M2020" s="212"/>
      <c r="N2020" s="212">
        <f t="shared" si="49"/>
        <v>0</v>
      </c>
    </row>
    <row r="2021" spans="1:14" s="407" customFormat="1" ht="12.75" x14ac:dyDescent="0.2">
      <c r="A2021" s="152"/>
      <c r="B2021" s="73"/>
      <c r="C2021" s="51" t="s">
        <v>130</v>
      </c>
      <c r="D2021" s="89" t="s">
        <v>526</v>
      </c>
      <c r="E2021" s="89"/>
      <c r="F2021" s="89"/>
      <c r="G2021" s="89"/>
      <c r="H2021" s="89"/>
      <c r="I2021" s="89"/>
      <c r="J2021" s="212"/>
      <c r="K2021" s="212"/>
      <c r="L2021" s="212"/>
      <c r="M2021" s="212"/>
      <c r="N2021" s="212">
        <f t="shared" si="49"/>
        <v>0</v>
      </c>
    </row>
    <row r="2022" spans="1:14" s="407" customFormat="1" ht="12.75" x14ac:dyDescent="0.2">
      <c r="A2022" s="152"/>
      <c r="B2022" s="73"/>
      <c r="C2022" s="51" t="s">
        <v>125</v>
      </c>
      <c r="D2022" s="89" t="s">
        <v>526</v>
      </c>
      <c r="E2022" s="89"/>
      <c r="F2022" s="89"/>
      <c r="G2022" s="89"/>
      <c r="H2022" s="89"/>
      <c r="I2022" s="89"/>
      <c r="J2022" s="212"/>
      <c r="K2022" s="212"/>
      <c r="L2022" s="212"/>
      <c r="M2022" s="212"/>
      <c r="N2022" s="212">
        <f t="shared" si="49"/>
        <v>0</v>
      </c>
    </row>
    <row r="2023" spans="1:14" s="407" customFormat="1" ht="12.75" x14ac:dyDescent="0.2">
      <c r="A2023" s="152"/>
      <c r="B2023" s="73"/>
      <c r="C2023" s="51" t="s">
        <v>128</v>
      </c>
      <c r="D2023" s="89" t="s">
        <v>526</v>
      </c>
      <c r="E2023" s="89"/>
      <c r="F2023" s="89"/>
      <c r="G2023" s="89"/>
      <c r="H2023" s="89"/>
      <c r="I2023" s="89"/>
      <c r="J2023" s="212"/>
      <c r="K2023" s="212"/>
      <c r="L2023" s="212"/>
      <c r="M2023" s="212"/>
      <c r="N2023" s="212">
        <f t="shared" si="49"/>
        <v>0</v>
      </c>
    </row>
    <row r="2024" spans="1:14" s="407" customFormat="1" ht="12.75" x14ac:dyDescent="0.2">
      <c r="A2024" s="152"/>
      <c r="B2024" s="73"/>
      <c r="C2024" s="51" t="s">
        <v>1016</v>
      </c>
      <c r="D2024" s="89" t="s">
        <v>526</v>
      </c>
      <c r="E2024" s="89"/>
      <c r="F2024" s="89"/>
      <c r="G2024" s="89"/>
      <c r="H2024" s="89"/>
      <c r="I2024" s="89"/>
      <c r="J2024" s="212"/>
      <c r="K2024" s="212"/>
      <c r="L2024" s="212"/>
      <c r="M2024" s="212"/>
      <c r="N2024" s="212">
        <f t="shared" si="49"/>
        <v>0</v>
      </c>
    </row>
    <row r="2025" spans="1:14" s="407" customFormat="1" ht="12.75" x14ac:dyDescent="0.2">
      <c r="A2025" s="152"/>
      <c r="B2025" s="73"/>
      <c r="C2025" s="51" t="s">
        <v>1015</v>
      </c>
      <c r="D2025" s="89" t="s">
        <v>526</v>
      </c>
      <c r="E2025" s="89"/>
      <c r="F2025" s="89"/>
      <c r="G2025" s="89"/>
      <c r="H2025" s="89"/>
      <c r="I2025" s="89"/>
      <c r="J2025" s="212"/>
      <c r="K2025" s="212"/>
      <c r="L2025" s="212"/>
      <c r="M2025" s="212"/>
      <c r="N2025" s="212">
        <f t="shared" si="49"/>
        <v>0</v>
      </c>
    </row>
    <row r="2026" spans="1:14" s="407" customFormat="1" ht="12.75" x14ac:dyDescent="0.2">
      <c r="A2026" s="152"/>
      <c r="B2026" s="73"/>
      <c r="C2026" s="51" t="s">
        <v>930</v>
      </c>
      <c r="D2026" s="89" t="s">
        <v>526</v>
      </c>
      <c r="E2026" s="89"/>
      <c r="F2026" s="89"/>
      <c r="G2026" s="89"/>
      <c r="H2026" s="89"/>
      <c r="I2026" s="89"/>
      <c r="J2026" s="212"/>
      <c r="K2026" s="212"/>
      <c r="L2026" s="212"/>
      <c r="M2026" s="212"/>
      <c r="N2026" s="212">
        <f t="shared" si="49"/>
        <v>0</v>
      </c>
    </row>
    <row r="2027" spans="1:14" s="407" customFormat="1" ht="12.75" x14ac:dyDescent="0.2">
      <c r="A2027" s="152"/>
      <c r="B2027" s="73"/>
      <c r="C2027" s="51" t="s">
        <v>931</v>
      </c>
      <c r="D2027" s="89" t="s">
        <v>526</v>
      </c>
      <c r="E2027" s="89"/>
      <c r="F2027" s="89"/>
      <c r="G2027" s="89"/>
      <c r="H2027" s="89"/>
      <c r="I2027" s="89"/>
      <c r="J2027" s="212"/>
      <c r="K2027" s="212"/>
      <c r="L2027" s="212"/>
      <c r="M2027" s="212"/>
      <c r="N2027" s="212">
        <f t="shared" si="49"/>
        <v>0</v>
      </c>
    </row>
    <row r="2028" spans="1:14" s="407" customFormat="1" ht="12.75" x14ac:dyDescent="0.2">
      <c r="A2028" s="152"/>
      <c r="B2028" s="73"/>
      <c r="C2028" s="51" t="s">
        <v>926</v>
      </c>
      <c r="D2028" s="89" t="s">
        <v>526</v>
      </c>
      <c r="E2028" s="89"/>
      <c r="F2028" s="89"/>
      <c r="G2028" s="89"/>
      <c r="H2028" s="89"/>
      <c r="I2028" s="89"/>
      <c r="J2028" s="212"/>
      <c r="K2028" s="212"/>
      <c r="L2028" s="212"/>
      <c r="M2028" s="212"/>
      <c r="N2028" s="212">
        <f t="shared" si="49"/>
        <v>0</v>
      </c>
    </row>
    <row r="2029" spans="1:14" s="407" customFormat="1" ht="12.75" x14ac:dyDescent="0.2">
      <c r="A2029" s="152"/>
      <c r="B2029" s="73"/>
      <c r="C2029" s="51" t="s">
        <v>110</v>
      </c>
      <c r="D2029" s="89" t="s">
        <v>526</v>
      </c>
      <c r="E2029" s="89"/>
      <c r="F2029" s="89"/>
      <c r="G2029" s="89"/>
      <c r="H2029" s="89"/>
      <c r="I2029" s="89"/>
      <c r="J2029" s="212"/>
      <c r="K2029" s="212"/>
      <c r="L2029" s="212"/>
      <c r="M2029" s="212"/>
      <c r="N2029" s="212">
        <f t="shared" si="49"/>
        <v>0</v>
      </c>
    </row>
    <row r="2030" spans="1:14" s="407" customFormat="1" ht="12.75" x14ac:dyDescent="0.2">
      <c r="A2030" s="152"/>
      <c r="B2030" s="73"/>
      <c r="C2030" s="51" t="s">
        <v>133</v>
      </c>
      <c r="D2030" s="89" t="s">
        <v>526</v>
      </c>
      <c r="E2030" s="89"/>
      <c r="F2030" s="89"/>
      <c r="G2030" s="89"/>
      <c r="H2030" s="89"/>
      <c r="I2030" s="89"/>
      <c r="J2030" s="212"/>
      <c r="K2030" s="212"/>
      <c r="L2030" s="212"/>
      <c r="M2030" s="212"/>
      <c r="N2030" s="212">
        <f t="shared" si="49"/>
        <v>0</v>
      </c>
    </row>
    <row r="2031" spans="1:14" s="407" customFormat="1" ht="12.75" x14ac:dyDescent="0.2">
      <c r="A2031" s="152"/>
      <c r="B2031" s="73"/>
      <c r="C2031" s="51" t="s">
        <v>134</v>
      </c>
      <c r="D2031" s="89" t="s">
        <v>526</v>
      </c>
      <c r="E2031" s="89"/>
      <c r="F2031" s="89"/>
      <c r="G2031" s="89"/>
      <c r="H2031" s="89"/>
      <c r="I2031" s="89"/>
      <c r="J2031" s="212"/>
      <c r="K2031" s="212"/>
      <c r="L2031" s="212"/>
      <c r="M2031" s="212"/>
      <c r="N2031" s="212">
        <f t="shared" si="49"/>
        <v>0</v>
      </c>
    </row>
    <row r="2032" spans="1:14" s="407" customFormat="1" ht="12.75" x14ac:dyDescent="0.2">
      <c r="A2032" s="152"/>
      <c r="B2032" s="73"/>
      <c r="C2032" s="51" t="s">
        <v>138</v>
      </c>
      <c r="D2032" s="89" t="s">
        <v>526</v>
      </c>
      <c r="E2032" s="89"/>
      <c r="F2032" s="89"/>
      <c r="G2032" s="89"/>
      <c r="H2032" s="89"/>
      <c r="I2032" s="89"/>
      <c r="J2032" s="212"/>
      <c r="K2032" s="212"/>
      <c r="L2032" s="212"/>
      <c r="M2032" s="212"/>
      <c r="N2032" s="212">
        <f t="shared" si="49"/>
        <v>0</v>
      </c>
    </row>
    <row r="2033" spans="1:14" s="407" customFormat="1" ht="12.75" x14ac:dyDescent="0.2">
      <c r="A2033" s="152"/>
      <c r="B2033" s="73"/>
      <c r="C2033" s="51" t="s">
        <v>106</v>
      </c>
      <c r="D2033" s="89" t="s">
        <v>526</v>
      </c>
      <c r="E2033" s="89"/>
      <c r="F2033" s="89"/>
      <c r="G2033" s="89"/>
      <c r="H2033" s="89"/>
      <c r="I2033" s="89"/>
      <c r="J2033" s="212"/>
      <c r="K2033" s="212"/>
      <c r="L2033" s="212"/>
      <c r="M2033" s="212"/>
      <c r="N2033" s="212">
        <f t="shared" si="49"/>
        <v>0</v>
      </c>
    </row>
    <row r="2034" spans="1:14" s="407" customFormat="1" ht="12.75" x14ac:dyDescent="0.2">
      <c r="A2034" s="152"/>
      <c r="B2034" s="73"/>
      <c r="C2034" s="51" t="s">
        <v>1024</v>
      </c>
      <c r="D2034" s="89" t="s">
        <v>526</v>
      </c>
      <c r="E2034" s="89"/>
      <c r="F2034" s="89"/>
      <c r="G2034" s="89"/>
      <c r="H2034" s="89"/>
      <c r="I2034" s="89"/>
      <c r="J2034" s="212"/>
      <c r="K2034" s="212"/>
      <c r="L2034" s="212"/>
      <c r="M2034" s="212"/>
      <c r="N2034" s="212">
        <f t="shared" si="49"/>
        <v>0</v>
      </c>
    </row>
    <row r="2035" spans="1:14" s="407" customFormat="1" ht="12.75" x14ac:dyDescent="0.2">
      <c r="A2035" s="152"/>
      <c r="B2035" s="73"/>
      <c r="C2035" s="51" t="s">
        <v>1025</v>
      </c>
      <c r="D2035" s="89" t="s">
        <v>526</v>
      </c>
      <c r="E2035" s="89"/>
      <c r="F2035" s="89"/>
      <c r="G2035" s="89"/>
      <c r="H2035" s="89"/>
      <c r="I2035" s="89"/>
      <c r="J2035" s="212"/>
      <c r="K2035" s="212"/>
      <c r="L2035" s="212"/>
      <c r="M2035" s="212"/>
      <c r="N2035" s="212">
        <f t="shared" si="49"/>
        <v>0</v>
      </c>
    </row>
    <row r="2036" spans="1:14" s="407" customFormat="1" ht="12.75" x14ac:dyDescent="0.2">
      <c r="A2036" s="152"/>
      <c r="B2036" s="73"/>
      <c r="C2036" s="51" t="s">
        <v>960</v>
      </c>
      <c r="D2036" s="89" t="s">
        <v>526</v>
      </c>
      <c r="E2036" s="89"/>
      <c r="F2036" s="89"/>
      <c r="G2036" s="89"/>
      <c r="H2036" s="89"/>
      <c r="I2036" s="89"/>
      <c r="J2036" s="212"/>
      <c r="K2036" s="212"/>
      <c r="L2036" s="212"/>
      <c r="M2036" s="212"/>
      <c r="N2036" s="212">
        <f t="shared" si="49"/>
        <v>0</v>
      </c>
    </row>
    <row r="2037" spans="1:14" s="407" customFormat="1" ht="12.75" x14ac:dyDescent="0.2">
      <c r="A2037" s="152"/>
      <c r="B2037" s="73"/>
      <c r="C2037" s="51" t="s">
        <v>961</v>
      </c>
      <c r="D2037" s="89" t="s">
        <v>526</v>
      </c>
      <c r="E2037" s="89"/>
      <c r="F2037" s="89"/>
      <c r="G2037" s="89"/>
      <c r="H2037" s="89"/>
      <c r="I2037" s="89"/>
      <c r="J2037" s="212"/>
      <c r="K2037" s="212"/>
      <c r="L2037" s="212"/>
      <c r="M2037" s="212"/>
      <c r="N2037" s="212">
        <f t="shared" si="49"/>
        <v>0</v>
      </c>
    </row>
    <row r="2038" spans="1:14" s="407" customFormat="1" ht="12.75" x14ac:dyDescent="0.2">
      <c r="A2038" s="152"/>
      <c r="B2038" s="73"/>
      <c r="C2038" s="51" t="s">
        <v>948</v>
      </c>
      <c r="D2038" s="89" t="s">
        <v>526</v>
      </c>
      <c r="E2038" s="89"/>
      <c r="F2038" s="89"/>
      <c r="G2038" s="89"/>
      <c r="H2038" s="89"/>
      <c r="I2038" s="89"/>
      <c r="J2038" s="212"/>
      <c r="K2038" s="212"/>
      <c r="L2038" s="212"/>
      <c r="M2038" s="212"/>
      <c r="N2038" s="212">
        <f t="shared" si="49"/>
        <v>0</v>
      </c>
    </row>
    <row r="2039" spans="1:14" s="407" customFormat="1" ht="12.75" x14ac:dyDescent="0.2">
      <c r="A2039" s="152"/>
      <c r="B2039" s="73"/>
      <c r="C2039" s="51" t="s">
        <v>949</v>
      </c>
      <c r="D2039" s="89" t="s">
        <v>526</v>
      </c>
      <c r="E2039" s="89"/>
      <c r="F2039" s="89"/>
      <c r="G2039" s="89"/>
      <c r="H2039" s="89"/>
      <c r="I2039" s="89"/>
      <c r="J2039" s="212"/>
      <c r="K2039" s="212"/>
      <c r="L2039" s="212"/>
      <c r="M2039" s="212"/>
      <c r="N2039" s="212">
        <f t="shared" si="49"/>
        <v>0</v>
      </c>
    </row>
    <row r="2040" spans="1:14" s="407" customFormat="1" ht="12.75" x14ac:dyDescent="0.2">
      <c r="A2040" s="152"/>
      <c r="B2040" s="73"/>
      <c r="C2040" s="51" t="s">
        <v>132</v>
      </c>
      <c r="D2040" s="89" t="s">
        <v>526</v>
      </c>
      <c r="E2040" s="89"/>
      <c r="F2040" s="89"/>
      <c r="G2040" s="89"/>
      <c r="H2040" s="89"/>
      <c r="I2040" s="89"/>
      <c r="J2040" s="212"/>
      <c r="K2040" s="212"/>
      <c r="L2040" s="212"/>
      <c r="M2040" s="212"/>
      <c r="N2040" s="212">
        <f t="shared" si="49"/>
        <v>0</v>
      </c>
    </row>
    <row r="2041" spans="1:14" s="407" customFormat="1" ht="12.75" x14ac:dyDescent="0.2">
      <c r="A2041" s="152"/>
      <c r="B2041" s="73"/>
      <c r="C2041" s="51" t="s">
        <v>121</v>
      </c>
      <c r="D2041" s="89" t="s">
        <v>526</v>
      </c>
      <c r="E2041" s="89"/>
      <c r="F2041" s="89"/>
      <c r="G2041" s="89"/>
      <c r="H2041" s="89"/>
      <c r="I2041" s="89"/>
      <c r="J2041" s="212"/>
      <c r="K2041" s="212"/>
      <c r="L2041" s="212"/>
      <c r="M2041" s="212"/>
      <c r="N2041" s="212">
        <f t="shared" si="49"/>
        <v>0</v>
      </c>
    </row>
    <row r="2042" spans="1:14" s="407" customFormat="1" ht="12.75" x14ac:dyDescent="0.2">
      <c r="A2042" s="152"/>
      <c r="B2042" s="73"/>
      <c r="C2042" s="51" t="s">
        <v>131</v>
      </c>
      <c r="D2042" s="89" t="s">
        <v>526</v>
      </c>
      <c r="E2042" s="89"/>
      <c r="F2042" s="89"/>
      <c r="G2042" s="89"/>
      <c r="H2042" s="89"/>
      <c r="I2042" s="89"/>
      <c r="J2042" s="212"/>
      <c r="K2042" s="212"/>
      <c r="L2042" s="212"/>
      <c r="M2042" s="212"/>
      <c r="N2042" s="212">
        <f t="shared" si="49"/>
        <v>0</v>
      </c>
    </row>
    <row r="2043" spans="1:14" s="407" customFormat="1" ht="12.75" x14ac:dyDescent="0.2">
      <c r="A2043" s="152"/>
      <c r="B2043" s="73"/>
      <c r="C2043" s="51" t="s">
        <v>967</v>
      </c>
      <c r="D2043" s="89" t="s">
        <v>526</v>
      </c>
      <c r="E2043" s="89"/>
      <c r="F2043" s="89"/>
      <c r="G2043" s="89"/>
      <c r="H2043" s="89"/>
      <c r="I2043" s="89"/>
      <c r="J2043" s="212"/>
      <c r="K2043" s="212"/>
      <c r="L2043" s="212"/>
      <c r="M2043" s="212"/>
      <c r="N2043" s="212">
        <f t="shared" si="49"/>
        <v>0</v>
      </c>
    </row>
    <row r="2044" spans="1:14" s="407" customFormat="1" ht="12.75" x14ac:dyDescent="0.2">
      <c r="A2044" s="152"/>
      <c r="B2044" s="73"/>
      <c r="C2044" s="51" t="s">
        <v>118</v>
      </c>
      <c r="D2044" s="89" t="s">
        <v>526</v>
      </c>
      <c r="E2044" s="89"/>
      <c r="F2044" s="89"/>
      <c r="G2044" s="89"/>
      <c r="H2044" s="89"/>
      <c r="I2044" s="89"/>
      <c r="J2044" s="212"/>
      <c r="K2044" s="212"/>
      <c r="L2044" s="212"/>
      <c r="M2044" s="212"/>
      <c r="N2044" s="212">
        <f t="shared" si="49"/>
        <v>0</v>
      </c>
    </row>
    <row r="2045" spans="1:14" s="407" customFormat="1" ht="12.75" x14ac:dyDescent="0.2">
      <c r="A2045" s="152"/>
      <c r="B2045" s="73"/>
      <c r="C2045" s="51" t="s">
        <v>971</v>
      </c>
      <c r="D2045" s="89" t="s">
        <v>526</v>
      </c>
      <c r="E2045" s="89"/>
      <c r="F2045" s="89"/>
      <c r="G2045" s="89"/>
      <c r="H2045" s="89"/>
      <c r="I2045" s="89"/>
      <c r="J2045" s="212"/>
      <c r="K2045" s="212"/>
      <c r="L2045" s="212"/>
      <c r="M2045" s="212"/>
      <c r="N2045" s="212">
        <f t="shared" si="49"/>
        <v>0</v>
      </c>
    </row>
    <row r="2046" spans="1:14" s="407" customFormat="1" ht="12.75" x14ac:dyDescent="0.2">
      <c r="A2046" s="152"/>
      <c r="B2046" s="73"/>
      <c r="C2046" s="51" t="s">
        <v>957</v>
      </c>
      <c r="D2046" s="89" t="s">
        <v>526</v>
      </c>
      <c r="E2046" s="89"/>
      <c r="F2046" s="89"/>
      <c r="G2046" s="89"/>
      <c r="H2046" s="89"/>
      <c r="I2046" s="89"/>
      <c r="J2046" s="212"/>
      <c r="K2046" s="212"/>
      <c r="L2046" s="212"/>
      <c r="M2046" s="212"/>
      <c r="N2046" s="212">
        <f t="shared" si="49"/>
        <v>0</v>
      </c>
    </row>
    <row r="2047" spans="1:14" s="407" customFormat="1" ht="12.75" x14ac:dyDescent="0.2">
      <c r="A2047" s="152"/>
      <c r="B2047" s="73"/>
      <c r="C2047" s="51" t="s">
        <v>97</v>
      </c>
      <c r="D2047" s="89" t="s">
        <v>526</v>
      </c>
      <c r="E2047" s="89"/>
      <c r="F2047" s="89"/>
      <c r="G2047" s="89"/>
      <c r="H2047" s="89"/>
      <c r="I2047" s="89"/>
      <c r="J2047" s="212"/>
      <c r="K2047" s="212"/>
      <c r="L2047" s="212"/>
      <c r="M2047" s="212"/>
      <c r="N2047" s="212">
        <f t="shared" si="49"/>
        <v>0</v>
      </c>
    </row>
    <row r="2048" spans="1:14" s="407" customFormat="1" ht="12.75" x14ac:dyDescent="0.2">
      <c r="A2048" s="152"/>
      <c r="B2048" s="73"/>
      <c r="C2048" s="51" t="s">
        <v>49</v>
      </c>
      <c r="D2048" s="89" t="s">
        <v>526</v>
      </c>
      <c r="E2048" s="89"/>
      <c r="F2048" s="89"/>
      <c r="G2048" s="89"/>
      <c r="H2048" s="89"/>
      <c r="I2048" s="89"/>
      <c r="J2048" s="212"/>
      <c r="K2048" s="212"/>
      <c r="L2048" s="212"/>
      <c r="M2048" s="212"/>
      <c r="N2048" s="212">
        <f t="shared" si="49"/>
        <v>0</v>
      </c>
    </row>
    <row r="2049" spans="1:14" s="407" customFormat="1" ht="12.75" x14ac:dyDescent="0.2">
      <c r="A2049" s="152"/>
      <c r="B2049" s="73"/>
      <c r="C2049" s="51" t="s">
        <v>1017</v>
      </c>
      <c r="D2049" s="89" t="s">
        <v>526</v>
      </c>
      <c r="E2049" s="89"/>
      <c r="F2049" s="89"/>
      <c r="G2049" s="89"/>
      <c r="H2049" s="89"/>
      <c r="I2049" s="89"/>
      <c r="J2049" s="212"/>
      <c r="K2049" s="212"/>
      <c r="L2049" s="212"/>
      <c r="M2049" s="212"/>
      <c r="N2049" s="212">
        <f t="shared" si="49"/>
        <v>0</v>
      </c>
    </row>
    <row r="2050" spans="1:14" s="407" customFormat="1" ht="12.75" x14ac:dyDescent="0.2">
      <c r="A2050" s="152"/>
      <c r="B2050" s="73"/>
      <c r="C2050" s="51" t="s">
        <v>1018</v>
      </c>
      <c r="D2050" s="89" t="s">
        <v>526</v>
      </c>
      <c r="E2050" s="89"/>
      <c r="F2050" s="89"/>
      <c r="G2050" s="89"/>
      <c r="H2050" s="89"/>
      <c r="I2050" s="89"/>
      <c r="J2050" s="212"/>
      <c r="K2050" s="212"/>
      <c r="L2050" s="212"/>
      <c r="M2050" s="212"/>
      <c r="N2050" s="212">
        <f t="shared" si="49"/>
        <v>0</v>
      </c>
    </row>
    <row r="2051" spans="1:14" s="407" customFormat="1" ht="12.75" x14ac:dyDescent="0.2">
      <c r="A2051" s="152"/>
      <c r="B2051" s="73"/>
      <c r="C2051" s="51" t="s">
        <v>928</v>
      </c>
      <c r="D2051" s="89" t="s">
        <v>526</v>
      </c>
      <c r="E2051" s="89"/>
      <c r="F2051" s="89"/>
      <c r="G2051" s="89"/>
      <c r="H2051" s="89"/>
      <c r="I2051" s="89"/>
      <c r="J2051" s="212"/>
      <c r="K2051" s="212"/>
      <c r="L2051" s="212"/>
      <c r="M2051" s="212"/>
      <c r="N2051" s="212">
        <f t="shared" si="49"/>
        <v>0</v>
      </c>
    </row>
    <row r="2052" spans="1:14" s="407" customFormat="1" ht="12.75" x14ac:dyDescent="0.2">
      <c r="A2052" s="152"/>
      <c r="B2052" s="73"/>
      <c r="C2052" s="51" t="s">
        <v>946</v>
      </c>
      <c r="D2052" s="89" t="s">
        <v>526</v>
      </c>
      <c r="E2052" s="89"/>
      <c r="F2052" s="89"/>
      <c r="G2052" s="89"/>
      <c r="H2052" s="89"/>
      <c r="I2052" s="89"/>
      <c r="J2052" s="212"/>
      <c r="K2052" s="212"/>
      <c r="L2052" s="212"/>
      <c r="M2052" s="212"/>
      <c r="N2052" s="212">
        <f t="shared" si="49"/>
        <v>0</v>
      </c>
    </row>
    <row r="2053" spans="1:14" s="407" customFormat="1" ht="12.75" x14ac:dyDescent="0.2">
      <c r="A2053" s="152"/>
      <c r="B2053" s="73"/>
      <c r="C2053" s="51" t="s">
        <v>947</v>
      </c>
      <c r="D2053" s="89" t="s">
        <v>526</v>
      </c>
      <c r="E2053" s="89"/>
      <c r="F2053" s="89"/>
      <c r="G2053" s="89"/>
      <c r="H2053" s="89"/>
      <c r="I2053" s="89"/>
      <c r="J2053" s="212"/>
      <c r="K2053" s="212"/>
      <c r="L2053" s="212"/>
      <c r="M2053" s="212"/>
      <c r="N2053" s="212">
        <f t="shared" si="49"/>
        <v>0</v>
      </c>
    </row>
    <row r="2054" spans="1:14" s="407" customFormat="1" ht="12.75" x14ac:dyDescent="0.2">
      <c r="A2054" s="152"/>
      <c r="B2054" s="73"/>
      <c r="C2054" s="51" t="s">
        <v>1020</v>
      </c>
      <c r="D2054" s="89" t="s">
        <v>526</v>
      </c>
      <c r="E2054" s="89"/>
      <c r="F2054" s="89"/>
      <c r="G2054" s="89"/>
      <c r="H2054" s="89"/>
      <c r="I2054" s="89"/>
      <c r="J2054" s="212"/>
      <c r="K2054" s="212"/>
      <c r="L2054" s="212"/>
      <c r="M2054" s="212"/>
      <c r="N2054" s="212">
        <f t="shared" si="49"/>
        <v>0</v>
      </c>
    </row>
    <row r="2055" spans="1:14" s="407" customFormat="1" ht="12.75" x14ac:dyDescent="0.2">
      <c r="A2055" s="152"/>
      <c r="B2055" s="73"/>
      <c r="C2055" s="51" t="s">
        <v>1021</v>
      </c>
      <c r="D2055" s="89" t="s">
        <v>526</v>
      </c>
      <c r="E2055" s="89"/>
      <c r="F2055" s="89"/>
      <c r="G2055" s="89"/>
      <c r="H2055" s="89"/>
      <c r="I2055" s="89"/>
      <c r="J2055" s="212"/>
      <c r="K2055" s="212"/>
      <c r="L2055" s="212"/>
      <c r="M2055" s="212"/>
      <c r="N2055" s="212">
        <f t="shared" si="49"/>
        <v>0</v>
      </c>
    </row>
    <row r="2056" spans="1:14" s="407" customFormat="1" ht="12.75" x14ac:dyDescent="0.2">
      <c r="A2056" s="152"/>
      <c r="B2056" s="73"/>
      <c r="C2056" s="51" t="s">
        <v>489</v>
      </c>
      <c r="D2056" s="89" t="s">
        <v>526</v>
      </c>
      <c r="E2056" s="89"/>
      <c r="F2056" s="89"/>
      <c r="G2056" s="89"/>
      <c r="H2056" s="89"/>
      <c r="I2056" s="89"/>
      <c r="J2056" s="212"/>
      <c r="K2056" s="212"/>
      <c r="L2056" s="212"/>
      <c r="M2056" s="212"/>
      <c r="N2056" s="212">
        <f t="shared" si="49"/>
        <v>0</v>
      </c>
    </row>
    <row r="2057" spans="1:14" s="407" customFormat="1" ht="12.75" x14ac:dyDescent="0.2">
      <c r="A2057" s="152"/>
      <c r="B2057" s="73"/>
      <c r="C2057" s="51" t="s">
        <v>968</v>
      </c>
      <c r="D2057" s="89" t="s">
        <v>526</v>
      </c>
      <c r="E2057" s="89"/>
      <c r="F2057" s="89"/>
      <c r="G2057" s="89"/>
      <c r="H2057" s="89"/>
      <c r="I2057" s="89"/>
      <c r="J2057" s="212"/>
      <c r="K2057" s="212"/>
      <c r="L2057" s="212"/>
      <c r="M2057" s="212"/>
      <c r="N2057" s="212">
        <f t="shared" si="49"/>
        <v>0</v>
      </c>
    </row>
    <row r="2058" spans="1:14" s="407" customFormat="1" ht="12.75" x14ac:dyDescent="0.2">
      <c r="A2058" s="152"/>
      <c r="B2058" s="73"/>
      <c r="C2058" s="51" t="s">
        <v>98</v>
      </c>
      <c r="D2058" s="89" t="s">
        <v>526</v>
      </c>
      <c r="E2058" s="89"/>
      <c r="F2058" s="89"/>
      <c r="G2058" s="89"/>
      <c r="H2058" s="89"/>
      <c r="I2058" s="89"/>
      <c r="J2058" s="212"/>
      <c r="K2058" s="212"/>
      <c r="L2058" s="212"/>
      <c r="M2058" s="212"/>
      <c r="N2058" s="212">
        <f t="shared" si="49"/>
        <v>0</v>
      </c>
    </row>
    <row r="2059" spans="1:14" s="407" customFormat="1" ht="12.75" x14ac:dyDescent="0.2">
      <c r="A2059" s="152"/>
      <c r="B2059" s="73"/>
      <c r="C2059" s="51" t="s">
        <v>1048</v>
      </c>
      <c r="D2059" s="89" t="s">
        <v>526</v>
      </c>
      <c r="E2059" s="89"/>
      <c r="F2059" s="89"/>
      <c r="G2059" s="89"/>
      <c r="H2059" s="89"/>
      <c r="I2059" s="89"/>
      <c r="J2059" s="212"/>
      <c r="K2059" s="212"/>
      <c r="L2059" s="212"/>
      <c r="M2059" s="212"/>
      <c r="N2059" s="212">
        <f t="shared" si="49"/>
        <v>0</v>
      </c>
    </row>
    <row r="2060" spans="1:14" s="407" customFormat="1" ht="12.75" x14ac:dyDescent="0.2">
      <c r="A2060" s="152"/>
      <c r="B2060" s="73"/>
      <c r="C2060" s="51" t="s">
        <v>1030</v>
      </c>
      <c r="D2060" s="89" t="s">
        <v>526</v>
      </c>
      <c r="E2060" s="89"/>
      <c r="F2060" s="89"/>
      <c r="G2060" s="89"/>
      <c r="H2060" s="89"/>
      <c r="I2060" s="89"/>
      <c r="J2060" s="212"/>
      <c r="K2060" s="212"/>
      <c r="L2060" s="212"/>
      <c r="M2060" s="212"/>
      <c r="N2060" s="212">
        <f t="shared" si="49"/>
        <v>0</v>
      </c>
    </row>
    <row r="2061" spans="1:14" s="407" customFormat="1" ht="12.75" x14ac:dyDescent="0.2">
      <c r="A2061" s="152"/>
      <c r="B2061" s="73"/>
      <c r="C2061" s="51" t="s">
        <v>977</v>
      </c>
      <c r="D2061" s="89" t="s">
        <v>526</v>
      </c>
      <c r="E2061" s="89"/>
      <c r="F2061" s="89"/>
      <c r="G2061" s="89"/>
      <c r="H2061" s="89"/>
      <c r="I2061" s="89"/>
      <c r="J2061" s="212"/>
      <c r="K2061" s="212"/>
      <c r="L2061" s="212"/>
      <c r="M2061" s="212"/>
      <c r="N2061" s="212">
        <f t="shared" ref="N2061:N2124" si="50">SUMIFS(N$26:N$154,$C$26:$C$154,$C2061,$D$26:$D$154,$D2061)</f>
        <v>0</v>
      </c>
    </row>
    <row r="2062" spans="1:14" s="407" customFormat="1" ht="12.75" x14ac:dyDescent="0.2">
      <c r="A2062" s="152"/>
      <c r="B2062" s="73"/>
      <c r="C2062" s="51" t="s">
        <v>99</v>
      </c>
      <c r="D2062" s="89" t="s">
        <v>526</v>
      </c>
      <c r="E2062" s="89"/>
      <c r="F2062" s="89"/>
      <c r="G2062" s="89"/>
      <c r="H2062" s="89"/>
      <c r="I2062" s="89"/>
      <c r="J2062" s="212"/>
      <c r="K2062" s="212"/>
      <c r="L2062" s="212"/>
      <c r="M2062" s="212"/>
      <c r="N2062" s="212">
        <f t="shared" si="50"/>
        <v>0</v>
      </c>
    </row>
    <row r="2063" spans="1:14" s="407" customFormat="1" ht="12.75" x14ac:dyDescent="0.2">
      <c r="A2063" s="152"/>
      <c r="B2063" s="73"/>
      <c r="C2063" s="51" t="s">
        <v>1047</v>
      </c>
      <c r="D2063" s="89" t="s">
        <v>526</v>
      </c>
      <c r="E2063" s="89"/>
      <c r="F2063" s="89"/>
      <c r="G2063" s="89"/>
      <c r="H2063" s="89"/>
      <c r="I2063" s="89"/>
      <c r="J2063" s="212"/>
      <c r="K2063" s="212"/>
      <c r="L2063" s="212"/>
      <c r="M2063" s="212"/>
      <c r="N2063" s="212">
        <f t="shared" si="50"/>
        <v>0</v>
      </c>
    </row>
    <row r="2064" spans="1:14" s="407" customFormat="1" ht="12.75" x14ac:dyDescent="0.2">
      <c r="A2064" s="152"/>
      <c r="B2064" s="73"/>
      <c r="C2064" s="51" t="s">
        <v>1041</v>
      </c>
      <c r="D2064" s="89" t="s">
        <v>526</v>
      </c>
      <c r="E2064" s="89"/>
      <c r="F2064" s="89"/>
      <c r="G2064" s="89"/>
      <c r="H2064" s="89"/>
      <c r="I2064" s="89"/>
      <c r="J2064" s="212"/>
      <c r="K2064" s="212"/>
      <c r="L2064" s="212"/>
      <c r="M2064" s="212"/>
      <c r="N2064" s="212">
        <f t="shared" si="50"/>
        <v>0</v>
      </c>
    </row>
    <row r="2065" spans="1:14" s="407" customFormat="1" ht="12.75" x14ac:dyDescent="0.2">
      <c r="A2065" s="152"/>
      <c r="B2065" s="73"/>
      <c r="C2065" s="51" t="s">
        <v>102</v>
      </c>
      <c r="D2065" s="89" t="s">
        <v>526</v>
      </c>
      <c r="E2065" s="89"/>
      <c r="F2065" s="89"/>
      <c r="G2065" s="89"/>
      <c r="H2065" s="89"/>
      <c r="I2065" s="89"/>
      <c r="J2065" s="212"/>
      <c r="K2065" s="212"/>
      <c r="L2065" s="212"/>
      <c r="M2065" s="212"/>
      <c r="N2065" s="212">
        <f t="shared" si="50"/>
        <v>0</v>
      </c>
    </row>
    <row r="2066" spans="1:14" s="407" customFormat="1" ht="12.75" x14ac:dyDescent="0.2">
      <c r="A2066" s="152"/>
      <c r="B2066" s="73"/>
      <c r="C2066" s="51" t="s">
        <v>124</v>
      </c>
      <c r="D2066" s="89" t="s">
        <v>526</v>
      </c>
      <c r="E2066" s="89"/>
      <c r="F2066" s="89"/>
      <c r="G2066" s="89"/>
      <c r="H2066" s="89"/>
      <c r="I2066" s="89"/>
      <c r="J2066" s="212"/>
      <c r="K2066" s="212"/>
      <c r="L2066" s="212"/>
      <c r="M2066" s="212"/>
      <c r="N2066" s="212">
        <f t="shared" si="50"/>
        <v>0</v>
      </c>
    </row>
    <row r="2067" spans="1:14" s="407" customFormat="1" ht="12.75" x14ac:dyDescent="0.2">
      <c r="A2067" s="152"/>
      <c r="B2067" s="73"/>
      <c r="C2067" s="51" t="s">
        <v>103</v>
      </c>
      <c r="D2067" s="89" t="s">
        <v>526</v>
      </c>
      <c r="E2067" s="89"/>
      <c r="F2067" s="89"/>
      <c r="G2067" s="89"/>
      <c r="H2067" s="89"/>
      <c r="I2067" s="89"/>
      <c r="J2067" s="212"/>
      <c r="K2067" s="212"/>
      <c r="L2067" s="212"/>
      <c r="M2067" s="212"/>
      <c r="N2067" s="212">
        <f t="shared" si="50"/>
        <v>0</v>
      </c>
    </row>
    <row r="2068" spans="1:14" s="407" customFormat="1" ht="12.75" x14ac:dyDescent="0.2">
      <c r="A2068" s="152"/>
      <c r="B2068" s="73"/>
      <c r="C2068" s="51" t="s">
        <v>104</v>
      </c>
      <c r="D2068" s="89" t="s">
        <v>526</v>
      </c>
      <c r="E2068" s="89"/>
      <c r="F2068" s="89"/>
      <c r="G2068" s="89"/>
      <c r="H2068" s="89"/>
      <c r="I2068" s="89"/>
      <c r="J2068" s="212"/>
      <c r="K2068" s="212"/>
      <c r="L2068" s="212"/>
      <c r="M2068" s="212"/>
      <c r="N2068" s="212">
        <f t="shared" si="50"/>
        <v>0</v>
      </c>
    </row>
    <row r="2069" spans="1:14" s="407" customFormat="1" ht="12.75" x14ac:dyDescent="0.2">
      <c r="A2069" s="152"/>
      <c r="B2069" s="73"/>
      <c r="C2069" s="51" t="s">
        <v>491</v>
      </c>
      <c r="D2069" s="89" t="s">
        <v>526</v>
      </c>
      <c r="E2069" s="89"/>
      <c r="F2069" s="89"/>
      <c r="G2069" s="89"/>
      <c r="H2069" s="89"/>
      <c r="I2069" s="89"/>
      <c r="J2069" s="212"/>
      <c r="K2069" s="212"/>
      <c r="L2069" s="212"/>
      <c r="M2069" s="212"/>
      <c r="N2069" s="212">
        <f t="shared" si="50"/>
        <v>0</v>
      </c>
    </row>
    <row r="2070" spans="1:14" s="407" customFormat="1" ht="12.75" x14ac:dyDescent="0.2">
      <c r="A2070" s="152"/>
      <c r="B2070" s="73"/>
      <c r="C2070" s="51" t="s">
        <v>105</v>
      </c>
      <c r="D2070" s="89" t="s">
        <v>526</v>
      </c>
      <c r="E2070" s="89"/>
      <c r="F2070" s="89"/>
      <c r="G2070" s="89"/>
      <c r="H2070" s="89"/>
      <c r="I2070" s="89"/>
      <c r="J2070" s="212"/>
      <c r="K2070" s="212"/>
      <c r="L2070" s="212"/>
      <c r="M2070" s="212"/>
      <c r="N2070" s="212">
        <f t="shared" si="50"/>
        <v>0</v>
      </c>
    </row>
    <row r="2071" spans="1:14" s="407" customFormat="1" ht="12.75" x14ac:dyDescent="0.2">
      <c r="A2071" s="152"/>
      <c r="B2071" s="73"/>
      <c r="C2071" s="51" t="s">
        <v>129</v>
      </c>
      <c r="D2071" s="89" t="s">
        <v>526</v>
      </c>
      <c r="E2071" s="89"/>
      <c r="F2071" s="89"/>
      <c r="G2071" s="89"/>
      <c r="H2071" s="89"/>
      <c r="I2071" s="89"/>
      <c r="J2071" s="212"/>
      <c r="K2071" s="212"/>
      <c r="L2071" s="212"/>
      <c r="M2071" s="212"/>
      <c r="N2071" s="212">
        <f t="shared" si="50"/>
        <v>0</v>
      </c>
    </row>
    <row r="2072" spans="1:14" s="407" customFormat="1" ht="12.75" x14ac:dyDescent="0.2">
      <c r="A2072" s="152"/>
      <c r="B2072" s="73"/>
      <c r="C2072" s="73" t="s">
        <v>108</v>
      </c>
      <c r="D2072" s="89" t="s">
        <v>526</v>
      </c>
      <c r="E2072" s="89"/>
      <c r="F2072" s="89"/>
      <c r="G2072" s="89"/>
      <c r="H2072" s="89"/>
      <c r="I2072" s="89"/>
      <c r="J2072" s="212"/>
      <c r="K2072" s="212"/>
      <c r="L2072" s="212"/>
      <c r="M2072" s="212"/>
      <c r="N2072" s="212">
        <f t="shared" si="50"/>
        <v>0</v>
      </c>
    </row>
    <row r="2073" spans="1:14" s="407" customFormat="1" ht="12.75" x14ac:dyDescent="0.2">
      <c r="A2073" s="152"/>
      <c r="B2073" s="73"/>
      <c r="C2073" s="51" t="s">
        <v>119</v>
      </c>
      <c r="D2073" s="89" t="s">
        <v>526</v>
      </c>
      <c r="E2073" s="89"/>
      <c r="F2073" s="89"/>
      <c r="G2073" s="89"/>
      <c r="H2073" s="89"/>
      <c r="I2073" s="89"/>
      <c r="J2073" s="212"/>
      <c r="K2073" s="212"/>
      <c r="L2073" s="212"/>
      <c r="M2073" s="212"/>
      <c r="N2073" s="212">
        <f t="shared" si="50"/>
        <v>0</v>
      </c>
    </row>
    <row r="2074" spans="1:14" s="407" customFormat="1" ht="12.75" x14ac:dyDescent="0.2">
      <c r="A2074" s="152"/>
      <c r="B2074" s="73"/>
      <c r="C2074" s="51" t="s">
        <v>954</v>
      </c>
      <c r="D2074" s="89" t="s">
        <v>526</v>
      </c>
      <c r="E2074" s="89"/>
      <c r="F2074" s="89"/>
      <c r="G2074" s="89"/>
      <c r="H2074" s="89"/>
      <c r="I2074" s="89"/>
      <c r="J2074" s="212"/>
      <c r="K2074" s="212"/>
      <c r="L2074" s="212"/>
      <c r="M2074" s="212"/>
      <c r="N2074" s="212">
        <f t="shared" si="50"/>
        <v>0</v>
      </c>
    </row>
    <row r="2075" spans="1:14" s="407" customFormat="1" ht="12.75" x14ac:dyDescent="0.2">
      <c r="A2075" s="152"/>
      <c r="B2075" s="73"/>
      <c r="C2075" s="51" t="s">
        <v>1031</v>
      </c>
      <c r="D2075" s="89" t="s">
        <v>526</v>
      </c>
      <c r="E2075" s="89"/>
      <c r="F2075" s="89"/>
      <c r="G2075" s="89"/>
      <c r="H2075" s="89"/>
      <c r="I2075" s="89"/>
      <c r="J2075" s="212"/>
      <c r="K2075" s="212"/>
      <c r="L2075" s="212"/>
      <c r="M2075" s="212"/>
      <c r="N2075" s="212">
        <f t="shared" si="50"/>
        <v>0</v>
      </c>
    </row>
    <row r="2076" spans="1:14" s="407" customFormat="1" ht="12.75" x14ac:dyDescent="0.2">
      <c r="A2076" s="152"/>
      <c r="B2076" s="73"/>
      <c r="C2076" s="51" t="s">
        <v>1009</v>
      </c>
      <c r="D2076" s="89" t="s">
        <v>526</v>
      </c>
      <c r="E2076" s="89"/>
      <c r="F2076" s="89"/>
      <c r="G2076" s="89"/>
      <c r="H2076" s="89"/>
      <c r="I2076" s="89"/>
      <c r="J2076" s="212"/>
      <c r="K2076" s="212"/>
      <c r="L2076" s="212"/>
      <c r="M2076" s="212"/>
      <c r="N2076" s="212">
        <f t="shared" si="50"/>
        <v>0</v>
      </c>
    </row>
    <row r="2077" spans="1:14" s="407" customFormat="1" ht="12.75" x14ac:dyDescent="0.2">
      <c r="A2077" s="152"/>
      <c r="B2077" s="73"/>
      <c r="C2077" s="51" t="s">
        <v>107</v>
      </c>
      <c r="D2077" s="89" t="s">
        <v>526</v>
      </c>
      <c r="E2077" s="89"/>
      <c r="F2077" s="89"/>
      <c r="G2077" s="89"/>
      <c r="H2077" s="89"/>
      <c r="I2077" s="89"/>
      <c r="J2077" s="212"/>
      <c r="K2077" s="212"/>
      <c r="L2077" s="212"/>
      <c r="M2077" s="212"/>
      <c r="N2077" s="212">
        <f t="shared" si="50"/>
        <v>0</v>
      </c>
    </row>
    <row r="2078" spans="1:14" s="407" customFormat="1" ht="12.75" x14ac:dyDescent="0.2">
      <c r="A2078" s="152"/>
      <c r="B2078" s="73"/>
      <c r="C2078" s="51" t="s">
        <v>1026</v>
      </c>
      <c r="D2078" s="89" t="s">
        <v>526</v>
      </c>
      <c r="E2078" s="89"/>
      <c r="F2078" s="89"/>
      <c r="G2078" s="89"/>
      <c r="H2078" s="89"/>
      <c r="I2078" s="89"/>
      <c r="J2078" s="212"/>
      <c r="K2078" s="212"/>
      <c r="L2078" s="212"/>
      <c r="M2078" s="212"/>
      <c r="N2078" s="212">
        <f t="shared" si="50"/>
        <v>0</v>
      </c>
    </row>
    <row r="2079" spans="1:14" s="407" customFormat="1" ht="12.75" x14ac:dyDescent="0.2">
      <c r="A2079" s="152"/>
      <c r="B2079" s="73"/>
      <c r="C2079" s="51" t="s">
        <v>1027</v>
      </c>
      <c r="D2079" s="89" t="s">
        <v>526</v>
      </c>
      <c r="E2079" s="89"/>
      <c r="F2079" s="89"/>
      <c r="G2079" s="89"/>
      <c r="H2079" s="89"/>
      <c r="I2079" s="89"/>
      <c r="J2079" s="212"/>
      <c r="K2079" s="212"/>
      <c r="L2079" s="212"/>
      <c r="M2079" s="212"/>
      <c r="N2079" s="212">
        <f t="shared" si="50"/>
        <v>0</v>
      </c>
    </row>
    <row r="2080" spans="1:14" s="407" customFormat="1" ht="12.75" x14ac:dyDescent="0.2">
      <c r="A2080" s="152"/>
      <c r="B2080" s="73"/>
      <c r="C2080" s="51" t="s">
        <v>955</v>
      </c>
      <c r="D2080" s="89" t="s">
        <v>526</v>
      </c>
      <c r="E2080" s="89"/>
      <c r="F2080" s="89"/>
      <c r="G2080" s="89"/>
      <c r="H2080" s="89"/>
      <c r="I2080" s="89"/>
      <c r="J2080" s="212"/>
      <c r="K2080" s="212"/>
      <c r="L2080" s="212"/>
      <c r="M2080" s="212"/>
      <c r="N2080" s="212">
        <f t="shared" si="50"/>
        <v>0</v>
      </c>
    </row>
    <row r="2081" spans="1:14" s="407" customFormat="1" ht="12.75" x14ac:dyDescent="0.2">
      <c r="A2081" s="152"/>
      <c r="B2081" s="73"/>
      <c r="C2081" s="51" t="s">
        <v>958</v>
      </c>
      <c r="D2081" s="89" t="s">
        <v>526</v>
      </c>
      <c r="E2081" s="89"/>
      <c r="F2081" s="89"/>
      <c r="G2081" s="89"/>
      <c r="H2081" s="89"/>
      <c r="I2081" s="89"/>
      <c r="J2081" s="212"/>
      <c r="K2081" s="212"/>
      <c r="L2081" s="212"/>
      <c r="M2081" s="212"/>
      <c r="N2081" s="212">
        <f t="shared" si="50"/>
        <v>0</v>
      </c>
    </row>
    <row r="2082" spans="1:14" s="407" customFormat="1" ht="12.75" x14ac:dyDescent="0.2">
      <c r="A2082" s="152"/>
      <c r="B2082" s="73"/>
      <c r="C2082" s="51" t="s">
        <v>1032</v>
      </c>
      <c r="D2082" s="89" t="s">
        <v>526</v>
      </c>
      <c r="E2082" s="89"/>
      <c r="F2082" s="89"/>
      <c r="G2082" s="89"/>
      <c r="H2082" s="89"/>
      <c r="I2082" s="89"/>
      <c r="J2082" s="212"/>
      <c r="K2082" s="212"/>
      <c r="L2082" s="212"/>
      <c r="M2082" s="212"/>
      <c r="N2082" s="212">
        <f t="shared" si="50"/>
        <v>0</v>
      </c>
    </row>
    <row r="2083" spans="1:14" s="407" customFormat="1" ht="12.75" x14ac:dyDescent="0.2">
      <c r="A2083" s="152"/>
      <c r="B2083" s="73"/>
      <c r="C2083" s="51" t="s">
        <v>109</v>
      </c>
      <c r="D2083" s="89" t="s">
        <v>526</v>
      </c>
      <c r="E2083" s="89"/>
      <c r="F2083" s="89"/>
      <c r="G2083" s="89"/>
      <c r="H2083" s="89"/>
      <c r="I2083" s="89"/>
      <c r="J2083" s="212"/>
      <c r="K2083" s="212"/>
      <c r="L2083" s="212"/>
      <c r="M2083" s="212"/>
      <c r="N2083" s="212">
        <f t="shared" si="50"/>
        <v>0</v>
      </c>
    </row>
    <row r="2084" spans="1:14" s="407" customFormat="1" ht="12.75" x14ac:dyDescent="0.2">
      <c r="A2084" s="152"/>
      <c r="B2084" s="73"/>
      <c r="C2084" s="51" t="s">
        <v>966</v>
      </c>
      <c r="D2084" s="89" t="s">
        <v>526</v>
      </c>
      <c r="E2084" s="89"/>
      <c r="F2084" s="89"/>
      <c r="G2084" s="89"/>
      <c r="H2084" s="89"/>
      <c r="I2084" s="89"/>
      <c r="J2084" s="212"/>
      <c r="K2084" s="212"/>
      <c r="L2084" s="212"/>
      <c r="M2084" s="212"/>
      <c r="N2084" s="212">
        <f t="shared" si="50"/>
        <v>0</v>
      </c>
    </row>
    <row r="2085" spans="1:14" s="407" customFormat="1" ht="12.75" x14ac:dyDescent="0.2">
      <c r="A2085" s="152"/>
      <c r="B2085" s="73"/>
      <c r="C2085" s="51" t="s">
        <v>981</v>
      </c>
      <c r="D2085" s="89" t="s">
        <v>526</v>
      </c>
      <c r="E2085" s="89"/>
      <c r="F2085" s="89"/>
      <c r="G2085" s="89"/>
      <c r="H2085" s="89"/>
      <c r="I2085" s="89"/>
      <c r="J2085" s="212"/>
      <c r="K2085" s="212"/>
      <c r="L2085" s="212"/>
      <c r="M2085" s="212"/>
      <c r="N2085" s="212">
        <f t="shared" si="50"/>
        <v>0</v>
      </c>
    </row>
    <row r="2086" spans="1:14" s="407" customFormat="1" ht="12.75" x14ac:dyDescent="0.2">
      <c r="A2086" s="152"/>
      <c r="B2086" s="73"/>
      <c r="C2086" s="51" t="s">
        <v>963</v>
      </c>
      <c r="D2086" s="89" t="s">
        <v>526</v>
      </c>
      <c r="E2086" s="89"/>
      <c r="F2086" s="89"/>
      <c r="G2086" s="89"/>
      <c r="H2086" s="89"/>
      <c r="I2086" s="89"/>
      <c r="J2086" s="212"/>
      <c r="K2086" s="212"/>
      <c r="L2086" s="212"/>
      <c r="M2086" s="212"/>
      <c r="N2086" s="212">
        <f t="shared" si="50"/>
        <v>0</v>
      </c>
    </row>
    <row r="2087" spans="1:14" s="407" customFormat="1" ht="12.75" x14ac:dyDescent="0.2">
      <c r="A2087" s="152"/>
      <c r="B2087" s="73"/>
      <c r="C2087" s="51" t="s">
        <v>120</v>
      </c>
      <c r="D2087" s="89" t="s">
        <v>526</v>
      </c>
      <c r="E2087" s="89"/>
      <c r="F2087" s="89"/>
      <c r="G2087" s="89"/>
      <c r="H2087" s="89"/>
      <c r="I2087" s="89"/>
      <c r="J2087" s="212"/>
      <c r="K2087" s="212"/>
      <c r="L2087" s="212"/>
      <c r="M2087" s="212"/>
      <c r="N2087" s="212">
        <f t="shared" si="50"/>
        <v>0</v>
      </c>
    </row>
    <row r="2088" spans="1:14" s="407" customFormat="1" ht="12.75" x14ac:dyDescent="0.2">
      <c r="A2088" s="152"/>
      <c r="B2088" s="73"/>
      <c r="C2088" s="51" t="s">
        <v>989</v>
      </c>
      <c r="D2088" s="89" t="s">
        <v>526</v>
      </c>
      <c r="E2088" s="89"/>
      <c r="F2088" s="89"/>
      <c r="G2088" s="89"/>
      <c r="H2088" s="89"/>
      <c r="I2088" s="89"/>
      <c r="J2088" s="212"/>
      <c r="K2088" s="212"/>
      <c r="L2088" s="212"/>
      <c r="M2088" s="212"/>
      <c r="N2088" s="212">
        <f t="shared" si="50"/>
        <v>0</v>
      </c>
    </row>
    <row r="2089" spans="1:14" s="407" customFormat="1" ht="12.75" x14ac:dyDescent="0.2">
      <c r="A2089" s="152"/>
      <c r="B2089" s="73"/>
      <c r="C2089" s="51" t="s">
        <v>986</v>
      </c>
      <c r="D2089" s="89" t="s">
        <v>369</v>
      </c>
      <c r="E2089" s="89"/>
      <c r="F2089" s="89"/>
      <c r="G2089" s="89"/>
      <c r="H2089" s="89"/>
      <c r="I2089" s="89"/>
      <c r="J2089" s="212"/>
      <c r="K2089" s="212"/>
      <c r="L2089" s="212"/>
      <c r="M2089" s="212"/>
      <c r="N2089" s="212">
        <f t="shared" si="50"/>
        <v>0</v>
      </c>
    </row>
    <row r="2090" spans="1:14" s="407" customFormat="1" ht="12.75" x14ac:dyDescent="0.2">
      <c r="A2090" s="152"/>
      <c r="B2090" s="73"/>
      <c r="C2090" s="51" t="s">
        <v>988</v>
      </c>
      <c r="D2090" s="89" t="s">
        <v>369</v>
      </c>
      <c r="E2090" s="89"/>
      <c r="F2090" s="89"/>
      <c r="G2090" s="89"/>
      <c r="H2090" s="89"/>
      <c r="I2090" s="89"/>
      <c r="J2090" s="212"/>
      <c r="K2090" s="212"/>
      <c r="L2090" s="212"/>
      <c r="M2090" s="212"/>
      <c r="N2090" s="212">
        <f t="shared" si="50"/>
        <v>0</v>
      </c>
    </row>
    <row r="2091" spans="1:14" s="407" customFormat="1" ht="12.75" x14ac:dyDescent="0.2">
      <c r="A2091" s="152"/>
      <c r="B2091" s="73"/>
      <c r="C2091" s="51" t="s">
        <v>1058</v>
      </c>
      <c r="D2091" s="89" t="s">
        <v>369</v>
      </c>
      <c r="E2091" s="89"/>
      <c r="F2091" s="89"/>
      <c r="G2091" s="89"/>
      <c r="H2091" s="89"/>
      <c r="I2091" s="89"/>
      <c r="J2091" s="212"/>
      <c r="K2091" s="212"/>
      <c r="L2091" s="212"/>
      <c r="M2091" s="212"/>
      <c r="N2091" s="212">
        <f t="shared" si="50"/>
        <v>0</v>
      </c>
    </row>
    <row r="2092" spans="1:14" s="407" customFormat="1" ht="12.75" x14ac:dyDescent="0.2">
      <c r="A2092" s="152"/>
      <c r="B2092" s="73"/>
      <c r="C2092" s="51" t="s">
        <v>972</v>
      </c>
      <c r="D2092" s="89" t="s">
        <v>369</v>
      </c>
      <c r="E2092" s="89"/>
      <c r="F2092" s="89"/>
      <c r="G2092" s="89"/>
      <c r="H2092" s="89"/>
      <c r="I2092" s="89"/>
      <c r="J2092" s="212"/>
      <c r="K2092" s="212"/>
      <c r="L2092" s="212"/>
      <c r="M2092" s="212"/>
      <c r="N2092" s="212">
        <f t="shared" si="50"/>
        <v>0</v>
      </c>
    </row>
    <row r="2093" spans="1:14" s="407" customFormat="1" ht="12.75" x14ac:dyDescent="0.2">
      <c r="A2093" s="152"/>
      <c r="B2093" s="73"/>
      <c r="C2093" s="51" t="s">
        <v>973</v>
      </c>
      <c r="D2093" s="89" t="s">
        <v>369</v>
      </c>
      <c r="E2093" s="89"/>
      <c r="F2093" s="89"/>
      <c r="G2093" s="89"/>
      <c r="H2093" s="89"/>
      <c r="I2093" s="89"/>
      <c r="J2093" s="212"/>
      <c r="K2093" s="212"/>
      <c r="L2093" s="212"/>
      <c r="M2093" s="212"/>
      <c r="N2093" s="212">
        <f t="shared" si="50"/>
        <v>0</v>
      </c>
    </row>
    <row r="2094" spans="1:14" s="407" customFormat="1" ht="12.75" x14ac:dyDescent="0.2">
      <c r="A2094" s="152"/>
      <c r="B2094" s="73"/>
      <c r="C2094" s="51" t="s">
        <v>980</v>
      </c>
      <c r="D2094" s="89" t="s">
        <v>369</v>
      </c>
      <c r="E2094" s="89"/>
      <c r="F2094" s="89"/>
      <c r="G2094" s="89"/>
      <c r="H2094" s="89"/>
      <c r="I2094" s="89"/>
      <c r="J2094" s="212"/>
      <c r="K2094" s="212"/>
      <c r="L2094" s="212"/>
      <c r="M2094" s="212"/>
      <c r="N2094" s="212">
        <f t="shared" si="50"/>
        <v>0</v>
      </c>
    </row>
    <row r="2095" spans="1:14" s="407" customFormat="1" ht="12.75" x14ac:dyDescent="0.2">
      <c r="A2095" s="152"/>
      <c r="B2095" s="73"/>
      <c r="C2095" s="51" t="s">
        <v>982</v>
      </c>
      <c r="D2095" s="89" t="s">
        <v>369</v>
      </c>
      <c r="E2095" s="89"/>
      <c r="F2095" s="89"/>
      <c r="G2095" s="89"/>
      <c r="H2095" s="89"/>
      <c r="I2095" s="89"/>
      <c r="J2095" s="212"/>
      <c r="K2095" s="212"/>
      <c r="L2095" s="212"/>
      <c r="M2095" s="212"/>
      <c r="N2095" s="212">
        <f t="shared" si="50"/>
        <v>0</v>
      </c>
    </row>
    <row r="2096" spans="1:14" s="407" customFormat="1" ht="12.75" x14ac:dyDescent="0.2">
      <c r="A2096" s="152"/>
      <c r="B2096" s="73"/>
      <c r="C2096" s="51" t="s">
        <v>46</v>
      </c>
      <c r="D2096" s="89" t="s">
        <v>369</v>
      </c>
      <c r="E2096" s="89"/>
      <c r="F2096" s="89"/>
      <c r="G2096" s="89"/>
      <c r="H2096" s="89"/>
      <c r="I2096" s="89"/>
      <c r="J2096" s="212"/>
      <c r="K2096" s="212"/>
      <c r="L2096" s="212"/>
      <c r="M2096" s="212"/>
      <c r="N2096" s="212">
        <f t="shared" si="50"/>
        <v>0</v>
      </c>
    </row>
    <row r="2097" spans="1:14" s="407" customFormat="1" ht="12.75" x14ac:dyDescent="0.2">
      <c r="A2097" s="152"/>
      <c r="B2097" s="73"/>
      <c r="C2097" s="51" t="s">
        <v>1019</v>
      </c>
      <c r="D2097" s="89" t="s">
        <v>369</v>
      </c>
      <c r="E2097" s="89"/>
      <c r="F2097" s="89"/>
      <c r="G2097" s="89"/>
      <c r="H2097" s="89"/>
      <c r="I2097" s="89"/>
      <c r="J2097" s="212"/>
      <c r="K2097" s="212"/>
      <c r="L2097" s="212"/>
      <c r="M2097" s="212"/>
      <c r="N2097" s="212">
        <f t="shared" si="50"/>
        <v>6000</v>
      </c>
    </row>
    <row r="2098" spans="1:14" s="407" customFormat="1" ht="12.75" x14ac:dyDescent="0.2">
      <c r="A2098" s="152"/>
      <c r="B2098" s="73"/>
      <c r="C2098" s="51" t="s">
        <v>1050</v>
      </c>
      <c r="D2098" s="89" t="s">
        <v>369</v>
      </c>
      <c r="E2098" s="89"/>
      <c r="F2098" s="89"/>
      <c r="G2098" s="89"/>
      <c r="H2098" s="89"/>
      <c r="I2098" s="89"/>
      <c r="J2098" s="212"/>
      <c r="K2098" s="212"/>
      <c r="L2098" s="212"/>
      <c r="M2098" s="212"/>
      <c r="N2098" s="212">
        <f t="shared" si="50"/>
        <v>0</v>
      </c>
    </row>
    <row r="2099" spans="1:14" s="407" customFormat="1" ht="12.75" x14ac:dyDescent="0.2">
      <c r="A2099" s="152"/>
      <c r="B2099" s="73"/>
      <c r="C2099" s="51" t="s">
        <v>100</v>
      </c>
      <c r="D2099" s="89" t="s">
        <v>369</v>
      </c>
      <c r="E2099" s="89"/>
      <c r="F2099" s="89"/>
      <c r="G2099" s="89"/>
      <c r="H2099" s="89"/>
      <c r="I2099" s="89"/>
      <c r="J2099" s="212"/>
      <c r="K2099" s="212"/>
      <c r="L2099" s="212"/>
      <c r="M2099" s="212"/>
      <c r="N2099" s="212">
        <f t="shared" si="50"/>
        <v>0</v>
      </c>
    </row>
    <row r="2100" spans="1:14" s="407" customFormat="1" ht="12.75" x14ac:dyDescent="0.2">
      <c r="A2100" s="152"/>
      <c r="B2100" s="73"/>
      <c r="C2100" s="51" t="s">
        <v>101</v>
      </c>
      <c r="D2100" s="89" t="s">
        <v>369</v>
      </c>
      <c r="E2100" s="89"/>
      <c r="F2100" s="89"/>
      <c r="G2100" s="89"/>
      <c r="H2100" s="89"/>
      <c r="I2100" s="89"/>
      <c r="J2100" s="212"/>
      <c r="K2100" s="212"/>
      <c r="L2100" s="212"/>
      <c r="M2100" s="212"/>
      <c r="N2100" s="212">
        <f t="shared" si="50"/>
        <v>0</v>
      </c>
    </row>
    <row r="2101" spans="1:14" s="407" customFormat="1" ht="12.75" x14ac:dyDescent="0.2">
      <c r="A2101" s="152"/>
      <c r="B2101" s="73"/>
      <c r="C2101" s="51" t="s">
        <v>1056</v>
      </c>
      <c r="D2101" s="89" t="s">
        <v>369</v>
      </c>
      <c r="E2101" s="89"/>
      <c r="F2101" s="89"/>
      <c r="G2101" s="89"/>
      <c r="H2101" s="89"/>
      <c r="I2101" s="89"/>
      <c r="J2101" s="212"/>
      <c r="K2101" s="212"/>
      <c r="L2101" s="212"/>
      <c r="M2101" s="212"/>
      <c r="N2101" s="212">
        <f t="shared" si="50"/>
        <v>0</v>
      </c>
    </row>
    <row r="2102" spans="1:14" s="407" customFormat="1" ht="12.75" x14ac:dyDescent="0.2">
      <c r="A2102" s="152"/>
      <c r="B2102" s="73"/>
      <c r="C2102" s="51" t="s">
        <v>1057</v>
      </c>
      <c r="D2102" s="89" t="s">
        <v>369</v>
      </c>
      <c r="E2102" s="89"/>
      <c r="F2102" s="89"/>
      <c r="G2102" s="89"/>
      <c r="H2102" s="89"/>
      <c r="I2102" s="89"/>
      <c r="J2102" s="212"/>
      <c r="K2102" s="212"/>
      <c r="L2102" s="212"/>
      <c r="M2102" s="212"/>
      <c r="N2102" s="212">
        <f t="shared" si="50"/>
        <v>0</v>
      </c>
    </row>
    <row r="2103" spans="1:14" s="407" customFormat="1" ht="12.75" x14ac:dyDescent="0.2">
      <c r="A2103" s="152"/>
      <c r="B2103" s="73"/>
      <c r="C2103" s="51" t="s">
        <v>944</v>
      </c>
      <c r="D2103" s="89" t="s">
        <v>369</v>
      </c>
      <c r="E2103" s="89"/>
      <c r="F2103" s="89"/>
      <c r="G2103" s="89"/>
      <c r="H2103" s="89"/>
      <c r="I2103" s="89"/>
      <c r="J2103" s="212"/>
      <c r="K2103" s="212"/>
      <c r="L2103" s="212"/>
      <c r="M2103" s="212"/>
      <c r="N2103" s="212">
        <f t="shared" si="50"/>
        <v>0</v>
      </c>
    </row>
    <row r="2104" spans="1:14" s="407" customFormat="1" ht="12.75" x14ac:dyDescent="0.2">
      <c r="A2104" s="152"/>
      <c r="B2104" s="73"/>
      <c r="C2104" s="51" t="s">
        <v>945</v>
      </c>
      <c r="D2104" s="89" t="s">
        <v>369</v>
      </c>
      <c r="E2104" s="89"/>
      <c r="F2104" s="89"/>
      <c r="G2104" s="89"/>
      <c r="H2104" s="89"/>
      <c r="I2104" s="89"/>
      <c r="J2104" s="212"/>
      <c r="K2104" s="212"/>
      <c r="L2104" s="212"/>
      <c r="M2104" s="212"/>
      <c r="N2104" s="212">
        <f t="shared" si="50"/>
        <v>0</v>
      </c>
    </row>
    <row r="2105" spans="1:14" s="407" customFormat="1" ht="12.75" x14ac:dyDescent="0.2">
      <c r="A2105" s="152"/>
      <c r="B2105" s="73"/>
      <c r="C2105" s="51" t="s">
        <v>965</v>
      </c>
      <c r="D2105" s="89" t="s">
        <v>369</v>
      </c>
      <c r="E2105" s="89"/>
      <c r="F2105" s="89"/>
      <c r="G2105" s="89"/>
      <c r="H2105" s="89"/>
      <c r="I2105" s="89"/>
      <c r="J2105" s="212"/>
      <c r="K2105" s="212"/>
      <c r="L2105" s="212"/>
      <c r="M2105" s="212"/>
      <c r="N2105" s="212">
        <f t="shared" si="50"/>
        <v>0</v>
      </c>
    </row>
    <row r="2106" spans="1:14" s="407" customFormat="1" ht="12.75" x14ac:dyDescent="0.2">
      <c r="A2106" s="152"/>
      <c r="B2106" s="73"/>
      <c r="C2106" s="51" t="s">
        <v>1011</v>
      </c>
      <c r="D2106" s="89" t="s">
        <v>369</v>
      </c>
      <c r="E2106" s="89"/>
      <c r="F2106" s="89"/>
      <c r="G2106" s="89"/>
      <c r="H2106" s="89"/>
      <c r="I2106" s="89"/>
      <c r="J2106" s="212"/>
      <c r="K2106" s="212"/>
      <c r="L2106" s="212"/>
      <c r="M2106" s="212"/>
      <c r="N2106" s="212">
        <f t="shared" si="50"/>
        <v>0</v>
      </c>
    </row>
    <row r="2107" spans="1:14" s="407" customFormat="1" ht="12.75" x14ac:dyDescent="0.2">
      <c r="A2107" s="152"/>
      <c r="B2107" s="73"/>
      <c r="C2107" s="51" t="s">
        <v>1010</v>
      </c>
      <c r="D2107" s="89" t="s">
        <v>369</v>
      </c>
      <c r="E2107" s="89"/>
      <c r="F2107" s="89"/>
      <c r="G2107" s="89"/>
      <c r="H2107" s="89"/>
      <c r="I2107" s="89"/>
      <c r="J2107" s="212"/>
      <c r="K2107" s="212"/>
      <c r="L2107" s="212"/>
      <c r="M2107" s="212"/>
      <c r="N2107" s="212">
        <f t="shared" si="50"/>
        <v>0</v>
      </c>
    </row>
    <row r="2108" spans="1:14" s="407" customFormat="1" ht="12.75" x14ac:dyDescent="0.2">
      <c r="A2108" s="152"/>
      <c r="B2108" s="73"/>
      <c r="C2108" s="51" t="s">
        <v>1013</v>
      </c>
      <c r="D2108" s="89" t="s">
        <v>369</v>
      </c>
      <c r="E2108" s="89"/>
      <c r="F2108" s="89"/>
      <c r="G2108" s="89"/>
      <c r="H2108" s="89"/>
      <c r="I2108" s="89"/>
      <c r="J2108" s="212"/>
      <c r="K2108" s="212"/>
      <c r="L2108" s="212"/>
      <c r="M2108" s="212"/>
      <c r="N2108" s="212">
        <f t="shared" si="50"/>
        <v>0</v>
      </c>
    </row>
    <row r="2109" spans="1:14" s="407" customFormat="1" ht="12.75" x14ac:dyDescent="0.2">
      <c r="A2109" s="152"/>
      <c r="B2109" s="73"/>
      <c r="C2109" s="51" t="s">
        <v>1012</v>
      </c>
      <c r="D2109" s="89" t="s">
        <v>369</v>
      </c>
      <c r="E2109" s="89"/>
      <c r="F2109" s="89"/>
      <c r="G2109" s="89"/>
      <c r="H2109" s="89"/>
      <c r="I2109" s="89"/>
      <c r="J2109" s="212"/>
      <c r="K2109" s="212"/>
      <c r="L2109" s="212"/>
      <c r="M2109" s="212"/>
      <c r="N2109" s="212">
        <f t="shared" si="50"/>
        <v>0</v>
      </c>
    </row>
    <row r="2110" spans="1:14" s="407" customFormat="1" ht="12.75" x14ac:dyDescent="0.2">
      <c r="A2110" s="152"/>
      <c r="B2110" s="73"/>
      <c r="C2110" s="51" t="s">
        <v>1052</v>
      </c>
      <c r="D2110" s="89" t="s">
        <v>369</v>
      </c>
      <c r="E2110" s="89"/>
      <c r="F2110" s="89"/>
      <c r="G2110" s="89"/>
      <c r="H2110" s="89"/>
      <c r="I2110" s="89"/>
      <c r="J2110" s="212"/>
      <c r="K2110" s="212"/>
      <c r="L2110" s="212"/>
      <c r="M2110" s="212"/>
      <c r="N2110" s="212">
        <f t="shared" si="50"/>
        <v>0</v>
      </c>
    </row>
    <row r="2111" spans="1:14" s="407" customFormat="1" ht="12.75" x14ac:dyDescent="0.2">
      <c r="A2111" s="152"/>
      <c r="B2111" s="73"/>
      <c r="C2111" s="51" t="s">
        <v>1053</v>
      </c>
      <c r="D2111" s="89" t="s">
        <v>369</v>
      </c>
      <c r="E2111" s="89"/>
      <c r="F2111" s="89"/>
      <c r="G2111" s="89"/>
      <c r="H2111" s="89"/>
      <c r="I2111" s="89"/>
      <c r="J2111" s="212"/>
      <c r="K2111" s="212"/>
      <c r="L2111" s="212"/>
      <c r="M2111" s="212"/>
      <c r="N2111" s="212">
        <f t="shared" si="50"/>
        <v>0</v>
      </c>
    </row>
    <row r="2112" spans="1:14" s="407" customFormat="1" ht="12.75" x14ac:dyDescent="0.2">
      <c r="A2112" s="152"/>
      <c r="B2112" s="73"/>
      <c r="C2112" s="51" t="s">
        <v>984</v>
      </c>
      <c r="D2112" s="89" t="s">
        <v>369</v>
      </c>
      <c r="E2112" s="89"/>
      <c r="F2112" s="89"/>
      <c r="G2112" s="89"/>
      <c r="H2112" s="89"/>
      <c r="I2112" s="89"/>
      <c r="J2112" s="212"/>
      <c r="K2112" s="212"/>
      <c r="L2112" s="212"/>
      <c r="M2112" s="212"/>
      <c r="N2112" s="212">
        <f t="shared" si="50"/>
        <v>0</v>
      </c>
    </row>
    <row r="2113" spans="1:14" s="407" customFormat="1" ht="12.75" x14ac:dyDescent="0.2">
      <c r="A2113" s="152"/>
      <c r="B2113" s="73"/>
      <c r="C2113" s="51" t="s">
        <v>985</v>
      </c>
      <c r="D2113" s="89" t="s">
        <v>369</v>
      </c>
      <c r="E2113" s="89"/>
      <c r="F2113" s="89"/>
      <c r="G2113" s="89"/>
      <c r="H2113" s="89"/>
      <c r="I2113" s="89"/>
      <c r="J2113" s="212"/>
      <c r="K2113" s="212"/>
      <c r="L2113" s="212"/>
      <c r="M2113" s="212"/>
      <c r="N2113" s="212">
        <f t="shared" si="50"/>
        <v>0</v>
      </c>
    </row>
    <row r="2114" spans="1:14" s="407" customFormat="1" ht="12.75" x14ac:dyDescent="0.2">
      <c r="A2114" s="152"/>
      <c r="B2114" s="73"/>
      <c r="C2114" s="51" t="s">
        <v>1005</v>
      </c>
      <c r="D2114" s="89" t="s">
        <v>369</v>
      </c>
      <c r="E2114" s="89"/>
      <c r="F2114" s="89"/>
      <c r="G2114" s="89"/>
      <c r="H2114" s="89"/>
      <c r="I2114" s="89"/>
      <c r="J2114" s="212"/>
      <c r="K2114" s="212"/>
      <c r="L2114" s="212"/>
      <c r="M2114" s="212"/>
      <c r="N2114" s="212">
        <f t="shared" si="50"/>
        <v>0</v>
      </c>
    </row>
    <row r="2115" spans="1:14" s="407" customFormat="1" ht="12.75" x14ac:dyDescent="0.2">
      <c r="A2115" s="152"/>
      <c r="B2115" s="73"/>
      <c r="C2115" s="51" t="s">
        <v>1004</v>
      </c>
      <c r="D2115" s="89" t="s">
        <v>369</v>
      </c>
      <c r="E2115" s="89"/>
      <c r="F2115" s="89"/>
      <c r="G2115" s="89"/>
      <c r="H2115" s="89"/>
      <c r="I2115" s="89"/>
      <c r="J2115" s="212"/>
      <c r="K2115" s="212"/>
      <c r="L2115" s="212"/>
      <c r="M2115" s="212"/>
      <c r="N2115" s="212">
        <f t="shared" si="50"/>
        <v>0</v>
      </c>
    </row>
    <row r="2116" spans="1:14" s="407" customFormat="1" ht="12.75" x14ac:dyDescent="0.2">
      <c r="A2116" s="152"/>
      <c r="B2116" s="73"/>
      <c r="C2116" s="51" t="s">
        <v>1008</v>
      </c>
      <c r="D2116" s="89" t="s">
        <v>369</v>
      </c>
      <c r="E2116" s="89"/>
      <c r="F2116" s="89"/>
      <c r="G2116" s="89"/>
      <c r="H2116" s="89"/>
      <c r="I2116" s="89"/>
      <c r="J2116" s="212"/>
      <c r="K2116" s="212"/>
      <c r="L2116" s="212"/>
      <c r="M2116" s="212"/>
      <c r="N2116" s="212">
        <f t="shared" si="50"/>
        <v>0</v>
      </c>
    </row>
    <row r="2117" spans="1:14" s="407" customFormat="1" ht="12.75" x14ac:dyDescent="0.2">
      <c r="A2117" s="152"/>
      <c r="B2117" s="73"/>
      <c r="C2117" s="51" t="s">
        <v>1006</v>
      </c>
      <c r="D2117" s="89" t="s">
        <v>369</v>
      </c>
      <c r="E2117" s="89"/>
      <c r="F2117" s="89"/>
      <c r="G2117" s="89"/>
      <c r="H2117" s="89"/>
      <c r="I2117" s="89"/>
      <c r="J2117" s="212"/>
      <c r="K2117" s="212"/>
      <c r="L2117" s="212"/>
      <c r="M2117" s="212"/>
      <c r="N2117" s="212">
        <f t="shared" si="50"/>
        <v>0</v>
      </c>
    </row>
    <row r="2118" spans="1:14" s="407" customFormat="1" ht="12.75" x14ac:dyDescent="0.2">
      <c r="A2118" s="152"/>
      <c r="B2118" s="73"/>
      <c r="C2118" s="51" t="s">
        <v>1034</v>
      </c>
      <c r="D2118" s="89" t="s">
        <v>369</v>
      </c>
      <c r="E2118" s="89"/>
      <c r="F2118" s="89"/>
      <c r="G2118" s="89"/>
      <c r="H2118" s="89"/>
      <c r="I2118" s="89"/>
      <c r="J2118" s="212"/>
      <c r="K2118" s="212"/>
      <c r="L2118" s="212"/>
      <c r="M2118" s="212"/>
      <c r="N2118" s="212">
        <f t="shared" si="50"/>
        <v>0</v>
      </c>
    </row>
    <row r="2119" spans="1:14" s="407" customFormat="1" ht="12.75" x14ac:dyDescent="0.2">
      <c r="A2119" s="152"/>
      <c r="B2119" s="73"/>
      <c r="C2119" s="51" t="s">
        <v>1035</v>
      </c>
      <c r="D2119" s="89" t="s">
        <v>369</v>
      </c>
      <c r="E2119" s="89"/>
      <c r="F2119" s="89"/>
      <c r="G2119" s="89"/>
      <c r="H2119" s="89"/>
      <c r="I2119" s="89"/>
      <c r="J2119" s="212"/>
      <c r="K2119" s="212"/>
      <c r="L2119" s="212"/>
      <c r="M2119" s="212"/>
      <c r="N2119" s="212">
        <f t="shared" si="50"/>
        <v>0</v>
      </c>
    </row>
    <row r="2120" spans="1:14" s="407" customFormat="1" ht="12.75" x14ac:dyDescent="0.2">
      <c r="A2120" s="152"/>
      <c r="B2120" s="73"/>
      <c r="C2120" s="51" t="s">
        <v>922</v>
      </c>
      <c r="D2120" s="89" t="s">
        <v>369</v>
      </c>
      <c r="E2120" s="89"/>
      <c r="F2120" s="89"/>
      <c r="G2120" s="89"/>
      <c r="H2120" s="89"/>
      <c r="I2120" s="89"/>
      <c r="J2120" s="212"/>
      <c r="K2120" s="212"/>
      <c r="L2120" s="212"/>
      <c r="M2120" s="212"/>
      <c r="N2120" s="212">
        <f t="shared" si="50"/>
        <v>0</v>
      </c>
    </row>
    <row r="2121" spans="1:14" s="407" customFormat="1" ht="12.75" x14ac:dyDescent="0.2">
      <c r="A2121" s="152"/>
      <c r="B2121" s="73"/>
      <c r="C2121" s="51" t="s">
        <v>942</v>
      </c>
      <c r="D2121" s="89" t="s">
        <v>369</v>
      </c>
      <c r="E2121" s="89"/>
      <c r="F2121" s="89"/>
      <c r="G2121" s="89"/>
      <c r="H2121" s="89"/>
      <c r="I2121" s="89"/>
      <c r="J2121" s="212"/>
      <c r="K2121" s="212"/>
      <c r="L2121" s="212"/>
      <c r="M2121" s="212"/>
      <c r="N2121" s="212">
        <f t="shared" si="50"/>
        <v>0</v>
      </c>
    </row>
    <row r="2122" spans="1:14" s="407" customFormat="1" ht="12.75" x14ac:dyDescent="0.2">
      <c r="A2122" s="152"/>
      <c r="B2122" s="73"/>
      <c r="C2122" s="51" t="s">
        <v>943</v>
      </c>
      <c r="D2122" s="89" t="s">
        <v>369</v>
      </c>
      <c r="E2122" s="89"/>
      <c r="F2122" s="89"/>
      <c r="G2122" s="89"/>
      <c r="H2122" s="89"/>
      <c r="I2122" s="89"/>
      <c r="J2122" s="212"/>
      <c r="K2122" s="212"/>
      <c r="L2122" s="212"/>
      <c r="M2122" s="212"/>
      <c r="N2122" s="212">
        <f t="shared" si="50"/>
        <v>0</v>
      </c>
    </row>
    <row r="2123" spans="1:14" s="407" customFormat="1" ht="12.75" x14ac:dyDescent="0.2">
      <c r="A2123" s="152"/>
      <c r="B2123" s="73"/>
      <c r="C2123" s="51" t="s">
        <v>938</v>
      </c>
      <c r="D2123" s="89" t="s">
        <v>369</v>
      </c>
      <c r="E2123" s="89"/>
      <c r="F2123" s="89"/>
      <c r="G2123" s="89"/>
      <c r="H2123" s="89"/>
      <c r="I2123" s="89"/>
      <c r="J2123" s="212"/>
      <c r="K2123" s="212"/>
      <c r="L2123" s="212"/>
      <c r="M2123" s="212"/>
      <c r="N2123" s="212">
        <f t="shared" si="50"/>
        <v>0</v>
      </c>
    </row>
    <row r="2124" spans="1:14" s="407" customFormat="1" ht="12.75" x14ac:dyDescent="0.2">
      <c r="A2124" s="152"/>
      <c r="B2124" s="73"/>
      <c r="C2124" s="51" t="s">
        <v>939</v>
      </c>
      <c r="D2124" s="89" t="s">
        <v>369</v>
      </c>
      <c r="E2124" s="89"/>
      <c r="F2124" s="89"/>
      <c r="G2124" s="89"/>
      <c r="H2124" s="89"/>
      <c r="I2124" s="89"/>
      <c r="J2124" s="212"/>
      <c r="K2124" s="212"/>
      <c r="L2124" s="212"/>
      <c r="M2124" s="212"/>
      <c r="N2124" s="212">
        <f t="shared" si="50"/>
        <v>0</v>
      </c>
    </row>
    <row r="2125" spans="1:14" s="407" customFormat="1" ht="12.75" x14ac:dyDescent="0.2">
      <c r="A2125" s="152"/>
      <c r="B2125" s="73"/>
      <c r="C2125" s="51" t="s">
        <v>934</v>
      </c>
      <c r="D2125" s="89" t="s">
        <v>369</v>
      </c>
      <c r="E2125" s="89"/>
      <c r="F2125" s="89"/>
      <c r="G2125" s="89"/>
      <c r="H2125" s="89"/>
      <c r="I2125" s="89"/>
      <c r="J2125" s="212"/>
      <c r="K2125" s="212"/>
      <c r="L2125" s="212"/>
      <c r="M2125" s="212"/>
      <c r="N2125" s="212">
        <f t="shared" ref="N2125:N2188" si="51">SUMIFS(N$26:N$154,$C$26:$C$154,$C2125,$D$26:$D$154,$D2125)</f>
        <v>0</v>
      </c>
    </row>
    <row r="2126" spans="1:14" s="407" customFormat="1" ht="12.75" x14ac:dyDescent="0.2">
      <c r="A2126" s="152"/>
      <c r="B2126" s="73"/>
      <c r="C2126" s="51" t="s">
        <v>935</v>
      </c>
      <c r="D2126" s="89" t="s">
        <v>369</v>
      </c>
      <c r="E2126" s="89"/>
      <c r="F2126" s="89"/>
      <c r="G2126" s="89"/>
      <c r="H2126" s="89"/>
      <c r="I2126" s="89"/>
      <c r="J2126" s="212"/>
      <c r="K2126" s="212"/>
      <c r="L2126" s="212"/>
      <c r="M2126" s="212"/>
      <c r="N2126" s="212">
        <f t="shared" si="51"/>
        <v>0</v>
      </c>
    </row>
    <row r="2127" spans="1:14" s="407" customFormat="1" ht="12.75" x14ac:dyDescent="0.2">
      <c r="A2127" s="152"/>
      <c r="B2127" s="73"/>
      <c r="C2127" s="51" t="s">
        <v>953</v>
      </c>
      <c r="D2127" s="89" t="s">
        <v>369</v>
      </c>
      <c r="E2127" s="89"/>
      <c r="F2127" s="89"/>
      <c r="G2127" s="89"/>
      <c r="H2127" s="89"/>
      <c r="I2127" s="89"/>
      <c r="J2127" s="212"/>
      <c r="K2127" s="212"/>
      <c r="L2127" s="212"/>
      <c r="M2127" s="212"/>
      <c r="N2127" s="212">
        <f t="shared" si="51"/>
        <v>0</v>
      </c>
    </row>
    <row r="2128" spans="1:14" s="407" customFormat="1" ht="12.75" x14ac:dyDescent="0.2">
      <c r="A2128" s="152"/>
      <c r="B2128" s="73"/>
      <c r="C2128" s="51" t="s">
        <v>924</v>
      </c>
      <c r="D2128" s="89" t="s">
        <v>369</v>
      </c>
      <c r="E2128" s="89"/>
      <c r="F2128" s="89"/>
      <c r="G2128" s="89"/>
      <c r="H2128" s="89"/>
      <c r="I2128" s="89"/>
      <c r="J2128" s="212"/>
      <c r="K2128" s="212"/>
      <c r="L2128" s="212"/>
      <c r="M2128" s="212"/>
      <c r="N2128" s="212">
        <f t="shared" si="51"/>
        <v>0</v>
      </c>
    </row>
    <row r="2129" spans="1:14" s="407" customFormat="1" ht="12.75" x14ac:dyDescent="0.2">
      <c r="A2129" s="152"/>
      <c r="B2129" s="73"/>
      <c r="C2129" s="51" t="s">
        <v>927</v>
      </c>
      <c r="D2129" s="89" t="s">
        <v>369</v>
      </c>
      <c r="E2129" s="89"/>
      <c r="F2129" s="89"/>
      <c r="G2129" s="89"/>
      <c r="H2129" s="89"/>
      <c r="I2129" s="89"/>
      <c r="J2129" s="212"/>
      <c r="K2129" s="212"/>
      <c r="L2129" s="212"/>
      <c r="M2129" s="212"/>
      <c r="N2129" s="212">
        <f t="shared" si="51"/>
        <v>0</v>
      </c>
    </row>
    <row r="2130" spans="1:14" s="407" customFormat="1" ht="12.75" x14ac:dyDescent="0.2">
      <c r="A2130" s="152"/>
      <c r="B2130" s="73"/>
      <c r="C2130" s="51" t="s">
        <v>951</v>
      </c>
      <c r="D2130" s="89" t="s">
        <v>369</v>
      </c>
      <c r="E2130" s="89"/>
      <c r="F2130" s="89"/>
      <c r="G2130" s="89"/>
      <c r="H2130" s="89"/>
      <c r="I2130" s="89"/>
      <c r="J2130" s="212"/>
      <c r="K2130" s="212"/>
      <c r="L2130" s="212"/>
      <c r="M2130" s="212"/>
      <c r="N2130" s="212">
        <f t="shared" si="51"/>
        <v>0</v>
      </c>
    </row>
    <row r="2131" spans="1:14" s="407" customFormat="1" ht="12.75" x14ac:dyDescent="0.2">
      <c r="A2131" s="152"/>
      <c r="B2131" s="73"/>
      <c r="C2131" s="51" t="s">
        <v>1055</v>
      </c>
      <c r="D2131" s="89" t="s">
        <v>369</v>
      </c>
      <c r="E2131" s="89"/>
      <c r="F2131" s="89"/>
      <c r="G2131" s="89"/>
      <c r="H2131" s="89"/>
      <c r="I2131" s="89"/>
      <c r="J2131" s="212"/>
      <c r="K2131" s="212"/>
      <c r="L2131" s="212"/>
      <c r="M2131" s="212"/>
      <c r="N2131" s="212">
        <f t="shared" si="51"/>
        <v>0</v>
      </c>
    </row>
    <row r="2132" spans="1:14" s="407" customFormat="1" ht="12.75" x14ac:dyDescent="0.2">
      <c r="A2132" s="152"/>
      <c r="B2132" s="73"/>
      <c r="C2132" s="51" t="s">
        <v>940</v>
      </c>
      <c r="D2132" s="89" t="s">
        <v>369</v>
      </c>
      <c r="E2132" s="89"/>
      <c r="F2132" s="89"/>
      <c r="G2132" s="89"/>
      <c r="H2132" s="89"/>
      <c r="I2132" s="89"/>
      <c r="J2132" s="212"/>
      <c r="K2132" s="212"/>
      <c r="L2132" s="212"/>
      <c r="M2132" s="212"/>
      <c r="N2132" s="212">
        <f t="shared" si="51"/>
        <v>0</v>
      </c>
    </row>
    <row r="2133" spans="1:14" s="407" customFormat="1" ht="12.75" x14ac:dyDescent="0.2">
      <c r="A2133" s="152"/>
      <c r="B2133" s="73"/>
      <c r="C2133" s="51" t="s">
        <v>941</v>
      </c>
      <c r="D2133" s="89" t="s">
        <v>369</v>
      </c>
      <c r="E2133" s="89"/>
      <c r="F2133" s="89"/>
      <c r="G2133" s="89"/>
      <c r="H2133" s="89"/>
      <c r="I2133" s="89"/>
      <c r="J2133" s="212"/>
      <c r="K2133" s="212"/>
      <c r="L2133" s="212"/>
      <c r="M2133" s="212"/>
      <c r="N2133" s="212">
        <f t="shared" si="51"/>
        <v>0</v>
      </c>
    </row>
    <row r="2134" spans="1:14" s="407" customFormat="1" ht="12.75" x14ac:dyDescent="0.2">
      <c r="A2134" s="152"/>
      <c r="B2134" s="73"/>
      <c r="C2134" s="51" t="s">
        <v>936</v>
      </c>
      <c r="D2134" s="89" t="s">
        <v>369</v>
      </c>
      <c r="E2134" s="89"/>
      <c r="F2134" s="89"/>
      <c r="G2134" s="89"/>
      <c r="H2134" s="89"/>
      <c r="I2134" s="89"/>
      <c r="J2134" s="212"/>
      <c r="K2134" s="212"/>
      <c r="L2134" s="212"/>
      <c r="M2134" s="212"/>
      <c r="N2134" s="212">
        <f t="shared" si="51"/>
        <v>0</v>
      </c>
    </row>
    <row r="2135" spans="1:14" s="407" customFormat="1" ht="12.75" x14ac:dyDescent="0.2">
      <c r="A2135" s="152"/>
      <c r="B2135" s="73"/>
      <c r="C2135" s="51" t="s">
        <v>937</v>
      </c>
      <c r="D2135" s="89" t="s">
        <v>369</v>
      </c>
      <c r="E2135" s="89"/>
      <c r="F2135" s="89"/>
      <c r="G2135" s="89"/>
      <c r="H2135" s="89"/>
      <c r="I2135" s="89"/>
      <c r="J2135" s="212"/>
      <c r="K2135" s="212"/>
      <c r="L2135" s="212"/>
      <c r="M2135" s="212"/>
      <c r="N2135" s="212">
        <f t="shared" si="51"/>
        <v>0</v>
      </c>
    </row>
    <row r="2136" spans="1:14" s="407" customFormat="1" ht="12.75" x14ac:dyDescent="0.2">
      <c r="A2136" s="152"/>
      <c r="B2136" s="73"/>
      <c r="C2136" s="51" t="s">
        <v>932</v>
      </c>
      <c r="D2136" s="89" t="s">
        <v>369</v>
      </c>
      <c r="E2136" s="89"/>
      <c r="F2136" s="89"/>
      <c r="G2136" s="89"/>
      <c r="H2136" s="89"/>
      <c r="I2136" s="89"/>
      <c r="J2136" s="212"/>
      <c r="K2136" s="212"/>
      <c r="L2136" s="212"/>
      <c r="M2136" s="212"/>
      <c r="N2136" s="212">
        <f t="shared" si="51"/>
        <v>0</v>
      </c>
    </row>
    <row r="2137" spans="1:14" s="407" customFormat="1" ht="12.75" x14ac:dyDescent="0.2">
      <c r="A2137" s="152"/>
      <c r="B2137" s="73"/>
      <c r="C2137" s="51" t="s">
        <v>933</v>
      </c>
      <c r="D2137" s="89" t="s">
        <v>369</v>
      </c>
      <c r="E2137" s="89"/>
      <c r="F2137" s="89"/>
      <c r="G2137" s="89"/>
      <c r="H2137" s="89"/>
      <c r="I2137" s="89"/>
      <c r="J2137" s="212"/>
      <c r="K2137" s="212"/>
      <c r="L2137" s="212"/>
      <c r="M2137" s="212"/>
      <c r="N2137" s="212">
        <f t="shared" si="51"/>
        <v>0</v>
      </c>
    </row>
    <row r="2138" spans="1:14" s="407" customFormat="1" ht="12.75" x14ac:dyDescent="0.2">
      <c r="A2138" s="152"/>
      <c r="B2138" s="73"/>
      <c r="C2138" s="51" t="s">
        <v>952</v>
      </c>
      <c r="D2138" s="89" t="s">
        <v>369</v>
      </c>
      <c r="E2138" s="89"/>
      <c r="F2138" s="89"/>
      <c r="G2138" s="89"/>
      <c r="H2138" s="89"/>
      <c r="I2138" s="89"/>
      <c r="J2138" s="212"/>
      <c r="K2138" s="212"/>
      <c r="L2138" s="212"/>
      <c r="M2138" s="212"/>
      <c r="N2138" s="212">
        <f t="shared" si="51"/>
        <v>0</v>
      </c>
    </row>
    <row r="2139" spans="1:14" s="407" customFormat="1" ht="12.75" x14ac:dyDescent="0.2">
      <c r="A2139" s="152"/>
      <c r="B2139" s="73"/>
      <c r="C2139" s="51" t="s">
        <v>923</v>
      </c>
      <c r="D2139" s="89" t="s">
        <v>369</v>
      </c>
      <c r="E2139" s="89"/>
      <c r="F2139" s="89"/>
      <c r="G2139" s="89"/>
      <c r="H2139" s="89"/>
      <c r="I2139" s="89"/>
      <c r="J2139" s="212"/>
      <c r="K2139" s="212"/>
      <c r="L2139" s="212"/>
      <c r="M2139" s="212"/>
      <c r="N2139" s="212">
        <f t="shared" si="51"/>
        <v>0</v>
      </c>
    </row>
    <row r="2140" spans="1:14" s="407" customFormat="1" ht="12.75" x14ac:dyDescent="0.2">
      <c r="A2140" s="152"/>
      <c r="B2140" s="73"/>
      <c r="C2140" s="51" t="s">
        <v>925</v>
      </c>
      <c r="D2140" s="89" t="s">
        <v>369</v>
      </c>
      <c r="E2140" s="89"/>
      <c r="F2140" s="89"/>
      <c r="G2140" s="89"/>
      <c r="H2140" s="89"/>
      <c r="I2140" s="89"/>
      <c r="J2140" s="212"/>
      <c r="K2140" s="212"/>
      <c r="L2140" s="212"/>
      <c r="M2140" s="212"/>
      <c r="N2140" s="212">
        <f t="shared" si="51"/>
        <v>0</v>
      </c>
    </row>
    <row r="2141" spans="1:14" s="407" customFormat="1" ht="12.75" x14ac:dyDescent="0.2">
      <c r="A2141" s="152"/>
      <c r="B2141" s="73"/>
      <c r="C2141" s="51" t="s">
        <v>950</v>
      </c>
      <c r="D2141" s="89" t="s">
        <v>369</v>
      </c>
      <c r="E2141" s="89"/>
      <c r="F2141" s="89"/>
      <c r="G2141" s="89"/>
      <c r="H2141" s="89"/>
      <c r="I2141" s="89"/>
      <c r="J2141" s="212"/>
      <c r="K2141" s="212"/>
      <c r="L2141" s="212"/>
      <c r="M2141" s="212"/>
      <c r="N2141" s="212">
        <f t="shared" si="51"/>
        <v>0</v>
      </c>
    </row>
    <row r="2142" spans="1:14" s="407" customFormat="1" ht="12.75" x14ac:dyDescent="0.2">
      <c r="A2142" s="152"/>
      <c r="B2142" s="73"/>
      <c r="C2142" s="51" t="s">
        <v>1054</v>
      </c>
      <c r="D2142" s="89" t="s">
        <v>369</v>
      </c>
      <c r="E2142" s="89"/>
      <c r="F2142" s="89"/>
      <c r="G2142" s="89"/>
      <c r="H2142" s="89"/>
      <c r="I2142" s="89"/>
      <c r="J2142" s="212"/>
      <c r="K2142" s="212"/>
      <c r="L2142" s="212"/>
      <c r="M2142" s="212"/>
      <c r="N2142" s="212">
        <f t="shared" si="51"/>
        <v>0</v>
      </c>
    </row>
    <row r="2143" spans="1:14" s="407" customFormat="1" ht="12.75" x14ac:dyDescent="0.2">
      <c r="A2143" s="152"/>
      <c r="B2143" s="73"/>
      <c r="C2143" s="51" t="s">
        <v>921</v>
      </c>
      <c r="D2143" s="89" t="s">
        <v>369</v>
      </c>
      <c r="E2143" s="89"/>
      <c r="F2143" s="89"/>
      <c r="G2143" s="89"/>
      <c r="H2143" s="89"/>
      <c r="I2143" s="89"/>
      <c r="J2143" s="212"/>
      <c r="K2143" s="212"/>
      <c r="L2143" s="212"/>
      <c r="M2143" s="212"/>
      <c r="N2143" s="212">
        <f t="shared" si="51"/>
        <v>0</v>
      </c>
    </row>
    <row r="2144" spans="1:14" s="407" customFormat="1" ht="12.75" x14ac:dyDescent="0.2">
      <c r="A2144" s="152"/>
      <c r="B2144" s="73"/>
      <c r="C2144" s="51" t="s">
        <v>1022</v>
      </c>
      <c r="D2144" s="89" t="s">
        <v>369</v>
      </c>
      <c r="E2144" s="89"/>
      <c r="F2144" s="89"/>
      <c r="G2144" s="89"/>
      <c r="H2144" s="89"/>
      <c r="I2144" s="89"/>
      <c r="J2144" s="212"/>
      <c r="K2144" s="212"/>
      <c r="L2144" s="212"/>
      <c r="M2144" s="212"/>
      <c r="N2144" s="212">
        <f t="shared" si="51"/>
        <v>0</v>
      </c>
    </row>
    <row r="2145" spans="1:14" s="407" customFormat="1" ht="12.75" x14ac:dyDescent="0.2">
      <c r="A2145" s="152"/>
      <c r="B2145" s="73"/>
      <c r="C2145" s="51" t="s">
        <v>1023</v>
      </c>
      <c r="D2145" s="89" t="s">
        <v>369</v>
      </c>
      <c r="E2145" s="89"/>
      <c r="F2145" s="89"/>
      <c r="G2145" s="89"/>
      <c r="H2145" s="89"/>
      <c r="I2145" s="89"/>
      <c r="J2145" s="212"/>
      <c r="K2145" s="212"/>
      <c r="L2145" s="212"/>
      <c r="M2145" s="212"/>
      <c r="N2145" s="212">
        <f t="shared" si="51"/>
        <v>0</v>
      </c>
    </row>
    <row r="2146" spans="1:14" s="407" customFormat="1" ht="12.75" x14ac:dyDescent="0.2">
      <c r="A2146" s="152"/>
      <c r="B2146" s="73"/>
      <c r="C2146" s="51" t="s">
        <v>137</v>
      </c>
      <c r="D2146" s="89" t="s">
        <v>369</v>
      </c>
      <c r="E2146" s="89"/>
      <c r="F2146" s="89"/>
      <c r="G2146" s="89"/>
      <c r="H2146" s="89"/>
      <c r="I2146" s="89"/>
      <c r="J2146" s="212"/>
      <c r="K2146" s="212"/>
      <c r="L2146" s="212"/>
      <c r="M2146" s="212"/>
      <c r="N2146" s="212">
        <f t="shared" si="51"/>
        <v>0</v>
      </c>
    </row>
    <row r="2147" spans="1:14" s="407" customFormat="1" ht="12.75" x14ac:dyDescent="0.2">
      <c r="A2147" s="152"/>
      <c r="B2147" s="73"/>
      <c r="C2147" s="51" t="s">
        <v>956</v>
      </c>
      <c r="D2147" s="89" t="s">
        <v>369</v>
      </c>
      <c r="E2147" s="89"/>
      <c r="F2147" s="89"/>
      <c r="G2147" s="89"/>
      <c r="H2147" s="89"/>
      <c r="I2147" s="89"/>
      <c r="J2147" s="212"/>
      <c r="K2147" s="212"/>
      <c r="L2147" s="212"/>
      <c r="M2147" s="212"/>
      <c r="N2147" s="212">
        <f t="shared" si="51"/>
        <v>0</v>
      </c>
    </row>
    <row r="2148" spans="1:14" s="407" customFormat="1" ht="12.75" x14ac:dyDescent="0.2">
      <c r="A2148" s="152"/>
      <c r="B2148" s="73"/>
      <c r="C2148" s="51" t="s">
        <v>1045</v>
      </c>
      <c r="D2148" s="89" t="s">
        <v>369</v>
      </c>
      <c r="E2148" s="89"/>
      <c r="F2148" s="89"/>
      <c r="G2148" s="89"/>
      <c r="H2148" s="89"/>
      <c r="I2148" s="89"/>
      <c r="J2148" s="212"/>
      <c r="K2148" s="212"/>
      <c r="L2148" s="212"/>
      <c r="M2148" s="212"/>
      <c r="N2148" s="212">
        <f t="shared" si="51"/>
        <v>0</v>
      </c>
    </row>
    <row r="2149" spans="1:14" s="407" customFormat="1" ht="12.75" x14ac:dyDescent="0.2">
      <c r="A2149" s="152"/>
      <c r="B2149" s="73"/>
      <c r="C2149" s="51" t="s">
        <v>1046</v>
      </c>
      <c r="D2149" s="89" t="s">
        <v>369</v>
      </c>
      <c r="E2149" s="89"/>
      <c r="F2149" s="89"/>
      <c r="G2149" s="89"/>
      <c r="H2149" s="89"/>
      <c r="I2149" s="89"/>
      <c r="J2149" s="212"/>
      <c r="K2149" s="212"/>
      <c r="L2149" s="212"/>
      <c r="M2149" s="212"/>
      <c r="N2149" s="212">
        <f t="shared" si="51"/>
        <v>0</v>
      </c>
    </row>
    <row r="2150" spans="1:14" s="407" customFormat="1" ht="12.75" x14ac:dyDescent="0.2">
      <c r="A2150" s="152"/>
      <c r="B2150" s="73"/>
      <c r="C2150" s="51" t="s">
        <v>1036</v>
      </c>
      <c r="D2150" s="89" t="s">
        <v>369</v>
      </c>
      <c r="E2150" s="89"/>
      <c r="F2150" s="89"/>
      <c r="G2150" s="89"/>
      <c r="H2150" s="89"/>
      <c r="I2150" s="89"/>
      <c r="J2150" s="212"/>
      <c r="K2150" s="212"/>
      <c r="L2150" s="212"/>
      <c r="M2150" s="212"/>
      <c r="N2150" s="212">
        <f t="shared" si="51"/>
        <v>0</v>
      </c>
    </row>
    <row r="2151" spans="1:14" s="407" customFormat="1" ht="12.75" x14ac:dyDescent="0.2">
      <c r="A2151" s="152"/>
      <c r="B2151" s="73"/>
      <c r="C2151" s="51" t="s">
        <v>1037</v>
      </c>
      <c r="D2151" s="89" t="s">
        <v>369</v>
      </c>
      <c r="E2151" s="89"/>
      <c r="F2151" s="89"/>
      <c r="G2151" s="89"/>
      <c r="H2151" s="89"/>
      <c r="I2151" s="89"/>
      <c r="J2151" s="212"/>
      <c r="K2151" s="212"/>
      <c r="L2151" s="212"/>
      <c r="M2151" s="212"/>
      <c r="N2151" s="212">
        <f t="shared" si="51"/>
        <v>0</v>
      </c>
    </row>
    <row r="2152" spans="1:14" s="407" customFormat="1" ht="12.75" x14ac:dyDescent="0.2">
      <c r="A2152" s="152"/>
      <c r="B2152" s="73"/>
      <c r="C2152" s="51" t="s">
        <v>990</v>
      </c>
      <c r="D2152" s="89" t="s">
        <v>369</v>
      </c>
      <c r="E2152" s="89"/>
      <c r="F2152" s="89"/>
      <c r="G2152" s="89"/>
      <c r="H2152" s="89"/>
      <c r="I2152" s="89"/>
      <c r="J2152" s="212"/>
      <c r="K2152" s="212"/>
      <c r="L2152" s="212"/>
      <c r="M2152" s="212"/>
      <c r="N2152" s="212">
        <f t="shared" si="51"/>
        <v>0</v>
      </c>
    </row>
    <row r="2153" spans="1:14" s="407" customFormat="1" ht="12.75" x14ac:dyDescent="0.2">
      <c r="A2153" s="152"/>
      <c r="B2153" s="73"/>
      <c r="C2153" s="51" t="s">
        <v>1040</v>
      </c>
      <c r="D2153" s="89" t="s">
        <v>369</v>
      </c>
      <c r="E2153" s="89"/>
      <c r="F2153" s="89"/>
      <c r="G2153" s="89"/>
      <c r="H2153" s="89"/>
      <c r="I2153" s="89"/>
      <c r="J2153" s="212"/>
      <c r="K2153" s="212"/>
      <c r="L2153" s="212"/>
      <c r="M2153" s="212"/>
      <c r="N2153" s="212">
        <f t="shared" si="51"/>
        <v>0</v>
      </c>
    </row>
    <row r="2154" spans="1:14" s="407" customFormat="1" ht="12.75" x14ac:dyDescent="0.2">
      <c r="A2154" s="152"/>
      <c r="B2154" s="73"/>
      <c r="C2154" s="51" t="s">
        <v>991</v>
      </c>
      <c r="D2154" s="89" t="s">
        <v>369</v>
      </c>
      <c r="E2154" s="89"/>
      <c r="F2154" s="89"/>
      <c r="G2154" s="89"/>
      <c r="H2154" s="89"/>
      <c r="I2154" s="89"/>
      <c r="J2154" s="212"/>
      <c r="K2154" s="212"/>
      <c r="L2154" s="212"/>
      <c r="M2154" s="212"/>
      <c r="N2154" s="212">
        <f t="shared" si="51"/>
        <v>0</v>
      </c>
    </row>
    <row r="2155" spans="1:14" s="407" customFormat="1" ht="12.75" x14ac:dyDescent="0.2">
      <c r="A2155" s="152"/>
      <c r="B2155" s="73"/>
      <c r="C2155" s="51" t="s">
        <v>959</v>
      </c>
      <c r="D2155" s="89" t="s">
        <v>369</v>
      </c>
      <c r="E2155" s="89"/>
      <c r="F2155" s="89"/>
      <c r="G2155" s="89"/>
      <c r="H2155" s="89"/>
      <c r="I2155" s="89"/>
      <c r="J2155" s="212"/>
      <c r="K2155" s="212"/>
      <c r="L2155" s="212"/>
      <c r="M2155" s="212"/>
      <c r="N2155" s="212">
        <f t="shared" si="51"/>
        <v>0</v>
      </c>
    </row>
    <row r="2156" spans="1:14" s="407" customFormat="1" ht="12.75" x14ac:dyDescent="0.2">
      <c r="A2156" s="152"/>
      <c r="B2156" s="73"/>
      <c r="C2156" s="51" t="s">
        <v>964</v>
      </c>
      <c r="D2156" s="89" t="s">
        <v>369</v>
      </c>
      <c r="E2156" s="89"/>
      <c r="F2156" s="89"/>
      <c r="G2156" s="89"/>
      <c r="H2156" s="89"/>
      <c r="I2156" s="89"/>
      <c r="J2156" s="212"/>
      <c r="K2156" s="212"/>
      <c r="L2156" s="212"/>
      <c r="M2156" s="212"/>
      <c r="N2156" s="212">
        <f t="shared" si="51"/>
        <v>0</v>
      </c>
    </row>
    <row r="2157" spans="1:14" s="407" customFormat="1" ht="12.75" x14ac:dyDescent="0.2">
      <c r="A2157" s="152"/>
      <c r="B2157" s="73"/>
      <c r="C2157" s="51" t="s">
        <v>1003</v>
      </c>
      <c r="D2157" s="89" t="s">
        <v>369</v>
      </c>
      <c r="E2157" s="89"/>
      <c r="F2157" s="89"/>
      <c r="G2157" s="89"/>
      <c r="H2157" s="89"/>
      <c r="I2157" s="89"/>
      <c r="J2157" s="212"/>
      <c r="K2157" s="212"/>
      <c r="L2157" s="212"/>
      <c r="M2157" s="212"/>
      <c r="N2157" s="212">
        <f t="shared" si="51"/>
        <v>0</v>
      </c>
    </row>
    <row r="2158" spans="1:14" s="407" customFormat="1" ht="12.75" x14ac:dyDescent="0.2">
      <c r="A2158" s="152"/>
      <c r="B2158" s="73"/>
      <c r="C2158" s="51" t="s">
        <v>992</v>
      </c>
      <c r="D2158" s="89" t="s">
        <v>369</v>
      </c>
      <c r="E2158" s="89"/>
      <c r="F2158" s="89"/>
      <c r="G2158" s="89"/>
      <c r="H2158" s="89"/>
      <c r="I2158" s="89"/>
      <c r="J2158" s="212"/>
      <c r="K2158" s="212"/>
      <c r="L2158" s="212"/>
      <c r="M2158" s="212"/>
      <c r="N2158" s="212">
        <f t="shared" si="51"/>
        <v>0</v>
      </c>
    </row>
    <row r="2159" spans="1:14" s="407" customFormat="1" ht="12.75" x14ac:dyDescent="0.2">
      <c r="A2159" s="152"/>
      <c r="B2159" s="73"/>
      <c r="C2159" s="51" t="s">
        <v>994</v>
      </c>
      <c r="D2159" s="89" t="s">
        <v>369</v>
      </c>
      <c r="E2159" s="89"/>
      <c r="F2159" s="89"/>
      <c r="G2159" s="89"/>
      <c r="H2159" s="89"/>
      <c r="I2159" s="89"/>
      <c r="J2159" s="212"/>
      <c r="K2159" s="212"/>
      <c r="L2159" s="212"/>
      <c r="M2159" s="212"/>
      <c r="N2159" s="212">
        <f t="shared" si="51"/>
        <v>0</v>
      </c>
    </row>
    <row r="2160" spans="1:14" s="407" customFormat="1" ht="12.75" x14ac:dyDescent="0.2">
      <c r="A2160" s="152"/>
      <c r="B2160" s="73"/>
      <c r="C2160" s="51" t="s">
        <v>993</v>
      </c>
      <c r="D2160" s="89" t="s">
        <v>369</v>
      </c>
      <c r="E2160" s="89"/>
      <c r="F2160" s="89"/>
      <c r="G2160" s="89"/>
      <c r="H2160" s="89"/>
      <c r="I2160" s="89"/>
      <c r="J2160" s="212"/>
      <c r="K2160" s="212"/>
      <c r="L2160" s="212"/>
      <c r="M2160" s="212"/>
      <c r="N2160" s="212">
        <f t="shared" si="51"/>
        <v>0</v>
      </c>
    </row>
    <row r="2161" spans="1:14" s="407" customFormat="1" ht="12.75" x14ac:dyDescent="0.2">
      <c r="A2161" s="152"/>
      <c r="B2161" s="73"/>
      <c r="C2161" s="51" t="s">
        <v>995</v>
      </c>
      <c r="D2161" s="89" t="s">
        <v>369</v>
      </c>
      <c r="E2161" s="89"/>
      <c r="F2161" s="89"/>
      <c r="G2161" s="89"/>
      <c r="H2161" s="89"/>
      <c r="I2161" s="89"/>
      <c r="J2161" s="212"/>
      <c r="K2161" s="212"/>
      <c r="L2161" s="212"/>
      <c r="M2161" s="212"/>
      <c r="N2161" s="212">
        <f t="shared" si="51"/>
        <v>0</v>
      </c>
    </row>
    <row r="2162" spans="1:14" s="407" customFormat="1" ht="12.75" x14ac:dyDescent="0.2">
      <c r="A2162" s="152"/>
      <c r="B2162" s="73"/>
      <c r="C2162" s="51" t="s">
        <v>1001</v>
      </c>
      <c r="D2162" s="89" t="s">
        <v>369</v>
      </c>
      <c r="E2162" s="89"/>
      <c r="F2162" s="89"/>
      <c r="G2162" s="89"/>
      <c r="H2162" s="89"/>
      <c r="I2162" s="89"/>
      <c r="J2162" s="212"/>
      <c r="K2162" s="212"/>
      <c r="L2162" s="212"/>
      <c r="M2162" s="212"/>
      <c r="N2162" s="212">
        <f t="shared" si="51"/>
        <v>0</v>
      </c>
    </row>
    <row r="2163" spans="1:14" s="407" customFormat="1" ht="12.75" x14ac:dyDescent="0.2">
      <c r="A2163" s="152"/>
      <c r="B2163" s="73"/>
      <c r="C2163" s="51" t="s">
        <v>978</v>
      </c>
      <c r="D2163" s="89" t="s">
        <v>369</v>
      </c>
      <c r="E2163" s="89"/>
      <c r="F2163" s="89"/>
      <c r="G2163" s="89"/>
      <c r="H2163" s="89"/>
      <c r="I2163" s="89"/>
      <c r="J2163" s="212"/>
      <c r="K2163" s="212"/>
      <c r="L2163" s="212"/>
      <c r="M2163" s="212"/>
      <c r="N2163" s="212">
        <f t="shared" si="51"/>
        <v>0</v>
      </c>
    </row>
    <row r="2164" spans="1:14" s="407" customFormat="1" ht="12.75" x14ac:dyDescent="0.2">
      <c r="A2164" s="152"/>
      <c r="B2164" s="73"/>
      <c r="C2164" s="51" t="s">
        <v>494</v>
      </c>
      <c r="D2164" s="89" t="s">
        <v>369</v>
      </c>
      <c r="E2164" s="89"/>
      <c r="F2164" s="89"/>
      <c r="G2164" s="89"/>
      <c r="H2164" s="89"/>
      <c r="I2164" s="89"/>
      <c r="J2164" s="212"/>
      <c r="K2164" s="212"/>
      <c r="L2164" s="212"/>
      <c r="M2164" s="212"/>
      <c r="N2164" s="212">
        <f t="shared" si="51"/>
        <v>0</v>
      </c>
    </row>
    <row r="2165" spans="1:14" s="407" customFormat="1" ht="12.75" x14ac:dyDescent="0.2">
      <c r="A2165" s="152"/>
      <c r="B2165" s="73"/>
      <c r="C2165" s="51" t="s">
        <v>976</v>
      </c>
      <c r="D2165" s="89" t="s">
        <v>369</v>
      </c>
      <c r="E2165" s="89"/>
      <c r="F2165" s="89"/>
      <c r="G2165" s="89"/>
      <c r="H2165" s="89"/>
      <c r="I2165" s="89"/>
      <c r="J2165" s="212"/>
      <c r="K2165" s="212"/>
      <c r="L2165" s="212"/>
      <c r="M2165" s="212"/>
      <c r="N2165" s="212">
        <f t="shared" si="51"/>
        <v>0</v>
      </c>
    </row>
    <row r="2166" spans="1:14" s="407" customFormat="1" ht="12.75" x14ac:dyDescent="0.2">
      <c r="A2166" s="152"/>
      <c r="B2166" s="73"/>
      <c r="C2166" s="51" t="s">
        <v>1002</v>
      </c>
      <c r="D2166" s="89" t="s">
        <v>369</v>
      </c>
      <c r="E2166" s="89"/>
      <c r="F2166" s="89"/>
      <c r="G2166" s="89"/>
      <c r="H2166" s="89"/>
      <c r="I2166" s="89"/>
      <c r="J2166" s="212"/>
      <c r="K2166" s="212"/>
      <c r="L2166" s="212"/>
      <c r="M2166" s="212"/>
      <c r="N2166" s="212">
        <f t="shared" si="51"/>
        <v>0</v>
      </c>
    </row>
    <row r="2167" spans="1:14" s="407" customFormat="1" ht="12.75" x14ac:dyDescent="0.2">
      <c r="A2167" s="152"/>
      <c r="B2167" s="73"/>
      <c r="C2167" s="51" t="s">
        <v>1014</v>
      </c>
      <c r="D2167" s="89" t="s">
        <v>369</v>
      </c>
      <c r="E2167" s="89"/>
      <c r="F2167" s="89"/>
      <c r="G2167" s="89"/>
      <c r="H2167" s="89"/>
      <c r="I2167" s="89"/>
      <c r="J2167" s="212"/>
      <c r="K2167" s="212"/>
      <c r="L2167" s="212"/>
      <c r="M2167" s="212"/>
      <c r="N2167" s="212">
        <f t="shared" si="51"/>
        <v>0</v>
      </c>
    </row>
    <row r="2168" spans="1:14" s="407" customFormat="1" ht="12.75" x14ac:dyDescent="0.2">
      <c r="A2168" s="152"/>
      <c r="B2168" s="73"/>
      <c r="C2168" s="51" t="s">
        <v>998</v>
      </c>
      <c r="D2168" s="89" t="s">
        <v>369</v>
      </c>
      <c r="E2168" s="89"/>
      <c r="F2168" s="89"/>
      <c r="G2168" s="89"/>
      <c r="H2168" s="89"/>
      <c r="I2168" s="89"/>
      <c r="J2168" s="212"/>
      <c r="K2168" s="212"/>
      <c r="L2168" s="212"/>
      <c r="M2168" s="212"/>
      <c r="N2168" s="212">
        <f t="shared" si="51"/>
        <v>0</v>
      </c>
    </row>
    <row r="2169" spans="1:14" s="407" customFormat="1" ht="12.75" x14ac:dyDescent="0.2">
      <c r="A2169" s="152"/>
      <c r="B2169" s="73"/>
      <c r="C2169" s="51" t="s">
        <v>996</v>
      </c>
      <c r="D2169" s="89" t="s">
        <v>369</v>
      </c>
      <c r="E2169" s="89"/>
      <c r="F2169" s="89"/>
      <c r="G2169" s="89"/>
      <c r="H2169" s="89"/>
      <c r="I2169" s="89"/>
      <c r="J2169" s="212"/>
      <c r="K2169" s="212"/>
      <c r="L2169" s="212"/>
      <c r="M2169" s="212"/>
      <c r="N2169" s="212">
        <f t="shared" si="51"/>
        <v>0</v>
      </c>
    </row>
    <row r="2170" spans="1:14" s="407" customFormat="1" ht="12.75" x14ac:dyDescent="0.2">
      <c r="A2170" s="152"/>
      <c r="B2170" s="73"/>
      <c r="C2170" s="51" t="s">
        <v>1043</v>
      </c>
      <c r="D2170" s="89" t="s">
        <v>369</v>
      </c>
      <c r="E2170" s="89"/>
      <c r="F2170" s="89"/>
      <c r="G2170" s="89"/>
      <c r="H2170" s="89"/>
      <c r="I2170" s="89"/>
      <c r="J2170" s="212"/>
      <c r="K2170" s="212"/>
      <c r="L2170" s="212"/>
      <c r="M2170" s="212"/>
      <c r="N2170" s="212">
        <f t="shared" si="51"/>
        <v>0</v>
      </c>
    </row>
    <row r="2171" spans="1:14" s="407" customFormat="1" ht="12.75" x14ac:dyDescent="0.2">
      <c r="A2171" s="152"/>
      <c r="B2171" s="73"/>
      <c r="C2171" s="51" t="s">
        <v>1044</v>
      </c>
      <c r="D2171" s="89" t="s">
        <v>369</v>
      </c>
      <c r="E2171" s="89"/>
      <c r="F2171" s="89"/>
      <c r="G2171" s="89"/>
      <c r="H2171" s="89"/>
      <c r="I2171" s="89"/>
      <c r="J2171" s="212"/>
      <c r="K2171" s="212"/>
      <c r="L2171" s="212"/>
      <c r="M2171" s="212"/>
      <c r="N2171" s="212">
        <f t="shared" si="51"/>
        <v>0</v>
      </c>
    </row>
    <row r="2172" spans="1:14" s="407" customFormat="1" ht="12.75" x14ac:dyDescent="0.2">
      <c r="A2172" s="152"/>
      <c r="B2172" s="73"/>
      <c r="C2172" s="51" t="s">
        <v>1039</v>
      </c>
      <c r="D2172" s="89" t="s">
        <v>369</v>
      </c>
      <c r="E2172" s="89"/>
      <c r="F2172" s="89"/>
      <c r="G2172" s="89"/>
      <c r="H2172" s="89"/>
      <c r="I2172" s="89"/>
      <c r="J2172" s="212"/>
      <c r="K2172" s="212"/>
      <c r="L2172" s="212"/>
      <c r="M2172" s="212"/>
      <c r="N2172" s="212">
        <f t="shared" si="51"/>
        <v>0</v>
      </c>
    </row>
    <row r="2173" spans="1:14" s="407" customFormat="1" ht="12.75" x14ac:dyDescent="0.2">
      <c r="A2173" s="152"/>
      <c r="B2173" s="73"/>
      <c r="C2173" s="51" t="s">
        <v>1028</v>
      </c>
      <c r="D2173" s="89" t="s">
        <v>369</v>
      </c>
      <c r="E2173" s="89"/>
      <c r="F2173" s="89"/>
      <c r="G2173" s="89"/>
      <c r="H2173" s="89"/>
      <c r="I2173" s="89"/>
      <c r="J2173" s="212"/>
      <c r="K2173" s="212"/>
      <c r="L2173" s="212"/>
      <c r="M2173" s="212"/>
      <c r="N2173" s="212">
        <f t="shared" si="51"/>
        <v>0</v>
      </c>
    </row>
    <row r="2174" spans="1:14" s="407" customFormat="1" ht="12.75" x14ac:dyDescent="0.2">
      <c r="A2174" s="152"/>
      <c r="B2174" s="73"/>
      <c r="C2174" s="51" t="s">
        <v>1029</v>
      </c>
      <c r="D2174" s="89" t="s">
        <v>369</v>
      </c>
      <c r="E2174" s="89"/>
      <c r="F2174" s="89"/>
      <c r="G2174" s="89"/>
      <c r="H2174" s="89"/>
      <c r="I2174" s="89"/>
      <c r="J2174" s="212"/>
      <c r="K2174" s="212"/>
      <c r="L2174" s="212"/>
      <c r="M2174" s="212"/>
      <c r="N2174" s="212">
        <f t="shared" si="51"/>
        <v>0</v>
      </c>
    </row>
    <row r="2175" spans="1:14" s="407" customFormat="1" ht="12.75" x14ac:dyDescent="0.2">
      <c r="A2175" s="152"/>
      <c r="B2175" s="73"/>
      <c r="C2175" s="51" t="s">
        <v>113</v>
      </c>
      <c r="D2175" s="89" t="s">
        <v>369</v>
      </c>
      <c r="E2175" s="89"/>
      <c r="F2175" s="89"/>
      <c r="G2175" s="89"/>
      <c r="H2175" s="89"/>
      <c r="I2175" s="89"/>
      <c r="J2175" s="212"/>
      <c r="K2175" s="212"/>
      <c r="L2175" s="212"/>
      <c r="M2175" s="212"/>
      <c r="N2175" s="212">
        <f t="shared" si="51"/>
        <v>0</v>
      </c>
    </row>
    <row r="2176" spans="1:14" s="407" customFormat="1" ht="12.75" x14ac:dyDescent="0.2">
      <c r="A2176" s="152"/>
      <c r="B2176" s="73"/>
      <c r="C2176" s="51" t="s">
        <v>1038</v>
      </c>
      <c r="D2176" s="89" t="s">
        <v>369</v>
      </c>
      <c r="E2176" s="89"/>
      <c r="F2176" s="89"/>
      <c r="G2176" s="89"/>
      <c r="H2176" s="89"/>
      <c r="I2176" s="89"/>
      <c r="J2176" s="212"/>
      <c r="K2176" s="212"/>
      <c r="L2176" s="212"/>
      <c r="M2176" s="212"/>
      <c r="N2176" s="212">
        <f t="shared" si="51"/>
        <v>0</v>
      </c>
    </row>
    <row r="2177" spans="1:14" s="407" customFormat="1" ht="12.75" x14ac:dyDescent="0.2">
      <c r="A2177" s="152"/>
      <c r="B2177" s="73"/>
      <c r="C2177" s="51" t="s">
        <v>1033</v>
      </c>
      <c r="D2177" s="89" t="s">
        <v>369</v>
      </c>
      <c r="E2177" s="89"/>
      <c r="F2177" s="89"/>
      <c r="G2177" s="89"/>
      <c r="H2177" s="89"/>
      <c r="I2177" s="89"/>
      <c r="J2177" s="212"/>
      <c r="K2177" s="212"/>
      <c r="L2177" s="212"/>
      <c r="M2177" s="212"/>
      <c r="N2177" s="212">
        <f t="shared" si="51"/>
        <v>0</v>
      </c>
    </row>
    <row r="2178" spans="1:14" s="407" customFormat="1" ht="12.75" x14ac:dyDescent="0.2">
      <c r="A2178" s="152"/>
      <c r="B2178" s="73"/>
      <c r="C2178" s="51" t="s">
        <v>1007</v>
      </c>
      <c r="D2178" s="89" t="s">
        <v>369</v>
      </c>
      <c r="E2178" s="89"/>
      <c r="F2178" s="89"/>
      <c r="G2178" s="89"/>
      <c r="H2178" s="89"/>
      <c r="I2178" s="89"/>
      <c r="J2178" s="212"/>
      <c r="K2178" s="212"/>
      <c r="L2178" s="212"/>
      <c r="M2178" s="212"/>
      <c r="N2178" s="212">
        <f t="shared" si="51"/>
        <v>0</v>
      </c>
    </row>
    <row r="2179" spans="1:14" s="407" customFormat="1" ht="12.75" x14ac:dyDescent="0.2">
      <c r="A2179" s="152"/>
      <c r="B2179" s="73"/>
      <c r="C2179" s="51" t="s">
        <v>969</v>
      </c>
      <c r="D2179" s="89" t="s">
        <v>369</v>
      </c>
      <c r="E2179" s="89"/>
      <c r="F2179" s="89"/>
      <c r="G2179" s="89"/>
      <c r="H2179" s="89"/>
      <c r="I2179" s="89"/>
      <c r="J2179" s="212"/>
      <c r="K2179" s="212"/>
      <c r="L2179" s="212"/>
      <c r="M2179" s="212"/>
      <c r="N2179" s="212">
        <f t="shared" si="51"/>
        <v>0</v>
      </c>
    </row>
    <row r="2180" spans="1:14" s="407" customFormat="1" ht="12.75" x14ac:dyDescent="0.2">
      <c r="A2180" s="152"/>
      <c r="B2180" s="73"/>
      <c r="C2180" s="51" t="s">
        <v>987</v>
      </c>
      <c r="D2180" s="89" t="s">
        <v>369</v>
      </c>
      <c r="E2180" s="89"/>
      <c r="F2180" s="89"/>
      <c r="G2180" s="89"/>
      <c r="H2180" s="89"/>
      <c r="I2180" s="89"/>
      <c r="J2180" s="212"/>
      <c r="K2180" s="212"/>
      <c r="L2180" s="212"/>
      <c r="M2180" s="212"/>
      <c r="N2180" s="212">
        <f t="shared" si="51"/>
        <v>0</v>
      </c>
    </row>
    <row r="2181" spans="1:14" s="407" customFormat="1" ht="12.75" x14ac:dyDescent="0.2">
      <c r="A2181" s="152"/>
      <c r="B2181" s="73"/>
      <c r="C2181" s="51" t="s">
        <v>1000</v>
      </c>
      <c r="D2181" s="89" t="s">
        <v>369</v>
      </c>
      <c r="E2181" s="89"/>
      <c r="F2181" s="89"/>
      <c r="G2181" s="89"/>
      <c r="H2181" s="89"/>
      <c r="I2181" s="89"/>
      <c r="J2181" s="212"/>
      <c r="K2181" s="212"/>
      <c r="L2181" s="212"/>
      <c r="M2181" s="212"/>
      <c r="N2181" s="212">
        <f t="shared" si="51"/>
        <v>0</v>
      </c>
    </row>
    <row r="2182" spans="1:14" s="407" customFormat="1" ht="12.75" x14ac:dyDescent="0.2">
      <c r="A2182" s="152"/>
      <c r="B2182" s="73"/>
      <c r="C2182" s="51" t="s">
        <v>116</v>
      </c>
      <c r="D2182" s="89" t="s">
        <v>369</v>
      </c>
      <c r="E2182" s="89"/>
      <c r="F2182" s="89"/>
      <c r="G2182" s="89"/>
      <c r="H2182" s="89"/>
      <c r="I2182" s="89"/>
      <c r="J2182" s="212"/>
      <c r="K2182" s="212"/>
      <c r="L2182" s="212"/>
      <c r="M2182" s="212"/>
      <c r="N2182" s="212">
        <f t="shared" si="51"/>
        <v>0</v>
      </c>
    </row>
    <row r="2183" spans="1:14" s="407" customFormat="1" ht="12.75" x14ac:dyDescent="0.2">
      <c r="A2183" s="152"/>
      <c r="B2183" s="73"/>
      <c r="C2183" s="51" t="s">
        <v>114</v>
      </c>
      <c r="D2183" s="89" t="s">
        <v>369</v>
      </c>
      <c r="E2183" s="89"/>
      <c r="F2183" s="89"/>
      <c r="G2183" s="89"/>
      <c r="H2183" s="89"/>
      <c r="I2183" s="89"/>
      <c r="J2183" s="212"/>
      <c r="K2183" s="212"/>
      <c r="L2183" s="212"/>
      <c r="M2183" s="212"/>
      <c r="N2183" s="212">
        <f t="shared" si="51"/>
        <v>0</v>
      </c>
    </row>
    <row r="2184" spans="1:14" s="407" customFormat="1" ht="12.75" x14ac:dyDescent="0.2">
      <c r="A2184" s="152"/>
      <c r="B2184" s="73"/>
      <c r="C2184" s="51" t="s">
        <v>111</v>
      </c>
      <c r="D2184" s="89" t="s">
        <v>369</v>
      </c>
      <c r="E2184" s="89"/>
      <c r="F2184" s="89"/>
      <c r="G2184" s="89"/>
      <c r="H2184" s="89"/>
      <c r="I2184" s="89"/>
      <c r="J2184" s="212"/>
      <c r="K2184" s="212"/>
      <c r="L2184" s="212"/>
      <c r="M2184" s="212"/>
      <c r="N2184" s="212">
        <f t="shared" si="51"/>
        <v>0</v>
      </c>
    </row>
    <row r="2185" spans="1:14" s="407" customFormat="1" ht="12.75" x14ac:dyDescent="0.2">
      <c r="A2185" s="152"/>
      <c r="B2185" s="73"/>
      <c r="C2185" s="51" t="s">
        <v>117</v>
      </c>
      <c r="D2185" s="89" t="s">
        <v>369</v>
      </c>
      <c r="E2185" s="89"/>
      <c r="F2185" s="89"/>
      <c r="G2185" s="89"/>
      <c r="H2185" s="89"/>
      <c r="I2185" s="89"/>
      <c r="J2185" s="212"/>
      <c r="K2185" s="212"/>
      <c r="L2185" s="212"/>
      <c r="M2185" s="212"/>
      <c r="N2185" s="212">
        <f t="shared" si="51"/>
        <v>0</v>
      </c>
    </row>
    <row r="2186" spans="1:14" s="407" customFormat="1" ht="12.75" x14ac:dyDescent="0.2">
      <c r="A2186" s="152"/>
      <c r="B2186" s="73"/>
      <c r="C2186" s="51" t="s">
        <v>112</v>
      </c>
      <c r="D2186" s="89" t="s">
        <v>369</v>
      </c>
      <c r="E2186" s="89"/>
      <c r="F2186" s="89"/>
      <c r="G2186" s="89"/>
      <c r="H2186" s="89"/>
      <c r="I2186" s="89"/>
      <c r="J2186" s="212"/>
      <c r="K2186" s="212"/>
      <c r="L2186" s="212"/>
      <c r="M2186" s="212"/>
      <c r="N2186" s="212">
        <f t="shared" si="51"/>
        <v>0</v>
      </c>
    </row>
    <row r="2187" spans="1:14" s="407" customFormat="1" ht="12.75" x14ac:dyDescent="0.2">
      <c r="A2187" s="152"/>
      <c r="B2187" s="73"/>
      <c r="C2187" s="51" t="s">
        <v>136</v>
      </c>
      <c r="D2187" s="89" t="s">
        <v>369</v>
      </c>
      <c r="E2187" s="89"/>
      <c r="F2187" s="89"/>
      <c r="G2187" s="89"/>
      <c r="H2187" s="89"/>
      <c r="I2187" s="89"/>
      <c r="J2187" s="212"/>
      <c r="K2187" s="212"/>
      <c r="L2187" s="212"/>
      <c r="M2187" s="212"/>
      <c r="N2187" s="212">
        <f t="shared" si="51"/>
        <v>0</v>
      </c>
    </row>
    <row r="2188" spans="1:14" s="407" customFormat="1" ht="12.75" x14ac:dyDescent="0.2">
      <c r="A2188" s="152"/>
      <c r="B2188" s="73"/>
      <c r="C2188" s="51" t="s">
        <v>962</v>
      </c>
      <c r="D2188" s="89" t="s">
        <v>369</v>
      </c>
      <c r="E2188" s="89"/>
      <c r="F2188" s="89"/>
      <c r="G2188" s="89"/>
      <c r="H2188" s="89"/>
      <c r="I2188" s="89"/>
      <c r="J2188" s="212"/>
      <c r="K2188" s="212"/>
      <c r="L2188" s="212"/>
      <c r="M2188" s="212"/>
      <c r="N2188" s="212">
        <f t="shared" si="51"/>
        <v>0</v>
      </c>
    </row>
    <row r="2189" spans="1:14" s="407" customFormat="1" ht="12.75" x14ac:dyDescent="0.2">
      <c r="A2189" s="152"/>
      <c r="B2189" s="73"/>
      <c r="C2189" s="51" t="s">
        <v>115</v>
      </c>
      <c r="D2189" s="89" t="s">
        <v>369</v>
      </c>
      <c r="E2189" s="89"/>
      <c r="F2189" s="89"/>
      <c r="G2189" s="89"/>
      <c r="H2189" s="89"/>
      <c r="I2189" s="89"/>
      <c r="J2189" s="212"/>
      <c r="K2189" s="212"/>
      <c r="L2189" s="212"/>
      <c r="M2189" s="212"/>
      <c r="N2189" s="212">
        <f t="shared" ref="N2189:N2252" si="52">SUMIFS(N$26:N$154,$C$26:$C$154,$C2189,$D$26:$D$154,$D2189)</f>
        <v>0</v>
      </c>
    </row>
    <row r="2190" spans="1:14" s="407" customFormat="1" ht="12.75" x14ac:dyDescent="0.2">
      <c r="A2190" s="152"/>
      <c r="B2190" s="73"/>
      <c r="C2190" s="51" t="s">
        <v>997</v>
      </c>
      <c r="D2190" s="89" t="s">
        <v>369</v>
      </c>
      <c r="E2190" s="89"/>
      <c r="F2190" s="89"/>
      <c r="G2190" s="89"/>
      <c r="H2190" s="89"/>
      <c r="I2190" s="89"/>
      <c r="J2190" s="212"/>
      <c r="K2190" s="212"/>
      <c r="L2190" s="212"/>
      <c r="M2190" s="212"/>
      <c r="N2190" s="212">
        <f t="shared" si="52"/>
        <v>0</v>
      </c>
    </row>
    <row r="2191" spans="1:14" s="407" customFormat="1" ht="12.75" x14ac:dyDescent="0.2">
      <c r="A2191" s="152"/>
      <c r="B2191" s="73"/>
      <c r="C2191" s="51" t="s">
        <v>999</v>
      </c>
      <c r="D2191" s="89" t="s">
        <v>369</v>
      </c>
      <c r="E2191" s="89"/>
      <c r="F2191" s="89"/>
      <c r="G2191" s="89"/>
      <c r="H2191" s="89"/>
      <c r="I2191" s="89"/>
      <c r="J2191" s="212"/>
      <c r="K2191" s="212"/>
      <c r="L2191" s="212"/>
      <c r="M2191" s="212"/>
      <c r="N2191" s="212">
        <f t="shared" si="52"/>
        <v>0</v>
      </c>
    </row>
    <row r="2192" spans="1:14" s="407" customFormat="1" ht="12.75" x14ac:dyDescent="0.2">
      <c r="A2192" s="152"/>
      <c r="B2192" s="73"/>
      <c r="C2192" s="51" t="s">
        <v>1049</v>
      </c>
      <c r="D2192" s="89" t="s">
        <v>369</v>
      </c>
      <c r="E2192" s="89"/>
      <c r="F2192" s="89"/>
      <c r="G2192" s="89"/>
      <c r="H2192" s="89"/>
      <c r="I2192" s="89"/>
      <c r="J2192" s="212"/>
      <c r="K2192" s="212"/>
      <c r="L2192" s="212"/>
      <c r="M2192" s="212"/>
      <c r="N2192" s="212">
        <f t="shared" si="52"/>
        <v>0</v>
      </c>
    </row>
    <row r="2193" spans="1:14" s="407" customFormat="1" ht="12.75" x14ac:dyDescent="0.2">
      <c r="A2193" s="152"/>
      <c r="B2193" s="73"/>
      <c r="C2193" s="51" t="s">
        <v>96</v>
      </c>
      <c r="D2193" s="89" t="s">
        <v>369</v>
      </c>
      <c r="E2193" s="89"/>
      <c r="F2193" s="89"/>
      <c r="G2193" s="89"/>
      <c r="H2193" s="89"/>
      <c r="I2193" s="89"/>
      <c r="J2193" s="212"/>
      <c r="K2193" s="212"/>
      <c r="L2193" s="212"/>
      <c r="M2193" s="212"/>
      <c r="N2193" s="212">
        <f t="shared" si="52"/>
        <v>0</v>
      </c>
    </row>
    <row r="2194" spans="1:14" s="407" customFormat="1" ht="12.75" x14ac:dyDescent="0.2">
      <c r="A2194" s="152"/>
      <c r="B2194" s="73"/>
      <c r="C2194" s="51" t="s">
        <v>983</v>
      </c>
      <c r="D2194" s="89" t="s">
        <v>369</v>
      </c>
      <c r="E2194" s="89"/>
      <c r="F2194" s="89"/>
      <c r="G2194" s="89"/>
      <c r="H2194" s="89"/>
      <c r="I2194" s="89"/>
      <c r="J2194" s="212"/>
      <c r="K2194" s="212"/>
      <c r="L2194" s="212"/>
      <c r="M2194" s="212"/>
      <c r="N2194" s="212">
        <f t="shared" si="52"/>
        <v>0</v>
      </c>
    </row>
    <row r="2195" spans="1:14" s="407" customFormat="1" ht="12.75" x14ac:dyDescent="0.2">
      <c r="A2195" s="152"/>
      <c r="B2195" s="73"/>
      <c r="C2195" s="51" t="s">
        <v>1042</v>
      </c>
      <c r="D2195" s="89" t="s">
        <v>369</v>
      </c>
      <c r="E2195" s="89"/>
      <c r="F2195" s="89"/>
      <c r="G2195" s="89"/>
      <c r="H2195" s="89"/>
      <c r="I2195" s="89"/>
      <c r="J2195" s="212"/>
      <c r="K2195" s="212"/>
      <c r="L2195" s="212"/>
      <c r="M2195" s="212"/>
      <c r="N2195" s="212">
        <f t="shared" si="52"/>
        <v>0</v>
      </c>
    </row>
    <row r="2196" spans="1:14" s="407" customFormat="1" ht="12.75" x14ac:dyDescent="0.2">
      <c r="A2196" s="152"/>
      <c r="B2196" s="73"/>
      <c r="C2196" s="51" t="s">
        <v>979</v>
      </c>
      <c r="D2196" s="89" t="s">
        <v>369</v>
      </c>
      <c r="E2196" s="89"/>
      <c r="F2196" s="89"/>
      <c r="G2196" s="89"/>
      <c r="H2196" s="89"/>
      <c r="I2196" s="89"/>
      <c r="J2196" s="212"/>
      <c r="K2196" s="212"/>
      <c r="L2196" s="212"/>
      <c r="M2196" s="212"/>
      <c r="N2196" s="212">
        <f t="shared" si="52"/>
        <v>0</v>
      </c>
    </row>
    <row r="2197" spans="1:14" s="407" customFormat="1" ht="12.75" x14ac:dyDescent="0.2">
      <c r="A2197" s="152"/>
      <c r="B2197" s="73"/>
      <c r="C2197" s="51" t="s">
        <v>47</v>
      </c>
      <c r="D2197" s="89" t="s">
        <v>369</v>
      </c>
      <c r="E2197" s="89"/>
      <c r="F2197" s="89"/>
      <c r="G2197" s="89"/>
      <c r="H2197" s="89"/>
      <c r="I2197" s="89"/>
      <c r="J2197" s="212"/>
      <c r="K2197" s="212"/>
      <c r="L2197" s="212"/>
      <c r="M2197" s="212"/>
      <c r="N2197" s="212">
        <f t="shared" si="52"/>
        <v>0</v>
      </c>
    </row>
    <row r="2198" spans="1:14" s="407" customFormat="1" ht="12.75" x14ac:dyDescent="0.2">
      <c r="A2198" s="152"/>
      <c r="B2198" s="73"/>
      <c r="C2198" s="51" t="s">
        <v>48</v>
      </c>
      <c r="D2198" s="89" t="s">
        <v>369</v>
      </c>
      <c r="E2198" s="89"/>
      <c r="F2198" s="89"/>
      <c r="G2198" s="89"/>
      <c r="H2198" s="89"/>
      <c r="I2198" s="89"/>
      <c r="J2198" s="212"/>
      <c r="K2198" s="212"/>
      <c r="L2198" s="212"/>
      <c r="M2198" s="212"/>
      <c r="N2198" s="212">
        <f t="shared" si="52"/>
        <v>0</v>
      </c>
    </row>
    <row r="2199" spans="1:14" s="407" customFormat="1" ht="12.75" x14ac:dyDescent="0.2">
      <c r="A2199" s="152"/>
      <c r="B2199" s="73"/>
      <c r="C2199" s="51" t="s">
        <v>1051</v>
      </c>
      <c r="D2199" s="89" t="s">
        <v>369</v>
      </c>
      <c r="E2199" s="89"/>
      <c r="F2199" s="89"/>
      <c r="G2199" s="89"/>
      <c r="H2199" s="89"/>
      <c r="I2199" s="89"/>
      <c r="J2199" s="212"/>
      <c r="K2199" s="212"/>
      <c r="L2199" s="212"/>
      <c r="M2199" s="212"/>
      <c r="N2199" s="212">
        <f t="shared" si="52"/>
        <v>0</v>
      </c>
    </row>
    <row r="2200" spans="1:14" s="407" customFormat="1" ht="12.75" x14ac:dyDescent="0.2">
      <c r="A2200" s="152"/>
      <c r="B2200" s="73"/>
      <c r="C2200" s="51" t="s">
        <v>929</v>
      </c>
      <c r="D2200" s="89" t="s">
        <v>369</v>
      </c>
      <c r="E2200" s="89"/>
      <c r="F2200" s="89"/>
      <c r="G2200" s="89"/>
      <c r="H2200" s="89"/>
      <c r="I2200" s="89"/>
      <c r="J2200" s="212"/>
      <c r="K2200" s="212"/>
      <c r="L2200" s="212"/>
      <c r="M2200" s="212"/>
      <c r="N2200" s="212">
        <f t="shared" si="52"/>
        <v>0</v>
      </c>
    </row>
    <row r="2201" spans="1:14" s="407" customFormat="1" ht="12.75" x14ac:dyDescent="0.2">
      <c r="A2201" s="152"/>
      <c r="B2201" s="73"/>
      <c r="C2201" s="51" t="s">
        <v>970</v>
      </c>
      <c r="D2201" s="89" t="s">
        <v>369</v>
      </c>
      <c r="E2201" s="89"/>
      <c r="F2201" s="89"/>
      <c r="G2201" s="89"/>
      <c r="H2201" s="89"/>
      <c r="I2201" s="89"/>
      <c r="J2201" s="212"/>
      <c r="K2201" s="212"/>
      <c r="L2201" s="212"/>
      <c r="M2201" s="212"/>
      <c r="N2201" s="212">
        <f t="shared" si="52"/>
        <v>0</v>
      </c>
    </row>
    <row r="2202" spans="1:14" s="407" customFormat="1" ht="12.75" x14ac:dyDescent="0.2">
      <c r="A2202" s="152"/>
      <c r="B2202" s="73"/>
      <c r="C2202" s="51" t="s">
        <v>122</v>
      </c>
      <c r="D2202" s="89" t="s">
        <v>369</v>
      </c>
      <c r="E2202" s="89"/>
      <c r="F2202" s="89"/>
      <c r="G2202" s="89"/>
      <c r="H2202" s="89"/>
      <c r="I2202" s="89"/>
      <c r="J2202" s="212"/>
      <c r="K2202" s="212"/>
      <c r="L2202" s="212"/>
      <c r="M2202" s="212"/>
      <c r="N2202" s="212">
        <f t="shared" si="52"/>
        <v>0</v>
      </c>
    </row>
    <row r="2203" spans="1:14" s="407" customFormat="1" ht="12.75" x14ac:dyDescent="0.2">
      <c r="A2203" s="152"/>
      <c r="B2203" s="73"/>
      <c r="C2203" s="51" t="s">
        <v>135</v>
      </c>
      <c r="D2203" s="89" t="s">
        <v>369</v>
      </c>
      <c r="E2203" s="89"/>
      <c r="F2203" s="89"/>
      <c r="G2203" s="89"/>
      <c r="H2203" s="89"/>
      <c r="I2203" s="89"/>
      <c r="J2203" s="212"/>
      <c r="K2203" s="212"/>
      <c r="L2203" s="212"/>
      <c r="M2203" s="212"/>
      <c r="N2203" s="212">
        <f t="shared" si="52"/>
        <v>0</v>
      </c>
    </row>
    <row r="2204" spans="1:14" s="407" customFormat="1" ht="12.75" x14ac:dyDescent="0.2">
      <c r="A2204" s="152"/>
      <c r="B2204" s="73"/>
      <c r="C2204" s="51" t="s">
        <v>123</v>
      </c>
      <c r="D2204" s="89" t="s">
        <v>369</v>
      </c>
      <c r="E2204" s="89"/>
      <c r="F2204" s="89"/>
      <c r="G2204" s="89"/>
      <c r="H2204" s="89"/>
      <c r="I2204" s="89"/>
      <c r="J2204" s="212"/>
      <c r="K2204" s="212"/>
      <c r="L2204" s="212"/>
      <c r="M2204" s="212"/>
      <c r="N2204" s="212">
        <f t="shared" si="52"/>
        <v>0</v>
      </c>
    </row>
    <row r="2205" spans="1:14" s="407" customFormat="1" ht="12.75" x14ac:dyDescent="0.2">
      <c r="A2205" s="152"/>
      <c r="B2205" s="73"/>
      <c r="C2205" s="51" t="s">
        <v>974</v>
      </c>
      <c r="D2205" s="89" t="s">
        <v>369</v>
      </c>
      <c r="E2205" s="89"/>
      <c r="F2205" s="89"/>
      <c r="G2205" s="89"/>
      <c r="H2205" s="89"/>
      <c r="I2205" s="89"/>
      <c r="J2205" s="212"/>
      <c r="K2205" s="212"/>
      <c r="L2205" s="212"/>
      <c r="M2205" s="212"/>
      <c r="N2205" s="212">
        <f t="shared" si="52"/>
        <v>0</v>
      </c>
    </row>
    <row r="2206" spans="1:14" s="407" customFormat="1" ht="12.75" x14ac:dyDescent="0.2">
      <c r="A2206" s="152"/>
      <c r="B2206" s="73"/>
      <c r="C2206" s="51" t="s">
        <v>975</v>
      </c>
      <c r="D2206" s="89" t="s">
        <v>369</v>
      </c>
      <c r="E2206" s="89"/>
      <c r="F2206" s="89"/>
      <c r="G2206" s="89"/>
      <c r="H2206" s="89"/>
      <c r="I2206" s="89"/>
      <c r="J2206" s="212"/>
      <c r="K2206" s="212"/>
      <c r="L2206" s="212"/>
      <c r="M2206" s="212"/>
      <c r="N2206" s="212">
        <f t="shared" si="52"/>
        <v>0</v>
      </c>
    </row>
    <row r="2207" spans="1:14" s="407" customFormat="1" ht="12.75" x14ac:dyDescent="0.2">
      <c r="A2207" s="152"/>
      <c r="B2207" s="73"/>
      <c r="C2207" s="51" t="s">
        <v>126</v>
      </c>
      <c r="D2207" s="89" t="s">
        <v>369</v>
      </c>
      <c r="E2207" s="89"/>
      <c r="F2207" s="89"/>
      <c r="G2207" s="89"/>
      <c r="H2207" s="89"/>
      <c r="I2207" s="89"/>
      <c r="J2207" s="212"/>
      <c r="K2207" s="212"/>
      <c r="L2207" s="212"/>
      <c r="M2207" s="212"/>
      <c r="N2207" s="212">
        <f t="shared" si="52"/>
        <v>0</v>
      </c>
    </row>
    <row r="2208" spans="1:14" s="407" customFormat="1" ht="12.75" x14ac:dyDescent="0.2">
      <c r="A2208" s="152"/>
      <c r="B2208" s="73"/>
      <c r="C2208" s="51" t="s">
        <v>127</v>
      </c>
      <c r="D2208" s="89" t="s">
        <v>369</v>
      </c>
      <c r="E2208" s="89"/>
      <c r="F2208" s="89"/>
      <c r="G2208" s="89"/>
      <c r="H2208" s="89"/>
      <c r="I2208" s="89"/>
      <c r="J2208" s="212"/>
      <c r="K2208" s="212"/>
      <c r="L2208" s="212"/>
      <c r="M2208" s="212"/>
      <c r="N2208" s="212">
        <f t="shared" si="52"/>
        <v>0</v>
      </c>
    </row>
    <row r="2209" spans="1:14" s="407" customFormat="1" ht="12.75" x14ac:dyDescent="0.2">
      <c r="A2209" s="152"/>
      <c r="B2209" s="73"/>
      <c r="C2209" s="51" t="s">
        <v>130</v>
      </c>
      <c r="D2209" s="89" t="s">
        <v>369</v>
      </c>
      <c r="E2209" s="89"/>
      <c r="F2209" s="89"/>
      <c r="G2209" s="89"/>
      <c r="H2209" s="89"/>
      <c r="I2209" s="89"/>
      <c r="J2209" s="212"/>
      <c r="K2209" s="212"/>
      <c r="L2209" s="212"/>
      <c r="M2209" s="212"/>
      <c r="N2209" s="212">
        <f t="shared" si="52"/>
        <v>0</v>
      </c>
    </row>
    <row r="2210" spans="1:14" s="407" customFormat="1" ht="12.75" x14ac:dyDescent="0.2">
      <c r="A2210" s="152"/>
      <c r="B2210" s="73"/>
      <c r="C2210" s="51" t="s">
        <v>125</v>
      </c>
      <c r="D2210" s="89" t="s">
        <v>369</v>
      </c>
      <c r="E2210" s="89"/>
      <c r="F2210" s="89"/>
      <c r="G2210" s="89"/>
      <c r="H2210" s="89"/>
      <c r="I2210" s="89"/>
      <c r="J2210" s="212"/>
      <c r="K2210" s="212"/>
      <c r="L2210" s="212"/>
      <c r="M2210" s="212"/>
      <c r="N2210" s="212">
        <f t="shared" si="52"/>
        <v>0</v>
      </c>
    </row>
    <row r="2211" spans="1:14" s="407" customFormat="1" ht="12.75" x14ac:dyDescent="0.2">
      <c r="A2211" s="152"/>
      <c r="B2211" s="73"/>
      <c r="C2211" s="51" t="s">
        <v>128</v>
      </c>
      <c r="D2211" s="89" t="s">
        <v>369</v>
      </c>
      <c r="E2211" s="89"/>
      <c r="F2211" s="89"/>
      <c r="G2211" s="89"/>
      <c r="H2211" s="89"/>
      <c r="I2211" s="89"/>
      <c r="J2211" s="212"/>
      <c r="K2211" s="212"/>
      <c r="L2211" s="212"/>
      <c r="M2211" s="212"/>
      <c r="N2211" s="212">
        <f t="shared" si="52"/>
        <v>0</v>
      </c>
    </row>
    <row r="2212" spans="1:14" s="407" customFormat="1" ht="12.75" x14ac:dyDescent="0.2">
      <c r="A2212" s="152"/>
      <c r="B2212" s="73"/>
      <c r="C2212" s="51" t="s">
        <v>1016</v>
      </c>
      <c r="D2212" s="89" t="s">
        <v>369</v>
      </c>
      <c r="E2212" s="89"/>
      <c r="F2212" s="89"/>
      <c r="G2212" s="89"/>
      <c r="H2212" s="89"/>
      <c r="I2212" s="89"/>
      <c r="J2212" s="212"/>
      <c r="K2212" s="212"/>
      <c r="L2212" s="212"/>
      <c r="M2212" s="212"/>
      <c r="N2212" s="212">
        <f t="shared" si="52"/>
        <v>0</v>
      </c>
    </row>
    <row r="2213" spans="1:14" s="407" customFormat="1" ht="12.75" x14ac:dyDescent="0.2">
      <c r="A2213" s="152"/>
      <c r="B2213" s="73"/>
      <c r="C2213" s="51" t="s">
        <v>1015</v>
      </c>
      <c r="D2213" s="89" t="s">
        <v>369</v>
      </c>
      <c r="E2213" s="89"/>
      <c r="F2213" s="89"/>
      <c r="G2213" s="89"/>
      <c r="H2213" s="89"/>
      <c r="I2213" s="89"/>
      <c r="J2213" s="212"/>
      <c r="K2213" s="212"/>
      <c r="L2213" s="212"/>
      <c r="M2213" s="212"/>
      <c r="N2213" s="212">
        <f t="shared" si="52"/>
        <v>0</v>
      </c>
    </row>
    <row r="2214" spans="1:14" s="407" customFormat="1" ht="12.75" x14ac:dyDescent="0.2">
      <c r="A2214" s="152"/>
      <c r="B2214" s="73"/>
      <c r="C2214" s="51" t="s">
        <v>930</v>
      </c>
      <c r="D2214" s="89" t="s">
        <v>369</v>
      </c>
      <c r="E2214" s="89"/>
      <c r="F2214" s="89"/>
      <c r="G2214" s="89"/>
      <c r="H2214" s="89"/>
      <c r="I2214" s="89"/>
      <c r="J2214" s="212"/>
      <c r="K2214" s="212"/>
      <c r="L2214" s="212"/>
      <c r="M2214" s="212"/>
      <c r="N2214" s="212">
        <f t="shared" si="52"/>
        <v>0</v>
      </c>
    </row>
    <row r="2215" spans="1:14" s="407" customFormat="1" ht="12.75" x14ac:dyDescent="0.2">
      <c r="A2215" s="152"/>
      <c r="B2215" s="73"/>
      <c r="C2215" s="51" t="s">
        <v>931</v>
      </c>
      <c r="D2215" s="89" t="s">
        <v>369</v>
      </c>
      <c r="E2215" s="89"/>
      <c r="F2215" s="89"/>
      <c r="G2215" s="89"/>
      <c r="H2215" s="89"/>
      <c r="I2215" s="89"/>
      <c r="J2215" s="212"/>
      <c r="K2215" s="212"/>
      <c r="L2215" s="212"/>
      <c r="M2215" s="212"/>
      <c r="N2215" s="212">
        <f t="shared" si="52"/>
        <v>0</v>
      </c>
    </row>
    <row r="2216" spans="1:14" s="407" customFormat="1" ht="12.75" x14ac:dyDescent="0.2">
      <c r="A2216" s="152"/>
      <c r="B2216" s="73"/>
      <c r="C2216" s="51" t="s">
        <v>926</v>
      </c>
      <c r="D2216" s="89" t="s">
        <v>369</v>
      </c>
      <c r="E2216" s="89"/>
      <c r="F2216" s="89"/>
      <c r="G2216" s="89"/>
      <c r="H2216" s="89"/>
      <c r="I2216" s="89"/>
      <c r="J2216" s="212"/>
      <c r="K2216" s="212"/>
      <c r="L2216" s="212"/>
      <c r="M2216" s="212"/>
      <c r="N2216" s="212">
        <f t="shared" si="52"/>
        <v>0</v>
      </c>
    </row>
    <row r="2217" spans="1:14" s="407" customFormat="1" ht="12.75" x14ac:dyDescent="0.2">
      <c r="A2217" s="152"/>
      <c r="B2217" s="73"/>
      <c r="C2217" s="51" t="s">
        <v>110</v>
      </c>
      <c r="D2217" s="89" t="s">
        <v>369</v>
      </c>
      <c r="E2217" s="89"/>
      <c r="F2217" s="89"/>
      <c r="G2217" s="89"/>
      <c r="H2217" s="89"/>
      <c r="I2217" s="89"/>
      <c r="J2217" s="212"/>
      <c r="K2217" s="212"/>
      <c r="L2217" s="212"/>
      <c r="M2217" s="212"/>
      <c r="N2217" s="212">
        <f t="shared" si="52"/>
        <v>0</v>
      </c>
    </row>
    <row r="2218" spans="1:14" s="407" customFormat="1" ht="12.75" x14ac:dyDescent="0.2">
      <c r="A2218" s="152"/>
      <c r="B2218" s="73"/>
      <c r="C2218" s="51" t="s">
        <v>133</v>
      </c>
      <c r="D2218" s="89" t="s">
        <v>369</v>
      </c>
      <c r="E2218" s="89"/>
      <c r="F2218" s="89"/>
      <c r="G2218" s="89"/>
      <c r="H2218" s="89"/>
      <c r="I2218" s="89"/>
      <c r="J2218" s="212"/>
      <c r="K2218" s="212"/>
      <c r="L2218" s="212"/>
      <c r="M2218" s="212"/>
      <c r="N2218" s="212">
        <f t="shared" si="52"/>
        <v>0</v>
      </c>
    </row>
    <row r="2219" spans="1:14" s="407" customFormat="1" ht="12.75" x14ac:dyDescent="0.2">
      <c r="A2219" s="152"/>
      <c r="B2219" s="73"/>
      <c r="C2219" s="51" t="s">
        <v>134</v>
      </c>
      <c r="D2219" s="89" t="s">
        <v>369</v>
      </c>
      <c r="E2219" s="89"/>
      <c r="F2219" s="89"/>
      <c r="G2219" s="89"/>
      <c r="H2219" s="89"/>
      <c r="I2219" s="89"/>
      <c r="J2219" s="212"/>
      <c r="K2219" s="212"/>
      <c r="L2219" s="212"/>
      <c r="M2219" s="212"/>
      <c r="N2219" s="212">
        <f t="shared" si="52"/>
        <v>0</v>
      </c>
    </row>
    <row r="2220" spans="1:14" s="407" customFormat="1" ht="12.75" x14ac:dyDescent="0.2">
      <c r="A2220" s="152"/>
      <c r="B2220" s="73"/>
      <c r="C2220" s="51" t="s">
        <v>138</v>
      </c>
      <c r="D2220" s="89" t="s">
        <v>369</v>
      </c>
      <c r="E2220" s="89"/>
      <c r="F2220" s="89"/>
      <c r="G2220" s="89"/>
      <c r="H2220" s="89"/>
      <c r="I2220" s="89"/>
      <c r="J2220" s="212"/>
      <c r="K2220" s="212"/>
      <c r="L2220" s="212"/>
      <c r="M2220" s="212"/>
      <c r="N2220" s="212">
        <f t="shared" si="52"/>
        <v>0</v>
      </c>
    </row>
    <row r="2221" spans="1:14" s="407" customFormat="1" ht="12.75" x14ac:dyDescent="0.2">
      <c r="A2221" s="152"/>
      <c r="B2221" s="73"/>
      <c r="C2221" s="51" t="s">
        <v>106</v>
      </c>
      <c r="D2221" s="89" t="s">
        <v>369</v>
      </c>
      <c r="E2221" s="89"/>
      <c r="F2221" s="89"/>
      <c r="G2221" s="89"/>
      <c r="H2221" s="89"/>
      <c r="I2221" s="89"/>
      <c r="J2221" s="212"/>
      <c r="K2221" s="212"/>
      <c r="L2221" s="212"/>
      <c r="M2221" s="212"/>
      <c r="N2221" s="212">
        <f t="shared" si="52"/>
        <v>0</v>
      </c>
    </row>
    <row r="2222" spans="1:14" s="407" customFormat="1" ht="12.75" x14ac:dyDescent="0.2">
      <c r="A2222" s="152"/>
      <c r="B2222" s="73"/>
      <c r="C2222" s="51" t="s">
        <v>1024</v>
      </c>
      <c r="D2222" s="89" t="s">
        <v>369</v>
      </c>
      <c r="E2222" s="89"/>
      <c r="F2222" s="89"/>
      <c r="G2222" s="89"/>
      <c r="H2222" s="89"/>
      <c r="I2222" s="89"/>
      <c r="J2222" s="212"/>
      <c r="K2222" s="212"/>
      <c r="L2222" s="212"/>
      <c r="M2222" s="212"/>
      <c r="N2222" s="212">
        <f t="shared" si="52"/>
        <v>0</v>
      </c>
    </row>
    <row r="2223" spans="1:14" s="407" customFormat="1" ht="12.75" x14ac:dyDescent="0.2">
      <c r="A2223" s="152"/>
      <c r="B2223" s="73"/>
      <c r="C2223" s="51" t="s">
        <v>1025</v>
      </c>
      <c r="D2223" s="89" t="s">
        <v>369</v>
      </c>
      <c r="E2223" s="89"/>
      <c r="F2223" s="89"/>
      <c r="G2223" s="89"/>
      <c r="H2223" s="89"/>
      <c r="I2223" s="89"/>
      <c r="J2223" s="212"/>
      <c r="K2223" s="212"/>
      <c r="L2223" s="212"/>
      <c r="M2223" s="212"/>
      <c r="N2223" s="212">
        <f t="shared" si="52"/>
        <v>0</v>
      </c>
    </row>
    <row r="2224" spans="1:14" s="407" customFormat="1" ht="12.75" x14ac:dyDescent="0.2">
      <c r="A2224" s="152"/>
      <c r="B2224" s="73"/>
      <c r="C2224" s="51" t="s">
        <v>960</v>
      </c>
      <c r="D2224" s="89" t="s">
        <v>369</v>
      </c>
      <c r="E2224" s="89"/>
      <c r="F2224" s="89"/>
      <c r="G2224" s="89"/>
      <c r="H2224" s="89"/>
      <c r="I2224" s="89"/>
      <c r="J2224" s="212"/>
      <c r="K2224" s="212"/>
      <c r="L2224" s="212"/>
      <c r="M2224" s="212"/>
      <c r="N2224" s="212">
        <f t="shared" si="52"/>
        <v>0</v>
      </c>
    </row>
    <row r="2225" spans="1:14" s="407" customFormat="1" ht="12.75" x14ac:dyDescent="0.2">
      <c r="A2225" s="152"/>
      <c r="B2225" s="73"/>
      <c r="C2225" s="51" t="s">
        <v>961</v>
      </c>
      <c r="D2225" s="89" t="s">
        <v>369</v>
      </c>
      <c r="E2225" s="89"/>
      <c r="F2225" s="89"/>
      <c r="G2225" s="89"/>
      <c r="H2225" s="89"/>
      <c r="I2225" s="89"/>
      <c r="J2225" s="212"/>
      <c r="K2225" s="212"/>
      <c r="L2225" s="212"/>
      <c r="M2225" s="212"/>
      <c r="N2225" s="212">
        <f t="shared" si="52"/>
        <v>0</v>
      </c>
    </row>
    <row r="2226" spans="1:14" s="407" customFormat="1" ht="12.75" x14ac:dyDescent="0.2">
      <c r="A2226" s="152"/>
      <c r="B2226" s="73"/>
      <c r="C2226" s="51" t="s">
        <v>948</v>
      </c>
      <c r="D2226" s="89" t="s">
        <v>369</v>
      </c>
      <c r="E2226" s="89"/>
      <c r="F2226" s="89"/>
      <c r="G2226" s="89"/>
      <c r="H2226" s="89"/>
      <c r="I2226" s="89"/>
      <c r="J2226" s="212"/>
      <c r="K2226" s="212"/>
      <c r="L2226" s="212"/>
      <c r="M2226" s="212"/>
      <c r="N2226" s="212">
        <f t="shared" si="52"/>
        <v>0</v>
      </c>
    </row>
    <row r="2227" spans="1:14" s="407" customFormat="1" ht="12.75" x14ac:dyDescent="0.2">
      <c r="A2227" s="152"/>
      <c r="B2227" s="73"/>
      <c r="C2227" s="51" t="s">
        <v>949</v>
      </c>
      <c r="D2227" s="89" t="s">
        <v>369</v>
      </c>
      <c r="E2227" s="89"/>
      <c r="F2227" s="89"/>
      <c r="G2227" s="89"/>
      <c r="H2227" s="89"/>
      <c r="I2227" s="89"/>
      <c r="J2227" s="212"/>
      <c r="K2227" s="212"/>
      <c r="L2227" s="212"/>
      <c r="M2227" s="212"/>
      <c r="N2227" s="212">
        <f t="shared" si="52"/>
        <v>0</v>
      </c>
    </row>
    <row r="2228" spans="1:14" s="407" customFormat="1" ht="12.75" x14ac:dyDescent="0.2">
      <c r="A2228" s="152"/>
      <c r="B2228" s="73"/>
      <c r="C2228" s="51" t="s">
        <v>132</v>
      </c>
      <c r="D2228" s="89" t="s">
        <v>369</v>
      </c>
      <c r="E2228" s="89"/>
      <c r="F2228" s="89"/>
      <c r="G2228" s="89"/>
      <c r="H2228" s="89"/>
      <c r="I2228" s="89"/>
      <c r="J2228" s="212"/>
      <c r="K2228" s="212"/>
      <c r="L2228" s="212"/>
      <c r="M2228" s="212"/>
      <c r="N2228" s="212">
        <f t="shared" si="52"/>
        <v>0</v>
      </c>
    </row>
    <row r="2229" spans="1:14" s="407" customFormat="1" ht="12.75" x14ac:dyDescent="0.2">
      <c r="A2229" s="152"/>
      <c r="B2229" s="73"/>
      <c r="C2229" s="51" t="s">
        <v>121</v>
      </c>
      <c r="D2229" s="89" t="s">
        <v>369</v>
      </c>
      <c r="E2229" s="89"/>
      <c r="F2229" s="89"/>
      <c r="G2229" s="89"/>
      <c r="H2229" s="89"/>
      <c r="I2229" s="89"/>
      <c r="J2229" s="212"/>
      <c r="K2229" s="212"/>
      <c r="L2229" s="212"/>
      <c r="M2229" s="212"/>
      <c r="N2229" s="212">
        <f t="shared" si="52"/>
        <v>0</v>
      </c>
    </row>
    <row r="2230" spans="1:14" s="407" customFormat="1" ht="12.75" x14ac:dyDescent="0.2">
      <c r="A2230" s="152"/>
      <c r="B2230" s="73"/>
      <c r="C2230" s="51" t="s">
        <v>131</v>
      </c>
      <c r="D2230" s="89" t="s">
        <v>369</v>
      </c>
      <c r="E2230" s="89"/>
      <c r="F2230" s="89"/>
      <c r="G2230" s="89"/>
      <c r="H2230" s="89"/>
      <c r="I2230" s="89"/>
      <c r="J2230" s="212"/>
      <c r="K2230" s="212"/>
      <c r="L2230" s="212"/>
      <c r="M2230" s="212"/>
      <c r="N2230" s="212">
        <f t="shared" si="52"/>
        <v>0</v>
      </c>
    </row>
    <row r="2231" spans="1:14" s="407" customFormat="1" ht="12.75" x14ac:dyDescent="0.2">
      <c r="A2231" s="152"/>
      <c r="B2231" s="73"/>
      <c r="C2231" s="51" t="s">
        <v>967</v>
      </c>
      <c r="D2231" s="89" t="s">
        <v>369</v>
      </c>
      <c r="E2231" s="89"/>
      <c r="F2231" s="89"/>
      <c r="G2231" s="89"/>
      <c r="H2231" s="89"/>
      <c r="I2231" s="89"/>
      <c r="J2231" s="212"/>
      <c r="K2231" s="212"/>
      <c r="L2231" s="212"/>
      <c r="M2231" s="212"/>
      <c r="N2231" s="212">
        <f t="shared" si="52"/>
        <v>0</v>
      </c>
    </row>
    <row r="2232" spans="1:14" s="407" customFormat="1" ht="12.75" x14ac:dyDescent="0.2">
      <c r="A2232" s="152"/>
      <c r="B2232" s="73"/>
      <c r="C2232" s="51" t="s">
        <v>118</v>
      </c>
      <c r="D2232" s="89" t="s">
        <v>369</v>
      </c>
      <c r="E2232" s="89"/>
      <c r="F2232" s="89"/>
      <c r="G2232" s="89"/>
      <c r="H2232" s="89"/>
      <c r="I2232" s="89"/>
      <c r="J2232" s="212"/>
      <c r="K2232" s="212"/>
      <c r="L2232" s="212"/>
      <c r="M2232" s="212"/>
      <c r="N2232" s="212">
        <f t="shared" si="52"/>
        <v>0</v>
      </c>
    </row>
    <row r="2233" spans="1:14" s="407" customFormat="1" ht="12.75" x14ac:dyDescent="0.2">
      <c r="A2233" s="152"/>
      <c r="B2233" s="73"/>
      <c r="C2233" s="51" t="s">
        <v>971</v>
      </c>
      <c r="D2233" s="89" t="s">
        <v>369</v>
      </c>
      <c r="E2233" s="89"/>
      <c r="F2233" s="89"/>
      <c r="G2233" s="89"/>
      <c r="H2233" s="89"/>
      <c r="I2233" s="89"/>
      <c r="J2233" s="212"/>
      <c r="K2233" s="212"/>
      <c r="L2233" s="212"/>
      <c r="M2233" s="212"/>
      <c r="N2233" s="212">
        <f t="shared" si="52"/>
        <v>0</v>
      </c>
    </row>
    <row r="2234" spans="1:14" s="407" customFormat="1" ht="12.75" x14ac:dyDescent="0.2">
      <c r="A2234" s="152"/>
      <c r="B2234" s="73"/>
      <c r="C2234" s="51" t="s">
        <v>957</v>
      </c>
      <c r="D2234" s="89" t="s">
        <v>369</v>
      </c>
      <c r="E2234" s="89"/>
      <c r="F2234" s="89"/>
      <c r="G2234" s="89"/>
      <c r="H2234" s="89"/>
      <c r="I2234" s="89"/>
      <c r="J2234" s="212"/>
      <c r="K2234" s="212"/>
      <c r="L2234" s="212"/>
      <c r="M2234" s="212"/>
      <c r="N2234" s="212">
        <f t="shared" si="52"/>
        <v>0</v>
      </c>
    </row>
    <row r="2235" spans="1:14" s="407" customFormat="1" ht="12.75" x14ac:dyDescent="0.2">
      <c r="A2235" s="152"/>
      <c r="B2235" s="73"/>
      <c r="C2235" s="51" t="s">
        <v>97</v>
      </c>
      <c r="D2235" s="89" t="s">
        <v>369</v>
      </c>
      <c r="E2235" s="89"/>
      <c r="F2235" s="89"/>
      <c r="G2235" s="89"/>
      <c r="H2235" s="89"/>
      <c r="I2235" s="89"/>
      <c r="J2235" s="212"/>
      <c r="K2235" s="212"/>
      <c r="L2235" s="212"/>
      <c r="M2235" s="212"/>
      <c r="N2235" s="212">
        <f t="shared" si="52"/>
        <v>0</v>
      </c>
    </row>
    <row r="2236" spans="1:14" s="407" customFormat="1" ht="12.75" x14ac:dyDescent="0.2">
      <c r="A2236" s="152"/>
      <c r="B2236" s="73"/>
      <c r="C2236" s="51" t="s">
        <v>49</v>
      </c>
      <c r="D2236" s="89" t="s">
        <v>369</v>
      </c>
      <c r="E2236" s="89"/>
      <c r="F2236" s="89"/>
      <c r="G2236" s="89"/>
      <c r="H2236" s="89"/>
      <c r="I2236" s="89"/>
      <c r="J2236" s="212"/>
      <c r="K2236" s="212"/>
      <c r="L2236" s="212"/>
      <c r="M2236" s="212"/>
      <c r="N2236" s="212">
        <f t="shared" si="52"/>
        <v>0</v>
      </c>
    </row>
    <row r="2237" spans="1:14" s="407" customFormat="1" ht="12.75" x14ac:dyDescent="0.2">
      <c r="A2237" s="152"/>
      <c r="B2237" s="73"/>
      <c r="C2237" s="51" t="s">
        <v>1017</v>
      </c>
      <c r="D2237" s="89" t="s">
        <v>369</v>
      </c>
      <c r="E2237" s="89"/>
      <c r="F2237" s="89"/>
      <c r="G2237" s="89"/>
      <c r="H2237" s="89"/>
      <c r="I2237" s="89"/>
      <c r="J2237" s="212"/>
      <c r="K2237" s="212"/>
      <c r="L2237" s="212"/>
      <c r="M2237" s="212"/>
      <c r="N2237" s="212">
        <f t="shared" si="52"/>
        <v>0</v>
      </c>
    </row>
    <row r="2238" spans="1:14" s="407" customFormat="1" ht="12.75" x14ac:dyDescent="0.2">
      <c r="A2238" s="152"/>
      <c r="B2238" s="73"/>
      <c r="C2238" s="51" t="s">
        <v>1018</v>
      </c>
      <c r="D2238" s="89" t="s">
        <v>369</v>
      </c>
      <c r="E2238" s="89"/>
      <c r="F2238" s="89"/>
      <c r="G2238" s="89"/>
      <c r="H2238" s="89"/>
      <c r="I2238" s="89"/>
      <c r="J2238" s="212"/>
      <c r="K2238" s="212"/>
      <c r="L2238" s="212"/>
      <c r="M2238" s="212"/>
      <c r="N2238" s="212">
        <f t="shared" si="52"/>
        <v>0</v>
      </c>
    </row>
    <row r="2239" spans="1:14" s="407" customFormat="1" ht="12.75" x14ac:dyDescent="0.2">
      <c r="A2239" s="152"/>
      <c r="B2239" s="73"/>
      <c r="C2239" s="51" t="s">
        <v>928</v>
      </c>
      <c r="D2239" s="89" t="s">
        <v>369</v>
      </c>
      <c r="E2239" s="89"/>
      <c r="F2239" s="89"/>
      <c r="G2239" s="89"/>
      <c r="H2239" s="89"/>
      <c r="I2239" s="89"/>
      <c r="J2239" s="212"/>
      <c r="K2239" s="212"/>
      <c r="L2239" s="212"/>
      <c r="M2239" s="212"/>
      <c r="N2239" s="212">
        <f t="shared" si="52"/>
        <v>0</v>
      </c>
    </row>
    <row r="2240" spans="1:14" s="407" customFormat="1" ht="12.75" x14ac:dyDescent="0.2">
      <c r="A2240" s="152"/>
      <c r="B2240" s="73"/>
      <c r="C2240" s="51" t="s">
        <v>946</v>
      </c>
      <c r="D2240" s="89" t="s">
        <v>369</v>
      </c>
      <c r="E2240" s="89"/>
      <c r="F2240" s="89"/>
      <c r="G2240" s="89"/>
      <c r="H2240" s="89"/>
      <c r="I2240" s="89"/>
      <c r="J2240" s="212"/>
      <c r="K2240" s="212"/>
      <c r="L2240" s="212"/>
      <c r="M2240" s="212"/>
      <c r="N2240" s="212">
        <f t="shared" si="52"/>
        <v>0</v>
      </c>
    </row>
    <row r="2241" spans="1:14" s="407" customFormat="1" ht="12.75" x14ac:dyDescent="0.2">
      <c r="A2241" s="152"/>
      <c r="B2241" s="73"/>
      <c r="C2241" s="51" t="s">
        <v>947</v>
      </c>
      <c r="D2241" s="89" t="s">
        <v>369</v>
      </c>
      <c r="E2241" s="89"/>
      <c r="F2241" s="89"/>
      <c r="G2241" s="89"/>
      <c r="H2241" s="89"/>
      <c r="I2241" s="89"/>
      <c r="J2241" s="212"/>
      <c r="K2241" s="212"/>
      <c r="L2241" s="212"/>
      <c r="M2241" s="212"/>
      <c r="N2241" s="212">
        <f t="shared" si="52"/>
        <v>0</v>
      </c>
    </row>
    <row r="2242" spans="1:14" s="407" customFormat="1" ht="12.75" x14ac:dyDescent="0.2">
      <c r="A2242" s="152"/>
      <c r="B2242" s="73"/>
      <c r="C2242" s="51" t="s">
        <v>1020</v>
      </c>
      <c r="D2242" s="89" t="s">
        <v>369</v>
      </c>
      <c r="E2242" s="89"/>
      <c r="F2242" s="89"/>
      <c r="G2242" s="89"/>
      <c r="H2242" s="89"/>
      <c r="I2242" s="89"/>
      <c r="J2242" s="212"/>
      <c r="K2242" s="212"/>
      <c r="L2242" s="212"/>
      <c r="M2242" s="212"/>
      <c r="N2242" s="212">
        <f t="shared" si="52"/>
        <v>0</v>
      </c>
    </row>
    <row r="2243" spans="1:14" s="407" customFormat="1" ht="12.75" x14ac:dyDescent="0.2">
      <c r="A2243" s="152"/>
      <c r="B2243" s="73"/>
      <c r="C2243" s="51" t="s">
        <v>1021</v>
      </c>
      <c r="D2243" s="89" t="s">
        <v>369</v>
      </c>
      <c r="E2243" s="89"/>
      <c r="F2243" s="89"/>
      <c r="G2243" s="89"/>
      <c r="H2243" s="89"/>
      <c r="I2243" s="89"/>
      <c r="J2243" s="212"/>
      <c r="K2243" s="212"/>
      <c r="L2243" s="212"/>
      <c r="M2243" s="212"/>
      <c r="N2243" s="212">
        <f t="shared" si="52"/>
        <v>0</v>
      </c>
    </row>
    <row r="2244" spans="1:14" s="407" customFormat="1" ht="12.75" x14ac:dyDescent="0.2">
      <c r="A2244" s="152"/>
      <c r="B2244" s="73"/>
      <c r="C2244" s="51" t="s">
        <v>489</v>
      </c>
      <c r="D2244" s="89" t="s">
        <v>369</v>
      </c>
      <c r="E2244" s="89"/>
      <c r="F2244" s="89"/>
      <c r="G2244" s="89"/>
      <c r="H2244" s="89"/>
      <c r="I2244" s="89"/>
      <c r="J2244" s="212"/>
      <c r="K2244" s="212"/>
      <c r="L2244" s="212"/>
      <c r="M2244" s="212"/>
      <c r="N2244" s="212">
        <f t="shared" si="52"/>
        <v>0</v>
      </c>
    </row>
    <row r="2245" spans="1:14" s="407" customFormat="1" ht="12.75" x14ac:dyDescent="0.2">
      <c r="A2245" s="152"/>
      <c r="B2245" s="73"/>
      <c r="C2245" s="51" t="s">
        <v>968</v>
      </c>
      <c r="D2245" s="89" t="s">
        <v>369</v>
      </c>
      <c r="E2245" s="89"/>
      <c r="F2245" s="89"/>
      <c r="G2245" s="89"/>
      <c r="H2245" s="89"/>
      <c r="I2245" s="89"/>
      <c r="J2245" s="212"/>
      <c r="K2245" s="212"/>
      <c r="L2245" s="212"/>
      <c r="M2245" s="212"/>
      <c r="N2245" s="212">
        <f t="shared" si="52"/>
        <v>0</v>
      </c>
    </row>
    <row r="2246" spans="1:14" s="407" customFormat="1" ht="12.75" x14ac:dyDescent="0.2">
      <c r="A2246" s="152"/>
      <c r="B2246" s="73"/>
      <c r="C2246" s="51" t="s">
        <v>98</v>
      </c>
      <c r="D2246" s="89" t="s">
        <v>369</v>
      </c>
      <c r="E2246" s="89"/>
      <c r="F2246" s="89"/>
      <c r="G2246" s="89"/>
      <c r="H2246" s="89"/>
      <c r="I2246" s="89"/>
      <c r="J2246" s="212"/>
      <c r="K2246" s="212"/>
      <c r="L2246" s="212"/>
      <c r="M2246" s="212"/>
      <c r="N2246" s="212">
        <f t="shared" si="52"/>
        <v>0</v>
      </c>
    </row>
    <row r="2247" spans="1:14" s="407" customFormat="1" ht="12.75" x14ac:dyDescent="0.2">
      <c r="A2247" s="152"/>
      <c r="B2247" s="73"/>
      <c r="C2247" s="51" t="s">
        <v>1048</v>
      </c>
      <c r="D2247" s="89" t="s">
        <v>369</v>
      </c>
      <c r="E2247" s="89"/>
      <c r="F2247" s="89"/>
      <c r="G2247" s="89"/>
      <c r="H2247" s="89"/>
      <c r="I2247" s="89"/>
      <c r="J2247" s="212"/>
      <c r="K2247" s="212"/>
      <c r="L2247" s="212"/>
      <c r="M2247" s="212"/>
      <c r="N2247" s="212">
        <f t="shared" si="52"/>
        <v>0</v>
      </c>
    </row>
    <row r="2248" spans="1:14" s="407" customFormat="1" ht="12.75" x14ac:dyDescent="0.2">
      <c r="A2248" s="152"/>
      <c r="B2248" s="73"/>
      <c r="C2248" s="51" t="s">
        <v>1030</v>
      </c>
      <c r="D2248" s="89" t="s">
        <v>369</v>
      </c>
      <c r="E2248" s="89"/>
      <c r="F2248" s="89"/>
      <c r="G2248" s="89"/>
      <c r="H2248" s="89"/>
      <c r="I2248" s="89"/>
      <c r="J2248" s="212"/>
      <c r="K2248" s="212"/>
      <c r="L2248" s="212"/>
      <c r="M2248" s="212"/>
      <c r="N2248" s="212">
        <f t="shared" si="52"/>
        <v>0</v>
      </c>
    </row>
    <row r="2249" spans="1:14" s="407" customFormat="1" ht="12.75" x14ac:dyDescent="0.2">
      <c r="A2249" s="152"/>
      <c r="B2249" s="73"/>
      <c r="C2249" s="51" t="s">
        <v>977</v>
      </c>
      <c r="D2249" s="89" t="s">
        <v>369</v>
      </c>
      <c r="E2249" s="89"/>
      <c r="F2249" s="89"/>
      <c r="G2249" s="89"/>
      <c r="H2249" s="89"/>
      <c r="I2249" s="89"/>
      <c r="J2249" s="212"/>
      <c r="K2249" s="212"/>
      <c r="L2249" s="212"/>
      <c r="M2249" s="212"/>
      <c r="N2249" s="212">
        <f t="shared" si="52"/>
        <v>0</v>
      </c>
    </row>
    <row r="2250" spans="1:14" s="407" customFormat="1" ht="12.75" x14ac:dyDescent="0.2">
      <c r="A2250" s="152"/>
      <c r="B2250" s="73"/>
      <c r="C2250" s="51" t="s">
        <v>99</v>
      </c>
      <c r="D2250" s="89" t="s">
        <v>369</v>
      </c>
      <c r="E2250" s="89"/>
      <c r="F2250" s="89"/>
      <c r="G2250" s="89"/>
      <c r="H2250" s="89"/>
      <c r="I2250" s="89"/>
      <c r="J2250" s="212"/>
      <c r="K2250" s="212"/>
      <c r="L2250" s="212"/>
      <c r="M2250" s="212"/>
      <c r="N2250" s="212">
        <f t="shared" si="52"/>
        <v>0</v>
      </c>
    </row>
    <row r="2251" spans="1:14" s="407" customFormat="1" ht="12.75" x14ac:dyDescent="0.2">
      <c r="A2251" s="152"/>
      <c r="B2251" s="73"/>
      <c r="C2251" s="51" t="s">
        <v>1047</v>
      </c>
      <c r="D2251" s="89" t="s">
        <v>369</v>
      </c>
      <c r="E2251" s="89"/>
      <c r="F2251" s="89"/>
      <c r="G2251" s="89"/>
      <c r="H2251" s="89"/>
      <c r="I2251" s="89"/>
      <c r="J2251" s="212"/>
      <c r="K2251" s="212"/>
      <c r="L2251" s="212"/>
      <c r="M2251" s="212"/>
      <c r="N2251" s="212">
        <f t="shared" si="52"/>
        <v>0</v>
      </c>
    </row>
    <row r="2252" spans="1:14" s="407" customFormat="1" ht="12.75" x14ac:dyDescent="0.2">
      <c r="A2252" s="152"/>
      <c r="B2252" s="73"/>
      <c r="C2252" s="51" t="s">
        <v>1041</v>
      </c>
      <c r="D2252" s="89" t="s">
        <v>369</v>
      </c>
      <c r="E2252" s="89"/>
      <c r="F2252" s="89"/>
      <c r="G2252" s="89"/>
      <c r="H2252" s="89"/>
      <c r="I2252" s="89"/>
      <c r="J2252" s="212"/>
      <c r="K2252" s="212"/>
      <c r="L2252" s="212"/>
      <c r="M2252" s="212"/>
      <c r="N2252" s="212">
        <f t="shared" si="52"/>
        <v>0</v>
      </c>
    </row>
    <row r="2253" spans="1:14" s="407" customFormat="1" ht="12.75" x14ac:dyDescent="0.2">
      <c r="A2253" s="152"/>
      <c r="B2253" s="73"/>
      <c r="C2253" s="51" t="s">
        <v>102</v>
      </c>
      <c r="D2253" s="89" t="s">
        <v>369</v>
      </c>
      <c r="E2253" s="89"/>
      <c r="F2253" s="89"/>
      <c r="G2253" s="89"/>
      <c r="H2253" s="89"/>
      <c r="I2253" s="89"/>
      <c r="J2253" s="212"/>
      <c r="K2253" s="212"/>
      <c r="L2253" s="212"/>
      <c r="M2253" s="212"/>
      <c r="N2253" s="212">
        <f t="shared" ref="N2253:N2276" si="53">SUMIFS(N$26:N$154,$C$26:$C$154,$C2253,$D$26:$D$154,$D2253)</f>
        <v>0</v>
      </c>
    </row>
    <row r="2254" spans="1:14" s="407" customFormat="1" ht="12.75" x14ac:dyDescent="0.2">
      <c r="A2254" s="152"/>
      <c r="B2254" s="73"/>
      <c r="C2254" s="51" t="s">
        <v>124</v>
      </c>
      <c r="D2254" s="89" t="s">
        <v>369</v>
      </c>
      <c r="E2254" s="89"/>
      <c r="F2254" s="89"/>
      <c r="G2254" s="89"/>
      <c r="H2254" s="89"/>
      <c r="I2254" s="89"/>
      <c r="J2254" s="212"/>
      <c r="K2254" s="212"/>
      <c r="L2254" s="212"/>
      <c r="M2254" s="212"/>
      <c r="N2254" s="212">
        <f t="shared" si="53"/>
        <v>0</v>
      </c>
    </row>
    <row r="2255" spans="1:14" s="407" customFormat="1" ht="12.75" x14ac:dyDescent="0.2">
      <c r="A2255" s="152"/>
      <c r="B2255" s="73"/>
      <c r="C2255" s="51" t="s">
        <v>103</v>
      </c>
      <c r="D2255" s="89" t="s">
        <v>369</v>
      </c>
      <c r="E2255" s="89"/>
      <c r="F2255" s="89"/>
      <c r="G2255" s="89"/>
      <c r="H2255" s="89"/>
      <c r="I2255" s="89"/>
      <c r="J2255" s="212"/>
      <c r="K2255" s="212"/>
      <c r="L2255" s="212"/>
      <c r="M2255" s="212"/>
      <c r="N2255" s="212">
        <f t="shared" si="53"/>
        <v>0</v>
      </c>
    </row>
    <row r="2256" spans="1:14" s="407" customFormat="1" ht="12.75" x14ac:dyDescent="0.2">
      <c r="A2256" s="152"/>
      <c r="B2256" s="73"/>
      <c r="C2256" s="51" t="s">
        <v>104</v>
      </c>
      <c r="D2256" s="89" t="s">
        <v>369</v>
      </c>
      <c r="E2256" s="89"/>
      <c r="F2256" s="89"/>
      <c r="G2256" s="89"/>
      <c r="H2256" s="89"/>
      <c r="I2256" s="89"/>
      <c r="J2256" s="212"/>
      <c r="K2256" s="212"/>
      <c r="L2256" s="212"/>
      <c r="M2256" s="212"/>
      <c r="N2256" s="212">
        <f t="shared" si="53"/>
        <v>0</v>
      </c>
    </row>
    <row r="2257" spans="1:14" s="407" customFormat="1" ht="12.75" x14ac:dyDescent="0.2">
      <c r="A2257" s="152"/>
      <c r="B2257" s="73"/>
      <c r="C2257" s="51" t="s">
        <v>491</v>
      </c>
      <c r="D2257" s="89" t="s">
        <v>369</v>
      </c>
      <c r="E2257" s="89"/>
      <c r="F2257" s="89"/>
      <c r="G2257" s="89"/>
      <c r="H2257" s="89"/>
      <c r="I2257" s="89"/>
      <c r="J2257" s="212"/>
      <c r="K2257" s="212"/>
      <c r="L2257" s="212"/>
      <c r="M2257" s="212"/>
      <c r="N2257" s="212">
        <f t="shared" si="53"/>
        <v>0</v>
      </c>
    </row>
    <row r="2258" spans="1:14" s="407" customFormat="1" ht="12.75" x14ac:dyDescent="0.2">
      <c r="A2258" s="152"/>
      <c r="B2258" s="73"/>
      <c r="C2258" s="51" t="s">
        <v>105</v>
      </c>
      <c r="D2258" s="89" t="s">
        <v>369</v>
      </c>
      <c r="E2258" s="89"/>
      <c r="F2258" s="89"/>
      <c r="G2258" s="89"/>
      <c r="H2258" s="89"/>
      <c r="I2258" s="89"/>
      <c r="J2258" s="212"/>
      <c r="K2258" s="212"/>
      <c r="L2258" s="212"/>
      <c r="M2258" s="212"/>
      <c r="N2258" s="212">
        <f t="shared" si="53"/>
        <v>0</v>
      </c>
    </row>
    <row r="2259" spans="1:14" s="407" customFormat="1" ht="12.75" x14ac:dyDescent="0.2">
      <c r="A2259" s="152"/>
      <c r="B2259" s="73"/>
      <c r="C2259" s="51" t="s">
        <v>129</v>
      </c>
      <c r="D2259" s="89" t="s">
        <v>369</v>
      </c>
      <c r="E2259" s="89"/>
      <c r="F2259" s="89"/>
      <c r="G2259" s="89"/>
      <c r="H2259" s="89"/>
      <c r="I2259" s="89"/>
      <c r="J2259" s="212"/>
      <c r="K2259" s="212"/>
      <c r="L2259" s="212"/>
      <c r="M2259" s="212"/>
      <c r="N2259" s="212">
        <f t="shared" si="53"/>
        <v>0</v>
      </c>
    </row>
    <row r="2260" spans="1:14" s="407" customFormat="1" ht="12.75" x14ac:dyDescent="0.2">
      <c r="A2260" s="152"/>
      <c r="B2260" s="73"/>
      <c r="C2260" s="73" t="s">
        <v>108</v>
      </c>
      <c r="D2260" s="89" t="s">
        <v>369</v>
      </c>
      <c r="E2260" s="89"/>
      <c r="F2260" s="89"/>
      <c r="G2260" s="89"/>
      <c r="H2260" s="89"/>
      <c r="I2260" s="89"/>
      <c r="J2260" s="212"/>
      <c r="K2260" s="212"/>
      <c r="L2260" s="212"/>
      <c r="M2260" s="212"/>
      <c r="N2260" s="212">
        <f t="shared" si="53"/>
        <v>0</v>
      </c>
    </row>
    <row r="2261" spans="1:14" s="407" customFormat="1" ht="12.75" x14ac:dyDescent="0.2">
      <c r="A2261" s="152"/>
      <c r="B2261" s="73"/>
      <c r="C2261" s="51" t="s">
        <v>119</v>
      </c>
      <c r="D2261" s="89" t="s">
        <v>369</v>
      </c>
      <c r="E2261" s="89"/>
      <c r="F2261" s="89"/>
      <c r="G2261" s="89"/>
      <c r="H2261" s="89"/>
      <c r="I2261" s="89"/>
      <c r="J2261" s="212"/>
      <c r="K2261" s="212"/>
      <c r="L2261" s="212"/>
      <c r="M2261" s="212"/>
      <c r="N2261" s="212">
        <f t="shared" si="53"/>
        <v>0</v>
      </c>
    </row>
    <row r="2262" spans="1:14" s="407" customFormat="1" ht="12.75" x14ac:dyDescent="0.2">
      <c r="A2262" s="152"/>
      <c r="B2262" s="73"/>
      <c r="C2262" s="51" t="s">
        <v>954</v>
      </c>
      <c r="D2262" s="89" t="s">
        <v>369</v>
      </c>
      <c r="E2262" s="89"/>
      <c r="F2262" s="89"/>
      <c r="G2262" s="89"/>
      <c r="H2262" s="89"/>
      <c r="I2262" s="89"/>
      <c r="J2262" s="212"/>
      <c r="K2262" s="212"/>
      <c r="L2262" s="212"/>
      <c r="M2262" s="212"/>
      <c r="N2262" s="212">
        <f t="shared" si="53"/>
        <v>0</v>
      </c>
    </row>
    <row r="2263" spans="1:14" s="407" customFormat="1" ht="12.75" x14ac:dyDescent="0.2">
      <c r="A2263" s="152"/>
      <c r="B2263" s="73"/>
      <c r="C2263" s="51" t="s">
        <v>1031</v>
      </c>
      <c r="D2263" s="89" t="s">
        <v>369</v>
      </c>
      <c r="E2263" s="89"/>
      <c r="F2263" s="89"/>
      <c r="G2263" s="89"/>
      <c r="H2263" s="89"/>
      <c r="I2263" s="89"/>
      <c r="J2263" s="212"/>
      <c r="K2263" s="212"/>
      <c r="L2263" s="212"/>
      <c r="M2263" s="212"/>
      <c r="N2263" s="212">
        <f t="shared" si="53"/>
        <v>0</v>
      </c>
    </row>
    <row r="2264" spans="1:14" s="407" customFormat="1" ht="12.75" x14ac:dyDescent="0.2">
      <c r="A2264" s="152"/>
      <c r="B2264" s="73"/>
      <c r="C2264" s="51" t="s">
        <v>1009</v>
      </c>
      <c r="D2264" s="89" t="s">
        <v>369</v>
      </c>
      <c r="E2264" s="89"/>
      <c r="F2264" s="89"/>
      <c r="G2264" s="89"/>
      <c r="H2264" s="89"/>
      <c r="I2264" s="89"/>
      <c r="J2264" s="212"/>
      <c r="K2264" s="212"/>
      <c r="L2264" s="212"/>
      <c r="M2264" s="212"/>
      <c r="N2264" s="212">
        <f t="shared" si="53"/>
        <v>0</v>
      </c>
    </row>
    <row r="2265" spans="1:14" s="407" customFormat="1" ht="12.75" x14ac:dyDescent="0.2">
      <c r="A2265" s="152"/>
      <c r="B2265" s="73"/>
      <c r="C2265" s="51" t="s">
        <v>107</v>
      </c>
      <c r="D2265" s="89" t="s">
        <v>369</v>
      </c>
      <c r="E2265" s="89"/>
      <c r="F2265" s="89"/>
      <c r="G2265" s="89"/>
      <c r="H2265" s="89"/>
      <c r="I2265" s="89"/>
      <c r="J2265" s="212"/>
      <c r="K2265" s="212"/>
      <c r="L2265" s="212"/>
      <c r="M2265" s="212"/>
      <c r="N2265" s="212">
        <f t="shared" si="53"/>
        <v>0</v>
      </c>
    </row>
    <row r="2266" spans="1:14" s="407" customFormat="1" ht="12.75" x14ac:dyDescent="0.2">
      <c r="A2266" s="152"/>
      <c r="B2266" s="73"/>
      <c r="C2266" s="51" t="s">
        <v>1026</v>
      </c>
      <c r="D2266" s="89" t="s">
        <v>369</v>
      </c>
      <c r="E2266" s="89"/>
      <c r="F2266" s="89"/>
      <c r="G2266" s="89"/>
      <c r="H2266" s="89"/>
      <c r="I2266" s="89"/>
      <c r="J2266" s="212"/>
      <c r="K2266" s="212"/>
      <c r="L2266" s="212"/>
      <c r="M2266" s="212"/>
      <c r="N2266" s="212">
        <f t="shared" si="53"/>
        <v>0</v>
      </c>
    </row>
    <row r="2267" spans="1:14" s="407" customFormat="1" ht="12.75" x14ac:dyDescent="0.2">
      <c r="A2267" s="152"/>
      <c r="B2267" s="73"/>
      <c r="C2267" s="51" t="s">
        <v>1027</v>
      </c>
      <c r="D2267" s="89" t="s">
        <v>369</v>
      </c>
      <c r="E2267" s="89"/>
      <c r="F2267" s="89"/>
      <c r="G2267" s="89"/>
      <c r="H2267" s="89"/>
      <c r="I2267" s="89"/>
      <c r="J2267" s="212"/>
      <c r="K2267" s="212"/>
      <c r="L2267" s="212"/>
      <c r="M2267" s="212"/>
      <c r="N2267" s="212">
        <f t="shared" si="53"/>
        <v>0</v>
      </c>
    </row>
    <row r="2268" spans="1:14" s="407" customFormat="1" ht="12.75" x14ac:dyDescent="0.2">
      <c r="A2268" s="152"/>
      <c r="B2268" s="73"/>
      <c r="C2268" s="51" t="s">
        <v>955</v>
      </c>
      <c r="D2268" s="89" t="s">
        <v>369</v>
      </c>
      <c r="E2268" s="89"/>
      <c r="F2268" s="89"/>
      <c r="G2268" s="89"/>
      <c r="H2268" s="89"/>
      <c r="I2268" s="89"/>
      <c r="J2268" s="212"/>
      <c r="K2268" s="212"/>
      <c r="L2268" s="212"/>
      <c r="M2268" s="212"/>
      <c r="N2268" s="212">
        <f t="shared" si="53"/>
        <v>0</v>
      </c>
    </row>
    <row r="2269" spans="1:14" s="407" customFormat="1" ht="12.75" x14ac:dyDescent="0.2">
      <c r="A2269" s="152"/>
      <c r="B2269" s="73"/>
      <c r="C2269" s="51" t="s">
        <v>958</v>
      </c>
      <c r="D2269" s="89" t="s">
        <v>369</v>
      </c>
      <c r="E2269" s="89"/>
      <c r="F2269" s="89"/>
      <c r="G2269" s="89"/>
      <c r="H2269" s="89"/>
      <c r="I2269" s="89"/>
      <c r="J2269" s="212"/>
      <c r="K2269" s="212"/>
      <c r="L2269" s="212"/>
      <c r="M2269" s="212"/>
      <c r="N2269" s="212">
        <f t="shared" si="53"/>
        <v>0</v>
      </c>
    </row>
    <row r="2270" spans="1:14" s="407" customFormat="1" ht="12.75" x14ac:dyDescent="0.2">
      <c r="A2270" s="152"/>
      <c r="B2270" s="73"/>
      <c r="C2270" s="51" t="s">
        <v>1032</v>
      </c>
      <c r="D2270" s="89" t="s">
        <v>369</v>
      </c>
      <c r="E2270" s="89"/>
      <c r="F2270" s="89"/>
      <c r="G2270" s="89"/>
      <c r="H2270" s="89"/>
      <c r="I2270" s="89"/>
      <c r="J2270" s="212"/>
      <c r="K2270" s="212"/>
      <c r="L2270" s="212"/>
      <c r="M2270" s="212"/>
      <c r="N2270" s="212">
        <f t="shared" si="53"/>
        <v>0</v>
      </c>
    </row>
    <row r="2271" spans="1:14" s="407" customFormat="1" ht="12.75" x14ac:dyDescent="0.2">
      <c r="A2271" s="152"/>
      <c r="B2271" s="73"/>
      <c r="C2271" s="51" t="s">
        <v>109</v>
      </c>
      <c r="D2271" s="89" t="s">
        <v>369</v>
      </c>
      <c r="E2271" s="89"/>
      <c r="F2271" s="89"/>
      <c r="G2271" s="89"/>
      <c r="H2271" s="89"/>
      <c r="I2271" s="89"/>
      <c r="J2271" s="212"/>
      <c r="K2271" s="212"/>
      <c r="L2271" s="212"/>
      <c r="M2271" s="212"/>
      <c r="N2271" s="212">
        <f t="shared" si="53"/>
        <v>0</v>
      </c>
    </row>
    <row r="2272" spans="1:14" s="407" customFormat="1" ht="12.75" x14ac:dyDescent="0.2">
      <c r="A2272" s="152"/>
      <c r="B2272" s="73"/>
      <c r="C2272" s="51" t="s">
        <v>966</v>
      </c>
      <c r="D2272" s="89" t="s">
        <v>369</v>
      </c>
      <c r="E2272" s="89"/>
      <c r="F2272" s="89"/>
      <c r="G2272" s="89"/>
      <c r="H2272" s="89"/>
      <c r="I2272" s="89"/>
      <c r="J2272" s="212"/>
      <c r="K2272" s="212"/>
      <c r="L2272" s="212"/>
      <c r="M2272" s="212"/>
      <c r="N2272" s="212">
        <f t="shared" si="53"/>
        <v>0</v>
      </c>
    </row>
    <row r="2273" spans="1:14" s="407" customFormat="1" ht="12.75" x14ac:dyDescent="0.2">
      <c r="A2273" s="152"/>
      <c r="B2273" s="73"/>
      <c r="C2273" s="51" t="s">
        <v>981</v>
      </c>
      <c r="D2273" s="89" t="s">
        <v>369</v>
      </c>
      <c r="E2273" s="89"/>
      <c r="F2273" s="89"/>
      <c r="G2273" s="89"/>
      <c r="H2273" s="89"/>
      <c r="I2273" s="89"/>
      <c r="J2273" s="212"/>
      <c r="K2273" s="212"/>
      <c r="L2273" s="212"/>
      <c r="M2273" s="212"/>
      <c r="N2273" s="212">
        <f t="shared" si="53"/>
        <v>0</v>
      </c>
    </row>
    <row r="2274" spans="1:14" s="407" customFormat="1" ht="12.75" x14ac:dyDescent="0.2">
      <c r="A2274" s="152"/>
      <c r="B2274" s="73"/>
      <c r="C2274" s="51" t="s">
        <v>963</v>
      </c>
      <c r="D2274" s="89" t="s">
        <v>369</v>
      </c>
      <c r="E2274" s="89"/>
      <c r="F2274" s="89"/>
      <c r="G2274" s="89"/>
      <c r="H2274" s="89"/>
      <c r="I2274" s="89"/>
      <c r="J2274" s="212"/>
      <c r="K2274" s="212"/>
      <c r="L2274" s="212"/>
      <c r="M2274" s="212"/>
      <c r="N2274" s="212">
        <f t="shared" si="53"/>
        <v>0</v>
      </c>
    </row>
    <row r="2275" spans="1:14" s="407" customFormat="1" ht="12.75" x14ac:dyDescent="0.2">
      <c r="A2275" s="152"/>
      <c r="B2275" s="73"/>
      <c r="C2275" s="51" t="s">
        <v>120</v>
      </c>
      <c r="D2275" s="89" t="s">
        <v>369</v>
      </c>
      <c r="E2275" s="89"/>
      <c r="F2275" s="89"/>
      <c r="G2275" s="89"/>
      <c r="H2275" s="89"/>
      <c r="I2275" s="89"/>
      <c r="J2275" s="212"/>
      <c r="K2275" s="212"/>
      <c r="L2275" s="212"/>
      <c r="M2275" s="212"/>
      <c r="N2275" s="212">
        <f t="shared" si="53"/>
        <v>0</v>
      </c>
    </row>
    <row r="2276" spans="1:14" s="407" customFormat="1" ht="12.75" x14ac:dyDescent="0.2">
      <c r="A2276" s="152"/>
      <c r="B2276" s="73"/>
      <c r="C2276" s="51" t="s">
        <v>989</v>
      </c>
      <c r="D2276" s="89" t="s">
        <v>369</v>
      </c>
      <c r="E2276" s="89"/>
      <c r="F2276" s="89"/>
      <c r="G2276" s="89"/>
      <c r="H2276" s="89"/>
      <c r="I2276" s="89"/>
      <c r="J2276" s="212"/>
      <c r="K2276" s="212"/>
      <c r="L2276" s="212"/>
      <c r="M2276" s="212"/>
      <c r="N2276" s="212">
        <f t="shared" si="53"/>
        <v>0</v>
      </c>
    </row>
    <row r="2277" spans="1:14" s="235" customFormat="1" ht="13.5" thickBot="1" x14ac:dyDescent="0.25">
      <c r="A2277" s="204"/>
      <c r="B2277" s="145"/>
      <c r="C2277" s="242"/>
      <c r="D2277" s="147"/>
      <c r="E2277" s="147"/>
      <c r="F2277" s="147"/>
      <c r="G2277" s="147"/>
      <c r="H2277" s="147"/>
      <c r="I2277" s="147"/>
      <c r="J2277" s="206"/>
      <c r="K2277" s="206"/>
      <c r="L2277" s="206"/>
      <c r="M2277" s="206"/>
      <c r="N2277" s="206"/>
    </row>
    <row r="2278" spans="1:14" s="235" customFormat="1" ht="13.5" thickBot="1" x14ac:dyDescent="0.25">
      <c r="A2278" s="247"/>
      <c r="B2278" s="248"/>
      <c r="C2278" s="248"/>
      <c r="D2278" s="249"/>
      <c r="E2278" s="249"/>
      <c r="F2278" s="249"/>
      <c r="G2278" s="249"/>
      <c r="H2278" s="249"/>
      <c r="I2278" s="249"/>
      <c r="J2278" s="250"/>
      <c r="K2278" s="250"/>
      <c r="L2278" s="250"/>
      <c r="M2278" s="250"/>
      <c r="N2278" s="250">
        <f>N155-SUM(N391:N2276)</f>
        <v>0</v>
      </c>
    </row>
  </sheetData>
  <autoFilter ref="A25:N355"/>
  <sortState ref="A26:P197">
    <sortCondition ref="B26:B197"/>
  </sortState>
  <dataValidations xWindow="524" yWindow="933" count="10">
    <dataValidation type="list" allowBlank="1" showInputMessage="1" showErrorMessage="1" errorTitle="Error" error="You must choose a funding source from the list." promptTitle="Funding Source" prompt="Choose the appropriate funding source." sqref="C143:C144 C26:C140">
      <formula1>Funding</formula1>
    </dataValidation>
    <dataValidation type="list" allowBlank="1" showInputMessage="1" showErrorMessage="1" errorTitle="Error" error="You must choose Yes or No." promptTitle="Existing Contract" prompt="Yes or No" sqref="I155">
      <formula1>Existing</formula1>
    </dataValidation>
    <dataValidation allowBlank="1" showInputMessage="1" showErrorMessage="1" promptTitle="Contract Start Date" prompt="Enter the Contract Start Date." sqref="G155 I26:I154"/>
    <dataValidation allowBlank="1" showInputMessage="1" showErrorMessage="1" promptTitle="Contract End Date" prompt="Enter the Contract End Date" sqref="H155 J26:J154"/>
    <dataValidation allowBlank="1" showInputMessage="1" showErrorMessage="1" promptTitle="Old Contractor" prompt="Enter the old contractor's name if applicable." sqref="D155"/>
    <dataValidation type="list" allowBlank="1" showInputMessage="1" showErrorMessage="1" errorTitle="Error" error="You must select a contract type from the list." promptTitle="Contract Type" prompt="Select the type of contract from the list." sqref="D26:D154">
      <formula1>Contract</formula1>
    </dataValidation>
    <dataValidation allowBlank="1" showInputMessage="1" showErrorMessage="1" promptTitle="Contractor/Provider" prompt="Enter the old contractor's name if applicable." sqref="G26:G154"/>
    <dataValidation allowBlank="1" showInputMessage="1" showErrorMessage="1" promptTitle="Description/Purpose" prompt="Enter a short description and purpose for the service." sqref="E26:E154"/>
    <dataValidation type="list" errorStyle="warning" allowBlank="1" showInputMessage="1" showErrorMessage="1" errorTitle="Warning" error="Choose the appropriate option." promptTitle="Existing/State Contract" prompt="Select the most appropriate answer. If there is an existing LHC contract, enter the contract number (see Sharepoint)." sqref="F26:F154">
      <formula1>ContractStatus</formula1>
    </dataValidation>
    <dataValidation type="list" allowBlank="1" showInputMessage="1" showErrorMessage="1" errorTitle="Error" error="You must choose a budget unit from the list." promptTitle="Budget Unit" prompt="Choose the appropriate budget unit. Env Review has been combined with Compliance and Facilities/Fleet has been combined with Operations Admin." sqref="B26:B154">
      <formula1>Budgets</formula1>
    </dataValidation>
  </dataValidations>
  <pageMargins left="0.25" right="0.25" top="1" bottom="0.5" header="0.5" footer="0.5"/>
  <pageSetup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08"/>
  <sheetViews>
    <sheetView zoomScaleNormal="100" workbookViewId="0">
      <pane xSplit="4" ySplit="25" topLeftCell="G188" activePane="bottomRight" state="frozen"/>
      <selection pane="topRight" activeCell="E1" sqref="E1"/>
      <selection pane="bottomLeft" activeCell="A26" sqref="A26"/>
      <selection pane="bottomRight" activeCell="I194" sqref="I194"/>
    </sheetView>
  </sheetViews>
  <sheetFormatPr defaultColWidth="9.140625" defaultRowHeight="15" x14ac:dyDescent="0.25"/>
  <cols>
    <col min="1" max="1" width="11.42578125" style="4" customWidth="1"/>
    <col min="2" max="2" width="27.42578125" style="3" customWidth="1"/>
    <col min="3" max="3" width="39.85546875" style="3" customWidth="1"/>
    <col min="4" max="4" width="46.5703125" style="4" customWidth="1"/>
    <col min="5" max="5" width="21.28515625" style="4" customWidth="1"/>
    <col min="6" max="6" width="35.5703125" style="4" customWidth="1"/>
    <col min="7" max="7" width="33.28515625" style="4" customWidth="1"/>
    <col min="8" max="8" width="11.28515625" style="4" customWidth="1"/>
    <col min="9" max="9" width="11.85546875" style="4" customWidth="1"/>
    <col min="10" max="10" width="27" style="4" customWidth="1"/>
    <col min="11" max="11" width="15.28515625" style="4" hidden="1" customWidth="1"/>
    <col min="12" max="12" width="13" style="4" hidden="1" customWidth="1"/>
    <col min="13" max="13" width="13.28515625" style="4" hidden="1" customWidth="1"/>
    <col min="14" max="14" width="14.85546875" style="4" customWidth="1"/>
    <col min="15" max="15" width="12.5703125" style="4" customWidth="1"/>
    <col min="16" max="20" width="9.140625" style="4" customWidth="1"/>
    <col min="21" max="16384" width="9.140625" style="4"/>
  </cols>
  <sheetData>
    <row r="1" spans="1:14" ht="18.75" x14ac:dyDescent="0.3">
      <c r="B1" s="14" t="s">
        <v>384</v>
      </c>
      <c r="D1" s="3"/>
      <c r="E1" s="3"/>
      <c r="F1" s="3"/>
      <c r="G1" s="3"/>
      <c r="H1" s="3"/>
      <c r="I1" s="3"/>
      <c r="J1" s="3"/>
      <c r="K1" s="3"/>
      <c r="L1" s="3"/>
      <c r="M1" s="3"/>
      <c r="N1" s="3"/>
    </row>
    <row r="2" spans="1:14" ht="19.5" thickBot="1" x14ac:dyDescent="0.35">
      <c r="B2" s="14"/>
      <c r="D2" s="3"/>
      <c r="E2" s="3"/>
      <c r="F2" s="3"/>
      <c r="G2" s="3"/>
      <c r="H2" s="3"/>
      <c r="I2" s="3"/>
      <c r="J2" s="3"/>
      <c r="K2" s="3"/>
      <c r="L2" s="3"/>
      <c r="M2" s="3"/>
      <c r="N2" s="3"/>
    </row>
    <row r="3" spans="1:14" customFormat="1" ht="18.75" x14ac:dyDescent="0.3">
      <c r="A3" s="4"/>
      <c r="B3" s="61" t="str">
        <f>HR!C3</f>
        <v>Total FY 2026 Request</v>
      </c>
      <c r="C3" s="53"/>
      <c r="D3" s="54"/>
      <c r="E3" s="712">
        <f>SUM(E4:E23)</f>
        <v>1253852.8900000001</v>
      </c>
      <c r="F3" s="377" t="s">
        <v>486</v>
      </c>
      <c r="G3" s="378"/>
      <c r="H3" s="378"/>
      <c r="I3" s="378"/>
      <c r="J3" s="252">
        <f>SUM(J4:J21)</f>
        <v>1253852.8900000001</v>
      </c>
      <c r="K3" s="229">
        <f>E3-N213</f>
        <v>0</v>
      </c>
      <c r="N3" s="598">
        <f>J3-N213</f>
        <v>0</v>
      </c>
    </row>
    <row r="4" spans="1:14" customFormat="1" ht="15" customHeight="1" x14ac:dyDescent="0.25">
      <c r="A4" s="4"/>
      <c r="B4" s="673" t="s">
        <v>27</v>
      </c>
      <c r="C4" s="389" t="s">
        <v>19</v>
      </c>
      <c r="D4" s="381"/>
      <c r="E4" s="668">
        <f>N214</f>
        <v>67607</v>
      </c>
      <c r="F4" s="387" t="s">
        <v>370</v>
      </c>
      <c r="G4" s="238"/>
      <c r="H4" s="238"/>
      <c r="I4" s="238"/>
      <c r="J4" s="56">
        <f>SUM(N234:N253)</f>
        <v>32968</v>
      </c>
    </row>
    <row r="5" spans="1:14" customFormat="1" ht="15" customHeight="1" x14ac:dyDescent="0.25">
      <c r="A5" s="4"/>
      <c r="B5" s="673" t="s">
        <v>31</v>
      </c>
      <c r="C5" s="666" t="s">
        <v>22</v>
      </c>
      <c r="D5" s="667"/>
      <c r="E5" s="668">
        <f>N216</f>
        <v>46650</v>
      </c>
      <c r="F5" s="387" t="s">
        <v>247</v>
      </c>
      <c r="G5" s="238"/>
      <c r="H5" s="238"/>
      <c r="I5" s="238"/>
      <c r="J5" s="56">
        <f>SUM(N254:N273)</f>
        <v>16800</v>
      </c>
    </row>
    <row r="6" spans="1:14" customFormat="1" ht="15.75" x14ac:dyDescent="0.25">
      <c r="A6" s="4"/>
      <c r="B6" s="673" t="s">
        <v>29</v>
      </c>
      <c r="C6" s="389" t="s">
        <v>1182</v>
      </c>
      <c r="D6" s="381"/>
      <c r="E6" s="668">
        <f>N222</f>
        <v>14300</v>
      </c>
      <c r="F6" s="387" t="s">
        <v>242</v>
      </c>
      <c r="G6" s="238"/>
      <c r="H6" s="238"/>
      <c r="I6" s="238"/>
      <c r="J6" s="56">
        <f>SUM(N274:N293)</f>
        <v>11500</v>
      </c>
    </row>
    <row r="7" spans="1:14" customFormat="1" ht="15.75" x14ac:dyDescent="0.25">
      <c r="A7" s="4"/>
      <c r="B7" s="673" t="s">
        <v>50</v>
      </c>
      <c r="C7" s="389" t="s">
        <v>272</v>
      </c>
      <c r="D7" s="381"/>
      <c r="E7" s="668">
        <f>N225</f>
        <v>2085</v>
      </c>
      <c r="F7" s="387" t="s">
        <v>248</v>
      </c>
      <c r="G7" s="238"/>
      <c r="H7" s="238"/>
      <c r="I7" s="238"/>
      <c r="J7" s="56">
        <f>SUM(N294:N313)</f>
        <v>1000</v>
      </c>
    </row>
    <row r="8" spans="1:14" customFormat="1" ht="15.75" x14ac:dyDescent="0.25">
      <c r="A8" s="4"/>
      <c r="B8" s="673" t="s">
        <v>36</v>
      </c>
      <c r="C8" s="389" t="s">
        <v>810</v>
      </c>
      <c r="D8" s="381"/>
      <c r="E8" s="668">
        <f>N228</f>
        <v>68745</v>
      </c>
      <c r="F8" s="387" t="s">
        <v>2</v>
      </c>
      <c r="G8" s="238"/>
      <c r="H8" s="238"/>
      <c r="I8" s="238"/>
      <c r="J8" s="56">
        <f>SUM(N314:N333)</f>
        <v>48042</v>
      </c>
    </row>
    <row r="9" spans="1:14" customFormat="1" ht="15.75" x14ac:dyDescent="0.25">
      <c r="A9" s="4"/>
      <c r="B9" s="673" t="s">
        <v>35</v>
      </c>
      <c r="C9" s="389" t="s">
        <v>23</v>
      </c>
      <c r="D9" s="381"/>
      <c r="E9" s="668">
        <f>N230</f>
        <v>9975</v>
      </c>
      <c r="F9" s="387" t="s">
        <v>286</v>
      </c>
      <c r="G9" s="238"/>
      <c r="H9" s="238"/>
      <c r="I9" s="238"/>
      <c r="J9" s="56">
        <f>SUM(N334:N353)</f>
        <v>0</v>
      </c>
    </row>
    <row r="10" spans="1:14" customFormat="1" ht="15.75" x14ac:dyDescent="0.25">
      <c r="A10" s="4"/>
      <c r="B10" s="673" t="s">
        <v>37</v>
      </c>
      <c r="C10" s="389" t="s">
        <v>920</v>
      </c>
      <c r="D10" s="381"/>
      <c r="E10" s="668">
        <f>N233</f>
        <v>682375.7</v>
      </c>
      <c r="F10" s="387" t="s">
        <v>249</v>
      </c>
      <c r="G10" s="238"/>
      <c r="H10" s="238"/>
      <c r="I10" s="238"/>
      <c r="J10" s="56">
        <f>SUM(N354:N373)</f>
        <v>0</v>
      </c>
    </row>
    <row r="11" spans="1:14" customFormat="1" ht="15.75" x14ac:dyDescent="0.25">
      <c r="A11" s="4"/>
      <c r="B11" s="673" t="s">
        <v>42</v>
      </c>
      <c r="C11" s="389" t="s">
        <v>24</v>
      </c>
      <c r="D11" s="381"/>
      <c r="E11" s="668">
        <f>N217</f>
        <v>11300</v>
      </c>
      <c r="F11" s="387" t="s">
        <v>1473</v>
      </c>
      <c r="G11" s="539"/>
      <c r="H11" s="539"/>
      <c r="I11" s="539"/>
      <c r="J11" s="56">
        <f>SUM(N374:N393)</f>
        <v>17500</v>
      </c>
    </row>
    <row r="12" spans="1:14" s="236" customFormat="1" ht="15.75" x14ac:dyDescent="0.25">
      <c r="A12" s="407"/>
      <c r="B12" s="673" t="s">
        <v>43</v>
      </c>
      <c r="C12" s="389" t="s">
        <v>260</v>
      </c>
      <c r="D12" s="381"/>
      <c r="E12" s="668">
        <f>N218</f>
        <v>1500</v>
      </c>
      <c r="F12" s="387" t="s">
        <v>367</v>
      </c>
      <c r="G12" s="238"/>
      <c r="H12" s="238"/>
      <c r="I12" s="238"/>
      <c r="J12" s="56">
        <f>SUM(N434:N453)</f>
        <v>433080.69</v>
      </c>
    </row>
    <row r="13" spans="1:14" customFormat="1" ht="15.75" x14ac:dyDescent="0.25">
      <c r="A13" s="4"/>
      <c r="B13" s="673" t="s">
        <v>509</v>
      </c>
      <c r="C13" s="389" t="s">
        <v>508</v>
      </c>
      <c r="D13" s="381"/>
      <c r="E13" s="56">
        <f>N221</f>
        <v>51548</v>
      </c>
      <c r="F13" s="387" t="s">
        <v>244</v>
      </c>
      <c r="G13" s="238"/>
      <c r="H13" s="238"/>
      <c r="I13" s="238"/>
      <c r="J13" s="56">
        <f>SUM(N394:N413)</f>
        <v>4200</v>
      </c>
    </row>
    <row r="14" spans="1:14" customFormat="1" ht="15.75" x14ac:dyDescent="0.25">
      <c r="A14" s="4"/>
      <c r="B14" s="673" t="s">
        <v>507</v>
      </c>
      <c r="C14" s="389" t="s">
        <v>258</v>
      </c>
      <c r="D14" s="381"/>
      <c r="E14" s="56">
        <f>N215</f>
        <v>0</v>
      </c>
      <c r="F14" s="387" t="s">
        <v>352</v>
      </c>
      <c r="G14" s="238"/>
      <c r="H14" s="238"/>
      <c r="I14" s="238"/>
      <c r="J14" s="56">
        <f>SUM(N414:N433)</f>
        <v>26000</v>
      </c>
    </row>
    <row r="15" spans="1:14" customFormat="1" ht="15.75" x14ac:dyDescent="0.25">
      <c r="A15" s="4"/>
      <c r="B15" s="673" t="s">
        <v>28</v>
      </c>
      <c r="C15" s="389" t="s">
        <v>20</v>
      </c>
      <c r="D15" s="381"/>
      <c r="E15" s="56">
        <f>N223</f>
        <v>618.01</v>
      </c>
      <c r="F15" s="387" t="s">
        <v>488</v>
      </c>
      <c r="G15" s="539"/>
      <c r="H15" s="539"/>
      <c r="I15" s="539"/>
      <c r="J15" s="56">
        <f>SUM(N454:N493)</f>
        <v>78175</v>
      </c>
    </row>
    <row r="16" spans="1:14" customFormat="1" ht="15.75" customHeight="1" thickBot="1" x14ac:dyDescent="0.3">
      <c r="A16" s="4"/>
      <c r="B16" s="673" t="s">
        <v>30</v>
      </c>
      <c r="C16" s="389" t="s">
        <v>21</v>
      </c>
      <c r="D16" s="381"/>
      <c r="E16" s="56">
        <f>N226</f>
        <v>3010</v>
      </c>
      <c r="F16" s="387" t="s">
        <v>3</v>
      </c>
      <c r="G16" s="238"/>
      <c r="H16" s="238"/>
      <c r="I16" s="238"/>
      <c r="J16" s="56">
        <f>SUM(N494:N513)</f>
        <v>11450</v>
      </c>
    </row>
    <row r="17" spans="1:17" customFormat="1" ht="16.5" hidden="1" thickBot="1" x14ac:dyDescent="0.3">
      <c r="A17" s="4"/>
      <c r="B17" s="673" t="s">
        <v>38</v>
      </c>
      <c r="C17" s="389" t="s">
        <v>394</v>
      </c>
      <c r="D17" s="381"/>
      <c r="E17" s="56">
        <f>N219</f>
        <v>19086.02</v>
      </c>
      <c r="F17" s="387" t="s">
        <v>246</v>
      </c>
      <c r="G17" s="238"/>
      <c r="H17" s="238"/>
      <c r="I17" s="238"/>
      <c r="J17" s="56">
        <f>SUM(N514:N533)</f>
        <v>3000</v>
      </c>
    </row>
    <row r="18" spans="1:17" customFormat="1" ht="16.5" hidden="1" thickBot="1" x14ac:dyDescent="0.3">
      <c r="A18" s="4"/>
      <c r="B18" s="673" t="s">
        <v>39</v>
      </c>
      <c r="C18" s="389" t="s">
        <v>350</v>
      </c>
      <c r="D18" s="381"/>
      <c r="E18" s="56">
        <f>N220</f>
        <v>174789</v>
      </c>
      <c r="F18" s="387" t="s">
        <v>389</v>
      </c>
      <c r="G18" s="238"/>
      <c r="H18" s="238"/>
      <c r="I18" s="238"/>
      <c r="J18" s="56">
        <f>SUM(N534:N553)</f>
        <v>38500</v>
      </c>
    </row>
    <row r="19" spans="1:17" customFormat="1" ht="16.5" hidden="1" thickBot="1" x14ac:dyDescent="0.3">
      <c r="A19" s="4"/>
      <c r="B19" s="673" t="s">
        <v>1111</v>
      </c>
      <c r="C19" s="389" t="s">
        <v>510</v>
      </c>
      <c r="D19" s="381"/>
      <c r="E19" s="56">
        <f>N224</f>
        <v>4326.01</v>
      </c>
      <c r="F19" s="387" t="s">
        <v>243</v>
      </c>
      <c r="G19" s="238"/>
      <c r="H19" s="238"/>
      <c r="I19" s="238"/>
      <c r="J19" s="56">
        <f>SUM(N554:N573)</f>
        <v>479604.20000000007</v>
      </c>
    </row>
    <row r="20" spans="1:17" customFormat="1" ht="16.5" hidden="1" thickBot="1" x14ac:dyDescent="0.3">
      <c r="A20" s="4"/>
      <c r="B20" s="673" t="s">
        <v>33</v>
      </c>
      <c r="C20" s="389" t="s">
        <v>1471</v>
      </c>
      <c r="D20" s="381"/>
      <c r="E20" s="56">
        <f>N227</f>
        <v>55995.12</v>
      </c>
      <c r="F20" s="387" t="s">
        <v>356</v>
      </c>
      <c r="G20" s="238"/>
      <c r="H20" s="238"/>
      <c r="I20" s="238"/>
      <c r="J20" s="56">
        <f>SUM(N574:N593)</f>
        <v>52033</v>
      </c>
    </row>
    <row r="21" spans="1:17" customFormat="1" ht="16.5" hidden="1" thickBot="1" x14ac:dyDescent="0.3">
      <c r="A21" s="4"/>
      <c r="B21" s="673" t="s">
        <v>41</v>
      </c>
      <c r="C21" s="389" t="s">
        <v>1453</v>
      </c>
      <c r="D21" s="381"/>
      <c r="E21" s="56">
        <f>N231</f>
        <v>37668.03</v>
      </c>
      <c r="F21" s="540"/>
      <c r="G21" s="238"/>
      <c r="H21" s="238"/>
      <c r="I21" s="238"/>
      <c r="J21" s="541"/>
    </row>
    <row r="22" spans="1:17" customFormat="1" ht="16.5" hidden="1" thickBot="1" x14ac:dyDescent="0.3">
      <c r="A22" s="4"/>
      <c r="B22" s="673" t="s">
        <v>34</v>
      </c>
      <c r="C22" s="389" t="s">
        <v>1472</v>
      </c>
      <c r="D22" s="381"/>
      <c r="E22" s="56">
        <f>N232</f>
        <v>1945</v>
      </c>
      <c r="F22" s="540"/>
      <c r="G22" s="238"/>
      <c r="H22" s="238"/>
      <c r="I22" s="238"/>
      <c r="J22" s="541"/>
    </row>
    <row r="23" spans="1:17" customFormat="1" ht="16.5" hidden="1" thickBot="1" x14ac:dyDescent="0.3">
      <c r="A23" s="4"/>
      <c r="B23" s="674" t="s">
        <v>32</v>
      </c>
      <c r="C23" s="391" t="s">
        <v>811</v>
      </c>
      <c r="D23" s="382"/>
      <c r="E23" s="231">
        <f>N229</f>
        <v>330</v>
      </c>
      <c r="F23" s="542"/>
      <c r="G23" s="543"/>
      <c r="H23" s="543"/>
      <c r="I23" s="543"/>
      <c r="J23" s="544"/>
    </row>
    <row r="24" spans="1:17" ht="19.5" hidden="1" thickBot="1" x14ac:dyDescent="0.35">
      <c r="A24" s="14"/>
      <c r="D24" s="3"/>
      <c r="E24" s="3"/>
      <c r="F24" s="3"/>
      <c r="G24" s="3"/>
      <c r="H24" s="3"/>
      <c r="I24" s="3"/>
      <c r="J24" s="3"/>
      <c r="K24" s="3"/>
      <c r="L24" s="3"/>
      <c r="M24" s="3"/>
      <c r="N24" s="3"/>
      <c r="O24" s="3"/>
      <c r="P24" s="3"/>
      <c r="Q24" s="3"/>
    </row>
    <row r="25" spans="1:17" ht="45.75" thickTop="1" x14ac:dyDescent="0.25">
      <c r="A25" s="5" t="s">
        <v>219</v>
      </c>
      <c r="B25" s="8" t="s">
        <v>189</v>
      </c>
      <c r="C25" s="8" t="s">
        <v>13</v>
      </c>
      <c r="D25" s="6" t="s">
        <v>6</v>
      </c>
      <c r="E25" s="6" t="s">
        <v>250</v>
      </c>
      <c r="F25" s="6" t="s">
        <v>255</v>
      </c>
      <c r="G25" s="6" t="s">
        <v>8</v>
      </c>
      <c r="H25" s="6" t="s">
        <v>251</v>
      </c>
      <c r="I25" s="6" t="s">
        <v>252</v>
      </c>
      <c r="J25" s="6" t="s">
        <v>254</v>
      </c>
      <c r="K25" s="7" t="s">
        <v>253</v>
      </c>
      <c r="L25" s="6" t="s">
        <v>12</v>
      </c>
      <c r="M25" s="6" t="s">
        <v>1394</v>
      </c>
      <c r="N25" s="8" t="s">
        <v>1594</v>
      </c>
      <c r="O25" s="642" t="s">
        <v>1569</v>
      </c>
    </row>
    <row r="26" spans="1:17" x14ac:dyDescent="0.25">
      <c r="A26" s="133">
        <f t="shared" ref="A26:A51" si="0">VLOOKUP(J26,OtherOperatingExpenses,2)</f>
        <v>6450000</v>
      </c>
      <c r="B26" s="419" t="s">
        <v>19</v>
      </c>
      <c r="C26" s="419" t="s">
        <v>1019</v>
      </c>
      <c r="D26" s="419" t="s">
        <v>1294</v>
      </c>
      <c r="E26" s="419"/>
      <c r="F26" s="419" t="s">
        <v>1372</v>
      </c>
      <c r="G26" s="419"/>
      <c r="H26" s="355"/>
      <c r="I26" s="355"/>
      <c r="J26" s="419" t="s">
        <v>370</v>
      </c>
      <c r="K26" s="420"/>
      <c r="L26" s="408"/>
      <c r="M26" s="408"/>
      <c r="N26" s="408">
        <v>30250</v>
      </c>
      <c r="O26" s="349"/>
    </row>
    <row r="27" spans="1:17" x14ac:dyDescent="0.25">
      <c r="A27" s="133">
        <f t="shared" si="0"/>
        <v>6450000</v>
      </c>
      <c r="B27" s="419" t="s">
        <v>19</v>
      </c>
      <c r="C27" s="419" t="s">
        <v>994</v>
      </c>
      <c r="D27" s="419" t="s">
        <v>1295</v>
      </c>
      <c r="E27" s="419"/>
      <c r="F27" s="417" t="s">
        <v>1296</v>
      </c>
      <c r="G27" s="419"/>
      <c r="H27" s="355"/>
      <c r="I27" s="355"/>
      <c r="J27" s="419" t="s">
        <v>370</v>
      </c>
      <c r="K27" s="420"/>
      <c r="L27" s="408"/>
      <c r="M27" s="408"/>
      <c r="N27" s="408"/>
      <c r="O27" s="349"/>
    </row>
    <row r="28" spans="1:17" x14ac:dyDescent="0.25">
      <c r="A28" s="133">
        <f t="shared" si="0"/>
        <v>6450000</v>
      </c>
      <c r="B28" s="419" t="s">
        <v>19</v>
      </c>
      <c r="C28" s="419" t="s">
        <v>954</v>
      </c>
      <c r="D28" s="419" t="s">
        <v>1295</v>
      </c>
      <c r="E28" s="419"/>
      <c r="F28" s="419" t="s">
        <v>1296</v>
      </c>
      <c r="G28" s="419"/>
      <c r="H28" s="355"/>
      <c r="I28" s="355"/>
      <c r="J28" s="419" t="s">
        <v>370</v>
      </c>
      <c r="K28" s="420"/>
      <c r="L28" s="408"/>
      <c r="M28" s="408"/>
      <c r="N28" s="408">
        <v>1200</v>
      </c>
      <c r="O28" s="349"/>
    </row>
    <row r="29" spans="1:17" s="407" customFormat="1" x14ac:dyDescent="0.25">
      <c r="A29" s="133">
        <f t="shared" si="0"/>
        <v>6450000</v>
      </c>
      <c r="B29" s="419" t="s">
        <v>19</v>
      </c>
      <c r="C29" s="419" t="s">
        <v>109</v>
      </c>
      <c r="D29" s="419" t="s">
        <v>1295</v>
      </c>
      <c r="E29" s="419"/>
      <c r="F29" s="419" t="s">
        <v>1296</v>
      </c>
      <c r="G29" s="419"/>
      <c r="H29" s="355"/>
      <c r="I29" s="355"/>
      <c r="J29" s="419" t="s">
        <v>370</v>
      </c>
      <c r="K29" s="420"/>
      <c r="L29" s="408"/>
      <c r="M29" s="408"/>
      <c r="N29" s="408">
        <v>947</v>
      </c>
      <c r="O29" s="349"/>
    </row>
    <row r="30" spans="1:17" s="407" customFormat="1" x14ac:dyDescent="0.25">
      <c r="A30" s="133">
        <f t="shared" si="0"/>
        <v>6450000</v>
      </c>
      <c r="B30" s="419" t="s">
        <v>19</v>
      </c>
      <c r="C30" s="419" t="s">
        <v>1044</v>
      </c>
      <c r="D30" s="419" t="s">
        <v>1295</v>
      </c>
      <c r="E30" s="419"/>
      <c r="F30" s="419" t="s">
        <v>1296</v>
      </c>
      <c r="G30" s="419"/>
      <c r="H30" s="355"/>
      <c r="I30" s="355"/>
      <c r="J30" s="419" t="s">
        <v>370</v>
      </c>
      <c r="K30" s="420"/>
      <c r="L30" s="408"/>
      <c r="M30" s="408"/>
      <c r="N30" s="408">
        <v>203</v>
      </c>
      <c r="O30" s="349"/>
    </row>
    <row r="31" spans="1:17" x14ac:dyDescent="0.25">
      <c r="A31" s="133">
        <f t="shared" si="0"/>
        <v>6450000</v>
      </c>
      <c r="B31" s="419" t="s">
        <v>19</v>
      </c>
      <c r="C31" s="419" t="s">
        <v>1019</v>
      </c>
      <c r="D31" s="419" t="s">
        <v>1570</v>
      </c>
      <c r="E31" s="419"/>
      <c r="F31" s="419" t="s">
        <v>1296</v>
      </c>
      <c r="G31" s="419"/>
      <c r="H31" s="355"/>
      <c r="I31" s="355"/>
      <c r="J31" s="419" t="s">
        <v>370</v>
      </c>
      <c r="K31" s="420"/>
      <c r="L31" s="408"/>
      <c r="M31" s="408"/>
      <c r="N31" s="408">
        <v>368</v>
      </c>
      <c r="O31" s="349"/>
    </row>
    <row r="32" spans="1:17" x14ac:dyDescent="0.25">
      <c r="A32" s="133">
        <f t="shared" si="0"/>
        <v>6375000</v>
      </c>
      <c r="B32" s="419" t="s">
        <v>19</v>
      </c>
      <c r="C32" s="419" t="s">
        <v>1019</v>
      </c>
      <c r="D32" s="419" t="s">
        <v>1297</v>
      </c>
      <c r="E32" s="419"/>
      <c r="F32" s="419" t="s">
        <v>1298</v>
      </c>
      <c r="G32" s="419"/>
      <c r="H32" s="355"/>
      <c r="I32" s="355"/>
      <c r="J32" s="419" t="s">
        <v>243</v>
      </c>
      <c r="K32" s="420"/>
      <c r="L32" s="408"/>
      <c r="M32" s="408"/>
      <c r="N32" s="408">
        <v>2400</v>
      </c>
      <c r="O32" s="349"/>
    </row>
    <row r="33" spans="1:16" x14ac:dyDescent="0.25">
      <c r="A33" s="411">
        <f t="shared" si="0"/>
        <v>6325000</v>
      </c>
      <c r="B33" s="419" t="s">
        <v>19</v>
      </c>
      <c r="C33" s="419" t="s">
        <v>1019</v>
      </c>
      <c r="D33" s="417" t="s">
        <v>1299</v>
      </c>
      <c r="E33" s="417"/>
      <c r="F33" s="417" t="s">
        <v>1298</v>
      </c>
      <c r="G33" s="417"/>
      <c r="H33" s="259"/>
      <c r="I33" s="259"/>
      <c r="J33" s="417" t="s">
        <v>367</v>
      </c>
      <c r="K33" s="420"/>
      <c r="L33" s="408"/>
      <c r="M33" s="408"/>
      <c r="N33" s="408">
        <v>3000</v>
      </c>
      <c r="O33" s="349"/>
    </row>
    <row r="34" spans="1:16" x14ac:dyDescent="0.25">
      <c r="A34" s="411">
        <f t="shared" si="0"/>
        <v>6325000</v>
      </c>
      <c r="B34" s="419" t="s">
        <v>19</v>
      </c>
      <c r="C34" s="419" t="s">
        <v>1019</v>
      </c>
      <c r="D34" s="417" t="s">
        <v>1300</v>
      </c>
      <c r="E34" s="417"/>
      <c r="F34" s="417" t="s">
        <v>1298</v>
      </c>
      <c r="G34" s="417"/>
      <c r="H34" s="259"/>
      <c r="I34" s="259"/>
      <c r="J34" s="417" t="s">
        <v>367</v>
      </c>
      <c r="K34" s="420"/>
      <c r="L34" s="408"/>
      <c r="M34" s="408"/>
      <c r="N34" s="408">
        <v>1075</v>
      </c>
      <c r="O34" s="349"/>
    </row>
    <row r="35" spans="1:16" x14ac:dyDescent="0.25">
      <c r="A35" s="411">
        <f t="shared" si="0"/>
        <v>6325000</v>
      </c>
      <c r="B35" s="419" t="s">
        <v>19</v>
      </c>
      <c r="C35" s="419" t="s">
        <v>1019</v>
      </c>
      <c r="D35" s="417" t="s">
        <v>1301</v>
      </c>
      <c r="E35" s="417"/>
      <c r="F35" s="417" t="s">
        <v>1298</v>
      </c>
      <c r="G35" s="417"/>
      <c r="H35" s="259"/>
      <c r="I35" s="259"/>
      <c r="J35" s="417" t="s">
        <v>367</v>
      </c>
      <c r="K35" s="420"/>
      <c r="L35" s="408"/>
      <c r="M35" s="408"/>
      <c r="N35" s="408">
        <v>35</v>
      </c>
      <c r="O35" s="349"/>
    </row>
    <row r="36" spans="1:16" x14ac:dyDescent="0.25">
      <c r="A36" s="411">
        <f t="shared" si="0"/>
        <v>6375000</v>
      </c>
      <c r="B36" s="419" t="s">
        <v>19</v>
      </c>
      <c r="C36" s="419" t="s">
        <v>98</v>
      </c>
      <c r="D36" s="417" t="s">
        <v>1302</v>
      </c>
      <c r="E36" s="417"/>
      <c r="F36" s="417" t="s">
        <v>1298</v>
      </c>
      <c r="G36" s="417"/>
      <c r="H36" s="259"/>
      <c r="I36" s="259"/>
      <c r="J36" s="417" t="s">
        <v>243</v>
      </c>
      <c r="K36" s="420"/>
      <c r="L36" s="408"/>
      <c r="M36" s="408"/>
      <c r="N36" s="408">
        <v>379</v>
      </c>
      <c r="O36" s="349"/>
    </row>
    <row r="37" spans="1:16" x14ac:dyDescent="0.25">
      <c r="A37" s="411">
        <f t="shared" si="0"/>
        <v>6375000</v>
      </c>
      <c r="B37" s="419" t="s">
        <v>19</v>
      </c>
      <c r="C37" s="419" t="s">
        <v>1019</v>
      </c>
      <c r="D37" s="417" t="s">
        <v>1303</v>
      </c>
      <c r="E37" s="417"/>
      <c r="F37" s="417" t="s">
        <v>1305</v>
      </c>
      <c r="G37" s="417"/>
      <c r="H37" s="259"/>
      <c r="I37" s="259"/>
      <c r="J37" s="417" t="s">
        <v>243</v>
      </c>
      <c r="K37" s="420"/>
      <c r="L37" s="408"/>
      <c r="M37" s="408"/>
      <c r="N37" s="408">
        <v>250</v>
      </c>
      <c r="O37" s="349"/>
    </row>
    <row r="38" spans="1:16" x14ac:dyDescent="0.25">
      <c r="A38" s="411">
        <f t="shared" si="0"/>
        <v>6350000</v>
      </c>
      <c r="B38" s="419" t="s">
        <v>19</v>
      </c>
      <c r="C38" s="419" t="s">
        <v>1019</v>
      </c>
      <c r="D38" s="417" t="s">
        <v>1304</v>
      </c>
      <c r="E38" s="417"/>
      <c r="F38" s="417" t="s">
        <v>1305</v>
      </c>
      <c r="G38" s="417"/>
      <c r="H38" s="259"/>
      <c r="I38" s="259"/>
      <c r="J38" s="417" t="s">
        <v>2</v>
      </c>
      <c r="K38" s="420"/>
      <c r="L38" s="408"/>
      <c r="M38" s="408"/>
      <c r="N38" s="408">
        <v>20500</v>
      </c>
      <c r="O38" s="349"/>
    </row>
    <row r="39" spans="1:16" x14ac:dyDescent="0.25">
      <c r="A39" s="411">
        <f t="shared" si="0"/>
        <v>6375000</v>
      </c>
      <c r="B39" s="419" t="s">
        <v>19</v>
      </c>
      <c r="C39" s="419" t="s">
        <v>1019</v>
      </c>
      <c r="D39" s="417" t="s">
        <v>1572</v>
      </c>
      <c r="E39" s="417"/>
      <c r="F39" s="417" t="s">
        <v>1305</v>
      </c>
      <c r="G39" s="417"/>
      <c r="H39" s="259"/>
      <c r="I39" s="259"/>
      <c r="J39" s="417" t="s">
        <v>243</v>
      </c>
      <c r="K39" s="420"/>
      <c r="L39" s="408"/>
      <c r="M39" s="408"/>
      <c r="N39" s="408">
        <v>3000</v>
      </c>
      <c r="O39" s="349"/>
    </row>
    <row r="40" spans="1:16" x14ac:dyDescent="0.25">
      <c r="A40" s="133">
        <f t="shared" si="0"/>
        <v>6365000</v>
      </c>
      <c r="B40" s="419" t="s">
        <v>19</v>
      </c>
      <c r="C40" s="419" t="s">
        <v>46</v>
      </c>
      <c r="D40" s="417" t="s">
        <v>1373</v>
      </c>
      <c r="E40" s="417"/>
      <c r="F40" s="417" t="s">
        <v>1571</v>
      </c>
      <c r="G40" s="417"/>
      <c r="H40" s="259"/>
      <c r="I40" s="259"/>
      <c r="J40" s="417" t="s">
        <v>488</v>
      </c>
      <c r="K40" s="420"/>
      <c r="L40" s="408"/>
      <c r="M40" s="408"/>
      <c r="N40" s="408">
        <v>4000</v>
      </c>
      <c r="O40" s="349"/>
    </row>
    <row r="41" spans="1:16" x14ac:dyDescent="0.25">
      <c r="A41" s="133">
        <f t="shared" si="0"/>
        <v>6375000</v>
      </c>
      <c r="B41" s="419" t="s">
        <v>22</v>
      </c>
      <c r="C41" s="419" t="s">
        <v>1019</v>
      </c>
      <c r="D41" s="417" t="s">
        <v>1318</v>
      </c>
      <c r="E41" s="417"/>
      <c r="F41" s="417" t="s">
        <v>1317</v>
      </c>
      <c r="G41" s="417"/>
      <c r="H41" s="355"/>
      <c r="I41" s="355"/>
      <c r="J41" s="417" t="s">
        <v>243</v>
      </c>
      <c r="K41" s="420"/>
      <c r="L41" s="408"/>
      <c r="M41" s="408"/>
      <c r="N41" s="408">
        <v>45000</v>
      </c>
      <c r="O41" s="40"/>
      <c r="P41" s="246"/>
    </row>
    <row r="42" spans="1:16" x14ac:dyDescent="0.25">
      <c r="A42" s="133">
        <f t="shared" si="0"/>
        <v>6350000</v>
      </c>
      <c r="B42" s="419" t="s">
        <v>22</v>
      </c>
      <c r="C42" s="419" t="s">
        <v>1019</v>
      </c>
      <c r="D42" s="417" t="s">
        <v>1670</v>
      </c>
      <c r="E42" s="417"/>
      <c r="F42" s="421" t="s">
        <v>1669</v>
      </c>
      <c r="G42" s="421"/>
      <c r="H42" s="355"/>
      <c r="I42" s="355"/>
      <c r="J42" s="417" t="s">
        <v>2</v>
      </c>
      <c r="K42" s="420"/>
      <c r="L42" s="408"/>
      <c r="M42" s="408"/>
      <c r="N42" s="408">
        <v>175</v>
      </c>
      <c r="O42" s="349"/>
    </row>
    <row r="43" spans="1:16" x14ac:dyDescent="0.25">
      <c r="A43" s="411">
        <f t="shared" si="0"/>
        <v>6350000</v>
      </c>
      <c r="B43" s="419" t="s">
        <v>22</v>
      </c>
      <c r="C43" s="419" t="s">
        <v>1019</v>
      </c>
      <c r="D43" s="417" t="s">
        <v>1319</v>
      </c>
      <c r="E43" s="417"/>
      <c r="F43" s="421" t="s">
        <v>1320</v>
      </c>
      <c r="G43" s="421"/>
      <c r="H43" s="355"/>
      <c r="I43" s="355"/>
      <c r="J43" s="417" t="s">
        <v>2</v>
      </c>
      <c r="K43" s="420"/>
      <c r="L43" s="408"/>
      <c r="M43" s="408"/>
      <c r="N43" s="408">
        <v>175</v>
      </c>
      <c r="O43" s="349"/>
    </row>
    <row r="44" spans="1:16" x14ac:dyDescent="0.25">
      <c r="A44" s="411">
        <f t="shared" si="0"/>
        <v>6350000</v>
      </c>
      <c r="B44" s="419" t="s">
        <v>22</v>
      </c>
      <c r="C44" s="419" t="s">
        <v>1019</v>
      </c>
      <c r="D44" s="417" t="s">
        <v>1672</v>
      </c>
      <c r="E44" s="417"/>
      <c r="F44" s="421" t="s">
        <v>1671</v>
      </c>
      <c r="G44" s="421"/>
      <c r="H44" s="355"/>
      <c r="I44" s="355"/>
      <c r="J44" s="417" t="s">
        <v>2</v>
      </c>
      <c r="K44" s="420"/>
      <c r="L44" s="408"/>
      <c r="M44" s="408"/>
      <c r="N44" s="408">
        <v>100</v>
      </c>
      <c r="O44" s="349"/>
    </row>
    <row r="45" spans="1:16" x14ac:dyDescent="0.25">
      <c r="A45" s="133">
        <f t="shared" si="0"/>
        <v>6385000</v>
      </c>
      <c r="B45" s="419" t="s">
        <v>22</v>
      </c>
      <c r="C45" s="419" t="s">
        <v>1019</v>
      </c>
      <c r="D45" s="417" t="s">
        <v>1673</v>
      </c>
      <c r="E45" s="417"/>
      <c r="F45" s="421" t="s">
        <v>1188</v>
      </c>
      <c r="G45" s="421"/>
      <c r="H45" s="355"/>
      <c r="I45" s="355"/>
      <c r="J45" s="419" t="s">
        <v>244</v>
      </c>
      <c r="K45" s="420"/>
      <c r="L45" s="408"/>
      <c r="M45" s="408"/>
      <c r="N45" s="408">
        <v>1200</v>
      </c>
      <c r="O45" s="349"/>
    </row>
    <row r="46" spans="1:16" x14ac:dyDescent="0.25">
      <c r="A46" s="133">
        <f t="shared" si="0"/>
        <v>6355000</v>
      </c>
      <c r="B46" s="419" t="s">
        <v>24</v>
      </c>
      <c r="C46" s="419" t="s">
        <v>1019</v>
      </c>
      <c r="D46" s="417" t="s">
        <v>3</v>
      </c>
      <c r="E46" s="419"/>
      <c r="F46" s="417" t="s">
        <v>1389</v>
      </c>
      <c r="G46" s="419"/>
      <c r="H46" s="355"/>
      <c r="I46" s="355"/>
      <c r="J46" s="419" t="s">
        <v>3</v>
      </c>
      <c r="K46" s="418"/>
      <c r="L46" s="418"/>
      <c r="M46" s="418"/>
      <c r="N46" s="418">
        <v>1500</v>
      </c>
      <c r="O46" s="349"/>
      <c r="P46" s="407"/>
    </row>
    <row r="47" spans="1:16" x14ac:dyDescent="0.25">
      <c r="A47" s="411">
        <f t="shared" si="0"/>
        <v>6365000</v>
      </c>
      <c r="B47" s="419" t="s">
        <v>24</v>
      </c>
      <c r="C47" s="419" t="s">
        <v>1019</v>
      </c>
      <c r="D47" s="417" t="s">
        <v>1419</v>
      </c>
      <c r="E47" s="419"/>
      <c r="F47" s="417"/>
      <c r="G47" s="417"/>
      <c r="H47" s="259"/>
      <c r="I47" s="259"/>
      <c r="J47" s="417" t="s">
        <v>488</v>
      </c>
      <c r="K47" s="348"/>
      <c r="L47" s="418"/>
      <c r="M47" s="418"/>
      <c r="N47" s="418">
        <v>2000</v>
      </c>
      <c r="O47" s="349"/>
    </row>
    <row r="48" spans="1:16" x14ac:dyDescent="0.25">
      <c r="A48" s="411">
        <f t="shared" si="0"/>
        <v>6365000</v>
      </c>
      <c r="B48" s="419" t="s">
        <v>24</v>
      </c>
      <c r="C48" s="419" t="s">
        <v>1019</v>
      </c>
      <c r="D48" s="417" t="s">
        <v>1652</v>
      </c>
      <c r="E48" s="419"/>
      <c r="F48" s="417"/>
      <c r="G48" s="417"/>
      <c r="H48" s="259"/>
      <c r="I48" s="259"/>
      <c r="J48" s="417" t="s">
        <v>1653</v>
      </c>
      <c r="K48" s="348"/>
      <c r="L48" s="418"/>
      <c r="M48" s="418"/>
      <c r="N48" s="418">
        <v>2000</v>
      </c>
      <c r="O48" s="349"/>
    </row>
    <row r="49" spans="1:16" x14ac:dyDescent="0.25">
      <c r="A49" s="411">
        <f t="shared" si="0"/>
        <v>6380000</v>
      </c>
      <c r="B49" s="419" t="s">
        <v>24</v>
      </c>
      <c r="C49" s="419" t="s">
        <v>1655</v>
      </c>
      <c r="D49" s="417" t="s">
        <v>1654</v>
      </c>
      <c r="E49" s="419"/>
      <c r="F49" s="419"/>
      <c r="G49" s="419"/>
      <c r="H49" s="355"/>
      <c r="I49" s="355"/>
      <c r="J49" s="417" t="s">
        <v>242</v>
      </c>
      <c r="K49" s="418"/>
      <c r="L49" s="418"/>
      <c r="M49" s="418"/>
      <c r="N49" s="418">
        <v>3000</v>
      </c>
      <c r="O49" s="349"/>
    </row>
    <row r="50" spans="1:16" x14ac:dyDescent="0.25">
      <c r="A50" s="411">
        <f t="shared" si="0"/>
        <v>6350000</v>
      </c>
      <c r="B50" s="419" t="s">
        <v>24</v>
      </c>
      <c r="C50" s="19" t="s">
        <v>976</v>
      </c>
      <c r="D50" s="417" t="s">
        <v>1179</v>
      </c>
      <c r="E50" s="419"/>
      <c r="F50" s="419" t="s">
        <v>1408</v>
      </c>
      <c r="G50" s="419"/>
      <c r="H50" s="355"/>
      <c r="I50" s="355"/>
      <c r="J50" s="417" t="s">
        <v>2</v>
      </c>
      <c r="K50" s="418"/>
      <c r="L50" s="418"/>
      <c r="M50" s="418"/>
      <c r="N50" s="418">
        <v>400</v>
      </c>
      <c r="O50" s="349"/>
    </row>
    <row r="51" spans="1:16" x14ac:dyDescent="0.25">
      <c r="A51" s="411">
        <f t="shared" si="0"/>
        <v>6350000</v>
      </c>
      <c r="B51" s="419" t="s">
        <v>24</v>
      </c>
      <c r="C51" s="419" t="s">
        <v>1019</v>
      </c>
      <c r="D51" s="419" t="s">
        <v>1179</v>
      </c>
      <c r="E51" s="419"/>
      <c r="F51" s="419" t="s">
        <v>1656</v>
      </c>
      <c r="G51" s="419"/>
      <c r="H51" s="355"/>
      <c r="I51" s="355"/>
      <c r="J51" s="417" t="s">
        <v>2</v>
      </c>
      <c r="K51" s="418"/>
      <c r="L51" s="418"/>
      <c r="M51" s="418"/>
      <c r="N51" s="418">
        <v>700</v>
      </c>
      <c r="O51" s="349"/>
    </row>
    <row r="52" spans="1:16" x14ac:dyDescent="0.25">
      <c r="A52" s="411">
        <f t="shared" ref="A52:A89" si="1">VLOOKUP(J52,OtherOperatingExpenses,2)</f>
        <v>6365000</v>
      </c>
      <c r="B52" s="419" t="s">
        <v>24</v>
      </c>
      <c r="C52" s="419" t="s">
        <v>1019</v>
      </c>
      <c r="D52" s="417" t="s">
        <v>1401</v>
      </c>
      <c r="E52" s="419"/>
      <c r="F52" s="417"/>
      <c r="G52" s="417"/>
      <c r="H52" s="259"/>
      <c r="I52" s="259"/>
      <c r="J52" s="417" t="s">
        <v>488</v>
      </c>
      <c r="K52" s="348"/>
      <c r="L52" s="418"/>
      <c r="M52" s="418"/>
      <c r="N52" s="418">
        <v>700</v>
      </c>
      <c r="O52" s="349"/>
    </row>
    <row r="53" spans="1:16" x14ac:dyDescent="0.25">
      <c r="A53" s="285">
        <f t="shared" si="1"/>
        <v>6385000</v>
      </c>
      <c r="B53" s="419" t="s">
        <v>24</v>
      </c>
      <c r="C53" s="419" t="s">
        <v>1019</v>
      </c>
      <c r="D53" s="417" t="s">
        <v>1468</v>
      </c>
      <c r="E53" s="419"/>
      <c r="F53" s="421"/>
      <c r="G53" s="421"/>
      <c r="H53" s="355"/>
      <c r="I53" s="355"/>
      <c r="J53" s="417" t="s">
        <v>244</v>
      </c>
      <c r="K53" s="408"/>
      <c r="L53" s="408"/>
      <c r="M53" s="408"/>
      <c r="N53" s="408">
        <v>1000</v>
      </c>
      <c r="O53" s="349"/>
    </row>
    <row r="54" spans="1:16" x14ac:dyDescent="0.25">
      <c r="A54" s="411">
        <f t="shared" si="1"/>
        <v>6355000</v>
      </c>
      <c r="B54" s="419" t="s">
        <v>25</v>
      </c>
      <c r="C54" s="419" t="s">
        <v>99</v>
      </c>
      <c r="D54" s="417" t="s">
        <v>3</v>
      </c>
      <c r="E54" s="419"/>
      <c r="F54" s="417" t="s">
        <v>1389</v>
      </c>
      <c r="G54" s="417"/>
      <c r="H54" s="259"/>
      <c r="I54" s="259"/>
      <c r="J54" s="417" t="s">
        <v>3</v>
      </c>
      <c r="K54" s="348"/>
      <c r="L54" s="418"/>
      <c r="M54" s="418"/>
      <c r="N54" s="418">
        <v>500</v>
      </c>
      <c r="O54" s="349"/>
      <c r="P54" s="407"/>
    </row>
    <row r="55" spans="1:16" x14ac:dyDescent="0.25">
      <c r="A55" s="411">
        <f t="shared" si="1"/>
        <v>6375000</v>
      </c>
      <c r="B55" s="419" t="s">
        <v>25</v>
      </c>
      <c r="C55" s="419" t="s">
        <v>96</v>
      </c>
      <c r="D55" s="417" t="s">
        <v>1704</v>
      </c>
      <c r="E55" s="419"/>
      <c r="F55" s="417"/>
      <c r="G55" s="417"/>
      <c r="H55" s="259"/>
      <c r="I55" s="259"/>
      <c r="J55" s="417" t="s">
        <v>243</v>
      </c>
      <c r="K55" s="348"/>
      <c r="L55" s="418"/>
      <c r="M55" s="418"/>
      <c r="N55" s="418">
        <v>1000</v>
      </c>
      <c r="O55" s="349"/>
      <c r="P55" s="246"/>
    </row>
    <row r="56" spans="1:16" x14ac:dyDescent="0.25">
      <c r="A56" s="411">
        <f t="shared" si="1"/>
        <v>6355000</v>
      </c>
      <c r="B56" s="419" t="s">
        <v>394</v>
      </c>
      <c r="C56" s="419" t="s">
        <v>1010</v>
      </c>
      <c r="D56" s="417" t="s">
        <v>3</v>
      </c>
      <c r="E56" s="417"/>
      <c r="F56" s="417" t="s">
        <v>1389</v>
      </c>
      <c r="G56" s="417"/>
      <c r="H56" s="259"/>
      <c r="I56" s="259"/>
      <c r="J56" s="417" t="s">
        <v>3</v>
      </c>
      <c r="K56" s="420"/>
      <c r="L56" s="408"/>
      <c r="M56" s="408"/>
      <c r="N56" s="408">
        <v>150</v>
      </c>
      <c r="O56" s="349"/>
    </row>
    <row r="57" spans="1:16" x14ac:dyDescent="0.25">
      <c r="A57" s="411">
        <f t="shared" si="1"/>
        <v>6355000</v>
      </c>
      <c r="B57" s="419" t="s">
        <v>394</v>
      </c>
      <c r="C57" s="419" t="s">
        <v>985</v>
      </c>
      <c r="D57" s="357" t="s">
        <v>3</v>
      </c>
      <c r="E57" s="357"/>
      <c r="F57" s="417" t="s">
        <v>1389</v>
      </c>
      <c r="G57" s="357"/>
      <c r="H57" s="358"/>
      <c r="I57" s="358"/>
      <c r="J57" s="357" t="s">
        <v>3</v>
      </c>
      <c r="K57" s="359"/>
      <c r="L57" s="359"/>
      <c r="M57" s="359"/>
      <c r="N57" s="408">
        <v>150</v>
      </c>
      <c r="O57" s="349"/>
    </row>
    <row r="58" spans="1:16" x14ac:dyDescent="0.25">
      <c r="A58" s="411">
        <f t="shared" si="1"/>
        <v>6355000</v>
      </c>
      <c r="B58" s="419" t="s">
        <v>394</v>
      </c>
      <c r="C58" s="419" t="s">
        <v>1053</v>
      </c>
      <c r="D58" s="357" t="s">
        <v>3</v>
      </c>
      <c r="E58" s="357"/>
      <c r="F58" s="417" t="s">
        <v>1389</v>
      </c>
      <c r="G58" s="357"/>
      <c r="H58" s="358"/>
      <c r="I58" s="358"/>
      <c r="J58" s="357" t="s">
        <v>3</v>
      </c>
      <c r="K58" s="359"/>
      <c r="L58" s="359"/>
      <c r="M58" s="359"/>
      <c r="N58" s="408">
        <v>150</v>
      </c>
      <c r="O58" s="349"/>
    </row>
    <row r="59" spans="1:16" x14ac:dyDescent="0.25">
      <c r="A59" s="133">
        <f t="shared" si="1"/>
        <v>6355000</v>
      </c>
      <c r="B59" s="419" t="s">
        <v>394</v>
      </c>
      <c r="C59" s="419" t="s">
        <v>1602</v>
      </c>
      <c r="D59" s="357" t="s">
        <v>3</v>
      </c>
      <c r="E59" s="357"/>
      <c r="F59" s="417" t="s">
        <v>1389</v>
      </c>
      <c r="G59" s="357"/>
      <c r="H59" s="358"/>
      <c r="I59" s="358"/>
      <c r="J59" s="357" t="s">
        <v>3</v>
      </c>
      <c r="K59" s="359"/>
      <c r="L59" s="359"/>
      <c r="M59" s="359"/>
      <c r="N59" s="408">
        <v>150</v>
      </c>
      <c r="O59" s="349"/>
    </row>
    <row r="60" spans="1:16" x14ac:dyDescent="0.25">
      <c r="A60" s="133">
        <f t="shared" si="1"/>
        <v>6355000</v>
      </c>
      <c r="B60" s="419" t="s">
        <v>394</v>
      </c>
      <c r="C60" s="419" t="s">
        <v>1603</v>
      </c>
      <c r="D60" s="357" t="s">
        <v>3</v>
      </c>
      <c r="E60" s="357"/>
      <c r="F60" s="417" t="s">
        <v>1389</v>
      </c>
      <c r="G60" s="357"/>
      <c r="H60" s="358"/>
      <c r="I60" s="358"/>
      <c r="J60" s="357" t="s">
        <v>3</v>
      </c>
      <c r="K60" s="359"/>
      <c r="L60" s="359"/>
      <c r="M60" s="359"/>
      <c r="N60" s="408">
        <v>150</v>
      </c>
      <c r="O60" s="349"/>
    </row>
    <row r="61" spans="1:16" s="407" customFormat="1" x14ac:dyDescent="0.25">
      <c r="A61" s="133">
        <f t="shared" ref="A61" si="2">VLOOKUP(J61,OtherOperatingExpenses,2)</f>
        <v>6355000</v>
      </c>
      <c r="B61" s="419" t="s">
        <v>394</v>
      </c>
      <c r="C61" s="419" t="s">
        <v>1632</v>
      </c>
      <c r="D61" s="357" t="s">
        <v>3</v>
      </c>
      <c r="E61" s="357"/>
      <c r="F61" s="417"/>
      <c r="G61" s="357"/>
      <c r="H61" s="358"/>
      <c r="I61" s="358"/>
      <c r="J61" s="357" t="s">
        <v>3</v>
      </c>
      <c r="K61" s="359"/>
      <c r="L61" s="359"/>
      <c r="M61" s="359"/>
      <c r="N61" s="408">
        <v>150</v>
      </c>
      <c r="O61" s="349"/>
    </row>
    <row r="62" spans="1:16" x14ac:dyDescent="0.25">
      <c r="A62" s="133">
        <f t="shared" si="1"/>
        <v>6375000</v>
      </c>
      <c r="B62" s="419" t="s">
        <v>394</v>
      </c>
      <c r="C62" s="419" t="s">
        <v>1632</v>
      </c>
      <c r="D62" s="357" t="s">
        <v>1601</v>
      </c>
      <c r="E62" s="357"/>
      <c r="F62" s="357" t="s">
        <v>1413</v>
      </c>
      <c r="G62" s="357"/>
      <c r="H62" s="358"/>
      <c r="I62" s="358"/>
      <c r="J62" s="357" t="s">
        <v>243</v>
      </c>
      <c r="K62" s="359"/>
      <c r="L62" s="359"/>
      <c r="M62" s="359"/>
      <c r="N62" s="408">
        <v>8343.01</v>
      </c>
      <c r="O62" s="349"/>
    </row>
    <row r="63" spans="1:16" x14ac:dyDescent="0.25">
      <c r="A63" s="133">
        <f t="shared" si="1"/>
        <v>6375000</v>
      </c>
      <c r="B63" s="419" t="s">
        <v>394</v>
      </c>
      <c r="C63" s="419" t="s">
        <v>1602</v>
      </c>
      <c r="D63" s="357" t="s">
        <v>1601</v>
      </c>
      <c r="E63" s="357"/>
      <c r="F63" s="357" t="s">
        <v>1413</v>
      </c>
      <c r="G63" s="357"/>
      <c r="H63" s="358"/>
      <c r="I63" s="358"/>
      <c r="J63" s="357" t="s">
        <v>243</v>
      </c>
      <c r="K63" s="359"/>
      <c r="L63" s="359"/>
      <c r="M63" s="359"/>
      <c r="N63" s="408">
        <v>8343.01</v>
      </c>
      <c r="O63" s="349"/>
    </row>
    <row r="64" spans="1:16" s="234" customFormat="1" x14ac:dyDescent="0.25">
      <c r="A64" s="133">
        <f t="shared" si="1"/>
        <v>6375000</v>
      </c>
      <c r="B64" s="419" t="s">
        <v>394</v>
      </c>
      <c r="C64" s="419" t="s">
        <v>1010</v>
      </c>
      <c r="D64" s="357"/>
      <c r="E64" s="357"/>
      <c r="F64" s="357" t="s">
        <v>1725</v>
      </c>
      <c r="G64" s="357"/>
      <c r="H64" s="358"/>
      <c r="I64" s="358"/>
      <c r="J64" s="357" t="s">
        <v>243</v>
      </c>
      <c r="K64" s="359"/>
      <c r="L64" s="359"/>
      <c r="M64" s="359"/>
      <c r="N64" s="408">
        <v>300</v>
      </c>
      <c r="O64" s="349"/>
      <c r="P64" s="246"/>
    </row>
    <row r="65" spans="1:16" s="234" customFormat="1" x14ac:dyDescent="0.25">
      <c r="A65" s="133">
        <f t="shared" si="1"/>
        <v>6375000</v>
      </c>
      <c r="B65" s="419" t="s">
        <v>394</v>
      </c>
      <c r="C65" s="419" t="s">
        <v>985</v>
      </c>
      <c r="D65" s="357"/>
      <c r="E65" s="357"/>
      <c r="F65" s="357" t="s">
        <v>1725</v>
      </c>
      <c r="G65" s="357"/>
      <c r="H65" s="358"/>
      <c r="I65" s="358"/>
      <c r="J65" s="357" t="s">
        <v>243</v>
      </c>
      <c r="K65" s="359"/>
      <c r="L65" s="359"/>
      <c r="M65" s="359"/>
      <c r="N65" s="408">
        <v>300</v>
      </c>
      <c r="O65" s="349"/>
      <c r="P65" s="246"/>
    </row>
    <row r="66" spans="1:16" x14ac:dyDescent="0.25">
      <c r="A66" s="133">
        <f t="shared" si="1"/>
        <v>6375000</v>
      </c>
      <c r="B66" s="419" t="s">
        <v>394</v>
      </c>
      <c r="C66" s="419" t="s">
        <v>1053</v>
      </c>
      <c r="D66" s="357"/>
      <c r="E66" s="357"/>
      <c r="F66" s="357" t="s">
        <v>1725</v>
      </c>
      <c r="G66" s="357"/>
      <c r="H66" s="358"/>
      <c r="I66" s="358"/>
      <c r="J66" s="357" t="s">
        <v>243</v>
      </c>
      <c r="K66" s="359"/>
      <c r="L66" s="359"/>
      <c r="M66" s="359"/>
      <c r="N66" s="408">
        <v>300</v>
      </c>
      <c r="O66" s="349"/>
      <c r="P66" s="246"/>
    </row>
    <row r="67" spans="1:16" s="407" customFormat="1" x14ac:dyDescent="0.25">
      <c r="A67" s="133">
        <f t="shared" ref="A67:A69" si="3">VLOOKUP(J67,OtherOperatingExpenses,2)</f>
        <v>6375000</v>
      </c>
      <c r="B67" s="419" t="s">
        <v>394</v>
      </c>
      <c r="C67" s="419" t="s">
        <v>1602</v>
      </c>
      <c r="D67" s="357"/>
      <c r="E67" s="357"/>
      <c r="F67" s="357" t="s">
        <v>1725</v>
      </c>
      <c r="G67" s="357"/>
      <c r="H67" s="358"/>
      <c r="I67" s="358"/>
      <c r="J67" s="357" t="s">
        <v>243</v>
      </c>
      <c r="K67" s="359"/>
      <c r="L67" s="359"/>
      <c r="M67" s="359"/>
      <c r="N67" s="408">
        <v>300</v>
      </c>
      <c r="O67" s="349"/>
      <c r="P67" s="246"/>
    </row>
    <row r="68" spans="1:16" s="407" customFormat="1" x14ac:dyDescent="0.25">
      <c r="A68" s="133">
        <f t="shared" si="3"/>
        <v>6375000</v>
      </c>
      <c r="B68" s="419" t="s">
        <v>394</v>
      </c>
      <c r="C68" s="419" t="s">
        <v>1603</v>
      </c>
      <c r="D68" s="357"/>
      <c r="E68" s="357"/>
      <c r="F68" s="357" t="s">
        <v>1725</v>
      </c>
      <c r="G68" s="357"/>
      <c r="H68" s="358"/>
      <c r="I68" s="358"/>
      <c r="J68" s="357" t="s">
        <v>243</v>
      </c>
      <c r="K68" s="359"/>
      <c r="L68" s="359"/>
      <c r="M68" s="359"/>
      <c r="N68" s="408">
        <v>300</v>
      </c>
      <c r="O68" s="349"/>
      <c r="P68" s="246"/>
    </row>
    <row r="69" spans="1:16" x14ac:dyDescent="0.25">
      <c r="A69" s="133">
        <f t="shared" si="3"/>
        <v>6375000</v>
      </c>
      <c r="B69" s="419" t="s">
        <v>350</v>
      </c>
      <c r="C69" s="419" t="s">
        <v>98</v>
      </c>
      <c r="D69" s="417" t="s">
        <v>1718</v>
      </c>
      <c r="E69" s="417"/>
      <c r="F69" s="417" t="s">
        <v>1719</v>
      </c>
      <c r="G69" s="417"/>
      <c r="H69" s="259"/>
      <c r="I69" s="259"/>
      <c r="J69" s="417" t="s">
        <v>243</v>
      </c>
      <c r="K69" s="420"/>
      <c r="L69" s="408"/>
      <c r="M69" s="408"/>
      <c r="N69" s="408">
        <f>75000+5000</f>
        <v>80000</v>
      </c>
      <c r="O69" s="349"/>
      <c r="P69" s="407"/>
    </row>
    <row r="70" spans="1:16" x14ac:dyDescent="0.25">
      <c r="A70" s="133">
        <f t="shared" si="1"/>
        <v>6375000</v>
      </c>
      <c r="B70" s="419" t="s">
        <v>350</v>
      </c>
      <c r="C70" s="419" t="s">
        <v>976</v>
      </c>
      <c r="D70" s="417" t="s">
        <v>1718</v>
      </c>
      <c r="E70" s="417"/>
      <c r="F70" s="421" t="s">
        <v>1719</v>
      </c>
      <c r="G70" s="421"/>
      <c r="H70" s="259"/>
      <c r="I70" s="259"/>
      <c r="J70" s="417" t="s">
        <v>243</v>
      </c>
      <c r="K70" s="420"/>
      <c r="L70" s="408"/>
      <c r="M70" s="408"/>
      <c r="N70" s="408">
        <f>11900+850</f>
        <v>12750</v>
      </c>
      <c r="O70" s="349"/>
      <c r="P70" s="407"/>
    </row>
    <row r="71" spans="1:16" s="407" customFormat="1" x14ac:dyDescent="0.25">
      <c r="A71" s="133">
        <f t="shared" ref="A71" si="4">VLOOKUP(J71,OtherOperatingExpenses,2)</f>
        <v>6375000</v>
      </c>
      <c r="B71" s="419" t="s">
        <v>350</v>
      </c>
      <c r="C71" s="419" t="s">
        <v>978</v>
      </c>
      <c r="D71" s="417" t="s">
        <v>1718</v>
      </c>
      <c r="E71" s="417"/>
      <c r="F71" s="421" t="s">
        <v>1719</v>
      </c>
      <c r="G71" s="421"/>
      <c r="H71" s="259"/>
      <c r="I71" s="259"/>
      <c r="J71" s="417" t="s">
        <v>243</v>
      </c>
      <c r="K71" s="420"/>
      <c r="L71" s="408"/>
      <c r="M71" s="408"/>
      <c r="N71" s="408">
        <f>20300+1450</f>
        <v>21750</v>
      </c>
      <c r="O71" s="349"/>
    </row>
    <row r="72" spans="1:16" x14ac:dyDescent="0.25">
      <c r="A72" s="133">
        <f t="shared" si="1"/>
        <v>6375000</v>
      </c>
      <c r="B72" s="419" t="s">
        <v>350</v>
      </c>
      <c r="C72" s="419" t="s">
        <v>1056</v>
      </c>
      <c r="D72" s="417" t="s">
        <v>1718</v>
      </c>
      <c r="E72" s="417"/>
      <c r="F72" s="421" t="s">
        <v>1719</v>
      </c>
      <c r="G72" s="421"/>
      <c r="H72" s="259"/>
      <c r="I72" s="259"/>
      <c r="J72" s="417" t="s">
        <v>243</v>
      </c>
      <c r="K72" s="420"/>
      <c r="L72" s="408"/>
      <c r="M72" s="408"/>
      <c r="N72" s="408">
        <f>37800+2700</f>
        <v>40500</v>
      </c>
      <c r="O72" s="349"/>
      <c r="P72" s="407"/>
    </row>
    <row r="73" spans="1:16" x14ac:dyDescent="0.25">
      <c r="A73" s="133">
        <f t="shared" si="1"/>
        <v>6355000</v>
      </c>
      <c r="B73" s="419" t="s">
        <v>350</v>
      </c>
      <c r="C73" s="419" t="s">
        <v>98</v>
      </c>
      <c r="D73" s="417" t="s">
        <v>3</v>
      </c>
      <c r="E73" s="417"/>
      <c r="F73" s="417" t="s">
        <v>1389</v>
      </c>
      <c r="G73" s="421"/>
      <c r="H73" s="259"/>
      <c r="I73" s="259"/>
      <c r="J73" s="417" t="s">
        <v>3</v>
      </c>
      <c r="K73" s="420"/>
      <c r="L73" s="408"/>
      <c r="M73" s="408"/>
      <c r="N73" s="730">
        <v>1000</v>
      </c>
      <c r="O73" s="349"/>
    </row>
    <row r="74" spans="1:16" x14ac:dyDescent="0.25">
      <c r="A74" s="133">
        <f t="shared" si="1"/>
        <v>6355000</v>
      </c>
      <c r="B74" s="419" t="s">
        <v>350</v>
      </c>
      <c r="C74" s="419" t="s">
        <v>120</v>
      </c>
      <c r="D74" s="417" t="s">
        <v>3</v>
      </c>
      <c r="E74" s="417"/>
      <c r="F74" s="417" t="s">
        <v>1389</v>
      </c>
      <c r="G74" s="421"/>
      <c r="H74" s="259"/>
      <c r="I74" s="259"/>
      <c r="J74" s="419" t="s">
        <v>3</v>
      </c>
      <c r="K74" s="420"/>
      <c r="L74" s="408"/>
      <c r="M74" s="408"/>
      <c r="N74" s="730">
        <v>75</v>
      </c>
      <c r="O74" s="349"/>
    </row>
    <row r="75" spans="1:16" x14ac:dyDescent="0.25">
      <c r="A75" s="133">
        <f t="shared" si="1"/>
        <v>6350000</v>
      </c>
      <c r="B75" s="419" t="s">
        <v>350</v>
      </c>
      <c r="C75" s="419" t="s">
        <v>98</v>
      </c>
      <c r="D75" s="419" t="s">
        <v>1405</v>
      </c>
      <c r="E75" s="419"/>
      <c r="F75" s="419" t="s">
        <v>1402</v>
      </c>
      <c r="G75" s="419"/>
      <c r="H75" s="355"/>
      <c r="I75" s="355"/>
      <c r="J75" s="419" t="s">
        <v>2</v>
      </c>
      <c r="K75" s="420"/>
      <c r="L75" s="408"/>
      <c r="M75" s="408"/>
      <c r="N75" s="408">
        <v>792</v>
      </c>
      <c r="O75" s="349"/>
    </row>
    <row r="76" spans="1:16" x14ac:dyDescent="0.25">
      <c r="A76" s="133">
        <f t="shared" si="1"/>
        <v>6350000</v>
      </c>
      <c r="B76" s="419" t="s">
        <v>350</v>
      </c>
      <c r="C76" s="419" t="s">
        <v>120</v>
      </c>
      <c r="D76" s="419" t="s">
        <v>1405</v>
      </c>
      <c r="E76" s="417"/>
      <c r="F76" s="421" t="s">
        <v>1402</v>
      </c>
      <c r="G76" s="421"/>
      <c r="H76" s="259"/>
      <c r="I76" s="259"/>
      <c r="J76" s="417" t="s">
        <v>2</v>
      </c>
      <c r="K76" s="420"/>
      <c r="L76" s="408"/>
      <c r="M76" s="408"/>
      <c r="N76" s="408">
        <v>488</v>
      </c>
      <c r="O76" s="349"/>
    </row>
    <row r="77" spans="1:16" x14ac:dyDescent="0.25">
      <c r="A77" s="133">
        <f t="shared" si="1"/>
        <v>6350000</v>
      </c>
      <c r="B77" s="419" t="s">
        <v>350</v>
      </c>
      <c r="C77" s="419" t="s">
        <v>1056</v>
      </c>
      <c r="D77" s="419" t="s">
        <v>1405</v>
      </c>
      <c r="E77" s="417"/>
      <c r="F77" s="421" t="s">
        <v>1402</v>
      </c>
      <c r="G77" s="421"/>
      <c r="H77" s="259"/>
      <c r="I77" s="259"/>
      <c r="J77" s="417" t="s">
        <v>2</v>
      </c>
      <c r="K77" s="420"/>
      <c r="L77" s="408"/>
      <c r="M77" s="408"/>
      <c r="N77" s="408">
        <v>1766</v>
      </c>
      <c r="O77" s="349"/>
    </row>
    <row r="78" spans="1:16" x14ac:dyDescent="0.25">
      <c r="A78" s="133">
        <f t="shared" si="1"/>
        <v>6350000</v>
      </c>
      <c r="B78" s="419" t="s">
        <v>350</v>
      </c>
      <c r="C78" s="419" t="s">
        <v>98</v>
      </c>
      <c r="D78" s="419" t="s">
        <v>1405</v>
      </c>
      <c r="E78" s="417"/>
      <c r="F78" s="421" t="s">
        <v>1403</v>
      </c>
      <c r="G78" s="421"/>
      <c r="H78" s="259"/>
      <c r="I78" s="259"/>
      <c r="J78" s="417" t="s">
        <v>2</v>
      </c>
      <c r="K78" s="420"/>
      <c r="L78" s="408"/>
      <c r="M78" s="408"/>
      <c r="N78" s="408">
        <v>5000</v>
      </c>
      <c r="O78" s="349"/>
    </row>
    <row r="79" spans="1:16" x14ac:dyDescent="0.25">
      <c r="A79" s="133">
        <f t="shared" si="1"/>
        <v>6350000</v>
      </c>
      <c r="B79" s="419" t="s">
        <v>350</v>
      </c>
      <c r="C79" s="419" t="s">
        <v>98</v>
      </c>
      <c r="D79" s="419" t="s">
        <v>1405</v>
      </c>
      <c r="E79" s="417"/>
      <c r="F79" s="421" t="s">
        <v>1404</v>
      </c>
      <c r="G79" s="421"/>
      <c r="H79" s="355"/>
      <c r="I79" s="355"/>
      <c r="J79" s="419" t="s">
        <v>2</v>
      </c>
      <c r="K79" s="420"/>
      <c r="L79" s="408"/>
      <c r="M79" s="408"/>
      <c r="N79" s="408">
        <v>600</v>
      </c>
      <c r="O79" s="349"/>
    </row>
    <row r="80" spans="1:16" s="407" customFormat="1" ht="26.25" x14ac:dyDescent="0.25">
      <c r="A80" s="133">
        <f t="shared" si="1"/>
        <v>6365000</v>
      </c>
      <c r="B80" s="419" t="s">
        <v>350</v>
      </c>
      <c r="C80" s="419" t="s">
        <v>98</v>
      </c>
      <c r="D80" s="731" t="s">
        <v>1720</v>
      </c>
      <c r="E80" s="417"/>
      <c r="F80" s="421"/>
      <c r="G80" s="421"/>
      <c r="H80" s="355"/>
      <c r="I80" s="355"/>
      <c r="J80" s="419" t="s">
        <v>488</v>
      </c>
      <c r="K80" s="420"/>
      <c r="L80" s="408"/>
      <c r="M80" s="408"/>
      <c r="N80" s="408">
        <v>130</v>
      </c>
      <c r="O80" s="349"/>
    </row>
    <row r="81" spans="1:16" s="407" customFormat="1" ht="26.25" x14ac:dyDescent="0.25">
      <c r="A81" s="133">
        <f t="shared" si="1"/>
        <v>6365000</v>
      </c>
      <c r="B81" s="419" t="s">
        <v>350</v>
      </c>
      <c r="C81" s="419" t="s">
        <v>976</v>
      </c>
      <c r="D81" s="731" t="s">
        <v>1720</v>
      </c>
      <c r="E81" s="417"/>
      <c r="F81" s="421"/>
      <c r="G81" s="421"/>
      <c r="H81" s="355"/>
      <c r="I81" s="355"/>
      <c r="J81" s="419" t="s">
        <v>488</v>
      </c>
      <c r="K81" s="420"/>
      <c r="L81" s="408"/>
      <c r="M81" s="408"/>
      <c r="N81" s="408">
        <v>23</v>
      </c>
      <c r="O81" s="349"/>
    </row>
    <row r="82" spans="1:16" s="407" customFormat="1" ht="26.25" x14ac:dyDescent="0.25">
      <c r="A82" s="133">
        <f t="shared" si="1"/>
        <v>6365000</v>
      </c>
      <c r="B82" s="419" t="s">
        <v>350</v>
      </c>
      <c r="C82" s="419" t="s">
        <v>1056</v>
      </c>
      <c r="D82" s="731" t="s">
        <v>1720</v>
      </c>
      <c r="E82" s="417"/>
      <c r="F82" s="421"/>
      <c r="G82" s="421"/>
      <c r="H82" s="355"/>
      <c r="I82" s="355"/>
      <c r="J82" s="419" t="s">
        <v>488</v>
      </c>
      <c r="K82" s="420"/>
      <c r="L82" s="408"/>
      <c r="M82" s="408"/>
      <c r="N82" s="408">
        <v>415</v>
      </c>
      <c r="O82" s="349"/>
    </row>
    <row r="83" spans="1:16" x14ac:dyDescent="0.25">
      <c r="A83" s="133">
        <f t="shared" si="1"/>
        <v>6365000</v>
      </c>
      <c r="B83" s="419" t="s">
        <v>350</v>
      </c>
      <c r="C83" s="419" t="s">
        <v>98</v>
      </c>
      <c r="D83" s="417" t="s">
        <v>1407</v>
      </c>
      <c r="E83" s="419"/>
      <c r="F83" s="419" t="s">
        <v>1406</v>
      </c>
      <c r="G83" s="419"/>
      <c r="H83" s="355"/>
      <c r="I83" s="355"/>
      <c r="J83" s="419" t="s">
        <v>488</v>
      </c>
      <c r="K83" s="420"/>
      <c r="L83" s="408"/>
      <c r="M83" s="408"/>
      <c r="N83" s="408">
        <v>400</v>
      </c>
      <c r="O83" s="349"/>
    </row>
    <row r="84" spans="1:16" x14ac:dyDescent="0.25">
      <c r="A84" s="133">
        <f t="shared" si="1"/>
        <v>6365000</v>
      </c>
      <c r="B84" s="419" t="s">
        <v>350</v>
      </c>
      <c r="C84" s="419" t="s">
        <v>120</v>
      </c>
      <c r="D84" s="417" t="s">
        <v>1407</v>
      </c>
      <c r="E84" s="419"/>
      <c r="F84" s="419" t="s">
        <v>1406</v>
      </c>
      <c r="G84" s="419"/>
      <c r="H84" s="355"/>
      <c r="I84" s="355"/>
      <c r="J84" s="419" t="s">
        <v>488</v>
      </c>
      <c r="K84" s="420"/>
      <c r="L84" s="408"/>
      <c r="M84" s="408"/>
      <c r="N84" s="408">
        <v>50</v>
      </c>
      <c r="O84" s="349"/>
    </row>
    <row r="85" spans="1:16" s="407" customFormat="1" x14ac:dyDescent="0.25">
      <c r="A85" s="133">
        <f t="shared" ref="A85" si="5">VLOOKUP(J85,OtherOperatingExpenses,2)</f>
        <v>6365000</v>
      </c>
      <c r="B85" s="419" t="s">
        <v>350</v>
      </c>
      <c r="C85" s="419" t="s">
        <v>1056</v>
      </c>
      <c r="D85" s="417" t="s">
        <v>1407</v>
      </c>
      <c r="E85" s="419"/>
      <c r="F85" s="419" t="s">
        <v>1406</v>
      </c>
      <c r="G85" s="419"/>
      <c r="H85" s="355"/>
      <c r="I85" s="355"/>
      <c r="J85" s="419" t="s">
        <v>488</v>
      </c>
      <c r="K85" s="420"/>
      <c r="L85" s="408"/>
      <c r="M85" s="408"/>
      <c r="N85" s="408">
        <v>50</v>
      </c>
      <c r="O85" s="349"/>
    </row>
    <row r="86" spans="1:16" x14ac:dyDescent="0.25">
      <c r="A86" s="133">
        <f t="shared" si="1"/>
        <v>6395000</v>
      </c>
      <c r="B86" s="419" t="s">
        <v>350</v>
      </c>
      <c r="C86" s="419" t="s">
        <v>978</v>
      </c>
      <c r="D86" s="419" t="s">
        <v>1716</v>
      </c>
      <c r="E86" s="419"/>
      <c r="F86" s="419" t="s">
        <v>1717</v>
      </c>
      <c r="G86" s="419"/>
      <c r="H86" s="355"/>
      <c r="I86" s="355"/>
      <c r="J86" s="419" t="s">
        <v>352</v>
      </c>
      <c r="K86" s="420"/>
      <c r="L86" s="408"/>
      <c r="M86" s="408"/>
      <c r="N86" s="408">
        <v>870</v>
      </c>
      <c r="O86" s="349"/>
    </row>
    <row r="87" spans="1:16" x14ac:dyDescent="0.25">
      <c r="A87" s="411">
        <f t="shared" si="1"/>
        <v>6395000</v>
      </c>
      <c r="B87" s="419" t="s">
        <v>350</v>
      </c>
      <c r="C87" s="419" t="s">
        <v>976</v>
      </c>
      <c r="D87" s="419" t="s">
        <v>1716</v>
      </c>
      <c r="E87" s="419"/>
      <c r="F87" s="419" t="s">
        <v>1717</v>
      </c>
      <c r="G87" s="419"/>
      <c r="H87" s="355"/>
      <c r="I87" s="355"/>
      <c r="J87" s="419" t="s">
        <v>352</v>
      </c>
      <c r="K87" s="418"/>
      <c r="L87" s="418"/>
      <c r="M87" s="418"/>
      <c r="N87" s="418">
        <v>510</v>
      </c>
      <c r="O87" s="349"/>
    </row>
    <row r="88" spans="1:16" s="407" customFormat="1" x14ac:dyDescent="0.25">
      <c r="A88" s="411">
        <f>VLOOKUP(J88,OtherOperatingExpenses,2)</f>
        <v>6395000</v>
      </c>
      <c r="B88" s="419" t="s">
        <v>350</v>
      </c>
      <c r="C88" s="419" t="s">
        <v>1057</v>
      </c>
      <c r="D88" s="417" t="s">
        <v>1716</v>
      </c>
      <c r="E88" s="419"/>
      <c r="F88" s="419" t="s">
        <v>1717</v>
      </c>
      <c r="G88" s="419"/>
      <c r="H88" s="355"/>
      <c r="I88" s="355"/>
      <c r="J88" s="419" t="s">
        <v>352</v>
      </c>
      <c r="K88" s="418"/>
      <c r="L88" s="418"/>
      <c r="M88" s="418"/>
      <c r="N88" s="418">
        <v>1620</v>
      </c>
      <c r="O88" s="349"/>
    </row>
    <row r="89" spans="1:16" ht="15" customHeight="1" x14ac:dyDescent="0.25">
      <c r="A89" s="411">
        <f t="shared" si="1"/>
        <v>6350000</v>
      </c>
      <c r="B89" s="419" t="s">
        <v>350</v>
      </c>
      <c r="C89" s="419" t="s">
        <v>978</v>
      </c>
      <c r="D89" s="417" t="s">
        <v>1322</v>
      </c>
      <c r="E89" s="419"/>
      <c r="F89" s="421" t="s">
        <v>1408</v>
      </c>
      <c r="G89" s="357"/>
      <c r="H89" s="355"/>
      <c r="I89" s="355"/>
      <c r="J89" s="417" t="s">
        <v>2</v>
      </c>
      <c r="K89" s="359"/>
      <c r="L89" s="359"/>
      <c r="M89" s="359"/>
      <c r="N89" s="408">
        <v>130</v>
      </c>
      <c r="O89" s="349"/>
    </row>
    <row r="90" spans="1:16" x14ac:dyDescent="0.25">
      <c r="A90" s="411">
        <f t="shared" ref="A90:A116" si="6">VLOOKUP(J90,OtherOperatingExpenses,2)</f>
        <v>6350000</v>
      </c>
      <c r="B90" s="419" t="s">
        <v>350</v>
      </c>
      <c r="C90" s="419" t="s">
        <v>976</v>
      </c>
      <c r="D90" s="417" t="s">
        <v>1322</v>
      </c>
      <c r="E90" s="419"/>
      <c r="F90" s="421" t="s">
        <v>1408</v>
      </c>
      <c r="G90" s="357"/>
      <c r="H90" s="355"/>
      <c r="I90" s="355"/>
      <c r="J90" s="417" t="s">
        <v>2</v>
      </c>
      <c r="K90" s="359"/>
      <c r="L90" s="359"/>
      <c r="M90" s="359"/>
      <c r="N90" s="408">
        <v>80</v>
      </c>
      <c r="O90" s="349"/>
    </row>
    <row r="91" spans="1:16" x14ac:dyDescent="0.25">
      <c r="A91" s="411">
        <f t="shared" si="6"/>
        <v>6350000</v>
      </c>
      <c r="B91" s="419" t="s">
        <v>350</v>
      </c>
      <c r="C91" s="419" t="s">
        <v>1057</v>
      </c>
      <c r="D91" s="419" t="s">
        <v>1322</v>
      </c>
      <c r="E91" s="419"/>
      <c r="F91" s="419" t="s">
        <v>1408</v>
      </c>
      <c r="G91" s="419"/>
      <c r="H91" s="355"/>
      <c r="I91" s="355"/>
      <c r="J91" s="419" t="s">
        <v>2</v>
      </c>
      <c r="K91" s="408"/>
      <c r="L91" s="408"/>
      <c r="M91" s="408"/>
      <c r="N91" s="408">
        <v>290</v>
      </c>
      <c r="O91" s="349"/>
    </row>
    <row r="92" spans="1:16" x14ac:dyDescent="0.25">
      <c r="A92" s="411">
        <f t="shared" si="6"/>
        <v>6365000</v>
      </c>
      <c r="B92" s="419" t="s">
        <v>350</v>
      </c>
      <c r="C92" s="419" t="s">
        <v>98</v>
      </c>
      <c r="D92" s="417" t="s">
        <v>1323</v>
      </c>
      <c r="E92" s="419"/>
      <c r="F92" s="419"/>
      <c r="G92" s="419"/>
      <c r="H92" s="355"/>
      <c r="I92" s="355"/>
      <c r="J92" s="419" t="s">
        <v>488</v>
      </c>
      <c r="K92" s="418"/>
      <c r="L92" s="418"/>
      <c r="M92" s="418"/>
      <c r="N92" s="418">
        <v>4000</v>
      </c>
      <c r="O92" s="349"/>
    </row>
    <row r="93" spans="1:16" x14ac:dyDescent="0.25">
      <c r="A93" s="411">
        <f t="shared" si="6"/>
        <v>6315000</v>
      </c>
      <c r="B93" s="419" t="s">
        <v>350</v>
      </c>
      <c r="C93" s="419" t="s">
        <v>978</v>
      </c>
      <c r="D93" s="417" t="s">
        <v>1714</v>
      </c>
      <c r="E93" s="419"/>
      <c r="F93" s="417" t="s">
        <v>1715</v>
      </c>
      <c r="G93" s="421"/>
      <c r="H93" s="355"/>
      <c r="I93" s="355"/>
      <c r="J93" s="417" t="s">
        <v>285</v>
      </c>
      <c r="K93" s="420"/>
      <c r="L93" s="408"/>
      <c r="M93" s="408"/>
      <c r="N93" s="408">
        <v>435</v>
      </c>
      <c r="O93" s="349"/>
      <c r="P93" s="246"/>
    </row>
    <row r="94" spans="1:16" x14ac:dyDescent="0.25">
      <c r="A94" s="133">
        <f t="shared" si="6"/>
        <v>6315000</v>
      </c>
      <c r="B94" s="419" t="s">
        <v>350</v>
      </c>
      <c r="C94" s="419" t="s">
        <v>976</v>
      </c>
      <c r="D94" s="417" t="s">
        <v>1714</v>
      </c>
      <c r="E94" s="419"/>
      <c r="F94" s="417" t="s">
        <v>1715</v>
      </c>
      <c r="G94" s="421"/>
      <c r="H94" s="355"/>
      <c r="I94" s="355"/>
      <c r="J94" s="417" t="s">
        <v>285</v>
      </c>
      <c r="K94" s="420"/>
      <c r="L94" s="408"/>
      <c r="M94" s="408"/>
      <c r="N94" s="408">
        <v>255</v>
      </c>
      <c r="O94" s="349"/>
      <c r="P94" s="246"/>
    </row>
    <row r="95" spans="1:16" x14ac:dyDescent="0.25">
      <c r="A95" s="133">
        <f t="shared" si="6"/>
        <v>6315000</v>
      </c>
      <c r="B95" s="419" t="s">
        <v>350</v>
      </c>
      <c r="C95" s="419" t="s">
        <v>1057</v>
      </c>
      <c r="D95" s="417" t="s">
        <v>1714</v>
      </c>
      <c r="E95" s="419"/>
      <c r="F95" s="421" t="s">
        <v>1715</v>
      </c>
      <c r="G95" s="421"/>
      <c r="H95" s="355"/>
      <c r="I95" s="355"/>
      <c r="J95" s="417" t="s">
        <v>285</v>
      </c>
      <c r="K95" s="420"/>
      <c r="L95" s="408"/>
      <c r="M95" s="408"/>
      <c r="N95" s="408">
        <v>810</v>
      </c>
      <c r="O95" s="349"/>
      <c r="P95" s="246"/>
    </row>
    <row r="96" spans="1:16" x14ac:dyDescent="0.25">
      <c r="A96" s="133">
        <f t="shared" si="6"/>
        <v>6375000</v>
      </c>
      <c r="B96" s="419" t="s">
        <v>1171</v>
      </c>
      <c r="C96" s="419" t="s">
        <v>96</v>
      </c>
      <c r="D96" s="417" t="s">
        <v>1410</v>
      </c>
      <c r="E96" s="419"/>
      <c r="F96" s="421" t="s">
        <v>1409</v>
      </c>
      <c r="G96" s="355"/>
      <c r="H96" s="355"/>
      <c r="I96" s="417"/>
      <c r="J96" s="395" t="s">
        <v>243</v>
      </c>
      <c r="K96" s="408"/>
      <c r="L96" s="408"/>
      <c r="M96" s="408"/>
      <c r="N96" s="408">
        <v>6000</v>
      </c>
      <c r="O96" s="349"/>
      <c r="P96" s="407"/>
    </row>
    <row r="97" spans="1:20" x14ac:dyDescent="0.25">
      <c r="A97" s="133">
        <f t="shared" si="6"/>
        <v>6375000</v>
      </c>
      <c r="B97" s="419" t="s">
        <v>1171</v>
      </c>
      <c r="C97" s="419" t="s">
        <v>1661</v>
      </c>
      <c r="D97" s="417" t="s">
        <v>1410</v>
      </c>
      <c r="E97" s="419"/>
      <c r="F97" s="421" t="s">
        <v>1409</v>
      </c>
      <c r="G97" s="357"/>
      <c r="H97" s="355"/>
      <c r="I97" s="355"/>
      <c r="J97" s="417" t="s">
        <v>243</v>
      </c>
      <c r="K97" s="359"/>
      <c r="L97" s="408"/>
      <c r="M97" s="408"/>
      <c r="N97" s="408">
        <v>18000</v>
      </c>
      <c r="O97" s="349"/>
      <c r="P97" s="407"/>
    </row>
    <row r="98" spans="1:20" x14ac:dyDescent="0.25">
      <c r="A98" s="133">
        <f t="shared" si="6"/>
        <v>6375000</v>
      </c>
      <c r="B98" s="419" t="s">
        <v>1171</v>
      </c>
      <c r="C98" s="419" t="s">
        <v>935</v>
      </c>
      <c r="D98" s="417" t="s">
        <v>1410</v>
      </c>
      <c r="E98" s="419"/>
      <c r="F98" s="421" t="s">
        <v>1409</v>
      </c>
      <c r="G98" s="357"/>
      <c r="H98" s="355"/>
      <c r="I98" s="355"/>
      <c r="J98" s="417" t="s">
        <v>243</v>
      </c>
      <c r="K98" s="359"/>
      <c r="L98" s="408"/>
      <c r="M98" s="408"/>
      <c r="N98" s="408">
        <v>8000</v>
      </c>
      <c r="O98" s="349"/>
      <c r="P98" s="407"/>
    </row>
    <row r="99" spans="1:20" x14ac:dyDescent="0.25">
      <c r="A99" s="133">
        <f t="shared" si="6"/>
        <v>6375000</v>
      </c>
      <c r="B99" s="419" t="s">
        <v>1171</v>
      </c>
      <c r="C99" s="419" t="s">
        <v>933</v>
      </c>
      <c r="D99" s="417" t="s">
        <v>1410</v>
      </c>
      <c r="E99" s="419"/>
      <c r="F99" s="421" t="s">
        <v>1409</v>
      </c>
      <c r="G99" s="357"/>
      <c r="H99" s="355"/>
      <c r="I99" s="355"/>
      <c r="J99" s="417" t="s">
        <v>243</v>
      </c>
      <c r="K99" s="359"/>
      <c r="L99" s="408"/>
      <c r="M99" s="408"/>
      <c r="N99" s="408">
        <v>10000</v>
      </c>
      <c r="O99" s="349"/>
    </row>
    <row r="100" spans="1:20" x14ac:dyDescent="0.25">
      <c r="A100" s="411">
        <f t="shared" si="6"/>
        <v>6375000</v>
      </c>
      <c r="B100" s="419" t="s">
        <v>1171</v>
      </c>
      <c r="C100" s="419" t="s">
        <v>943</v>
      </c>
      <c r="D100" s="417" t="s">
        <v>1410</v>
      </c>
      <c r="E100" s="419"/>
      <c r="F100" s="421" t="s">
        <v>1409</v>
      </c>
      <c r="G100" s="357"/>
      <c r="H100" s="355"/>
      <c r="I100" s="355"/>
      <c r="J100" s="417" t="s">
        <v>243</v>
      </c>
      <c r="K100" s="359"/>
      <c r="L100" s="408"/>
      <c r="M100" s="408"/>
      <c r="N100" s="408">
        <v>4000</v>
      </c>
      <c r="O100" s="349"/>
    </row>
    <row r="101" spans="1:20" x14ac:dyDescent="0.25">
      <c r="A101" s="411">
        <f t="shared" si="6"/>
        <v>6375000</v>
      </c>
      <c r="B101" s="419" t="s">
        <v>1171</v>
      </c>
      <c r="C101" s="419" t="s">
        <v>941</v>
      </c>
      <c r="D101" s="417" t="s">
        <v>1410</v>
      </c>
      <c r="E101" s="419"/>
      <c r="F101" s="421" t="s">
        <v>1409</v>
      </c>
      <c r="G101" s="357"/>
      <c r="H101" s="355"/>
      <c r="I101" s="355"/>
      <c r="J101" s="417" t="s">
        <v>243</v>
      </c>
      <c r="K101" s="359"/>
      <c r="L101" s="408"/>
      <c r="M101" s="408"/>
      <c r="N101" s="408">
        <v>4000</v>
      </c>
      <c r="O101" s="349"/>
    </row>
    <row r="102" spans="1:20" x14ac:dyDescent="0.25">
      <c r="A102" s="411">
        <f t="shared" si="6"/>
        <v>6375000</v>
      </c>
      <c r="B102" s="419" t="s">
        <v>1171</v>
      </c>
      <c r="C102" s="419" t="s">
        <v>96</v>
      </c>
      <c r="D102" s="417" t="s">
        <v>1412</v>
      </c>
      <c r="E102" s="419"/>
      <c r="F102" s="421" t="s">
        <v>1411</v>
      </c>
      <c r="G102" s="357"/>
      <c r="H102" s="355"/>
      <c r="I102" s="355"/>
      <c r="J102" s="417" t="s">
        <v>243</v>
      </c>
      <c r="K102" s="359"/>
      <c r="L102" s="408"/>
      <c r="M102" s="408"/>
      <c r="N102" s="408">
        <v>288</v>
      </c>
      <c r="O102" s="349"/>
    </row>
    <row r="103" spans="1:20" x14ac:dyDescent="0.25">
      <c r="A103" s="411">
        <f t="shared" si="6"/>
        <v>6375000</v>
      </c>
      <c r="B103" s="419" t="s">
        <v>1171</v>
      </c>
      <c r="C103" s="419" t="s">
        <v>491</v>
      </c>
      <c r="D103" s="417" t="s">
        <v>1412</v>
      </c>
      <c r="E103" s="419"/>
      <c r="F103" s="421" t="s">
        <v>1411</v>
      </c>
      <c r="G103" s="357"/>
      <c r="H103" s="355"/>
      <c r="I103" s="355"/>
      <c r="J103" s="417" t="s">
        <v>243</v>
      </c>
      <c r="K103" s="359"/>
      <c r="L103" s="408"/>
      <c r="M103" s="408"/>
      <c r="N103" s="408">
        <v>288</v>
      </c>
      <c r="O103" s="349"/>
    </row>
    <row r="104" spans="1:20" x14ac:dyDescent="0.25">
      <c r="A104" s="411">
        <f t="shared" si="6"/>
        <v>6375000</v>
      </c>
      <c r="B104" s="419" t="s">
        <v>1171</v>
      </c>
      <c r="C104" s="419" t="s">
        <v>1661</v>
      </c>
      <c r="D104" s="417" t="s">
        <v>1412</v>
      </c>
      <c r="E104" s="419"/>
      <c r="F104" s="421" t="s">
        <v>1411</v>
      </c>
      <c r="G104" s="357"/>
      <c r="H104" s="355"/>
      <c r="I104" s="355"/>
      <c r="J104" s="417" t="s">
        <v>243</v>
      </c>
      <c r="K104" s="359"/>
      <c r="L104" s="408"/>
      <c r="M104" s="408"/>
      <c r="N104" s="408">
        <v>288</v>
      </c>
      <c r="O104" s="349"/>
    </row>
    <row r="105" spans="1:20" x14ac:dyDescent="0.25">
      <c r="A105" s="411">
        <f t="shared" si="6"/>
        <v>6375000</v>
      </c>
      <c r="B105" s="446" t="s">
        <v>20</v>
      </c>
      <c r="C105" s="419" t="s">
        <v>1019</v>
      </c>
      <c r="D105" s="419" t="s">
        <v>1604</v>
      </c>
      <c r="E105" s="417"/>
      <c r="F105" s="417" t="s">
        <v>1413</v>
      </c>
      <c r="G105" s="417"/>
      <c r="H105" s="417"/>
      <c r="I105" s="416"/>
      <c r="J105" s="416" t="s">
        <v>243</v>
      </c>
      <c r="K105" s="417"/>
      <c r="L105" s="420"/>
      <c r="M105" s="408"/>
      <c r="N105" s="408">
        <v>618.01</v>
      </c>
      <c r="O105" s="349"/>
    </row>
    <row r="106" spans="1:20" x14ac:dyDescent="0.25">
      <c r="A106" s="411">
        <f t="shared" si="6"/>
        <v>6375000</v>
      </c>
      <c r="B106" s="446" t="s">
        <v>920</v>
      </c>
      <c r="C106" s="419" t="s">
        <v>1019</v>
      </c>
      <c r="D106" s="419" t="s">
        <v>1604</v>
      </c>
      <c r="E106" s="417"/>
      <c r="F106" s="417" t="s">
        <v>1413</v>
      </c>
      <c r="G106" s="417"/>
      <c r="H106" s="417"/>
      <c r="I106" s="416"/>
      <c r="J106" s="416" t="s">
        <v>243</v>
      </c>
      <c r="K106" s="417"/>
      <c r="L106" s="420"/>
      <c r="M106" s="408"/>
      <c r="N106" s="408">
        <v>618.01</v>
      </c>
      <c r="O106" s="349"/>
    </row>
    <row r="107" spans="1:20" x14ac:dyDescent="0.25">
      <c r="A107" s="411">
        <f t="shared" si="6"/>
        <v>6375000</v>
      </c>
      <c r="B107" s="419" t="s">
        <v>268</v>
      </c>
      <c r="C107" s="419" t="s">
        <v>96</v>
      </c>
      <c r="D107" s="419" t="s">
        <v>1605</v>
      </c>
      <c r="E107" s="419"/>
      <c r="F107" s="417" t="s">
        <v>1413</v>
      </c>
      <c r="G107" s="417"/>
      <c r="H107" s="259"/>
      <c r="I107" s="259"/>
      <c r="J107" s="417" t="s">
        <v>243</v>
      </c>
      <c r="K107" s="420"/>
      <c r="L107" s="408"/>
      <c r="M107" s="408"/>
      <c r="N107" s="408">
        <v>25338.01</v>
      </c>
      <c r="O107" s="349"/>
    </row>
    <row r="108" spans="1:20" x14ac:dyDescent="0.25">
      <c r="A108" s="411">
        <f t="shared" si="6"/>
        <v>6375000</v>
      </c>
      <c r="B108" s="419" t="s">
        <v>268</v>
      </c>
      <c r="C108" s="419" t="s">
        <v>933</v>
      </c>
      <c r="D108" s="419" t="s">
        <v>1606</v>
      </c>
      <c r="E108" s="419"/>
      <c r="F108" s="417" t="s">
        <v>1413</v>
      </c>
      <c r="G108" s="421"/>
      <c r="H108" s="259"/>
      <c r="I108" s="259"/>
      <c r="J108" s="417" t="s">
        <v>243</v>
      </c>
      <c r="K108" s="420"/>
      <c r="L108" s="408"/>
      <c r="M108" s="408"/>
      <c r="N108" s="408">
        <v>3090.01</v>
      </c>
      <c r="O108" s="349"/>
    </row>
    <row r="109" spans="1:20" x14ac:dyDescent="0.25">
      <c r="A109" s="133">
        <f t="shared" si="6"/>
        <v>6375000</v>
      </c>
      <c r="B109" s="419" t="s">
        <v>268</v>
      </c>
      <c r="C109" s="419" t="s">
        <v>935</v>
      </c>
      <c r="D109" s="419" t="s">
        <v>1606</v>
      </c>
      <c r="E109" s="419"/>
      <c r="F109" s="417" t="s">
        <v>1413</v>
      </c>
      <c r="G109" s="421"/>
      <c r="H109" s="259"/>
      <c r="I109" s="259"/>
      <c r="J109" s="417" t="s">
        <v>243</v>
      </c>
      <c r="K109" s="420"/>
      <c r="L109" s="408"/>
      <c r="M109" s="408"/>
      <c r="N109" s="408">
        <v>3090.01</v>
      </c>
      <c r="O109" s="349"/>
      <c r="P109" s="407"/>
      <c r="Q109" s="407"/>
      <c r="R109" s="407"/>
      <c r="S109" s="407"/>
      <c r="T109" s="407"/>
    </row>
    <row r="110" spans="1:20" x14ac:dyDescent="0.25">
      <c r="A110" s="133">
        <f t="shared" si="6"/>
        <v>6375000</v>
      </c>
      <c r="B110" s="419" t="s">
        <v>1171</v>
      </c>
      <c r="C110" s="419" t="s">
        <v>1019</v>
      </c>
      <c r="D110" s="417" t="s">
        <v>1374</v>
      </c>
      <c r="E110" s="419"/>
      <c r="F110" s="421" t="s">
        <v>1325</v>
      </c>
      <c r="G110" s="421"/>
      <c r="H110" s="259"/>
      <c r="I110" s="259"/>
      <c r="J110" s="419" t="s">
        <v>243</v>
      </c>
      <c r="K110" s="420"/>
      <c r="L110" s="408"/>
      <c r="M110" s="408"/>
      <c r="N110" s="408">
        <v>684</v>
      </c>
      <c r="O110" s="349"/>
      <c r="P110" s="407"/>
      <c r="Q110" s="407"/>
      <c r="R110" s="407"/>
      <c r="S110" s="407"/>
      <c r="T110" s="407"/>
    </row>
    <row r="111" spans="1:20" x14ac:dyDescent="0.25">
      <c r="A111" s="133">
        <f t="shared" si="6"/>
        <v>6385000</v>
      </c>
      <c r="B111" s="419" t="s">
        <v>1182</v>
      </c>
      <c r="C111" s="419" t="s">
        <v>1019</v>
      </c>
      <c r="D111" s="417" t="s">
        <v>1414</v>
      </c>
      <c r="E111" s="419"/>
      <c r="F111" s="421" t="s">
        <v>1188</v>
      </c>
      <c r="G111" s="421"/>
      <c r="H111" s="259"/>
      <c r="I111" s="259"/>
      <c r="J111" s="417" t="s">
        <v>244</v>
      </c>
      <c r="K111" s="348"/>
      <c r="L111" s="418"/>
      <c r="M111" s="418"/>
      <c r="N111" s="418">
        <v>1500</v>
      </c>
      <c r="O111" s="349"/>
      <c r="P111" s="246"/>
      <c r="Q111" s="407"/>
      <c r="R111" s="407"/>
      <c r="S111" s="407"/>
      <c r="T111" s="407"/>
    </row>
    <row r="112" spans="1:20" x14ac:dyDescent="0.25">
      <c r="A112" s="133">
        <f t="shared" si="6"/>
        <v>6380000</v>
      </c>
      <c r="B112" s="419" t="s">
        <v>1182</v>
      </c>
      <c r="C112" s="419" t="s">
        <v>1019</v>
      </c>
      <c r="D112" s="417" t="s">
        <v>1203</v>
      </c>
      <c r="E112" s="419"/>
      <c r="F112" s="417" t="s">
        <v>1420</v>
      </c>
      <c r="G112" s="417"/>
      <c r="H112" s="259"/>
      <c r="I112" s="259"/>
      <c r="J112" s="417" t="s">
        <v>242</v>
      </c>
      <c r="K112" s="348"/>
      <c r="L112" s="418"/>
      <c r="M112" s="418"/>
      <c r="N112" s="418">
        <v>5000</v>
      </c>
      <c r="O112" s="349"/>
      <c r="P112" s="246"/>
      <c r="Q112" s="407"/>
      <c r="R112" s="407"/>
      <c r="S112" s="407"/>
      <c r="T112" s="407"/>
    </row>
    <row r="113" spans="1:20" x14ac:dyDescent="0.25">
      <c r="A113" s="133">
        <f t="shared" si="6"/>
        <v>6375000</v>
      </c>
      <c r="B113" s="419" t="s">
        <v>1182</v>
      </c>
      <c r="C113" s="419" t="s">
        <v>1019</v>
      </c>
      <c r="D113" s="419" t="s">
        <v>1189</v>
      </c>
      <c r="E113" s="419"/>
      <c r="F113" s="419" t="s">
        <v>1190</v>
      </c>
      <c r="G113" s="419"/>
      <c r="H113" s="355"/>
      <c r="I113" s="355"/>
      <c r="J113" s="419" t="s">
        <v>243</v>
      </c>
      <c r="K113" s="408"/>
      <c r="L113" s="408"/>
      <c r="M113" s="408"/>
      <c r="N113" s="408">
        <v>4600</v>
      </c>
      <c r="O113" s="349"/>
      <c r="P113" s="246"/>
      <c r="Q113" s="407"/>
      <c r="R113" s="407"/>
      <c r="S113" s="407"/>
      <c r="T113" s="407"/>
    </row>
    <row r="114" spans="1:20" x14ac:dyDescent="0.25">
      <c r="A114" s="133">
        <f t="shared" si="6"/>
        <v>6355000</v>
      </c>
      <c r="B114" s="419" t="s">
        <v>1182</v>
      </c>
      <c r="C114" s="419" t="s">
        <v>1019</v>
      </c>
      <c r="D114" s="419" t="s">
        <v>3</v>
      </c>
      <c r="E114" s="419"/>
      <c r="F114" s="417" t="s">
        <v>1389</v>
      </c>
      <c r="G114" s="419"/>
      <c r="H114" s="355"/>
      <c r="I114" s="355"/>
      <c r="J114" s="419" t="s">
        <v>3</v>
      </c>
      <c r="K114" s="418"/>
      <c r="L114" s="418"/>
      <c r="M114" s="418"/>
      <c r="N114" s="418">
        <v>200</v>
      </c>
      <c r="O114" s="349"/>
      <c r="P114" s="407"/>
      <c r="Q114" s="407"/>
      <c r="R114" s="407"/>
      <c r="S114" s="407"/>
      <c r="T114" s="407"/>
    </row>
    <row r="115" spans="1:20" x14ac:dyDescent="0.25">
      <c r="A115" s="133">
        <f t="shared" si="6"/>
        <v>6350000</v>
      </c>
      <c r="B115" s="419" t="s">
        <v>1182</v>
      </c>
      <c r="C115" s="419" t="s">
        <v>1019</v>
      </c>
      <c r="D115" s="419" t="s">
        <v>1382</v>
      </c>
      <c r="E115" s="419"/>
      <c r="F115" s="419" t="s">
        <v>1381</v>
      </c>
      <c r="G115" s="419"/>
      <c r="H115" s="355"/>
      <c r="I115" s="355"/>
      <c r="J115" s="419" t="s">
        <v>2</v>
      </c>
      <c r="K115" s="418"/>
      <c r="L115" s="418"/>
      <c r="M115" s="418"/>
      <c r="N115" s="418">
        <v>3000</v>
      </c>
      <c r="O115" s="349"/>
      <c r="P115" s="407"/>
      <c r="Q115" s="407"/>
      <c r="R115" s="407"/>
      <c r="S115" s="407"/>
      <c r="T115" s="407"/>
    </row>
    <row r="116" spans="1:20" x14ac:dyDescent="0.25">
      <c r="A116" s="133">
        <f t="shared" si="6"/>
        <v>6310000</v>
      </c>
      <c r="B116" s="419" t="s">
        <v>20</v>
      </c>
      <c r="C116" s="419" t="s">
        <v>1019</v>
      </c>
      <c r="D116" s="357" t="s">
        <v>1399</v>
      </c>
      <c r="E116" s="357"/>
      <c r="F116" s="357" t="s">
        <v>1398</v>
      </c>
      <c r="G116" s="357"/>
      <c r="H116" s="358">
        <v>45533</v>
      </c>
      <c r="I116" s="358">
        <v>45898</v>
      </c>
      <c r="J116" s="357" t="s">
        <v>249</v>
      </c>
      <c r="K116" s="359"/>
      <c r="L116" s="359"/>
      <c r="M116" s="359"/>
      <c r="N116" s="418"/>
      <c r="O116" s="349"/>
      <c r="P116" s="246"/>
      <c r="Q116" s="407"/>
      <c r="R116" s="407"/>
      <c r="S116" s="407"/>
      <c r="T116" s="407"/>
    </row>
    <row r="117" spans="1:20" x14ac:dyDescent="0.25">
      <c r="A117" s="133">
        <f t="shared" ref="A117:A122" si="7">VLOOKUP(J117,OtherOperatingExpenses,2)</f>
        <v>6375000</v>
      </c>
      <c r="B117" s="419" t="s">
        <v>510</v>
      </c>
      <c r="C117" s="419" t="s">
        <v>993</v>
      </c>
      <c r="D117" s="417" t="s">
        <v>1384</v>
      </c>
      <c r="E117" s="419"/>
      <c r="F117" s="417" t="s">
        <v>1383</v>
      </c>
      <c r="G117" s="417"/>
      <c r="H117" s="259"/>
      <c r="I117" s="259"/>
      <c r="J117" s="417" t="s">
        <v>243</v>
      </c>
      <c r="K117" s="348"/>
      <c r="L117" s="418"/>
      <c r="M117" s="418"/>
      <c r="N117" s="418"/>
      <c r="O117" s="349"/>
      <c r="P117" s="407"/>
      <c r="Q117" s="407"/>
      <c r="R117" s="407"/>
      <c r="S117" s="407"/>
      <c r="T117" s="407"/>
    </row>
    <row r="118" spans="1:20" x14ac:dyDescent="0.25">
      <c r="A118" s="133">
        <f t="shared" si="7"/>
        <v>6375000</v>
      </c>
      <c r="B118" s="419" t="s">
        <v>510</v>
      </c>
      <c r="C118" s="419" t="s">
        <v>993</v>
      </c>
      <c r="D118" s="417" t="s">
        <v>1386</v>
      </c>
      <c r="E118" s="419"/>
      <c r="F118" s="417" t="s">
        <v>1385</v>
      </c>
      <c r="G118" s="417"/>
      <c r="H118" s="259"/>
      <c r="I118" s="259"/>
      <c r="J118" s="417" t="s">
        <v>243</v>
      </c>
      <c r="K118" s="348"/>
      <c r="L118" s="418"/>
      <c r="M118" s="418"/>
      <c r="N118" s="418"/>
      <c r="O118" s="349"/>
      <c r="P118" s="407"/>
      <c r="Q118" s="407"/>
      <c r="R118" s="407"/>
      <c r="S118" s="407">
        <v>5.95</v>
      </c>
      <c r="T118" s="407"/>
    </row>
    <row r="119" spans="1:20" s="407" customFormat="1" x14ac:dyDescent="0.25">
      <c r="A119" s="133">
        <f t="shared" si="7"/>
        <v>6375000</v>
      </c>
      <c r="B119" s="419" t="s">
        <v>510</v>
      </c>
      <c r="C119" s="419" t="s">
        <v>1049</v>
      </c>
      <c r="D119" s="417" t="s">
        <v>1608</v>
      </c>
      <c r="E119" s="419"/>
      <c r="F119" s="417" t="s">
        <v>1413</v>
      </c>
      <c r="G119" s="357"/>
      <c r="H119" s="355"/>
      <c r="I119" s="355"/>
      <c r="J119" s="417" t="s">
        <v>243</v>
      </c>
      <c r="K119" s="359"/>
      <c r="L119" s="359"/>
      <c r="M119" s="359"/>
      <c r="N119" s="408">
        <v>3708.01</v>
      </c>
      <c r="O119" s="349"/>
      <c r="P119" s="246"/>
      <c r="S119" s="407">
        <v>12.14</v>
      </c>
    </row>
    <row r="120" spans="1:20" s="407" customFormat="1" x14ac:dyDescent="0.25">
      <c r="A120" s="133">
        <f>VLOOKUP(J120,OtherOperatingExpenses,2)</f>
        <v>6375000</v>
      </c>
      <c r="B120" s="419" t="s">
        <v>510</v>
      </c>
      <c r="C120" s="419" t="s">
        <v>951</v>
      </c>
      <c r="D120" s="417" t="s">
        <v>1609</v>
      </c>
      <c r="E120" s="419"/>
      <c r="F120" s="417" t="s">
        <v>1413</v>
      </c>
      <c r="G120" s="357"/>
      <c r="H120" s="355"/>
      <c r="I120" s="355"/>
      <c r="J120" s="417" t="s">
        <v>243</v>
      </c>
      <c r="K120" s="359"/>
      <c r="L120" s="359"/>
      <c r="M120" s="359"/>
      <c r="N120" s="408">
        <v>618</v>
      </c>
      <c r="O120" s="349"/>
      <c r="P120" s="246"/>
      <c r="S120" s="407">
        <v>23.79</v>
      </c>
    </row>
    <row r="121" spans="1:20" x14ac:dyDescent="0.25">
      <c r="A121" s="133">
        <f t="shared" si="7"/>
        <v>6355000</v>
      </c>
      <c r="B121" s="419" t="s">
        <v>510</v>
      </c>
      <c r="C121" s="419" t="s">
        <v>990</v>
      </c>
      <c r="D121" s="417" t="s">
        <v>3</v>
      </c>
      <c r="E121" s="419"/>
      <c r="F121" s="417" t="s">
        <v>1389</v>
      </c>
      <c r="G121" s="357"/>
      <c r="H121" s="355"/>
      <c r="I121" s="355"/>
      <c r="J121" s="417" t="s">
        <v>3</v>
      </c>
      <c r="K121" s="359"/>
      <c r="L121" s="359"/>
      <c r="M121" s="359"/>
      <c r="N121" s="408"/>
      <c r="O121" s="349"/>
      <c r="P121" s="407"/>
      <c r="Q121" s="407"/>
      <c r="R121" s="407"/>
      <c r="S121" s="407">
        <v>11.91</v>
      </c>
      <c r="T121" s="407"/>
    </row>
    <row r="122" spans="1:20" x14ac:dyDescent="0.25">
      <c r="A122" s="411">
        <f t="shared" si="7"/>
        <v>6375000</v>
      </c>
      <c r="B122" s="419" t="s">
        <v>510</v>
      </c>
      <c r="C122" s="459" t="s">
        <v>994</v>
      </c>
      <c r="D122" s="417" t="s">
        <v>1581</v>
      </c>
      <c r="E122" s="419"/>
      <c r="F122" s="419" t="s">
        <v>1277</v>
      </c>
      <c r="G122" s="419"/>
      <c r="H122" s="355"/>
      <c r="I122" s="355"/>
      <c r="J122" s="419" t="s">
        <v>243</v>
      </c>
      <c r="K122" s="418"/>
      <c r="L122" s="418"/>
      <c r="M122" s="418"/>
      <c r="N122" s="418"/>
      <c r="O122" s="40"/>
      <c r="P122" s="407"/>
      <c r="Q122" s="407"/>
      <c r="R122" s="407"/>
      <c r="S122" s="407"/>
      <c r="T122" s="407"/>
    </row>
    <row r="123" spans="1:20" x14ac:dyDescent="0.25">
      <c r="A123" s="411">
        <f t="shared" ref="A123:A140" si="8">VLOOKUP(J123,OtherOperatingExpenses,2)</f>
        <v>6375000</v>
      </c>
      <c r="B123" s="419" t="s">
        <v>510</v>
      </c>
      <c r="C123" s="459" t="s">
        <v>994</v>
      </c>
      <c r="D123" s="417" t="s">
        <v>1581</v>
      </c>
      <c r="E123" s="419"/>
      <c r="F123" s="419" t="s">
        <v>1582</v>
      </c>
      <c r="G123" s="419"/>
      <c r="H123" s="355"/>
      <c r="I123" s="355"/>
      <c r="J123" s="419" t="s">
        <v>243</v>
      </c>
      <c r="K123" s="418"/>
      <c r="L123" s="418"/>
      <c r="M123" s="418"/>
      <c r="N123" s="418"/>
      <c r="O123" s="40"/>
      <c r="P123" s="407"/>
      <c r="Q123" s="407"/>
      <c r="R123" s="407"/>
      <c r="S123" s="407"/>
      <c r="T123" s="407"/>
    </row>
    <row r="124" spans="1:20" x14ac:dyDescent="0.25">
      <c r="A124" s="411">
        <f t="shared" si="8"/>
        <v>6350000</v>
      </c>
      <c r="B124" s="419" t="s">
        <v>272</v>
      </c>
      <c r="C124" s="419" t="s">
        <v>1019</v>
      </c>
      <c r="D124" s="417" t="s">
        <v>1192</v>
      </c>
      <c r="E124" s="419"/>
      <c r="F124" s="417" t="s">
        <v>1418</v>
      </c>
      <c r="G124" s="357"/>
      <c r="H124" s="358"/>
      <c r="I124" s="358"/>
      <c r="J124" s="417" t="s">
        <v>2</v>
      </c>
      <c r="K124" s="348"/>
      <c r="L124" s="418"/>
      <c r="M124" s="418"/>
      <c r="N124" s="418">
        <v>456</v>
      </c>
      <c r="O124" s="349"/>
      <c r="P124" s="407"/>
      <c r="Q124" s="407"/>
      <c r="R124" s="407"/>
      <c r="S124" s="407"/>
      <c r="T124" s="407"/>
    </row>
    <row r="125" spans="1:20" x14ac:dyDescent="0.25">
      <c r="A125" s="411">
        <f t="shared" si="8"/>
        <v>6350000</v>
      </c>
      <c r="B125" s="419" t="s">
        <v>272</v>
      </c>
      <c r="C125" s="419" t="s">
        <v>1019</v>
      </c>
      <c r="D125" s="417" t="s">
        <v>1193</v>
      </c>
      <c r="E125" s="417"/>
      <c r="F125" s="421" t="s">
        <v>1613</v>
      </c>
      <c r="G125" s="421"/>
      <c r="H125" s="259"/>
      <c r="I125" s="259"/>
      <c r="J125" s="417" t="s">
        <v>2</v>
      </c>
      <c r="K125" s="420"/>
      <c r="L125" s="408"/>
      <c r="M125" s="408"/>
      <c r="N125" s="408">
        <v>500</v>
      </c>
      <c r="O125" s="349"/>
      <c r="P125" s="407"/>
      <c r="Q125" s="407"/>
      <c r="R125" s="407"/>
      <c r="S125" s="407"/>
      <c r="T125" s="407"/>
    </row>
    <row r="126" spans="1:20" x14ac:dyDescent="0.25">
      <c r="A126" s="411">
        <f t="shared" si="8"/>
        <v>6375000</v>
      </c>
      <c r="B126" s="419" t="s">
        <v>272</v>
      </c>
      <c r="C126" s="419" t="s">
        <v>1019</v>
      </c>
      <c r="D126" s="417" t="s">
        <v>1194</v>
      </c>
      <c r="E126" s="417"/>
      <c r="F126" s="421" t="s">
        <v>1614</v>
      </c>
      <c r="G126" s="421"/>
      <c r="H126" s="259"/>
      <c r="I126" s="259"/>
      <c r="J126" s="417" t="s">
        <v>243</v>
      </c>
      <c r="K126" s="420"/>
      <c r="L126" s="408"/>
      <c r="M126" s="408"/>
      <c r="N126" s="408">
        <v>144</v>
      </c>
      <c r="O126" s="349"/>
      <c r="P126" s="407"/>
      <c r="Q126" s="407"/>
      <c r="R126" s="407"/>
      <c r="S126" s="407"/>
      <c r="T126" s="407"/>
    </row>
    <row r="127" spans="1:20" x14ac:dyDescent="0.25">
      <c r="A127" s="411">
        <f t="shared" si="8"/>
        <v>6365000</v>
      </c>
      <c r="B127" s="419" t="s">
        <v>272</v>
      </c>
      <c r="C127" s="419" t="s">
        <v>1019</v>
      </c>
      <c r="D127" s="419" t="s">
        <v>1612</v>
      </c>
      <c r="E127" s="419"/>
      <c r="F127" s="419" t="s">
        <v>1496</v>
      </c>
      <c r="G127" s="419"/>
      <c r="H127" s="355"/>
      <c r="I127" s="355"/>
      <c r="J127" s="419" t="s">
        <v>488</v>
      </c>
      <c r="K127" s="408"/>
      <c r="L127" s="408"/>
      <c r="M127" s="408"/>
      <c r="N127" s="408">
        <v>12</v>
      </c>
      <c r="O127" s="349"/>
      <c r="P127" s="246"/>
      <c r="Q127" s="407"/>
      <c r="R127" s="407"/>
      <c r="S127" s="407"/>
      <c r="T127" s="407"/>
    </row>
    <row r="128" spans="1:20" x14ac:dyDescent="0.25">
      <c r="A128" s="411">
        <f t="shared" si="8"/>
        <v>6355000</v>
      </c>
      <c r="B128" s="419" t="s">
        <v>272</v>
      </c>
      <c r="C128" s="419" t="s">
        <v>1019</v>
      </c>
      <c r="D128" s="417" t="s">
        <v>3</v>
      </c>
      <c r="E128" s="419"/>
      <c r="F128" s="417" t="s">
        <v>1389</v>
      </c>
      <c r="G128" s="417"/>
      <c r="H128" s="355"/>
      <c r="I128" s="355"/>
      <c r="J128" s="417" t="s">
        <v>3</v>
      </c>
      <c r="K128" s="420"/>
      <c r="L128" s="408"/>
      <c r="M128" s="408"/>
      <c r="N128" s="408">
        <v>375</v>
      </c>
      <c r="O128" s="349"/>
      <c r="P128" s="407"/>
      <c r="Q128" s="407"/>
      <c r="R128" s="407"/>
      <c r="S128" s="407"/>
      <c r="T128" s="407"/>
    </row>
    <row r="129" spans="1:20" x14ac:dyDescent="0.25">
      <c r="A129" s="411">
        <f t="shared" si="8"/>
        <v>6350000</v>
      </c>
      <c r="B129" s="419" t="s">
        <v>272</v>
      </c>
      <c r="C129" s="419" t="s">
        <v>1019</v>
      </c>
      <c r="D129" s="417" t="s">
        <v>1388</v>
      </c>
      <c r="E129" s="419"/>
      <c r="F129" s="419" t="s">
        <v>1257</v>
      </c>
      <c r="G129" s="419"/>
      <c r="H129" s="355"/>
      <c r="I129" s="355"/>
      <c r="J129" s="419" t="s">
        <v>2</v>
      </c>
      <c r="K129" s="420"/>
      <c r="L129" s="408"/>
      <c r="M129" s="408"/>
      <c r="N129" s="408">
        <v>598</v>
      </c>
      <c r="O129" s="349"/>
      <c r="P129" s="407"/>
      <c r="Q129" s="407"/>
      <c r="R129" s="407"/>
      <c r="S129" s="407"/>
      <c r="T129" s="407"/>
    </row>
    <row r="130" spans="1:20" x14ac:dyDescent="0.25">
      <c r="A130" s="411">
        <f t="shared" si="8"/>
        <v>6380000</v>
      </c>
      <c r="B130" s="419" t="s">
        <v>21</v>
      </c>
      <c r="C130" s="419" t="s">
        <v>1019</v>
      </c>
      <c r="D130" s="419" t="s">
        <v>1387</v>
      </c>
      <c r="E130" s="419"/>
      <c r="F130" s="419" t="s">
        <v>1195</v>
      </c>
      <c r="G130" s="419"/>
      <c r="H130" s="355"/>
      <c r="I130" s="355"/>
      <c r="J130" s="419" t="s">
        <v>242</v>
      </c>
      <c r="K130" s="420"/>
      <c r="L130" s="408"/>
      <c r="M130" s="408"/>
      <c r="N130" s="408">
        <v>2000</v>
      </c>
      <c r="O130" s="349"/>
      <c r="P130" s="407"/>
      <c r="Q130" s="407"/>
      <c r="R130" s="407"/>
      <c r="S130" s="407"/>
      <c r="T130" s="407"/>
    </row>
    <row r="131" spans="1:20" x14ac:dyDescent="0.25">
      <c r="A131" s="411">
        <f t="shared" si="8"/>
        <v>6350000</v>
      </c>
      <c r="B131" s="419" t="s">
        <v>21</v>
      </c>
      <c r="C131" s="419" t="s">
        <v>1019</v>
      </c>
      <c r="D131" s="417" t="s">
        <v>1196</v>
      </c>
      <c r="E131" s="417"/>
      <c r="F131" s="417"/>
      <c r="G131" s="417"/>
      <c r="H131" s="259"/>
      <c r="I131" s="259"/>
      <c r="J131" s="417" t="s">
        <v>2</v>
      </c>
      <c r="K131" s="420"/>
      <c r="L131" s="408"/>
      <c r="M131" s="408"/>
      <c r="N131" s="408">
        <v>760</v>
      </c>
      <c r="O131" s="349"/>
      <c r="P131" s="407"/>
      <c r="Q131" s="407"/>
      <c r="R131" s="407"/>
      <c r="S131" s="407"/>
      <c r="T131" s="407"/>
    </row>
    <row r="132" spans="1:20" x14ac:dyDescent="0.25">
      <c r="A132" s="211">
        <f t="shared" si="8"/>
        <v>6355000</v>
      </c>
      <c r="B132" s="419" t="s">
        <v>21</v>
      </c>
      <c r="C132" s="419" t="s">
        <v>1019</v>
      </c>
      <c r="D132" s="417" t="s">
        <v>3</v>
      </c>
      <c r="E132" s="417"/>
      <c r="F132" s="417" t="s">
        <v>1389</v>
      </c>
      <c r="G132" s="417"/>
      <c r="H132" s="259"/>
      <c r="I132" s="259"/>
      <c r="J132" s="417" t="s">
        <v>3</v>
      </c>
      <c r="K132" s="420"/>
      <c r="L132" s="408"/>
      <c r="M132" s="408"/>
      <c r="N132" s="408">
        <v>250</v>
      </c>
      <c r="O132" s="349"/>
      <c r="P132" s="407"/>
      <c r="Q132" s="407"/>
      <c r="R132" s="407"/>
      <c r="S132" s="407"/>
      <c r="T132" s="407"/>
    </row>
    <row r="133" spans="1:20" x14ac:dyDescent="0.25">
      <c r="A133" s="411">
        <f t="shared" si="8"/>
        <v>6375000</v>
      </c>
      <c r="B133" s="419" t="s">
        <v>1172</v>
      </c>
      <c r="C133" s="419" t="s">
        <v>954</v>
      </c>
      <c r="D133" s="417" t="s">
        <v>1197</v>
      </c>
      <c r="E133" s="417"/>
      <c r="F133" s="417" t="s">
        <v>1277</v>
      </c>
      <c r="G133" s="417"/>
      <c r="H133" s="259"/>
      <c r="I133" s="259"/>
      <c r="J133" s="417" t="s">
        <v>243</v>
      </c>
      <c r="K133" s="420"/>
      <c r="L133" s="408"/>
      <c r="M133" s="408"/>
      <c r="N133" s="408">
        <v>40018.11</v>
      </c>
      <c r="O133" s="349"/>
      <c r="P133" s="407"/>
      <c r="Q133" s="407"/>
      <c r="R133" s="407"/>
      <c r="S133" s="407"/>
      <c r="T133" s="407"/>
    </row>
    <row r="134" spans="1:20" s="407" customFormat="1" x14ac:dyDescent="0.25">
      <c r="A134" s="411">
        <f t="shared" ref="A134" si="9">VLOOKUP(J134,OtherOperatingExpenses,2)</f>
        <v>6375000</v>
      </c>
      <c r="B134" s="419" t="s">
        <v>1172</v>
      </c>
      <c r="C134" s="419" t="s">
        <v>958</v>
      </c>
      <c r="D134" s="417" t="s">
        <v>1197</v>
      </c>
      <c r="E134" s="417"/>
      <c r="F134" s="417" t="s">
        <v>1277</v>
      </c>
      <c r="G134" s="417"/>
      <c r="H134" s="259"/>
      <c r="I134" s="259"/>
      <c r="J134" s="417" t="s">
        <v>243</v>
      </c>
      <c r="K134" s="420"/>
      <c r="L134" s="408"/>
      <c r="M134" s="408"/>
      <c r="N134" s="408">
        <v>7224.78</v>
      </c>
      <c r="O134" s="349"/>
    </row>
    <row r="135" spans="1:20" s="407" customFormat="1" x14ac:dyDescent="0.25">
      <c r="A135" s="411">
        <f t="shared" ref="A135:A136" si="10">VLOOKUP(J135,OtherOperatingExpenses,2)</f>
        <v>6375000</v>
      </c>
      <c r="B135" s="419" t="s">
        <v>1172</v>
      </c>
      <c r="C135" s="419" t="s">
        <v>1044</v>
      </c>
      <c r="D135" s="417" t="s">
        <v>1197</v>
      </c>
      <c r="E135" s="417"/>
      <c r="F135" s="417" t="s">
        <v>1277</v>
      </c>
      <c r="G135" s="417"/>
      <c r="H135" s="259"/>
      <c r="I135" s="259"/>
      <c r="J135" s="417" t="s">
        <v>243</v>
      </c>
      <c r="K135" s="420"/>
      <c r="L135" s="408"/>
      <c r="M135" s="408"/>
      <c r="N135" s="408">
        <v>4133.43</v>
      </c>
      <c r="O135" s="349"/>
    </row>
    <row r="136" spans="1:20" s="407" customFormat="1" x14ac:dyDescent="0.25">
      <c r="A136" s="411">
        <f t="shared" si="10"/>
        <v>6350000</v>
      </c>
      <c r="B136" s="419" t="s">
        <v>1172</v>
      </c>
      <c r="C136" s="419" t="s">
        <v>954</v>
      </c>
      <c r="D136" s="417" t="s">
        <v>1698</v>
      </c>
      <c r="E136" s="417"/>
      <c r="F136" s="417"/>
      <c r="G136" s="417"/>
      <c r="H136" s="259"/>
      <c r="I136" s="259"/>
      <c r="J136" s="417" t="s">
        <v>2</v>
      </c>
      <c r="K136" s="420"/>
      <c r="L136" s="408"/>
      <c r="M136" s="408"/>
      <c r="N136" s="408">
        <v>1568</v>
      </c>
      <c r="O136" s="349"/>
    </row>
    <row r="137" spans="1:20" x14ac:dyDescent="0.25">
      <c r="A137" s="411">
        <f t="shared" si="8"/>
        <v>6355000</v>
      </c>
      <c r="B137" s="419" t="s">
        <v>1172</v>
      </c>
      <c r="C137" s="419" t="s">
        <v>954</v>
      </c>
      <c r="D137" s="419" t="s">
        <v>3</v>
      </c>
      <c r="E137" s="419"/>
      <c r="F137" s="417" t="s">
        <v>1389</v>
      </c>
      <c r="G137" s="419"/>
      <c r="H137" s="355"/>
      <c r="I137" s="355"/>
      <c r="J137" s="419" t="s">
        <v>3</v>
      </c>
      <c r="K137" s="420"/>
      <c r="L137" s="408"/>
      <c r="M137" s="408"/>
      <c r="N137" s="408">
        <v>800</v>
      </c>
      <c r="O137" s="349"/>
      <c r="P137" s="407"/>
      <c r="Q137" s="407"/>
      <c r="R137" s="407"/>
      <c r="S137" s="407"/>
      <c r="T137" s="407"/>
    </row>
    <row r="138" spans="1:20" s="407" customFormat="1" x14ac:dyDescent="0.25">
      <c r="A138" s="411">
        <f t="shared" si="8"/>
        <v>6375000</v>
      </c>
      <c r="B138" s="419" t="s">
        <v>1172</v>
      </c>
      <c r="C138" s="419" t="s">
        <v>954</v>
      </c>
      <c r="D138" s="419" t="s">
        <v>1469</v>
      </c>
      <c r="E138" s="419"/>
      <c r="F138" s="417" t="s">
        <v>1692</v>
      </c>
      <c r="G138" s="419"/>
      <c r="H138" s="355"/>
      <c r="I138" s="355"/>
      <c r="J138" s="419" t="s">
        <v>243</v>
      </c>
      <c r="K138" s="420"/>
      <c r="L138" s="408"/>
      <c r="M138" s="408"/>
      <c r="N138" s="408">
        <v>559.79999999999995</v>
      </c>
      <c r="O138" s="349"/>
    </row>
    <row r="139" spans="1:20" x14ac:dyDescent="0.25">
      <c r="A139" s="133">
        <f t="shared" si="8"/>
        <v>6375000</v>
      </c>
      <c r="B139" s="419" t="s">
        <v>1172</v>
      </c>
      <c r="C139" s="419" t="s">
        <v>954</v>
      </c>
      <c r="D139" s="419" t="s">
        <v>1607</v>
      </c>
      <c r="E139" s="419"/>
      <c r="F139" s="419" t="s">
        <v>1413</v>
      </c>
      <c r="G139" s="419"/>
      <c r="H139" s="355"/>
      <c r="I139" s="355"/>
      <c r="J139" s="419" t="s">
        <v>243</v>
      </c>
      <c r="K139" s="420"/>
      <c r="L139" s="408"/>
      <c r="M139" s="408"/>
      <c r="N139" s="408">
        <v>1236</v>
      </c>
      <c r="O139" s="349"/>
      <c r="P139" s="246"/>
      <c r="Q139" s="407"/>
      <c r="R139" s="407"/>
      <c r="S139" s="407"/>
      <c r="T139" s="407"/>
    </row>
    <row r="140" spans="1:20" x14ac:dyDescent="0.25">
      <c r="A140" s="285">
        <f t="shared" si="8"/>
        <v>6350000</v>
      </c>
      <c r="B140" s="419" t="s">
        <v>1172</v>
      </c>
      <c r="C140" s="419" t="s">
        <v>954</v>
      </c>
      <c r="D140" s="419" t="s">
        <v>1691</v>
      </c>
      <c r="E140" s="419"/>
      <c r="F140" s="419" t="s">
        <v>1198</v>
      </c>
      <c r="G140" s="419"/>
      <c r="H140" s="355"/>
      <c r="I140" s="355"/>
      <c r="J140" s="419" t="s">
        <v>2</v>
      </c>
      <c r="K140" s="420"/>
      <c r="L140" s="408"/>
      <c r="M140" s="408"/>
      <c r="N140" s="408">
        <v>250</v>
      </c>
      <c r="O140" s="349"/>
      <c r="P140" s="407"/>
      <c r="Q140" s="407"/>
      <c r="R140" s="407"/>
      <c r="S140" s="407"/>
      <c r="T140" s="407"/>
    </row>
    <row r="141" spans="1:20" s="407" customFormat="1" x14ac:dyDescent="0.25">
      <c r="A141" s="285">
        <f t="shared" ref="A141:A143" si="11">VLOOKUP(J141,OtherOperatingExpenses,2)</f>
        <v>6375000</v>
      </c>
      <c r="B141" s="419" t="s">
        <v>1172</v>
      </c>
      <c r="C141" s="419" t="s">
        <v>954</v>
      </c>
      <c r="D141" s="419" t="s">
        <v>1299</v>
      </c>
      <c r="E141" s="419"/>
      <c r="F141" s="419" t="s">
        <v>1699</v>
      </c>
      <c r="G141" s="419"/>
      <c r="H141" s="355"/>
      <c r="I141" s="355"/>
      <c r="J141" s="419" t="s">
        <v>243</v>
      </c>
      <c r="K141" s="420"/>
      <c r="L141" s="408"/>
      <c r="M141" s="408"/>
      <c r="N141" s="408">
        <v>174.25</v>
      </c>
      <c r="O141" s="349"/>
    </row>
    <row r="142" spans="1:20" s="407" customFormat="1" x14ac:dyDescent="0.25">
      <c r="A142" s="285">
        <f t="shared" si="11"/>
        <v>6375000</v>
      </c>
      <c r="B142" s="419" t="s">
        <v>1172</v>
      </c>
      <c r="C142" s="419" t="s">
        <v>958</v>
      </c>
      <c r="D142" s="419" t="s">
        <v>1299</v>
      </c>
      <c r="E142" s="419"/>
      <c r="F142" s="419" t="s">
        <v>1699</v>
      </c>
      <c r="G142" s="419"/>
      <c r="H142" s="355"/>
      <c r="I142" s="355"/>
      <c r="J142" s="419" t="s">
        <v>243</v>
      </c>
      <c r="K142" s="420"/>
      <c r="L142" s="408"/>
      <c r="M142" s="408"/>
      <c r="N142" s="408">
        <v>20.5</v>
      </c>
      <c r="O142" s="349"/>
    </row>
    <row r="143" spans="1:20" s="407" customFormat="1" x14ac:dyDescent="0.25">
      <c r="A143" s="285">
        <f t="shared" si="11"/>
        <v>6375000</v>
      </c>
      <c r="B143" s="419" t="s">
        <v>1172</v>
      </c>
      <c r="C143" s="419" t="s">
        <v>1044</v>
      </c>
      <c r="D143" s="419" t="s">
        <v>1299</v>
      </c>
      <c r="E143" s="419"/>
      <c r="F143" s="419" t="s">
        <v>1699</v>
      </c>
      <c r="G143" s="419"/>
      <c r="H143" s="355"/>
      <c r="I143" s="355"/>
      <c r="J143" s="419" t="s">
        <v>243</v>
      </c>
      <c r="K143" s="420"/>
      <c r="L143" s="408"/>
      <c r="M143" s="408"/>
      <c r="N143" s="408">
        <v>10.25</v>
      </c>
      <c r="O143" s="349"/>
    </row>
    <row r="144" spans="1:20" x14ac:dyDescent="0.25">
      <c r="A144" s="133">
        <v>6375000</v>
      </c>
      <c r="B144" s="419" t="s">
        <v>810</v>
      </c>
      <c r="C144" s="419" t="s">
        <v>1019</v>
      </c>
      <c r="D144" s="417" t="s">
        <v>1307</v>
      </c>
      <c r="E144" s="417"/>
      <c r="F144" s="417" t="s">
        <v>1308</v>
      </c>
      <c r="G144" s="417"/>
      <c r="H144" s="259"/>
      <c r="I144" s="259"/>
      <c r="J144" s="417" t="s">
        <v>285</v>
      </c>
      <c r="K144" s="420"/>
      <c r="L144" s="408"/>
      <c r="M144" s="408"/>
      <c r="N144" s="408">
        <v>7000</v>
      </c>
      <c r="O144" s="349"/>
      <c r="P144" s="407"/>
      <c r="Q144" s="407"/>
      <c r="R144" s="407"/>
      <c r="S144" s="407"/>
      <c r="T144" s="407"/>
    </row>
    <row r="145" spans="1:20" x14ac:dyDescent="0.25">
      <c r="A145" s="133">
        <f t="shared" ref="A145:A208" si="12">VLOOKUP(J145,OtherOperatingExpenses,2)</f>
        <v>6335000</v>
      </c>
      <c r="B145" s="419" t="s">
        <v>810</v>
      </c>
      <c r="C145" s="419" t="s">
        <v>1019</v>
      </c>
      <c r="D145" s="417" t="s">
        <v>1309</v>
      </c>
      <c r="E145" s="417"/>
      <c r="F145" s="417" t="s">
        <v>1310</v>
      </c>
      <c r="G145" s="417"/>
      <c r="H145" s="259"/>
      <c r="I145" s="259"/>
      <c r="J145" s="417" t="s">
        <v>389</v>
      </c>
      <c r="K145" s="420"/>
      <c r="L145" s="408"/>
      <c r="M145" s="408"/>
      <c r="N145" s="408">
        <v>14000</v>
      </c>
      <c r="O145" s="40"/>
      <c r="P145" s="246"/>
      <c r="Q145" s="407"/>
      <c r="R145" s="407"/>
      <c r="S145" s="407"/>
      <c r="T145" s="407"/>
    </row>
    <row r="146" spans="1:20" x14ac:dyDescent="0.25">
      <c r="A146" s="133">
        <f t="shared" si="12"/>
        <v>6365000</v>
      </c>
      <c r="B146" s="419" t="s">
        <v>810</v>
      </c>
      <c r="C146" s="419" t="s">
        <v>1019</v>
      </c>
      <c r="D146" s="417" t="s">
        <v>1761</v>
      </c>
      <c r="E146" s="417"/>
      <c r="F146" s="417"/>
      <c r="G146" s="417"/>
      <c r="H146" s="259"/>
      <c r="I146" s="259"/>
      <c r="J146" s="417" t="s">
        <v>488</v>
      </c>
      <c r="K146" s="420"/>
      <c r="L146" s="408"/>
      <c r="M146" s="408"/>
      <c r="N146" s="408">
        <v>700</v>
      </c>
      <c r="O146" s="349"/>
      <c r="P146" s="246"/>
      <c r="Q146" s="407"/>
      <c r="R146" s="407"/>
      <c r="S146" s="407"/>
      <c r="T146" s="407"/>
    </row>
    <row r="147" spans="1:20" s="407" customFormat="1" x14ac:dyDescent="0.25">
      <c r="A147" s="133">
        <f t="shared" si="12"/>
        <v>6365000</v>
      </c>
      <c r="B147" s="419" t="s">
        <v>810</v>
      </c>
      <c r="C147" s="419" t="s">
        <v>1019</v>
      </c>
      <c r="D147" s="417" t="s">
        <v>1762</v>
      </c>
      <c r="E147" s="417"/>
      <c r="F147" s="417"/>
      <c r="G147" s="417"/>
      <c r="H147" s="259"/>
      <c r="I147" s="259"/>
      <c r="J147" s="417" t="s">
        <v>488</v>
      </c>
      <c r="K147" s="420"/>
      <c r="L147" s="408"/>
      <c r="M147" s="408"/>
      <c r="N147" s="408">
        <v>300</v>
      </c>
      <c r="O147" s="349"/>
      <c r="P147" s="246"/>
    </row>
    <row r="148" spans="1:20" x14ac:dyDescent="0.25">
      <c r="A148" s="133">
        <f t="shared" si="12"/>
        <v>6355000</v>
      </c>
      <c r="B148" s="419" t="s">
        <v>810</v>
      </c>
      <c r="C148" s="419" t="s">
        <v>1019</v>
      </c>
      <c r="D148" s="417" t="s">
        <v>1390</v>
      </c>
      <c r="E148" s="417"/>
      <c r="F148" s="417" t="s">
        <v>1389</v>
      </c>
      <c r="G148" s="417"/>
      <c r="H148" s="259"/>
      <c r="I148" s="259"/>
      <c r="J148" s="417" t="s">
        <v>3</v>
      </c>
      <c r="K148" s="420"/>
      <c r="L148" s="408"/>
      <c r="M148" s="408"/>
      <c r="N148" s="408">
        <v>2000</v>
      </c>
      <c r="O148" s="349"/>
      <c r="P148" s="246"/>
      <c r="Q148" s="407"/>
      <c r="R148" s="407"/>
      <c r="S148" s="407"/>
      <c r="T148" s="407"/>
    </row>
    <row r="149" spans="1:20" x14ac:dyDescent="0.25">
      <c r="A149" s="133">
        <f t="shared" si="12"/>
        <v>6330000</v>
      </c>
      <c r="B149" s="419" t="s">
        <v>810</v>
      </c>
      <c r="C149" s="419" t="s">
        <v>1019</v>
      </c>
      <c r="D149" s="417" t="s">
        <v>1390</v>
      </c>
      <c r="E149" s="417"/>
      <c r="F149" s="417" t="s">
        <v>1400</v>
      </c>
      <c r="G149" s="417"/>
      <c r="H149" s="259"/>
      <c r="I149" s="259"/>
      <c r="J149" s="417" t="s">
        <v>246</v>
      </c>
      <c r="K149" s="420"/>
      <c r="L149" s="408"/>
      <c r="M149" s="408"/>
      <c r="N149" s="408">
        <v>2000</v>
      </c>
      <c r="O149" s="349"/>
      <c r="P149" s="246"/>
      <c r="Q149" s="407"/>
      <c r="R149" s="407"/>
      <c r="S149" s="407"/>
      <c r="T149" s="407"/>
    </row>
    <row r="150" spans="1:20" x14ac:dyDescent="0.25">
      <c r="A150" s="133">
        <f t="shared" si="12"/>
        <v>6315000</v>
      </c>
      <c r="B150" s="419" t="s">
        <v>810</v>
      </c>
      <c r="C150" s="419" t="s">
        <v>1019</v>
      </c>
      <c r="D150" s="417" t="s">
        <v>1417</v>
      </c>
      <c r="E150" s="417"/>
      <c r="F150" s="417" t="s">
        <v>1311</v>
      </c>
      <c r="G150" s="417"/>
      <c r="H150" s="259"/>
      <c r="I150" s="259"/>
      <c r="J150" s="417" t="s">
        <v>285</v>
      </c>
      <c r="K150" s="420"/>
      <c r="L150" s="408"/>
      <c r="M150" s="408"/>
      <c r="N150" s="408">
        <v>2000</v>
      </c>
      <c r="O150" s="349"/>
      <c r="P150" s="407"/>
      <c r="Q150" s="407"/>
      <c r="R150" s="407"/>
      <c r="S150" s="407"/>
      <c r="T150" s="407"/>
    </row>
    <row r="151" spans="1:20" x14ac:dyDescent="0.25">
      <c r="A151" s="133">
        <f t="shared" si="12"/>
        <v>6330000</v>
      </c>
      <c r="B151" s="419" t="s">
        <v>810</v>
      </c>
      <c r="C151" s="419" t="s">
        <v>1019</v>
      </c>
      <c r="D151" s="417" t="s">
        <v>1750</v>
      </c>
      <c r="E151" s="417"/>
      <c r="F151" s="417" t="s">
        <v>1751</v>
      </c>
      <c r="G151" s="417"/>
      <c r="H151" s="259"/>
      <c r="I151" s="259"/>
      <c r="J151" s="417" t="s">
        <v>246</v>
      </c>
      <c r="K151" s="420"/>
      <c r="L151" s="408"/>
      <c r="M151" s="408"/>
      <c r="N151" s="408">
        <v>1000</v>
      </c>
      <c r="O151" s="349"/>
      <c r="P151" s="407"/>
      <c r="Q151" s="407"/>
      <c r="R151" s="407"/>
      <c r="S151" s="407"/>
      <c r="T151" s="407"/>
    </row>
    <row r="152" spans="1:20" x14ac:dyDescent="0.25">
      <c r="A152" s="133">
        <f t="shared" si="12"/>
        <v>6315000</v>
      </c>
      <c r="B152" s="419" t="s">
        <v>810</v>
      </c>
      <c r="C152" s="419" t="s">
        <v>1019</v>
      </c>
      <c r="D152" s="417" t="s">
        <v>1752</v>
      </c>
      <c r="E152" s="417"/>
      <c r="F152" s="417" t="s">
        <v>1753</v>
      </c>
      <c r="G152" s="417"/>
      <c r="H152" s="259"/>
      <c r="I152" s="259"/>
      <c r="J152" s="417" t="s">
        <v>285</v>
      </c>
      <c r="K152" s="420"/>
      <c r="L152" s="408"/>
      <c r="M152" s="408"/>
      <c r="N152" s="408">
        <v>2000</v>
      </c>
      <c r="O152" s="40"/>
      <c r="P152" s="407"/>
      <c r="Q152" s="407"/>
      <c r="R152" s="407"/>
      <c r="S152" s="407"/>
      <c r="T152" s="407"/>
    </row>
    <row r="153" spans="1:20" x14ac:dyDescent="0.25">
      <c r="A153" s="133">
        <f t="shared" si="12"/>
        <v>6365000</v>
      </c>
      <c r="B153" s="419" t="s">
        <v>810</v>
      </c>
      <c r="C153" s="419" t="s">
        <v>1019</v>
      </c>
      <c r="D153" s="417" t="s">
        <v>1312</v>
      </c>
      <c r="E153" s="417"/>
      <c r="F153" s="417" t="s">
        <v>1313</v>
      </c>
      <c r="G153" s="417"/>
      <c r="H153" s="259"/>
      <c r="I153" s="259"/>
      <c r="J153" s="417" t="s">
        <v>488</v>
      </c>
      <c r="K153" s="420"/>
      <c r="L153" s="408"/>
      <c r="M153" s="408"/>
      <c r="N153" s="408">
        <v>2000</v>
      </c>
      <c r="O153" s="349"/>
      <c r="P153" s="407"/>
      <c r="Q153" s="407"/>
      <c r="R153" s="407"/>
      <c r="S153" s="407"/>
      <c r="T153" s="407"/>
    </row>
    <row r="154" spans="1:20" x14ac:dyDescent="0.25">
      <c r="A154" s="133">
        <f t="shared" si="12"/>
        <v>6315000</v>
      </c>
      <c r="B154" s="419" t="s">
        <v>810</v>
      </c>
      <c r="C154" s="419" t="s">
        <v>1019</v>
      </c>
      <c r="D154" s="417" t="s">
        <v>1416</v>
      </c>
      <c r="E154" s="417"/>
      <c r="F154" s="417" t="s">
        <v>1314</v>
      </c>
      <c r="G154" s="417"/>
      <c r="H154" s="259"/>
      <c r="I154" s="259"/>
      <c r="J154" s="417" t="s">
        <v>285</v>
      </c>
      <c r="K154" s="420"/>
      <c r="L154" s="408"/>
      <c r="M154" s="408"/>
      <c r="N154" s="408">
        <v>10000</v>
      </c>
      <c r="O154" s="349"/>
      <c r="P154" s="407"/>
      <c r="Q154" s="407"/>
      <c r="R154" s="407"/>
      <c r="S154" s="407"/>
      <c r="T154" s="407"/>
    </row>
    <row r="155" spans="1:20" x14ac:dyDescent="0.25">
      <c r="A155" s="133">
        <f t="shared" si="12"/>
        <v>6395000</v>
      </c>
      <c r="B155" s="419" t="s">
        <v>810</v>
      </c>
      <c r="C155" s="419" t="s">
        <v>1019</v>
      </c>
      <c r="D155" s="417" t="s">
        <v>1415</v>
      </c>
      <c r="E155" s="417"/>
      <c r="F155" s="417" t="s">
        <v>1315</v>
      </c>
      <c r="G155" s="417"/>
      <c r="H155" s="259"/>
      <c r="I155" s="259"/>
      <c r="J155" s="417" t="s">
        <v>352</v>
      </c>
      <c r="K155" s="420"/>
      <c r="L155" s="408"/>
      <c r="M155" s="408"/>
      <c r="N155" s="408">
        <v>23000</v>
      </c>
      <c r="O155" s="349"/>
      <c r="P155" s="407"/>
      <c r="Q155" s="407"/>
      <c r="R155" s="407"/>
      <c r="S155" s="407"/>
      <c r="T155" s="407"/>
    </row>
    <row r="156" spans="1:20" x14ac:dyDescent="0.25">
      <c r="A156" s="133">
        <f t="shared" si="12"/>
        <v>6365000</v>
      </c>
      <c r="B156" s="419" t="s">
        <v>810</v>
      </c>
      <c r="C156" s="419" t="s">
        <v>1019</v>
      </c>
      <c r="D156" s="417" t="s">
        <v>1754</v>
      </c>
      <c r="E156" s="419"/>
      <c r="F156" s="417" t="s">
        <v>1755</v>
      </c>
      <c r="G156" s="417"/>
      <c r="H156" s="259"/>
      <c r="I156" s="259"/>
      <c r="J156" s="417" t="s">
        <v>488</v>
      </c>
      <c r="K156" s="348"/>
      <c r="L156" s="418"/>
      <c r="M156" s="418"/>
      <c r="N156" s="418">
        <v>720</v>
      </c>
      <c r="O156" s="40"/>
      <c r="P156" s="407"/>
      <c r="Q156" s="407"/>
      <c r="R156" s="407"/>
      <c r="S156" s="407"/>
      <c r="T156" s="407"/>
    </row>
    <row r="157" spans="1:20" x14ac:dyDescent="0.25">
      <c r="A157" s="133">
        <f t="shared" si="12"/>
        <v>6315000</v>
      </c>
      <c r="B157" s="419" t="s">
        <v>810</v>
      </c>
      <c r="C157" s="419" t="s">
        <v>1019</v>
      </c>
      <c r="D157" s="419" t="s">
        <v>1756</v>
      </c>
      <c r="E157" s="419"/>
      <c r="F157" s="419" t="s">
        <v>1757</v>
      </c>
      <c r="G157" s="419"/>
      <c r="H157" s="355"/>
      <c r="I157" s="355"/>
      <c r="J157" s="419" t="s">
        <v>285</v>
      </c>
      <c r="K157" s="408"/>
      <c r="L157" s="408"/>
      <c r="M157" s="408"/>
      <c r="N157" s="408">
        <v>2000</v>
      </c>
      <c r="O157" s="40"/>
      <c r="P157" s="246"/>
      <c r="Q157" s="407"/>
      <c r="R157" s="407"/>
      <c r="S157" s="407"/>
      <c r="T157" s="407"/>
    </row>
    <row r="158" spans="1:20" x14ac:dyDescent="0.25">
      <c r="A158" s="133">
        <f t="shared" si="12"/>
        <v>6365000</v>
      </c>
      <c r="B158" s="419" t="s">
        <v>810</v>
      </c>
      <c r="C158" s="419" t="s">
        <v>1019</v>
      </c>
      <c r="D158" s="419" t="s">
        <v>1759</v>
      </c>
      <c r="E158" s="357"/>
      <c r="F158" s="357" t="s">
        <v>1760</v>
      </c>
      <c r="G158" s="357"/>
      <c r="H158" s="358"/>
      <c r="I158" s="358"/>
      <c r="J158" s="357" t="s">
        <v>488</v>
      </c>
      <c r="K158" s="359"/>
      <c r="L158" s="359"/>
      <c r="M158" s="359"/>
      <c r="N158" s="418">
        <v>25</v>
      </c>
      <c r="O158" s="349"/>
      <c r="P158" s="407"/>
      <c r="Q158" s="407"/>
      <c r="R158" s="407"/>
      <c r="S158" s="407"/>
      <c r="T158" s="407"/>
    </row>
    <row r="159" spans="1:20" x14ac:dyDescent="0.25">
      <c r="A159" s="133">
        <f t="shared" si="12"/>
        <v>6310000</v>
      </c>
      <c r="B159" s="419" t="s">
        <v>810</v>
      </c>
      <c r="C159" s="419" t="s">
        <v>1019</v>
      </c>
      <c r="D159" s="357" t="s">
        <v>1396</v>
      </c>
      <c r="E159" s="357"/>
      <c r="F159" s="357" t="s">
        <v>1395</v>
      </c>
      <c r="G159" s="357" t="s">
        <v>1397</v>
      </c>
      <c r="H159" s="358"/>
      <c r="I159" s="358"/>
      <c r="J159" s="357" t="s">
        <v>249</v>
      </c>
      <c r="K159" s="359"/>
      <c r="L159" s="359"/>
      <c r="M159" s="359"/>
      <c r="N159" s="418"/>
      <c r="O159" s="349"/>
      <c r="P159" s="407"/>
      <c r="Q159" s="407"/>
      <c r="R159" s="407"/>
      <c r="S159" s="407"/>
      <c r="T159" s="407"/>
    </row>
    <row r="160" spans="1:20" x14ac:dyDescent="0.25">
      <c r="A160" s="133">
        <f t="shared" si="12"/>
        <v>6350000</v>
      </c>
      <c r="B160" s="419" t="s">
        <v>811</v>
      </c>
      <c r="C160" s="419" t="s">
        <v>108</v>
      </c>
      <c r="D160" s="417" t="s">
        <v>1179</v>
      </c>
      <c r="E160" s="419"/>
      <c r="F160" s="421" t="s">
        <v>1706</v>
      </c>
      <c r="G160" s="421"/>
      <c r="H160" s="259"/>
      <c r="I160" s="259"/>
      <c r="J160" s="417" t="s">
        <v>2</v>
      </c>
      <c r="K160" s="420"/>
      <c r="L160" s="408"/>
      <c r="M160" s="408"/>
      <c r="N160" s="408">
        <v>140</v>
      </c>
      <c r="O160" s="349"/>
      <c r="P160" s="246"/>
      <c r="Q160" s="407"/>
      <c r="R160" s="407"/>
      <c r="S160" s="407"/>
      <c r="T160" s="407"/>
    </row>
    <row r="161" spans="1:20" x14ac:dyDescent="0.25">
      <c r="A161" s="133">
        <f t="shared" si="12"/>
        <v>6350000</v>
      </c>
      <c r="B161" s="419" t="s">
        <v>811</v>
      </c>
      <c r="C161" s="419" t="s">
        <v>108</v>
      </c>
      <c r="D161" s="417" t="s">
        <v>1179</v>
      </c>
      <c r="E161" s="419"/>
      <c r="F161" s="417" t="s">
        <v>1706</v>
      </c>
      <c r="G161" s="417"/>
      <c r="H161" s="259"/>
      <c r="I161" s="259"/>
      <c r="J161" s="417" t="s">
        <v>2</v>
      </c>
      <c r="K161" s="420"/>
      <c r="L161" s="418"/>
      <c r="M161" s="359"/>
      <c r="N161" s="418">
        <v>140</v>
      </c>
      <c r="O161" s="349"/>
      <c r="P161" s="407"/>
      <c r="Q161" s="407"/>
      <c r="R161" s="407"/>
      <c r="S161" s="407"/>
      <c r="T161" s="407"/>
    </row>
    <row r="162" spans="1:20" x14ac:dyDescent="0.25">
      <c r="A162" s="133">
        <f t="shared" si="12"/>
        <v>6355000</v>
      </c>
      <c r="B162" s="419" t="s">
        <v>811</v>
      </c>
      <c r="C162" s="419" t="s">
        <v>108</v>
      </c>
      <c r="D162" s="417" t="s">
        <v>3</v>
      </c>
      <c r="E162" s="419"/>
      <c r="F162" s="421" t="s">
        <v>1707</v>
      </c>
      <c r="G162" s="421"/>
      <c r="H162" s="259"/>
      <c r="I162" s="259"/>
      <c r="J162" s="417" t="s">
        <v>3</v>
      </c>
      <c r="K162" s="420"/>
      <c r="L162" s="359"/>
      <c r="M162" s="359"/>
      <c r="N162" s="418">
        <v>50</v>
      </c>
      <c r="O162" s="349"/>
      <c r="P162" s="407"/>
      <c r="Q162" s="407"/>
      <c r="R162" s="407"/>
      <c r="S162" s="407"/>
      <c r="T162" s="407"/>
    </row>
    <row r="163" spans="1:20" s="284" customFormat="1" x14ac:dyDescent="0.25">
      <c r="A163" s="133">
        <f t="shared" si="12"/>
        <v>6350000</v>
      </c>
      <c r="B163" s="419" t="s">
        <v>23</v>
      </c>
      <c r="C163" s="419" t="s">
        <v>1019</v>
      </c>
      <c r="D163" s="417" t="s">
        <v>1421</v>
      </c>
      <c r="E163" s="417"/>
      <c r="F163" s="421" t="s">
        <v>1200</v>
      </c>
      <c r="G163" s="421"/>
      <c r="H163" s="355"/>
      <c r="I163" s="355"/>
      <c r="J163" s="419" t="s">
        <v>2</v>
      </c>
      <c r="K163" s="420"/>
      <c r="L163" s="408"/>
      <c r="M163" s="408"/>
      <c r="N163" s="408">
        <v>5500</v>
      </c>
      <c r="O163" s="349"/>
      <c r="P163" s="407"/>
      <c r="Q163" s="407"/>
      <c r="R163" s="407"/>
      <c r="S163" s="407"/>
      <c r="T163" s="407"/>
    </row>
    <row r="164" spans="1:20" x14ac:dyDescent="0.25">
      <c r="A164" s="133">
        <f t="shared" si="12"/>
        <v>6350000</v>
      </c>
      <c r="B164" s="419" t="s">
        <v>23</v>
      </c>
      <c r="C164" s="419" t="s">
        <v>1019</v>
      </c>
      <c r="D164" s="417" t="s">
        <v>1201</v>
      </c>
      <c r="E164" s="417"/>
      <c r="F164" s="421" t="s">
        <v>1202</v>
      </c>
      <c r="G164" s="421"/>
      <c r="H164" s="259"/>
      <c r="I164" s="259"/>
      <c r="J164" s="417" t="s">
        <v>2</v>
      </c>
      <c r="K164" s="420"/>
      <c r="L164" s="408"/>
      <c r="M164" s="408"/>
      <c r="N164" s="408">
        <v>700</v>
      </c>
      <c r="O164" s="349"/>
      <c r="P164" s="407"/>
      <c r="Q164" s="407"/>
      <c r="R164" s="407"/>
      <c r="S164" s="407"/>
      <c r="T164" s="407"/>
    </row>
    <row r="165" spans="1:20" x14ac:dyDescent="0.25">
      <c r="A165" s="133">
        <f t="shared" si="12"/>
        <v>6375000</v>
      </c>
      <c r="B165" s="419" t="s">
        <v>23</v>
      </c>
      <c r="C165" s="419" t="s">
        <v>1019</v>
      </c>
      <c r="D165" s="419" t="s">
        <v>1604</v>
      </c>
      <c r="E165" s="419"/>
      <c r="F165" s="421" t="s">
        <v>1413</v>
      </c>
      <c r="G165" s="421"/>
      <c r="H165" s="259"/>
      <c r="I165" s="259"/>
      <c r="J165" s="417" t="s">
        <v>243</v>
      </c>
      <c r="K165" s="420"/>
      <c r="L165" s="408"/>
      <c r="M165" s="408"/>
      <c r="N165" s="408">
        <v>700</v>
      </c>
      <c r="O165" s="349"/>
      <c r="P165" s="407"/>
      <c r="Q165" s="407"/>
      <c r="R165" s="407"/>
      <c r="S165" s="407"/>
      <c r="T165" s="407"/>
    </row>
    <row r="166" spans="1:20" x14ac:dyDescent="0.25">
      <c r="A166" s="133">
        <f t="shared" si="12"/>
        <v>6355000</v>
      </c>
      <c r="B166" s="419" t="s">
        <v>23</v>
      </c>
      <c r="C166" s="419" t="s">
        <v>1019</v>
      </c>
      <c r="D166" s="417" t="s">
        <v>3</v>
      </c>
      <c r="E166" s="419"/>
      <c r="F166" s="421" t="s">
        <v>1677</v>
      </c>
      <c r="G166" s="421"/>
      <c r="H166" s="259"/>
      <c r="I166" s="259"/>
      <c r="J166" s="417" t="s">
        <v>3</v>
      </c>
      <c r="K166" s="420"/>
      <c r="L166" s="408"/>
      <c r="M166" s="408"/>
      <c r="N166" s="408">
        <v>100</v>
      </c>
      <c r="O166" s="349"/>
      <c r="P166" s="407"/>
      <c r="Q166" s="407"/>
      <c r="R166" s="407"/>
      <c r="S166" s="407"/>
      <c r="T166" s="407"/>
    </row>
    <row r="167" spans="1:20" x14ac:dyDescent="0.25">
      <c r="A167" s="411">
        <f t="shared" si="12"/>
        <v>6385000</v>
      </c>
      <c r="B167" s="419" t="s">
        <v>23</v>
      </c>
      <c r="C167" s="419" t="s">
        <v>1019</v>
      </c>
      <c r="D167" s="417" t="s">
        <v>1414</v>
      </c>
      <c r="E167" s="419"/>
      <c r="F167" s="421" t="s">
        <v>1188</v>
      </c>
      <c r="G167" s="421"/>
      <c r="H167" s="259"/>
      <c r="I167" s="259"/>
      <c r="J167" s="417" t="s">
        <v>244</v>
      </c>
      <c r="K167" s="420"/>
      <c r="L167" s="408"/>
      <c r="M167" s="408"/>
      <c r="N167" s="408">
        <v>500</v>
      </c>
      <c r="O167" s="349"/>
      <c r="P167" s="407"/>
      <c r="Q167" s="407"/>
      <c r="R167" s="407"/>
      <c r="S167" s="407"/>
      <c r="T167" s="407"/>
    </row>
    <row r="168" spans="1:20" s="407" customFormat="1" x14ac:dyDescent="0.25">
      <c r="A168" s="411">
        <f t="shared" ref="A168" si="13">VLOOKUP(J168,OtherOperatingExpenses,2)</f>
        <v>6375000</v>
      </c>
      <c r="B168" s="419" t="s">
        <v>23</v>
      </c>
      <c r="C168" s="419" t="s">
        <v>1019</v>
      </c>
      <c r="D168" s="417" t="s">
        <v>1678</v>
      </c>
      <c r="E168" s="419"/>
      <c r="F168" s="421" t="s">
        <v>1679</v>
      </c>
      <c r="G168" s="421"/>
      <c r="H168" s="259"/>
      <c r="I168" s="259"/>
      <c r="J168" s="417" t="s">
        <v>243</v>
      </c>
      <c r="K168" s="420"/>
      <c r="L168" s="408"/>
      <c r="M168" s="408"/>
      <c r="N168" s="408">
        <v>975</v>
      </c>
      <c r="O168" s="349"/>
    </row>
    <row r="169" spans="1:20" s="407" customFormat="1" x14ac:dyDescent="0.25">
      <c r="A169" s="411">
        <f t="shared" ref="A169" si="14">VLOOKUP(J169,OtherOperatingExpenses,2)</f>
        <v>6380000</v>
      </c>
      <c r="B169" s="419" t="s">
        <v>23</v>
      </c>
      <c r="C169" s="419" t="s">
        <v>1019</v>
      </c>
      <c r="D169" s="417" t="s">
        <v>1680</v>
      </c>
      <c r="E169" s="419"/>
      <c r="F169" s="421" t="s">
        <v>1195</v>
      </c>
      <c r="G169" s="421"/>
      <c r="H169" s="259"/>
      <c r="I169" s="259"/>
      <c r="J169" s="417" t="s">
        <v>242</v>
      </c>
      <c r="K169" s="420"/>
      <c r="L169" s="408"/>
      <c r="M169" s="408"/>
      <c r="N169" s="408">
        <v>1500</v>
      </c>
      <c r="O169" s="349"/>
    </row>
    <row r="170" spans="1:20" x14ac:dyDescent="0.25">
      <c r="A170" s="411">
        <f t="shared" si="12"/>
        <v>6355000</v>
      </c>
      <c r="B170" s="419" t="s">
        <v>268</v>
      </c>
      <c r="C170" s="419" t="s">
        <v>96</v>
      </c>
      <c r="D170" s="357" t="s">
        <v>3</v>
      </c>
      <c r="E170" s="357"/>
      <c r="F170" s="417" t="s">
        <v>1389</v>
      </c>
      <c r="G170" s="357"/>
      <c r="H170" s="358"/>
      <c r="I170" s="358"/>
      <c r="J170" s="357" t="s">
        <v>3</v>
      </c>
      <c r="K170" s="359"/>
      <c r="L170" s="359"/>
      <c r="M170" s="359"/>
      <c r="N170" s="418">
        <v>500</v>
      </c>
      <c r="O170" s="349"/>
      <c r="P170" s="407"/>
      <c r="Q170" s="407"/>
      <c r="R170" s="407"/>
      <c r="S170" s="407"/>
      <c r="T170" s="407"/>
    </row>
    <row r="171" spans="1:20" x14ac:dyDescent="0.25">
      <c r="A171" s="133">
        <f t="shared" si="12"/>
        <v>6355000</v>
      </c>
      <c r="B171" s="419" t="s">
        <v>268</v>
      </c>
      <c r="C171" s="419" t="s">
        <v>99</v>
      </c>
      <c r="D171" s="357" t="s">
        <v>3</v>
      </c>
      <c r="E171" s="357"/>
      <c r="F171" s="357" t="s">
        <v>1766</v>
      </c>
      <c r="G171" s="357"/>
      <c r="H171" s="358"/>
      <c r="I171" s="358"/>
      <c r="J171" s="417" t="s">
        <v>3</v>
      </c>
      <c r="K171" s="359"/>
      <c r="L171" s="359"/>
      <c r="M171" s="359"/>
      <c r="N171" s="418">
        <v>2500</v>
      </c>
      <c r="O171" s="349"/>
      <c r="P171" s="407"/>
      <c r="Q171" s="407"/>
      <c r="R171" s="407"/>
      <c r="S171" s="407"/>
      <c r="T171" s="407"/>
    </row>
    <row r="172" spans="1:20" x14ac:dyDescent="0.25">
      <c r="A172" s="133">
        <f t="shared" si="12"/>
        <v>6350000</v>
      </c>
      <c r="B172" s="419" t="s">
        <v>268</v>
      </c>
      <c r="C172" s="419" t="s">
        <v>96</v>
      </c>
      <c r="D172" s="357" t="s">
        <v>1767</v>
      </c>
      <c r="E172" s="357"/>
      <c r="F172" s="357"/>
      <c r="G172" s="357"/>
      <c r="H172" s="358"/>
      <c r="I172" s="358"/>
      <c r="J172" s="357" t="s">
        <v>2</v>
      </c>
      <c r="K172" s="359"/>
      <c r="L172" s="359"/>
      <c r="M172" s="359"/>
      <c r="N172" s="418">
        <v>3000</v>
      </c>
      <c r="O172" s="349"/>
      <c r="P172" s="407"/>
      <c r="Q172" s="407"/>
      <c r="R172" s="407"/>
      <c r="S172" s="407"/>
      <c r="T172" s="407"/>
    </row>
    <row r="173" spans="1:20" x14ac:dyDescent="0.25">
      <c r="A173" s="411">
        <f t="shared" si="12"/>
        <v>6350000</v>
      </c>
      <c r="B173" s="419" t="s">
        <v>268</v>
      </c>
      <c r="C173" s="419" t="s">
        <v>99</v>
      </c>
      <c r="D173" s="357" t="s">
        <v>1366</v>
      </c>
      <c r="E173" s="357"/>
      <c r="F173" s="357"/>
      <c r="G173" s="357"/>
      <c r="H173" s="358"/>
      <c r="I173" s="358"/>
      <c r="J173" s="417" t="s">
        <v>2</v>
      </c>
      <c r="K173" s="359"/>
      <c r="L173" s="359"/>
      <c r="M173" s="359"/>
      <c r="N173" s="418">
        <v>150</v>
      </c>
      <c r="O173" s="349"/>
      <c r="P173" s="407"/>
      <c r="Q173" s="407"/>
      <c r="R173" s="407"/>
      <c r="S173" s="407"/>
      <c r="T173" s="407"/>
    </row>
    <row r="174" spans="1:20" x14ac:dyDescent="0.25">
      <c r="A174" s="411">
        <f t="shared" si="12"/>
        <v>6355000</v>
      </c>
      <c r="B174" s="419" t="s">
        <v>267</v>
      </c>
      <c r="C174" s="419" t="s">
        <v>103</v>
      </c>
      <c r="D174" s="417" t="s">
        <v>3</v>
      </c>
      <c r="E174" s="417"/>
      <c r="F174" s="417" t="s">
        <v>1389</v>
      </c>
      <c r="G174" s="421"/>
      <c r="H174" s="416"/>
      <c r="I174" s="416"/>
      <c r="J174" s="417" t="s">
        <v>3</v>
      </c>
      <c r="K174" s="348"/>
      <c r="L174" s="418"/>
      <c r="M174" s="418"/>
      <c r="N174" s="418">
        <v>700</v>
      </c>
      <c r="O174" s="349"/>
      <c r="P174" s="246"/>
      <c r="Q174" s="407"/>
      <c r="R174" s="407"/>
      <c r="S174" s="407"/>
      <c r="T174" s="407"/>
    </row>
    <row r="175" spans="1:20" x14ac:dyDescent="0.25">
      <c r="A175" s="411">
        <f t="shared" si="12"/>
        <v>6365000</v>
      </c>
      <c r="B175" s="419" t="s">
        <v>267</v>
      </c>
      <c r="C175" s="419" t="s">
        <v>103</v>
      </c>
      <c r="D175" s="417" t="s">
        <v>1422</v>
      </c>
      <c r="E175" s="417"/>
      <c r="F175" s="421"/>
      <c r="G175" s="421"/>
      <c r="H175" s="416"/>
      <c r="I175" s="416"/>
      <c r="J175" s="417" t="s">
        <v>488</v>
      </c>
      <c r="K175" s="348"/>
      <c r="L175" s="418"/>
      <c r="M175" s="418"/>
      <c r="N175" s="418"/>
      <c r="O175" s="349"/>
      <c r="P175" s="246"/>
      <c r="Q175" s="407"/>
      <c r="R175" s="407"/>
      <c r="S175" s="407"/>
      <c r="T175" s="407"/>
    </row>
    <row r="176" spans="1:20" x14ac:dyDescent="0.25">
      <c r="A176" s="411">
        <f t="shared" si="12"/>
        <v>6365000</v>
      </c>
      <c r="B176" s="419" t="s">
        <v>267</v>
      </c>
      <c r="C176" s="419" t="s">
        <v>103</v>
      </c>
      <c r="D176" s="417" t="s">
        <v>1204</v>
      </c>
      <c r="E176" s="417"/>
      <c r="F176" s="421"/>
      <c r="G176" s="421"/>
      <c r="H176" s="416"/>
      <c r="I176" s="416"/>
      <c r="J176" s="417" t="s">
        <v>488</v>
      </c>
      <c r="K176" s="348"/>
      <c r="L176" s="418"/>
      <c r="M176" s="418"/>
      <c r="N176" s="418">
        <v>650</v>
      </c>
      <c r="O176" s="349"/>
      <c r="P176" s="246"/>
      <c r="Q176" s="407"/>
      <c r="R176" s="407"/>
      <c r="S176" s="407"/>
      <c r="T176" s="407"/>
    </row>
    <row r="177" spans="1:20" s="407" customFormat="1" x14ac:dyDescent="0.25">
      <c r="A177" s="411">
        <f t="shared" si="12"/>
        <v>6365000</v>
      </c>
      <c r="B177" s="419" t="s">
        <v>267</v>
      </c>
      <c r="C177" s="419" t="s">
        <v>103</v>
      </c>
      <c r="D177" s="417" t="s">
        <v>1205</v>
      </c>
      <c r="E177" s="417"/>
      <c r="F177" s="421"/>
      <c r="G177" s="421"/>
      <c r="H177" s="416"/>
      <c r="I177" s="416"/>
      <c r="J177" s="419" t="s">
        <v>488</v>
      </c>
      <c r="K177" s="420"/>
      <c r="L177" s="408"/>
      <c r="M177" s="408"/>
      <c r="N177" s="408"/>
      <c r="O177" s="40"/>
      <c r="P177" s="246"/>
    </row>
    <row r="178" spans="1:20" s="407" customFormat="1" x14ac:dyDescent="0.25">
      <c r="A178" s="411">
        <f t="shared" si="12"/>
        <v>6375000</v>
      </c>
      <c r="B178" s="419" t="s">
        <v>267</v>
      </c>
      <c r="C178" s="419" t="s">
        <v>983</v>
      </c>
      <c r="D178" s="417" t="s">
        <v>1467</v>
      </c>
      <c r="E178" s="357"/>
      <c r="F178" s="357" t="s">
        <v>1206</v>
      </c>
      <c r="G178" s="357"/>
      <c r="H178" s="358"/>
      <c r="I178" s="358"/>
      <c r="J178" s="417" t="s">
        <v>243</v>
      </c>
      <c r="K178" s="359"/>
      <c r="L178" s="359"/>
      <c r="M178" s="359"/>
      <c r="N178" s="408">
        <v>595</v>
      </c>
      <c r="O178" s="349"/>
      <c r="P178" s="246"/>
    </row>
    <row r="179" spans="1:20" x14ac:dyDescent="0.25">
      <c r="A179" s="411">
        <f t="shared" si="12"/>
        <v>6362000</v>
      </c>
      <c r="B179" s="419" t="s">
        <v>920</v>
      </c>
      <c r="C179" s="419" t="s">
        <v>1019</v>
      </c>
      <c r="D179" s="417" t="s">
        <v>1219</v>
      </c>
      <c r="E179" s="417"/>
      <c r="F179" s="417" t="s">
        <v>1220</v>
      </c>
      <c r="G179" s="417"/>
      <c r="H179" s="416"/>
      <c r="I179" s="416"/>
      <c r="J179" s="417" t="s">
        <v>247</v>
      </c>
      <c r="K179" s="348"/>
      <c r="L179" s="418"/>
      <c r="M179" s="418"/>
      <c r="N179" s="418">
        <v>4800</v>
      </c>
      <c r="O179" s="349"/>
      <c r="P179" s="407"/>
      <c r="Q179" s="407"/>
      <c r="R179" s="407"/>
      <c r="S179" s="407"/>
      <c r="T179" s="407"/>
    </row>
    <row r="180" spans="1:20" x14ac:dyDescent="0.25">
      <c r="A180" s="411">
        <f t="shared" si="12"/>
        <v>6360000</v>
      </c>
      <c r="B180" s="419" t="s">
        <v>920</v>
      </c>
      <c r="C180" s="419" t="s">
        <v>1019</v>
      </c>
      <c r="D180" s="417" t="s">
        <v>1770</v>
      </c>
      <c r="E180" s="417"/>
      <c r="F180" s="417" t="s">
        <v>1237</v>
      </c>
      <c r="G180" s="417"/>
      <c r="H180" s="416"/>
      <c r="I180" s="416"/>
      <c r="J180" s="417" t="s">
        <v>356</v>
      </c>
      <c r="K180" s="348"/>
      <c r="L180" s="418"/>
      <c r="M180" s="418"/>
      <c r="N180" s="418"/>
      <c r="O180" s="40"/>
      <c r="P180" s="407"/>
      <c r="Q180" s="407"/>
      <c r="R180" s="407"/>
      <c r="S180" s="407"/>
      <c r="T180" s="407"/>
    </row>
    <row r="181" spans="1:20" x14ac:dyDescent="0.25">
      <c r="A181" s="411">
        <f t="shared" si="12"/>
        <v>6325000</v>
      </c>
      <c r="B181" s="419" t="s">
        <v>920</v>
      </c>
      <c r="C181" s="419" t="s">
        <v>1019</v>
      </c>
      <c r="D181" s="419" t="s">
        <v>1423</v>
      </c>
      <c r="E181" s="419"/>
      <c r="F181" s="419" t="s">
        <v>1771</v>
      </c>
      <c r="G181" s="419"/>
      <c r="H181" s="355"/>
      <c r="I181" s="355"/>
      <c r="J181" s="419" t="s">
        <v>367</v>
      </c>
      <c r="K181" s="408"/>
      <c r="L181" s="359"/>
      <c r="M181" s="359"/>
      <c r="N181" s="408">
        <v>1800</v>
      </c>
      <c r="O181" s="349"/>
      <c r="P181" s="246"/>
      <c r="Q181" s="407"/>
      <c r="R181" s="407"/>
      <c r="S181" s="407"/>
      <c r="T181" s="407"/>
    </row>
    <row r="182" spans="1:20" x14ac:dyDescent="0.25">
      <c r="A182" s="411">
        <f t="shared" si="12"/>
        <v>6362000</v>
      </c>
      <c r="B182" s="419" t="s">
        <v>920</v>
      </c>
      <c r="C182" s="419" t="s">
        <v>1019</v>
      </c>
      <c r="D182" s="417" t="s">
        <v>1219</v>
      </c>
      <c r="E182" s="419"/>
      <c r="F182" s="417" t="s">
        <v>1221</v>
      </c>
      <c r="G182" s="417"/>
      <c r="H182" s="355"/>
      <c r="I182" s="355"/>
      <c r="J182" s="417" t="s">
        <v>247</v>
      </c>
      <c r="K182" s="420"/>
      <c r="L182" s="359"/>
      <c r="M182" s="359"/>
      <c r="N182" s="408">
        <v>12000</v>
      </c>
      <c r="O182" s="349"/>
      <c r="P182" s="407"/>
      <c r="Q182" s="407"/>
      <c r="R182" s="407"/>
      <c r="S182" s="407"/>
      <c r="T182" s="407"/>
    </row>
    <row r="183" spans="1:20" x14ac:dyDescent="0.25">
      <c r="A183" s="411">
        <f t="shared" si="12"/>
        <v>6375000</v>
      </c>
      <c r="B183" s="419" t="s">
        <v>920</v>
      </c>
      <c r="C183" s="419" t="s">
        <v>1019</v>
      </c>
      <c r="D183" s="417" t="s">
        <v>1464</v>
      </c>
      <c r="E183" s="419"/>
      <c r="F183" s="421" t="s">
        <v>1586</v>
      </c>
      <c r="G183" s="421"/>
      <c r="H183" s="355"/>
      <c r="I183" s="355"/>
      <c r="J183" s="417" t="s">
        <v>243</v>
      </c>
      <c r="K183" s="420"/>
      <c r="L183" s="359"/>
      <c r="M183" s="359"/>
      <c r="N183" s="408">
        <v>17000</v>
      </c>
      <c r="O183" s="349"/>
      <c r="P183" s="246"/>
      <c r="Q183" s="407"/>
      <c r="R183" s="407"/>
      <c r="S183" s="407"/>
      <c r="T183" s="407"/>
    </row>
    <row r="184" spans="1:20" x14ac:dyDescent="0.25">
      <c r="A184" s="411">
        <f t="shared" si="12"/>
        <v>6375000</v>
      </c>
      <c r="B184" s="419" t="s">
        <v>920</v>
      </c>
      <c r="C184" s="419" t="s">
        <v>1019</v>
      </c>
      <c r="D184" s="417" t="s">
        <v>1424</v>
      </c>
      <c r="E184" s="419"/>
      <c r="F184" s="421" t="s">
        <v>1222</v>
      </c>
      <c r="G184" s="421"/>
      <c r="H184" s="355"/>
      <c r="I184" s="355"/>
      <c r="J184" s="417" t="s">
        <v>243</v>
      </c>
      <c r="K184" s="420"/>
      <c r="L184" s="408"/>
      <c r="M184" s="408"/>
      <c r="N184" s="408">
        <v>15600</v>
      </c>
      <c r="O184" s="349"/>
      <c r="P184" s="407"/>
      <c r="Q184" s="407"/>
      <c r="R184" s="407"/>
      <c r="S184" s="407"/>
      <c r="T184" s="407"/>
    </row>
    <row r="185" spans="1:20" x14ac:dyDescent="0.25">
      <c r="A185" s="411">
        <f t="shared" si="12"/>
        <v>6375000</v>
      </c>
      <c r="B185" s="419" t="s">
        <v>920</v>
      </c>
      <c r="C185" s="419" t="s">
        <v>1019</v>
      </c>
      <c r="D185" s="419" t="s">
        <v>1772</v>
      </c>
      <c r="E185" s="419"/>
      <c r="F185" s="419" t="s">
        <v>1773</v>
      </c>
      <c r="G185" s="419"/>
      <c r="H185" s="355"/>
      <c r="I185" s="355"/>
      <c r="J185" s="419" t="s">
        <v>243</v>
      </c>
      <c r="K185" s="408"/>
      <c r="L185" s="408"/>
      <c r="M185" s="408"/>
      <c r="N185" s="408">
        <v>12470</v>
      </c>
      <c r="O185" s="349"/>
      <c r="P185" s="407"/>
      <c r="Q185" s="407"/>
      <c r="R185" s="407"/>
      <c r="S185" s="407"/>
      <c r="T185" s="407"/>
    </row>
    <row r="186" spans="1:20" x14ac:dyDescent="0.25">
      <c r="A186" s="411">
        <f t="shared" si="12"/>
        <v>6360000</v>
      </c>
      <c r="B186" s="419" t="s">
        <v>920</v>
      </c>
      <c r="C186" s="419" t="s">
        <v>1019</v>
      </c>
      <c r="D186" s="417" t="s">
        <v>1425</v>
      </c>
      <c r="E186" s="419"/>
      <c r="F186" s="417" t="s">
        <v>1223</v>
      </c>
      <c r="G186" s="417"/>
      <c r="H186" s="355"/>
      <c r="I186" s="355"/>
      <c r="J186" s="417" t="s">
        <v>356</v>
      </c>
      <c r="K186" s="420"/>
      <c r="L186" s="408"/>
      <c r="M186" s="408"/>
      <c r="N186" s="408">
        <v>36000</v>
      </c>
      <c r="O186" s="40"/>
      <c r="P186" s="246"/>
      <c r="Q186" s="407"/>
      <c r="R186" s="407"/>
      <c r="S186" s="407"/>
      <c r="T186" s="407"/>
    </row>
    <row r="187" spans="1:20" x14ac:dyDescent="0.25">
      <c r="A187" s="285">
        <f t="shared" si="12"/>
        <v>6375000</v>
      </c>
      <c r="B187" s="419" t="s">
        <v>920</v>
      </c>
      <c r="C187" s="419" t="s">
        <v>1019</v>
      </c>
      <c r="D187" s="419" t="s">
        <v>1393</v>
      </c>
      <c r="E187" s="419"/>
      <c r="F187" s="417" t="s">
        <v>1587</v>
      </c>
      <c r="G187" s="419"/>
      <c r="H187" s="346"/>
      <c r="I187" s="346"/>
      <c r="J187" s="419" t="s">
        <v>243</v>
      </c>
      <c r="K187" s="408"/>
      <c r="L187" s="408"/>
      <c r="M187" s="408"/>
      <c r="N187" s="408">
        <v>30000</v>
      </c>
      <c r="O187" s="349"/>
      <c r="P187" s="407"/>
      <c r="Q187" s="407"/>
      <c r="R187" s="407"/>
      <c r="S187" s="407"/>
      <c r="T187" s="407"/>
    </row>
    <row r="188" spans="1:20" x14ac:dyDescent="0.25">
      <c r="A188" s="133">
        <f t="shared" si="12"/>
        <v>6350000</v>
      </c>
      <c r="B188" s="419" t="s">
        <v>920</v>
      </c>
      <c r="C188" s="419" t="s">
        <v>1019</v>
      </c>
      <c r="D188" s="417" t="s">
        <v>1426</v>
      </c>
      <c r="E188" s="417"/>
      <c r="F188" s="421" t="s">
        <v>1224</v>
      </c>
      <c r="G188" s="421"/>
      <c r="H188" s="259"/>
      <c r="I188" s="259"/>
      <c r="J188" s="417" t="s">
        <v>2</v>
      </c>
      <c r="K188" s="420"/>
      <c r="L188" s="408"/>
      <c r="M188" s="408"/>
      <c r="N188" s="408"/>
      <c r="O188" s="349"/>
      <c r="P188" s="407"/>
      <c r="Q188" s="407"/>
      <c r="R188" s="407"/>
      <c r="S188" s="407"/>
      <c r="T188" s="407"/>
    </row>
    <row r="189" spans="1:20" x14ac:dyDescent="0.25">
      <c r="A189" s="133">
        <f t="shared" si="12"/>
        <v>6325000</v>
      </c>
      <c r="B189" s="419" t="s">
        <v>920</v>
      </c>
      <c r="C189" s="419" t="s">
        <v>1019</v>
      </c>
      <c r="D189" s="417" t="s">
        <v>1427</v>
      </c>
      <c r="E189" s="417"/>
      <c r="F189" s="421" t="s">
        <v>1225</v>
      </c>
      <c r="G189" s="421"/>
      <c r="H189" s="259"/>
      <c r="I189" s="259"/>
      <c r="J189" s="417" t="s">
        <v>367</v>
      </c>
      <c r="K189" s="420"/>
      <c r="L189" s="408"/>
      <c r="M189" s="408"/>
      <c r="N189" s="733">
        <v>12500</v>
      </c>
      <c r="O189" s="408"/>
      <c r="P189" s="407"/>
      <c r="Q189" s="407"/>
    </row>
    <row r="190" spans="1:20" x14ac:dyDescent="0.25">
      <c r="A190" s="133">
        <f t="shared" si="12"/>
        <v>6325000</v>
      </c>
      <c r="B190" s="419" t="s">
        <v>920</v>
      </c>
      <c r="C190" s="419" t="s">
        <v>1019</v>
      </c>
      <c r="D190" s="417" t="s">
        <v>1226</v>
      </c>
      <c r="E190" s="417"/>
      <c r="F190" s="421" t="s">
        <v>1227</v>
      </c>
      <c r="G190" s="421"/>
      <c r="H190" s="259"/>
      <c r="I190" s="259"/>
      <c r="J190" s="417" t="s">
        <v>367</v>
      </c>
      <c r="K190" s="420"/>
      <c r="L190" s="408"/>
      <c r="M190" s="408"/>
      <c r="N190" s="408">
        <v>72126.740000000005</v>
      </c>
      <c r="O190" s="349"/>
      <c r="P190" s="407"/>
      <c r="Q190" s="407"/>
    </row>
    <row r="191" spans="1:20" x14ac:dyDescent="0.25">
      <c r="A191" s="133">
        <f t="shared" si="12"/>
        <v>6325000</v>
      </c>
      <c r="B191" s="419" t="s">
        <v>920</v>
      </c>
      <c r="C191" s="419" t="s">
        <v>99</v>
      </c>
      <c r="D191" s="417" t="s">
        <v>1226</v>
      </c>
      <c r="E191" s="417"/>
      <c r="F191" s="421" t="s">
        <v>1227</v>
      </c>
      <c r="G191" s="421"/>
      <c r="H191" s="355"/>
      <c r="I191" s="355"/>
      <c r="J191" s="417" t="s">
        <v>367</v>
      </c>
      <c r="K191" s="408"/>
      <c r="L191" s="408"/>
      <c r="M191" s="408"/>
      <c r="N191" s="408">
        <v>117268.18</v>
      </c>
      <c r="O191" s="349"/>
      <c r="P191" s="407"/>
      <c r="Q191" s="407"/>
    </row>
    <row r="192" spans="1:20" x14ac:dyDescent="0.25">
      <c r="A192" s="133">
        <f t="shared" si="12"/>
        <v>6325000</v>
      </c>
      <c r="B192" s="419" t="s">
        <v>920</v>
      </c>
      <c r="C192" s="419" t="s">
        <v>103</v>
      </c>
      <c r="D192" s="417" t="s">
        <v>1226</v>
      </c>
      <c r="E192" s="417"/>
      <c r="F192" s="421" t="s">
        <v>1227</v>
      </c>
      <c r="G192" s="421"/>
      <c r="H192" s="259"/>
      <c r="I192" s="259"/>
      <c r="J192" s="417" t="s">
        <v>367</v>
      </c>
      <c r="K192" s="348"/>
      <c r="L192" s="418"/>
      <c r="M192" s="418"/>
      <c r="N192" s="418">
        <v>126893.81</v>
      </c>
      <c r="O192" s="349"/>
      <c r="P192" s="407"/>
      <c r="Q192" s="407"/>
    </row>
    <row r="193" spans="1:17" x14ac:dyDescent="0.25">
      <c r="A193" s="411">
        <f t="shared" si="12"/>
        <v>6325000</v>
      </c>
      <c r="B193" s="419" t="s">
        <v>920</v>
      </c>
      <c r="C193" s="419" t="s">
        <v>108</v>
      </c>
      <c r="D193" s="417" t="s">
        <v>1226</v>
      </c>
      <c r="E193" s="419"/>
      <c r="F193" s="419" t="s">
        <v>1227</v>
      </c>
      <c r="G193" s="419"/>
      <c r="H193" s="355"/>
      <c r="I193" s="355"/>
      <c r="J193" s="417" t="s">
        <v>367</v>
      </c>
      <c r="K193" s="418"/>
      <c r="L193" s="418"/>
      <c r="M193" s="418"/>
      <c r="N193" s="418">
        <v>57481.96</v>
      </c>
      <c r="O193" s="349"/>
      <c r="P193" s="407"/>
      <c r="Q193" s="407"/>
    </row>
    <row r="194" spans="1:17" x14ac:dyDescent="0.25">
      <c r="A194" s="411">
        <f t="shared" si="12"/>
        <v>6375000</v>
      </c>
      <c r="B194" s="419" t="s">
        <v>920</v>
      </c>
      <c r="C194" s="419" t="s">
        <v>1019</v>
      </c>
      <c r="D194" s="417" t="s">
        <v>1228</v>
      </c>
      <c r="E194" s="419"/>
      <c r="F194" s="419" t="s">
        <v>1229</v>
      </c>
      <c r="G194" s="419"/>
      <c r="H194" s="355"/>
      <c r="I194" s="355"/>
      <c r="J194" s="419" t="s">
        <v>243</v>
      </c>
      <c r="K194" s="418"/>
      <c r="L194" s="418"/>
      <c r="M194" s="418"/>
      <c r="N194" s="418">
        <v>100</v>
      </c>
      <c r="O194" s="349"/>
      <c r="P194" s="407"/>
      <c r="Q194" s="407"/>
    </row>
    <row r="195" spans="1:17" x14ac:dyDescent="0.25">
      <c r="A195" s="411">
        <f t="shared" si="12"/>
        <v>6360000</v>
      </c>
      <c r="B195" s="419" t="s">
        <v>920</v>
      </c>
      <c r="C195" s="419" t="s">
        <v>1019</v>
      </c>
      <c r="D195" s="419" t="s">
        <v>1465</v>
      </c>
      <c r="E195" s="419"/>
      <c r="F195" s="419" t="s">
        <v>1230</v>
      </c>
      <c r="G195" s="419"/>
      <c r="H195" s="355"/>
      <c r="I195" s="355"/>
      <c r="J195" s="419" t="s">
        <v>356</v>
      </c>
      <c r="K195" s="418"/>
      <c r="L195" s="418"/>
      <c r="M195" s="418"/>
      <c r="N195" s="418">
        <v>12033</v>
      </c>
      <c r="O195" s="40"/>
      <c r="P195" s="246"/>
      <c r="Q195" s="407"/>
    </row>
    <row r="196" spans="1:17" x14ac:dyDescent="0.25">
      <c r="A196" s="411">
        <f t="shared" si="12"/>
        <v>6364000</v>
      </c>
      <c r="B196" s="419" t="s">
        <v>920</v>
      </c>
      <c r="C196" s="419" t="s">
        <v>1019</v>
      </c>
      <c r="D196" s="419" t="s">
        <v>1374</v>
      </c>
      <c r="E196" s="419"/>
      <c r="F196" s="419" t="s">
        <v>1191</v>
      </c>
      <c r="G196" s="419"/>
      <c r="H196" s="355"/>
      <c r="I196" s="355"/>
      <c r="J196" s="419" t="s">
        <v>248</v>
      </c>
      <c r="K196" s="420"/>
      <c r="L196" s="408"/>
      <c r="M196" s="408"/>
      <c r="N196" s="408">
        <v>1000</v>
      </c>
      <c r="O196" s="349"/>
      <c r="P196" s="407"/>
      <c r="Q196" s="407"/>
    </row>
    <row r="197" spans="1:17" x14ac:dyDescent="0.25">
      <c r="A197" s="411">
        <f t="shared" si="12"/>
        <v>6325000</v>
      </c>
      <c r="B197" s="419" t="s">
        <v>920</v>
      </c>
      <c r="C197" s="419" t="s">
        <v>1019</v>
      </c>
      <c r="D197" s="417" t="s">
        <v>1375</v>
      </c>
      <c r="E197" s="417"/>
      <c r="F197" s="417" t="s">
        <v>1794</v>
      </c>
      <c r="G197" s="417"/>
      <c r="H197" s="259"/>
      <c r="I197" s="259"/>
      <c r="J197" s="417" t="s">
        <v>367</v>
      </c>
      <c r="K197" s="420"/>
      <c r="L197" s="408"/>
      <c r="M197" s="408"/>
      <c r="N197" s="408">
        <v>20000</v>
      </c>
      <c r="O197" s="349"/>
      <c r="P197" s="407"/>
      <c r="Q197" s="407"/>
    </row>
    <row r="198" spans="1:17" x14ac:dyDescent="0.25">
      <c r="A198" s="411">
        <f t="shared" si="12"/>
        <v>6325000</v>
      </c>
      <c r="B198" s="419" t="s">
        <v>920</v>
      </c>
      <c r="C198" s="419" t="s">
        <v>1019</v>
      </c>
      <c r="D198" s="419" t="s">
        <v>1774</v>
      </c>
      <c r="E198" s="419"/>
      <c r="F198" s="419" t="s">
        <v>1232</v>
      </c>
      <c r="G198" s="419"/>
      <c r="H198" s="355"/>
      <c r="I198" s="355"/>
      <c r="J198" s="419" t="s">
        <v>367</v>
      </c>
      <c r="K198" s="420"/>
      <c r="L198" s="408"/>
      <c r="M198" s="408"/>
      <c r="N198" s="408">
        <v>10000</v>
      </c>
      <c r="O198" s="349"/>
      <c r="P198" s="407"/>
      <c r="Q198" s="407"/>
    </row>
    <row r="199" spans="1:17" x14ac:dyDescent="0.25">
      <c r="A199" s="411">
        <f t="shared" si="12"/>
        <v>6335000</v>
      </c>
      <c r="B199" s="419" t="s">
        <v>920</v>
      </c>
      <c r="C199" s="419" t="s">
        <v>1019</v>
      </c>
      <c r="D199" s="417" t="s">
        <v>1376</v>
      </c>
      <c r="E199" s="417"/>
      <c r="F199" s="419" t="s">
        <v>1235</v>
      </c>
      <c r="G199" s="417"/>
      <c r="H199" s="259"/>
      <c r="I199" s="259"/>
      <c r="J199" s="417" t="s">
        <v>389</v>
      </c>
      <c r="K199" s="420"/>
      <c r="L199" s="408"/>
      <c r="M199" s="408"/>
      <c r="N199" s="408">
        <v>24500</v>
      </c>
      <c r="O199" s="349"/>
      <c r="P199" s="407"/>
      <c r="Q199" s="407"/>
    </row>
    <row r="200" spans="1:17" x14ac:dyDescent="0.25">
      <c r="A200" s="411">
        <f t="shared" si="12"/>
        <v>6325000</v>
      </c>
      <c r="B200" s="419" t="s">
        <v>920</v>
      </c>
      <c r="C200" s="419" t="s">
        <v>1019</v>
      </c>
      <c r="D200" s="417" t="s">
        <v>1236</v>
      </c>
      <c r="E200" s="417"/>
      <c r="F200" s="419" t="s">
        <v>1231</v>
      </c>
      <c r="G200" s="421"/>
      <c r="H200" s="259"/>
      <c r="I200" s="259"/>
      <c r="J200" s="417" t="s">
        <v>367</v>
      </c>
      <c r="K200" s="420"/>
      <c r="L200" s="408"/>
      <c r="M200" s="408"/>
      <c r="N200" s="408">
        <v>10000</v>
      </c>
      <c r="O200" s="349"/>
      <c r="P200" s="407"/>
      <c r="Q200" s="407"/>
    </row>
    <row r="201" spans="1:17" x14ac:dyDescent="0.25">
      <c r="A201" s="411">
        <f t="shared" si="12"/>
        <v>6360000</v>
      </c>
      <c r="B201" s="419" t="s">
        <v>920</v>
      </c>
      <c r="C201" s="419" t="s">
        <v>1019</v>
      </c>
      <c r="D201" s="417" t="s">
        <v>1377</v>
      </c>
      <c r="E201" s="417"/>
      <c r="F201" s="421" t="s">
        <v>1233</v>
      </c>
      <c r="G201" s="421"/>
      <c r="H201" s="259"/>
      <c r="I201" s="259"/>
      <c r="J201" s="417" t="s">
        <v>356</v>
      </c>
      <c r="K201" s="420"/>
      <c r="L201" s="408"/>
      <c r="M201" s="408"/>
      <c r="N201" s="408">
        <v>4000</v>
      </c>
      <c r="O201" s="349"/>
      <c r="P201" s="246"/>
      <c r="Q201" s="407"/>
    </row>
    <row r="202" spans="1:17" s="407" customFormat="1" x14ac:dyDescent="0.25">
      <c r="A202" s="411">
        <f t="shared" si="12"/>
        <v>6365000</v>
      </c>
      <c r="B202" s="419" t="s">
        <v>920</v>
      </c>
      <c r="C202" s="419" t="s">
        <v>1019</v>
      </c>
      <c r="D202" s="417" t="s">
        <v>1796</v>
      </c>
      <c r="E202" s="417"/>
      <c r="F202" s="421" t="s">
        <v>1795</v>
      </c>
      <c r="G202" s="421"/>
      <c r="H202" s="259"/>
      <c r="I202" s="259"/>
      <c r="J202" s="417" t="s">
        <v>488</v>
      </c>
      <c r="K202" s="420"/>
      <c r="L202" s="408"/>
      <c r="M202" s="408"/>
      <c r="N202" s="408"/>
      <c r="O202" s="349"/>
      <c r="P202" s="246"/>
    </row>
    <row r="203" spans="1:17" x14ac:dyDescent="0.25">
      <c r="A203" s="411">
        <f t="shared" si="12"/>
        <v>6375000</v>
      </c>
      <c r="B203" s="419" t="s">
        <v>920</v>
      </c>
      <c r="C203" s="419" t="s">
        <v>1019</v>
      </c>
      <c r="D203" s="417" t="s">
        <v>1378</v>
      </c>
      <c r="E203" s="417"/>
      <c r="F203" s="421" t="s">
        <v>1234</v>
      </c>
      <c r="G203" s="421"/>
      <c r="H203" s="259"/>
      <c r="I203" s="259"/>
      <c r="J203" s="417" t="s">
        <v>243</v>
      </c>
      <c r="K203" s="420"/>
      <c r="L203" s="408"/>
      <c r="M203" s="408"/>
      <c r="N203" s="408">
        <v>6200</v>
      </c>
      <c r="O203" s="349"/>
      <c r="P203" s="246"/>
      <c r="Q203" s="407"/>
    </row>
    <row r="204" spans="1:17" x14ac:dyDescent="0.25">
      <c r="A204" s="411">
        <f t="shared" si="12"/>
        <v>6375000</v>
      </c>
      <c r="B204" s="419" t="s">
        <v>920</v>
      </c>
      <c r="C204" s="419" t="s">
        <v>1019</v>
      </c>
      <c r="D204" s="417" t="s">
        <v>1775</v>
      </c>
      <c r="E204" s="417"/>
      <c r="F204" s="421" t="s">
        <v>1586</v>
      </c>
      <c r="G204" s="421"/>
      <c r="H204" s="259"/>
      <c r="I204" s="259"/>
      <c r="J204" s="419" t="s">
        <v>243</v>
      </c>
      <c r="K204" s="420"/>
      <c r="L204" s="408"/>
      <c r="M204" s="408"/>
      <c r="N204" s="408">
        <v>17000</v>
      </c>
      <c r="O204" s="40"/>
      <c r="P204" s="246"/>
      <c r="Q204" s="407"/>
    </row>
    <row r="205" spans="1:17" x14ac:dyDescent="0.25">
      <c r="A205" s="411">
        <f t="shared" si="12"/>
        <v>6325000</v>
      </c>
      <c r="B205" s="419" t="s">
        <v>920</v>
      </c>
      <c r="C205" s="419" t="s">
        <v>1019</v>
      </c>
      <c r="D205" s="417" t="s">
        <v>1379</v>
      </c>
      <c r="E205" s="417"/>
      <c r="F205" s="421" t="s">
        <v>1231</v>
      </c>
      <c r="G205" s="421"/>
      <c r="H205" s="355"/>
      <c r="I205" s="355"/>
      <c r="J205" s="419" t="s">
        <v>367</v>
      </c>
      <c r="K205" s="420"/>
      <c r="L205" s="408"/>
      <c r="M205" s="408"/>
      <c r="N205" s="408"/>
      <c r="O205" s="349"/>
      <c r="P205" s="246"/>
      <c r="Q205" s="407"/>
    </row>
    <row r="206" spans="1:17" x14ac:dyDescent="0.25">
      <c r="A206" s="411">
        <f t="shared" si="12"/>
        <v>6365000</v>
      </c>
      <c r="B206" s="419" t="s">
        <v>920</v>
      </c>
      <c r="C206" s="419" t="s">
        <v>1019</v>
      </c>
      <c r="D206" s="417" t="s">
        <v>1391</v>
      </c>
      <c r="E206" s="417"/>
      <c r="F206" s="421" t="s">
        <v>1392</v>
      </c>
      <c r="G206" s="421"/>
      <c r="H206" s="259"/>
      <c r="I206" s="259"/>
      <c r="J206" s="417" t="s">
        <v>488</v>
      </c>
      <c r="K206" s="420"/>
      <c r="L206" s="408"/>
      <c r="M206" s="408"/>
      <c r="N206" s="408">
        <v>60000</v>
      </c>
      <c r="O206" s="349"/>
      <c r="P206" s="246"/>
    </row>
    <row r="207" spans="1:17" x14ac:dyDescent="0.25">
      <c r="A207" s="411">
        <f t="shared" si="12"/>
        <v>6325000</v>
      </c>
      <c r="B207" s="419" t="s">
        <v>920</v>
      </c>
      <c r="C207" s="419" t="s">
        <v>1019</v>
      </c>
      <c r="D207" s="417" t="s">
        <v>1466</v>
      </c>
      <c r="E207" s="419"/>
      <c r="F207" s="419" t="s">
        <v>1380</v>
      </c>
      <c r="G207" s="419"/>
      <c r="H207" s="355"/>
      <c r="I207" s="355"/>
      <c r="J207" s="419" t="s">
        <v>367</v>
      </c>
      <c r="K207" s="420"/>
      <c r="L207" s="408"/>
      <c r="M207" s="408"/>
      <c r="N207" s="408">
        <v>900</v>
      </c>
      <c r="O207" s="349"/>
      <c r="P207" s="246"/>
    </row>
    <row r="208" spans="1:17" x14ac:dyDescent="0.25">
      <c r="A208" s="411">
        <f t="shared" si="12"/>
        <v>6350000</v>
      </c>
      <c r="B208" s="419" t="s">
        <v>920</v>
      </c>
      <c r="C208" s="419" t="s">
        <v>1019</v>
      </c>
      <c r="D208" s="417" t="s">
        <v>1776</v>
      </c>
      <c r="E208" s="419"/>
      <c r="F208" s="419" t="s">
        <v>1777</v>
      </c>
      <c r="G208" s="419"/>
      <c r="H208" s="355"/>
      <c r="I208" s="355"/>
      <c r="J208" s="419" t="s">
        <v>2</v>
      </c>
      <c r="K208" s="420"/>
      <c r="L208" s="408"/>
      <c r="M208" s="408"/>
      <c r="N208" s="408">
        <v>84</v>
      </c>
      <c r="O208" s="349"/>
      <c r="P208" s="246"/>
    </row>
    <row r="209" spans="1:16" x14ac:dyDescent="0.25">
      <c r="A209" s="411" t="e">
        <f>VLOOKUP(J209,OtherOperatingExpenses,2)</f>
        <v>#N/A</v>
      </c>
      <c r="B209" s="419"/>
      <c r="C209" s="419"/>
      <c r="D209" s="417"/>
      <c r="E209" s="419"/>
      <c r="F209" s="417"/>
      <c r="G209" s="417"/>
      <c r="H209" s="259"/>
      <c r="I209" s="259"/>
      <c r="J209" s="417"/>
      <c r="K209" s="348"/>
      <c r="L209" s="418"/>
      <c r="M209" s="418"/>
      <c r="N209" s="418"/>
      <c r="O209" s="349"/>
      <c r="P209" s="246"/>
    </row>
    <row r="210" spans="1:16" x14ac:dyDescent="0.25">
      <c r="A210" s="411" t="e">
        <f>VLOOKUP(J210,OtherOperatingExpenses,2)</f>
        <v>#N/A</v>
      </c>
      <c r="B210" s="419"/>
      <c r="C210" s="419"/>
      <c r="D210" s="417"/>
      <c r="E210" s="417"/>
      <c r="F210" s="417"/>
      <c r="G210" s="417"/>
      <c r="H210" s="259"/>
      <c r="I210" s="259"/>
      <c r="J210" s="417"/>
      <c r="K210" s="420"/>
      <c r="L210" s="408"/>
      <c r="M210" s="408"/>
      <c r="N210" s="408"/>
      <c r="O210" s="349"/>
      <c r="P210" s="246"/>
    </row>
    <row r="211" spans="1:16" x14ac:dyDescent="0.25">
      <c r="A211" s="411" t="e">
        <f>VLOOKUP(J211,OtherOperatingExpenses,2)</f>
        <v>#N/A</v>
      </c>
      <c r="B211" s="419"/>
      <c r="C211" s="419"/>
      <c r="D211" s="419"/>
      <c r="E211" s="419"/>
      <c r="F211" s="421"/>
      <c r="G211" s="421"/>
      <c r="H211" s="355"/>
      <c r="I211" s="355"/>
      <c r="J211" s="417"/>
      <c r="K211" s="420"/>
      <c r="L211" s="408"/>
      <c r="M211" s="408"/>
      <c r="N211" s="408"/>
      <c r="O211" s="349"/>
      <c r="P211" s="246"/>
    </row>
    <row r="212" spans="1:16" ht="15.75" thickBot="1" x14ac:dyDescent="0.3">
      <c r="A212" s="133" t="e">
        <f>VLOOKUP(J212,OtherOperatingExpenses,2)</f>
        <v>#N/A</v>
      </c>
      <c r="B212" s="419"/>
      <c r="C212" s="419"/>
      <c r="D212" s="357"/>
      <c r="E212" s="357"/>
      <c r="F212" s="357"/>
      <c r="G212" s="357"/>
      <c r="H212" s="358"/>
      <c r="I212" s="358"/>
      <c r="J212" s="357"/>
      <c r="K212" s="359"/>
      <c r="L212" s="359"/>
      <c r="M212" s="359"/>
      <c r="N212" s="359"/>
    </row>
    <row r="213" spans="1:16" ht="15.75" thickBot="1" x14ac:dyDescent="0.3">
      <c r="A213" s="74"/>
      <c r="B213" s="75"/>
      <c r="C213" s="75"/>
      <c r="D213" s="76">
        <f>COUNTA(D27:D212)</f>
        <v>177</v>
      </c>
      <c r="E213" s="77"/>
      <c r="F213" s="77"/>
      <c r="G213" s="78"/>
      <c r="H213" s="78"/>
      <c r="I213" s="77"/>
      <c r="J213" s="79"/>
      <c r="K213" s="79">
        <f>SUM(K26:K212)</f>
        <v>0</v>
      </c>
      <c r="L213" s="79">
        <f>SUM(L26:L212)</f>
        <v>0</v>
      </c>
      <c r="M213" s="79">
        <f>SUM(M26:M212)</f>
        <v>0</v>
      </c>
      <c r="N213" s="79">
        <f>SUM(N26:N212)</f>
        <v>1253852.8900000001</v>
      </c>
      <c r="O213" s="650"/>
    </row>
    <row r="214" spans="1:16" x14ac:dyDescent="0.25">
      <c r="A214" s="151"/>
      <c r="B214" s="84" t="s">
        <v>19</v>
      </c>
      <c r="C214" s="85"/>
      <c r="D214" s="210">
        <f>D234+D254+D274+D294+D314+D334+D354+D394+D434+D454+D494+D514+D534+D554+D574</f>
        <v>15</v>
      </c>
      <c r="E214" s="86"/>
      <c r="F214" s="86"/>
      <c r="G214" s="86"/>
      <c r="H214" s="86"/>
      <c r="I214" s="86"/>
      <c r="J214" s="86"/>
      <c r="K214" s="213">
        <f t="shared" ref="K214:N222" si="15">K234+K254+K274+K294+K314+K334+K354+K374+K394+K414+K434+K454+K494+K514+K534+K554+K574</f>
        <v>0</v>
      </c>
      <c r="L214" s="213">
        <f t="shared" si="15"/>
        <v>0</v>
      </c>
      <c r="M214" s="213">
        <f t="shared" si="15"/>
        <v>0</v>
      </c>
      <c r="N214" s="213">
        <f t="shared" si="15"/>
        <v>67607</v>
      </c>
    </row>
    <row r="215" spans="1:16" x14ac:dyDescent="0.25">
      <c r="A215" s="152"/>
      <c r="B215" s="73" t="s">
        <v>18</v>
      </c>
      <c r="C215" s="88"/>
      <c r="D215" s="220">
        <f t="shared" ref="D215:D233" si="16">D235+D255+D275+D295+D315+D335+D355+D375+D395+D415+D435+D455+D495+D515+D535+D555+D575</f>
        <v>0</v>
      </c>
      <c r="E215" s="89"/>
      <c r="F215" s="89"/>
      <c r="G215" s="89"/>
      <c r="H215" s="89"/>
      <c r="I215" s="89"/>
      <c r="J215" s="89"/>
      <c r="K215" s="212">
        <f t="shared" si="15"/>
        <v>0</v>
      </c>
      <c r="L215" s="212">
        <f t="shared" si="15"/>
        <v>0</v>
      </c>
      <c r="M215" s="212">
        <f t="shared" si="15"/>
        <v>0</v>
      </c>
      <c r="N215" s="212">
        <f t="shared" si="15"/>
        <v>0</v>
      </c>
    </row>
    <row r="216" spans="1:16" x14ac:dyDescent="0.25">
      <c r="A216" s="152"/>
      <c r="B216" s="73" t="s">
        <v>22</v>
      </c>
      <c r="C216" s="88"/>
      <c r="D216" s="220">
        <f t="shared" si="16"/>
        <v>5</v>
      </c>
      <c r="E216" s="89"/>
      <c r="F216" s="89"/>
      <c r="G216" s="89"/>
      <c r="H216" s="89"/>
      <c r="I216" s="89"/>
      <c r="J216" s="89"/>
      <c r="K216" s="212">
        <f t="shared" si="15"/>
        <v>0</v>
      </c>
      <c r="L216" s="212">
        <f t="shared" si="15"/>
        <v>0</v>
      </c>
      <c r="M216" s="212">
        <f t="shared" si="15"/>
        <v>0</v>
      </c>
      <c r="N216" s="212">
        <f t="shared" si="15"/>
        <v>46650</v>
      </c>
    </row>
    <row r="217" spans="1:16" x14ac:dyDescent="0.25">
      <c r="A217" s="152"/>
      <c r="B217" s="73" t="s">
        <v>24</v>
      </c>
      <c r="C217" s="88"/>
      <c r="D217" s="220">
        <f t="shared" si="16"/>
        <v>8</v>
      </c>
      <c r="E217" s="89"/>
      <c r="F217" s="89"/>
      <c r="G217" s="89"/>
      <c r="H217" s="89"/>
      <c r="I217" s="89"/>
      <c r="J217" s="89"/>
      <c r="K217" s="212">
        <f t="shared" si="15"/>
        <v>0</v>
      </c>
      <c r="L217" s="212">
        <f t="shared" si="15"/>
        <v>0</v>
      </c>
      <c r="M217" s="212">
        <f t="shared" si="15"/>
        <v>0</v>
      </c>
      <c r="N217" s="212">
        <f t="shared" si="15"/>
        <v>11300</v>
      </c>
    </row>
    <row r="218" spans="1:16" x14ac:dyDescent="0.25">
      <c r="A218" s="152"/>
      <c r="B218" s="73" t="s">
        <v>25</v>
      </c>
      <c r="C218" s="88"/>
      <c r="D218" s="220">
        <f t="shared" si="16"/>
        <v>2</v>
      </c>
      <c r="E218" s="89"/>
      <c r="F218" s="89"/>
      <c r="G218" s="89"/>
      <c r="H218" s="89"/>
      <c r="I218" s="89"/>
      <c r="J218" s="89"/>
      <c r="K218" s="212">
        <f t="shared" si="15"/>
        <v>0</v>
      </c>
      <c r="L218" s="212">
        <f t="shared" si="15"/>
        <v>0</v>
      </c>
      <c r="M218" s="212">
        <f t="shared" si="15"/>
        <v>0</v>
      </c>
      <c r="N218" s="212">
        <f t="shared" si="15"/>
        <v>1500</v>
      </c>
    </row>
    <row r="219" spans="1:16" x14ac:dyDescent="0.25">
      <c r="A219" s="152"/>
      <c r="B219" s="73" t="s">
        <v>394</v>
      </c>
      <c r="C219" s="88"/>
      <c r="D219" s="220">
        <f t="shared" si="16"/>
        <v>13</v>
      </c>
      <c r="E219" s="89"/>
      <c r="F219" s="89"/>
      <c r="G219" s="89"/>
      <c r="H219" s="89"/>
      <c r="I219" s="89"/>
      <c r="J219" s="89"/>
      <c r="K219" s="212">
        <f t="shared" si="15"/>
        <v>0</v>
      </c>
      <c r="L219" s="212">
        <f t="shared" si="15"/>
        <v>0</v>
      </c>
      <c r="M219" s="212">
        <f t="shared" si="15"/>
        <v>0</v>
      </c>
      <c r="N219" s="212">
        <f t="shared" si="15"/>
        <v>19086.02</v>
      </c>
    </row>
    <row r="220" spans="1:16" x14ac:dyDescent="0.25">
      <c r="A220" s="152"/>
      <c r="B220" s="73" t="s">
        <v>350</v>
      </c>
      <c r="C220" s="88"/>
      <c r="D220" s="220">
        <f t="shared" si="16"/>
        <v>27</v>
      </c>
      <c r="E220" s="89"/>
      <c r="F220" s="89"/>
      <c r="G220" s="89"/>
      <c r="H220" s="89"/>
      <c r="I220" s="89"/>
      <c r="J220" s="89"/>
      <c r="K220" s="212">
        <f t="shared" si="15"/>
        <v>0</v>
      </c>
      <c r="L220" s="212">
        <f t="shared" si="15"/>
        <v>0</v>
      </c>
      <c r="M220" s="212">
        <f t="shared" si="15"/>
        <v>0</v>
      </c>
      <c r="N220" s="212">
        <f t="shared" si="15"/>
        <v>174789</v>
      </c>
    </row>
    <row r="221" spans="1:16" s="407" customFormat="1" x14ac:dyDescent="0.25">
      <c r="A221" s="152"/>
      <c r="B221" s="73" t="s">
        <v>1171</v>
      </c>
      <c r="C221" s="88"/>
      <c r="D221" s="220">
        <f t="shared" si="16"/>
        <v>10</v>
      </c>
      <c r="E221" s="89"/>
      <c r="F221" s="89"/>
      <c r="G221" s="89"/>
      <c r="H221" s="89"/>
      <c r="I221" s="89"/>
      <c r="J221" s="89"/>
      <c r="K221" s="212">
        <f t="shared" si="15"/>
        <v>0</v>
      </c>
      <c r="L221" s="212">
        <f t="shared" si="15"/>
        <v>0</v>
      </c>
      <c r="M221" s="212">
        <f t="shared" si="15"/>
        <v>0</v>
      </c>
      <c r="N221" s="212">
        <f t="shared" si="15"/>
        <v>51548</v>
      </c>
    </row>
    <row r="222" spans="1:16" x14ac:dyDescent="0.25">
      <c r="A222" s="152"/>
      <c r="B222" s="73" t="s">
        <v>1182</v>
      </c>
      <c r="C222" s="88"/>
      <c r="D222" s="220">
        <f t="shared" si="16"/>
        <v>5</v>
      </c>
      <c r="E222" s="89"/>
      <c r="F222" s="89"/>
      <c r="G222" s="89"/>
      <c r="H222" s="89"/>
      <c r="I222" s="89"/>
      <c r="J222" s="89"/>
      <c r="K222" s="212">
        <f t="shared" si="15"/>
        <v>0</v>
      </c>
      <c r="L222" s="212">
        <f t="shared" si="15"/>
        <v>0</v>
      </c>
      <c r="M222" s="212">
        <f t="shared" si="15"/>
        <v>0</v>
      </c>
      <c r="N222" s="212">
        <f t="shared" si="15"/>
        <v>14300</v>
      </c>
    </row>
    <row r="223" spans="1:16" x14ac:dyDescent="0.25">
      <c r="A223" s="152"/>
      <c r="B223" s="73" t="s">
        <v>20</v>
      </c>
      <c r="C223" s="88"/>
      <c r="D223" s="220">
        <f t="shared" si="16"/>
        <v>2</v>
      </c>
      <c r="E223" s="89"/>
      <c r="F223" s="89"/>
      <c r="G223" s="89"/>
      <c r="H223" s="89"/>
      <c r="I223" s="89"/>
      <c r="J223" s="89"/>
      <c r="K223" s="212">
        <f t="shared" ref="K223:M233" si="17">K243+K263+K283+K303+K323+K343+K363+K383+K403+K423+K443+K463+K503+K523+K543+K563+K583</f>
        <v>0</v>
      </c>
      <c r="L223" s="212">
        <f t="shared" si="17"/>
        <v>0</v>
      </c>
      <c r="M223" s="212">
        <f t="shared" si="17"/>
        <v>0</v>
      </c>
      <c r="N223" s="212">
        <f>N243+N263+N283+N303+N323+N343+N363+N383+N403+N423+N443+N463+N483+N503+N523+N543+N563+N583</f>
        <v>618.01</v>
      </c>
    </row>
    <row r="224" spans="1:16" x14ac:dyDescent="0.25">
      <c r="A224" s="152"/>
      <c r="B224" s="73" t="s">
        <v>510</v>
      </c>
      <c r="C224" s="88"/>
      <c r="D224" s="220">
        <f t="shared" si="16"/>
        <v>7</v>
      </c>
      <c r="E224" s="89"/>
      <c r="F224" s="89"/>
      <c r="G224" s="89"/>
      <c r="H224" s="89"/>
      <c r="I224" s="89"/>
      <c r="J224" s="89"/>
      <c r="K224" s="212">
        <f t="shared" si="17"/>
        <v>0</v>
      </c>
      <c r="L224" s="212">
        <f t="shared" si="17"/>
        <v>0</v>
      </c>
      <c r="M224" s="212">
        <f t="shared" si="17"/>
        <v>0</v>
      </c>
      <c r="N224" s="212">
        <f t="shared" ref="N224:N233" si="18">N244+N264+N284+N304+N324+N344+N364+N384+N404+N424+N444+N464+N504+N524+N544+N564+N584</f>
        <v>4326.01</v>
      </c>
    </row>
    <row r="225" spans="1:14" s="407" customFormat="1" x14ac:dyDescent="0.25">
      <c r="A225" s="152"/>
      <c r="B225" s="73" t="s">
        <v>272</v>
      </c>
      <c r="C225" s="88"/>
      <c r="D225" s="220">
        <f t="shared" si="16"/>
        <v>6</v>
      </c>
      <c r="E225" s="89"/>
      <c r="F225" s="89"/>
      <c r="G225" s="89"/>
      <c r="H225" s="89"/>
      <c r="I225" s="89"/>
      <c r="J225" s="89"/>
      <c r="K225" s="212">
        <f t="shared" si="17"/>
        <v>0</v>
      </c>
      <c r="L225" s="212">
        <f t="shared" si="17"/>
        <v>0</v>
      </c>
      <c r="M225" s="212">
        <f t="shared" si="17"/>
        <v>0</v>
      </c>
      <c r="N225" s="212">
        <f t="shared" si="18"/>
        <v>2085</v>
      </c>
    </row>
    <row r="226" spans="1:14" x14ac:dyDescent="0.25">
      <c r="A226" s="152"/>
      <c r="B226" s="51" t="s">
        <v>21</v>
      </c>
      <c r="C226" s="88"/>
      <c r="D226" s="220">
        <f t="shared" si="16"/>
        <v>3</v>
      </c>
      <c r="E226" s="89"/>
      <c r="F226" s="89"/>
      <c r="G226" s="89"/>
      <c r="H226" s="89"/>
      <c r="I226" s="89"/>
      <c r="J226" s="89"/>
      <c r="K226" s="212">
        <f t="shared" si="17"/>
        <v>0</v>
      </c>
      <c r="L226" s="212">
        <f t="shared" si="17"/>
        <v>0</v>
      </c>
      <c r="M226" s="212">
        <f t="shared" si="17"/>
        <v>0</v>
      </c>
      <c r="N226" s="212">
        <f t="shared" si="18"/>
        <v>3010</v>
      </c>
    </row>
    <row r="227" spans="1:14" x14ac:dyDescent="0.25">
      <c r="A227" s="152"/>
      <c r="B227" s="73" t="s">
        <v>1172</v>
      </c>
      <c r="C227" s="88"/>
      <c r="D227" s="220">
        <f t="shared" si="16"/>
        <v>11</v>
      </c>
      <c r="E227" s="89"/>
      <c r="F227" s="89"/>
      <c r="G227" s="89"/>
      <c r="H227" s="89"/>
      <c r="I227" s="89"/>
      <c r="J227" s="89"/>
      <c r="K227" s="212">
        <f t="shared" si="17"/>
        <v>0</v>
      </c>
      <c r="L227" s="212">
        <f t="shared" si="17"/>
        <v>0</v>
      </c>
      <c r="M227" s="212">
        <f t="shared" si="17"/>
        <v>0</v>
      </c>
      <c r="N227" s="212">
        <f t="shared" si="18"/>
        <v>55995.12</v>
      </c>
    </row>
    <row r="228" spans="1:14" x14ac:dyDescent="0.25">
      <c r="A228" s="152"/>
      <c r="B228" s="73" t="s">
        <v>810</v>
      </c>
      <c r="C228" s="88"/>
      <c r="D228" s="220">
        <f t="shared" si="16"/>
        <v>16</v>
      </c>
      <c r="E228" s="89"/>
      <c r="F228" s="89"/>
      <c r="G228" s="89"/>
      <c r="H228" s="89"/>
      <c r="I228" s="89"/>
      <c r="J228" s="89"/>
      <c r="K228" s="212">
        <f t="shared" si="17"/>
        <v>0</v>
      </c>
      <c r="L228" s="212">
        <f t="shared" si="17"/>
        <v>0</v>
      </c>
      <c r="M228" s="212">
        <f t="shared" si="17"/>
        <v>0</v>
      </c>
      <c r="N228" s="212">
        <f t="shared" si="18"/>
        <v>68745</v>
      </c>
    </row>
    <row r="229" spans="1:14" x14ac:dyDescent="0.25">
      <c r="A229" s="152"/>
      <c r="B229" s="51" t="s">
        <v>811</v>
      </c>
      <c r="C229" s="88"/>
      <c r="D229" s="220">
        <f t="shared" si="16"/>
        <v>3</v>
      </c>
      <c r="E229" s="89"/>
      <c r="F229" s="89"/>
      <c r="G229" s="89"/>
      <c r="H229" s="89"/>
      <c r="I229" s="89"/>
      <c r="J229" s="89"/>
      <c r="K229" s="212">
        <f t="shared" si="17"/>
        <v>0</v>
      </c>
      <c r="L229" s="212">
        <f t="shared" si="17"/>
        <v>0</v>
      </c>
      <c r="M229" s="212">
        <f t="shared" si="17"/>
        <v>0</v>
      </c>
      <c r="N229" s="212">
        <f t="shared" si="18"/>
        <v>330</v>
      </c>
    </row>
    <row r="230" spans="1:14" x14ac:dyDescent="0.25">
      <c r="A230" s="152"/>
      <c r="B230" s="51" t="s">
        <v>23</v>
      </c>
      <c r="C230" s="88"/>
      <c r="D230" s="220">
        <f t="shared" si="16"/>
        <v>7</v>
      </c>
      <c r="E230" s="89"/>
      <c r="F230" s="89"/>
      <c r="G230" s="89"/>
      <c r="H230" s="89"/>
      <c r="I230" s="89"/>
      <c r="J230" s="89"/>
      <c r="K230" s="212">
        <f t="shared" si="17"/>
        <v>0</v>
      </c>
      <c r="L230" s="212">
        <f t="shared" si="17"/>
        <v>0</v>
      </c>
      <c r="M230" s="212">
        <f t="shared" si="17"/>
        <v>0</v>
      </c>
      <c r="N230" s="212">
        <f t="shared" si="18"/>
        <v>9975</v>
      </c>
    </row>
    <row r="231" spans="1:14" x14ac:dyDescent="0.25">
      <c r="A231" s="152"/>
      <c r="B231" s="73" t="s">
        <v>268</v>
      </c>
      <c r="C231" s="88"/>
      <c r="D231" s="220">
        <f t="shared" si="16"/>
        <v>7</v>
      </c>
      <c r="E231" s="89"/>
      <c r="F231" s="89"/>
      <c r="G231" s="89"/>
      <c r="H231" s="89"/>
      <c r="I231" s="89"/>
      <c r="J231" s="89"/>
      <c r="K231" s="212">
        <f t="shared" si="17"/>
        <v>0</v>
      </c>
      <c r="L231" s="212">
        <f t="shared" si="17"/>
        <v>0</v>
      </c>
      <c r="M231" s="212">
        <f t="shared" si="17"/>
        <v>0</v>
      </c>
      <c r="N231" s="212">
        <f t="shared" si="18"/>
        <v>37668.03</v>
      </c>
    </row>
    <row r="232" spans="1:14" x14ac:dyDescent="0.25">
      <c r="A232" s="152"/>
      <c r="B232" s="73" t="s">
        <v>267</v>
      </c>
      <c r="C232" s="88"/>
      <c r="D232" s="220">
        <f t="shared" si="16"/>
        <v>5</v>
      </c>
      <c r="E232" s="89"/>
      <c r="F232" s="89"/>
      <c r="G232" s="89"/>
      <c r="H232" s="89"/>
      <c r="I232" s="89"/>
      <c r="J232" s="89"/>
      <c r="K232" s="212">
        <f t="shared" si="17"/>
        <v>0</v>
      </c>
      <c r="L232" s="212">
        <f t="shared" si="17"/>
        <v>0</v>
      </c>
      <c r="M232" s="212">
        <f t="shared" si="17"/>
        <v>0</v>
      </c>
      <c r="N232" s="212">
        <f t="shared" si="18"/>
        <v>1945</v>
      </c>
    </row>
    <row r="233" spans="1:14" ht="15.75" thickBot="1" x14ac:dyDescent="0.3">
      <c r="A233" s="152"/>
      <c r="B233" s="73" t="s">
        <v>920</v>
      </c>
      <c r="C233" s="88"/>
      <c r="D233" s="220">
        <f t="shared" si="16"/>
        <v>31</v>
      </c>
      <c r="E233" s="89"/>
      <c r="F233" s="89"/>
      <c r="G233" s="89"/>
      <c r="H233" s="89"/>
      <c r="I233" s="89"/>
      <c r="J233" s="89"/>
      <c r="K233" s="212">
        <f t="shared" si="17"/>
        <v>0</v>
      </c>
      <c r="L233" s="212">
        <f t="shared" si="17"/>
        <v>0</v>
      </c>
      <c r="M233" s="212">
        <f t="shared" si="17"/>
        <v>0</v>
      </c>
      <c r="N233" s="212">
        <f t="shared" si="18"/>
        <v>682375.7</v>
      </c>
    </row>
    <row r="234" spans="1:14" x14ac:dyDescent="0.25">
      <c r="A234" s="151">
        <v>6450000</v>
      </c>
      <c r="B234" s="84" t="s">
        <v>19</v>
      </c>
      <c r="C234" s="85"/>
      <c r="D234" s="86">
        <f t="shared" ref="D234:D297" si="19">COUNTIFS($A$26:$A$212,$A234,$B$26:$B$212,$B234)</f>
        <v>6</v>
      </c>
      <c r="E234" s="86"/>
      <c r="F234" s="86"/>
      <c r="G234" s="86"/>
      <c r="H234" s="86"/>
      <c r="I234" s="86"/>
      <c r="J234" s="86"/>
      <c r="K234" s="156">
        <f t="shared" ref="K234:N253" si="20">SUMIFS(K$26:K$212,$A$26:$A$212,$A234,$B$26:$B$212,$B234)</f>
        <v>0</v>
      </c>
      <c r="L234" s="156">
        <f t="shared" si="20"/>
        <v>0</v>
      </c>
      <c r="M234" s="156">
        <f t="shared" si="20"/>
        <v>0</v>
      </c>
      <c r="N234" s="156">
        <f t="shared" si="20"/>
        <v>32968</v>
      </c>
    </row>
    <row r="235" spans="1:14" x14ac:dyDescent="0.25">
      <c r="A235" s="152">
        <v>6450000</v>
      </c>
      <c r="B235" s="73" t="s">
        <v>18</v>
      </c>
      <c r="C235" s="88"/>
      <c r="D235" s="220">
        <f t="shared" si="19"/>
        <v>0</v>
      </c>
      <c r="E235" s="89"/>
      <c r="F235" s="89"/>
      <c r="G235" s="89"/>
      <c r="H235" s="89"/>
      <c r="I235" s="89"/>
      <c r="J235" s="89"/>
      <c r="K235" s="154">
        <f t="shared" si="20"/>
        <v>0</v>
      </c>
      <c r="L235" s="154">
        <f t="shared" si="20"/>
        <v>0</v>
      </c>
      <c r="M235" s="154">
        <f t="shared" si="20"/>
        <v>0</v>
      </c>
      <c r="N235" s="154">
        <f t="shared" si="20"/>
        <v>0</v>
      </c>
    </row>
    <row r="236" spans="1:14" x14ac:dyDescent="0.25">
      <c r="A236" s="152">
        <v>6450000</v>
      </c>
      <c r="B236" s="73" t="s">
        <v>22</v>
      </c>
      <c r="C236" s="88"/>
      <c r="D236" s="220">
        <f t="shared" si="19"/>
        <v>0</v>
      </c>
      <c r="E236" s="89"/>
      <c r="F236" s="89"/>
      <c r="G236" s="89"/>
      <c r="H236" s="89"/>
      <c r="I236" s="89"/>
      <c r="J236" s="89"/>
      <c r="K236" s="154">
        <f t="shared" si="20"/>
        <v>0</v>
      </c>
      <c r="L236" s="154">
        <f t="shared" si="20"/>
        <v>0</v>
      </c>
      <c r="M236" s="154">
        <f t="shared" si="20"/>
        <v>0</v>
      </c>
      <c r="N236" s="154">
        <f t="shared" si="20"/>
        <v>0</v>
      </c>
    </row>
    <row r="237" spans="1:14" x14ac:dyDescent="0.25">
      <c r="A237" s="152">
        <v>6450000</v>
      </c>
      <c r="B237" s="73" t="s">
        <v>24</v>
      </c>
      <c r="C237" s="88"/>
      <c r="D237" s="220">
        <f t="shared" si="19"/>
        <v>0</v>
      </c>
      <c r="E237" s="89"/>
      <c r="F237" s="89"/>
      <c r="G237" s="89"/>
      <c r="H237" s="89"/>
      <c r="I237" s="89"/>
      <c r="J237" s="89"/>
      <c r="K237" s="154">
        <f t="shared" si="20"/>
        <v>0</v>
      </c>
      <c r="L237" s="154">
        <f t="shared" si="20"/>
        <v>0</v>
      </c>
      <c r="M237" s="154">
        <f t="shared" si="20"/>
        <v>0</v>
      </c>
      <c r="N237" s="154">
        <f t="shared" si="20"/>
        <v>0</v>
      </c>
    </row>
    <row r="238" spans="1:14" x14ac:dyDescent="0.25">
      <c r="A238" s="152">
        <v>6450000</v>
      </c>
      <c r="B238" s="73" t="s">
        <v>25</v>
      </c>
      <c r="C238" s="88"/>
      <c r="D238" s="220">
        <f t="shared" si="19"/>
        <v>0</v>
      </c>
      <c r="E238" s="89"/>
      <c r="F238" s="89"/>
      <c r="G238" s="89"/>
      <c r="H238" s="89"/>
      <c r="I238" s="89"/>
      <c r="J238" s="89"/>
      <c r="K238" s="154">
        <f t="shared" si="20"/>
        <v>0</v>
      </c>
      <c r="L238" s="154">
        <f t="shared" si="20"/>
        <v>0</v>
      </c>
      <c r="M238" s="154">
        <f t="shared" si="20"/>
        <v>0</v>
      </c>
      <c r="N238" s="154">
        <f t="shared" si="20"/>
        <v>0</v>
      </c>
    </row>
    <row r="239" spans="1:14" x14ac:dyDescent="0.25">
      <c r="A239" s="152">
        <v>6450000</v>
      </c>
      <c r="B239" s="73" t="s">
        <v>394</v>
      </c>
      <c r="C239" s="88"/>
      <c r="D239" s="220">
        <f t="shared" si="19"/>
        <v>0</v>
      </c>
      <c r="E239" s="89"/>
      <c r="F239" s="89"/>
      <c r="G239" s="89"/>
      <c r="H239" s="89"/>
      <c r="I239" s="89"/>
      <c r="J239" s="89"/>
      <c r="K239" s="154">
        <f t="shared" si="20"/>
        <v>0</v>
      </c>
      <c r="L239" s="154">
        <f t="shared" si="20"/>
        <v>0</v>
      </c>
      <c r="M239" s="154">
        <f t="shared" si="20"/>
        <v>0</v>
      </c>
      <c r="N239" s="154">
        <f t="shared" si="20"/>
        <v>0</v>
      </c>
    </row>
    <row r="240" spans="1:14" x14ac:dyDescent="0.25">
      <c r="A240" s="152">
        <v>6450000</v>
      </c>
      <c r="B240" s="73" t="s">
        <v>350</v>
      </c>
      <c r="C240" s="88"/>
      <c r="D240" s="220">
        <f t="shared" si="19"/>
        <v>0</v>
      </c>
      <c r="E240" s="89"/>
      <c r="F240" s="89"/>
      <c r="G240" s="89"/>
      <c r="H240" s="89"/>
      <c r="I240" s="89"/>
      <c r="J240" s="89"/>
      <c r="K240" s="154">
        <f t="shared" si="20"/>
        <v>0</v>
      </c>
      <c r="L240" s="154">
        <f t="shared" si="20"/>
        <v>0</v>
      </c>
      <c r="M240" s="154">
        <f t="shared" si="20"/>
        <v>0</v>
      </c>
      <c r="N240" s="154">
        <f t="shared" si="20"/>
        <v>0</v>
      </c>
    </row>
    <row r="241" spans="1:14" x14ac:dyDescent="0.25">
      <c r="A241" s="152">
        <v>6450000</v>
      </c>
      <c r="B241" s="73" t="s">
        <v>1171</v>
      </c>
      <c r="C241" s="88"/>
      <c r="D241" s="220">
        <f t="shared" si="19"/>
        <v>0</v>
      </c>
      <c r="E241" s="89"/>
      <c r="F241" s="89"/>
      <c r="G241" s="89"/>
      <c r="H241" s="89"/>
      <c r="I241" s="89"/>
      <c r="J241" s="89"/>
      <c r="K241" s="154">
        <f t="shared" si="20"/>
        <v>0</v>
      </c>
      <c r="L241" s="154">
        <f t="shared" si="20"/>
        <v>0</v>
      </c>
      <c r="M241" s="154">
        <f t="shared" si="20"/>
        <v>0</v>
      </c>
      <c r="N241" s="154">
        <f t="shared" si="20"/>
        <v>0</v>
      </c>
    </row>
    <row r="242" spans="1:14" s="407" customFormat="1" x14ac:dyDescent="0.25">
      <c r="A242" s="152">
        <v>6450000</v>
      </c>
      <c r="B242" s="73" t="s">
        <v>1182</v>
      </c>
      <c r="C242" s="88"/>
      <c r="D242" s="220">
        <f t="shared" si="19"/>
        <v>0</v>
      </c>
      <c r="E242" s="89"/>
      <c r="F242" s="89"/>
      <c r="G242" s="89"/>
      <c r="H242" s="89"/>
      <c r="I242" s="89"/>
      <c r="J242" s="89"/>
      <c r="K242" s="212">
        <f t="shared" si="20"/>
        <v>0</v>
      </c>
      <c r="L242" s="212">
        <f t="shared" si="20"/>
        <v>0</v>
      </c>
      <c r="M242" s="212">
        <f t="shared" si="20"/>
        <v>0</v>
      </c>
      <c r="N242" s="212">
        <f t="shared" si="20"/>
        <v>0</v>
      </c>
    </row>
    <row r="243" spans="1:14" s="407" customFormat="1" x14ac:dyDescent="0.25">
      <c r="A243" s="152">
        <v>6450000</v>
      </c>
      <c r="B243" s="73" t="s">
        <v>20</v>
      </c>
      <c r="C243" s="88"/>
      <c r="D243" s="220">
        <f t="shared" si="19"/>
        <v>0</v>
      </c>
      <c r="E243" s="89"/>
      <c r="F243" s="89"/>
      <c r="G243" s="89"/>
      <c r="H243" s="89"/>
      <c r="I243" s="89"/>
      <c r="J243" s="89"/>
      <c r="K243" s="212">
        <f t="shared" si="20"/>
        <v>0</v>
      </c>
      <c r="L243" s="212">
        <f t="shared" si="20"/>
        <v>0</v>
      </c>
      <c r="M243" s="212">
        <f t="shared" si="20"/>
        <v>0</v>
      </c>
      <c r="N243" s="212">
        <f t="shared" si="20"/>
        <v>0</v>
      </c>
    </row>
    <row r="244" spans="1:14" x14ac:dyDescent="0.25">
      <c r="A244" s="152">
        <v>6450000</v>
      </c>
      <c r="B244" s="73" t="s">
        <v>510</v>
      </c>
      <c r="C244" s="88"/>
      <c r="D244" s="220">
        <f t="shared" si="19"/>
        <v>0</v>
      </c>
      <c r="E244" s="89"/>
      <c r="F244" s="89"/>
      <c r="G244" s="89"/>
      <c r="H244" s="89"/>
      <c r="I244" s="89"/>
      <c r="J244" s="89"/>
      <c r="K244" s="154">
        <f t="shared" si="20"/>
        <v>0</v>
      </c>
      <c r="L244" s="154">
        <f t="shared" si="20"/>
        <v>0</v>
      </c>
      <c r="M244" s="154">
        <f t="shared" si="20"/>
        <v>0</v>
      </c>
      <c r="N244" s="154">
        <f t="shared" si="20"/>
        <v>0</v>
      </c>
    </row>
    <row r="245" spans="1:14" x14ac:dyDescent="0.25">
      <c r="A245" s="152">
        <v>6450000</v>
      </c>
      <c r="B245" s="73" t="s">
        <v>272</v>
      </c>
      <c r="C245" s="88"/>
      <c r="D245" s="220">
        <f t="shared" si="19"/>
        <v>0</v>
      </c>
      <c r="E245" s="89"/>
      <c r="F245" s="89"/>
      <c r="G245" s="89"/>
      <c r="H245" s="89"/>
      <c r="I245" s="89"/>
      <c r="J245" s="89"/>
      <c r="K245" s="154">
        <f t="shared" si="20"/>
        <v>0</v>
      </c>
      <c r="L245" s="154">
        <f t="shared" si="20"/>
        <v>0</v>
      </c>
      <c r="M245" s="154">
        <f t="shared" si="20"/>
        <v>0</v>
      </c>
      <c r="N245" s="154">
        <f t="shared" si="20"/>
        <v>0</v>
      </c>
    </row>
    <row r="246" spans="1:14" x14ac:dyDescent="0.25">
      <c r="A246" s="152">
        <v>6450000</v>
      </c>
      <c r="B246" s="51" t="s">
        <v>21</v>
      </c>
      <c r="C246" s="88"/>
      <c r="D246" s="220">
        <f t="shared" si="19"/>
        <v>0</v>
      </c>
      <c r="E246" s="89"/>
      <c r="F246" s="89"/>
      <c r="G246" s="89"/>
      <c r="H246" s="89"/>
      <c r="I246" s="89"/>
      <c r="J246" s="89"/>
      <c r="K246" s="154">
        <f t="shared" si="20"/>
        <v>0</v>
      </c>
      <c r="L246" s="154">
        <f t="shared" si="20"/>
        <v>0</v>
      </c>
      <c r="M246" s="154">
        <f t="shared" si="20"/>
        <v>0</v>
      </c>
      <c r="N246" s="154">
        <f t="shared" si="20"/>
        <v>0</v>
      </c>
    </row>
    <row r="247" spans="1:14" x14ac:dyDescent="0.25">
      <c r="A247" s="152">
        <v>6450000</v>
      </c>
      <c r="B247" s="73" t="s">
        <v>1172</v>
      </c>
      <c r="C247" s="88"/>
      <c r="D247" s="220">
        <f t="shared" si="19"/>
        <v>0</v>
      </c>
      <c r="E247" s="89"/>
      <c r="F247" s="89"/>
      <c r="G247" s="89"/>
      <c r="H247" s="89"/>
      <c r="I247" s="89"/>
      <c r="J247" s="89"/>
      <c r="K247" s="154">
        <f t="shared" si="20"/>
        <v>0</v>
      </c>
      <c r="L247" s="154">
        <f t="shared" si="20"/>
        <v>0</v>
      </c>
      <c r="M247" s="154">
        <f t="shared" si="20"/>
        <v>0</v>
      </c>
      <c r="N247" s="154">
        <f t="shared" si="20"/>
        <v>0</v>
      </c>
    </row>
    <row r="248" spans="1:14" x14ac:dyDescent="0.25">
      <c r="A248" s="152">
        <v>6450000</v>
      </c>
      <c r="B248" s="73" t="s">
        <v>810</v>
      </c>
      <c r="C248" s="88"/>
      <c r="D248" s="220">
        <f t="shared" si="19"/>
        <v>0</v>
      </c>
      <c r="E248" s="89"/>
      <c r="F248" s="89"/>
      <c r="G248" s="89"/>
      <c r="H248" s="89"/>
      <c r="I248" s="89"/>
      <c r="J248" s="89"/>
      <c r="K248" s="154">
        <f t="shared" si="20"/>
        <v>0</v>
      </c>
      <c r="L248" s="154">
        <f t="shared" si="20"/>
        <v>0</v>
      </c>
      <c r="M248" s="154">
        <f t="shared" si="20"/>
        <v>0</v>
      </c>
      <c r="N248" s="154">
        <f t="shared" si="20"/>
        <v>0</v>
      </c>
    </row>
    <row r="249" spans="1:14" x14ac:dyDescent="0.25">
      <c r="A249" s="152">
        <v>6450000</v>
      </c>
      <c r="B249" s="51" t="s">
        <v>811</v>
      </c>
      <c r="C249" s="88"/>
      <c r="D249" s="220">
        <f t="shared" si="19"/>
        <v>0</v>
      </c>
      <c r="E249" s="89"/>
      <c r="F249" s="89"/>
      <c r="G249" s="89"/>
      <c r="H249" s="89"/>
      <c r="I249" s="89"/>
      <c r="J249" s="89"/>
      <c r="K249" s="154">
        <f t="shared" si="20"/>
        <v>0</v>
      </c>
      <c r="L249" s="154">
        <f t="shared" si="20"/>
        <v>0</v>
      </c>
      <c r="M249" s="154">
        <f t="shared" si="20"/>
        <v>0</v>
      </c>
      <c r="N249" s="154">
        <f t="shared" si="20"/>
        <v>0</v>
      </c>
    </row>
    <row r="250" spans="1:14" x14ac:dyDescent="0.25">
      <c r="A250" s="152">
        <v>6450000</v>
      </c>
      <c r="B250" s="51" t="s">
        <v>23</v>
      </c>
      <c r="C250" s="88"/>
      <c r="D250" s="220">
        <f t="shared" si="19"/>
        <v>0</v>
      </c>
      <c r="E250" s="89"/>
      <c r="F250" s="89"/>
      <c r="G250" s="89"/>
      <c r="H250" s="89"/>
      <c r="I250" s="89"/>
      <c r="J250" s="89"/>
      <c r="K250" s="154">
        <f t="shared" si="20"/>
        <v>0</v>
      </c>
      <c r="L250" s="154">
        <f t="shared" si="20"/>
        <v>0</v>
      </c>
      <c r="M250" s="154">
        <f t="shared" si="20"/>
        <v>0</v>
      </c>
      <c r="N250" s="154">
        <f t="shared" si="20"/>
        <v>0</v>
      </c>
    </row>
    <row r="251" spans="1:14" x14ac:dyDescent="0.25">
      <c r="A251" s="152">
        <v>6450000</v>
      </c>
      <c r="B251" s="73" t="s">
        <v>268</v>
      </c>
      <c r="C251" s="88"/>
      <c r="D251" s="220">
        <f t="shared" si="19"/>
        <v>0</v>
      </c>
      <c r="E251" s="89"/>
      <c r="F251" s="89"/>
      <c r="G251" s="89"/>
      <c r="H251" s="89"/>
      <c r="I251" s="89"/>
      <c r="J251" s="89"/>
      <c r="K251" s="154">
        <f t="shared" si="20"/>
        <v>0</v>
      </c>
      <c r="L251" s="154">
        <f t="shared" si="20"/>
        <v>0</v>
      </c>
      <c r="M251" s="154">
        <f t="shared" si="20"/>
        <v>0</v>
      </c>
      <c r="N251" s="154">
        <f t="shared" si="20"/>
        <v>0</v>
      </c>
    </row>
    <row r="252" spans="1:14" x14ac:dyDescent="0.25">
      <c r="A252" s="152">
        <v>6450000</v>
      </c>
      <c r="B252" s="73" t="s">
        <v>267</v>
      </c>
      <c r="C252" s="88"/>
      <c r="D252" s="220">
        <f t="shared" si="19"/>
        <v>0</v>
      </c>
      <c r="E252" s="89"/>
      <c r="F252" s="89"/>
      <c r="G252" s="89"/>
      <c r="H252" s="89"/>
      <c r="I252" s="89"/>
      <c r="J252" s="89"/>
      <c r="K252" s="154">
        <f t="shared" si="20"/>
        <v>0</v>
      </c>
      <c r="L252" s="154">
        <f t="shared" si="20"/>
        <v>0</v>
      </c>
      <c r="M252" s="154">
        <f t="shared" si="20"/>
        <v>0</v>
      </c>
      <c r="N252" s="154">
        <f t="shared" si="20"/>
        <v>0</v>
      </c>
    </row>
    <row r="253" spans="1:14" ht="15.75" thickBot="1" x14ac:dyDescent="0.3">
      <c r="A253" s="152">
        <v>6450000</v>
      </c>
      <c r="B253" s="73" t="s">
        <v>920</v>
      </c>
      <c r="C253" s="88"/>
      <c r="D253" s="220">
        <f t="shared" si="19"/>
        <v>0</v>
      </c>
      <c r="E253" s="89"/>
      <c r="F253" s="89"/>
      <c r="G253" s="89"/>
      <c r="H253" s="89"/>
      <c r="I253" s="89"/>
      <c r="J253" s="89"/>
      <c r="K253" s="154">
        <f t="shared" si="20"/>
        <v>0</v>
      </c>
      <c r="L253" s="154">
        <f t="shared" si="20"/>
        <v>0</v>
      </c>
      <c r="M253" s="154">
        <f t="shared" si="20"/>
        <v>0</v>
      </c>
      <c r="N253" s="154">
        <f t="shared" si="20"/>
        <v>0</v>
      </c>
    </row>
    <row r="254" spans="1:14" x14ac:dyDescent="0.25">
      <c r="A254" s="151">
        <v>6362000</v>
      </c>
      <c r="B254" s="84" t="s">
        <v>19</v>
      </c>
      <c r="C254" s="85"/>
      <c r="D254" s="210">
        <f t="shared" si="19"/>
        <v>0</v>
      </c>
      <c r="E254" s="86"/>
      <c r="F254" s="86"/>
      <c r="G254" s="86"/>
      <c r="H254" s="86"/>
      <c r="I254" s="86"/>
      <c r="J254" s="86"/>
      <c r="K254" s="156">
        <f t="shared" ref="K254:N273" si="21">SUMIFS(K$26:K$212,$A$26:$A$212,$A254,$B$26:$B$212,$B254)</f>
        <v>0</v>
      </c>
      <c r="L254" s="156">
        <f t="shared" si="21"/>
        <v>0</v>
      </c>
      <c r="M254" s="156">
        <f t="shared" si="21"/>
        <v>0</v>
      </c>
      <c r="N254" s="156">
        <f t="shared" si="21"/>
        <v>0</v>
      </c>
    </row>
    <row r="255" spans="1:14" x14ac:dyDescent="0.25">
      <c r="A255" s="152">
        <v>6362000</v>
      </c>
      <c r="B255" s="73" t="s">
        <v>18</v>
      </c>
      <c r="C255" s="88"/>
      <c r="D255" s="220">
        <f t="shared" si="19"/>
        <v>0</v>
      </c>
      <c r="E255" s="89"/>
      <c r="F255" s="89"/>
      <c r="G255" s="89"/>
      <c r="H255" s="89"/>
      <c r="I255" s="89"/>
      <c r="J255" s="89"/>
      <c r="K255" s="154">
        <f t="shared" si="21"/>
        <v>0</v>
      </c>
      <c r="L255" s="154">
        <f t="shared" si="21"/>
        <v>0</v>
      </c>
      <c r="M255" s="154">
        <f t="shared" si="21"/>
        <v>0</v>
      </c>
      <c r="N255" s="154">
        <f t="shared" si="21"/>
        <v>0</v>
      </c>
    </row>
    <row r="256" spans="1:14" x14ac:dyDescent="0.25">
      <c r="A256" s="152">
        <v>6362000</v>
      </c>
      <c r="B256" s="73" t="s">
        <v>22</v>
      </c>
      <c r="C256" s="88"/>
      <c r="D256" s="220">
        <f t="shared" si="19"/>
        <v>0</v>
      </c>
      <c r="E256" s="89"/>
      <c r="F256" s="89"/>
      <c r="G256" s="89"/>
      <c r="H256" s="89"/>
      <c r="I256" s="89"/>
      <c r="J256" s="89"/>
      <c r="K256" s="154">
        <f t="shared" si="21"/>
        <v>0</v>
      </c>
      <c r="L256" s="154">
        <f t="shared" si="21"/>
        <v>0</v>
      </c>
      <c r="M256" s="154">
        <f t="shared" si="21"/>
        <v>0</v>
      </c>
      <c r="N256" s="154">
        <f t="shared" si="21"/>
        <v>0</v>
      </c>
    </row>
    <row r="257" spans="1:14" x14ac:dyDescent="0.25">
      <c r="A257" s="152">
        <v>6362000</v>
      </c>
      <c r="B257" s="73" t="s">
        <v>24</v>
      </c>
      <c r="C257" s="88"/>
      <c r="D257" s="220">
        <f t="shared" si="19"/>
        <v>0</v>
      </c>
      <c r="E257" s="89"/>
      <c r="F257" s="89"/>
      <c r="G257" s="89"/>
      <c r="H257" s="89"/>
      <c r="I257" s="89"/>
      <c r="J257" s="89"/>
      <c r="K257" s="154">
        <f t="shared" si="21"/>
        <v>0</v>
      </c>
      <c r="L257" s="154">
        <f t="shared" si="21"/>
        <v>0</v>
      </c>
      <c r="M257" s="154">
        <f t="shared" si="21"/>
        <v>0</v>
      </c>
      <c r="N257" s="154">
        <f t="shared" si="21"/>
        <v>0</v>
      </c>
    </row>
    <row r="258" spans="1:14" x14ac:dyDescent="0.25">
      <c r="A258" s="152">
        <v>6362000</v>
      </c>
      <c r="B258" s="73" t="s">
        <v>25</v>
      </c>
      <c r="C258" s="88"/>
      <c r="D258" s="220">
        <f t="shared" si="19"/>
        <v>0</v>
      </c>
      <c r="E258" s="89"/>
      <c r="F258" s="89"/>
      <c r="G258" s="89"/>
      <c r="H258" s="89"/>
      <c r="I258" s="89"/>
      <c r="J258" s="89"/>
      <c r="K258" s="154">
        <f t="shared" si="21"/>
        <v>0</v>
      </c>
      <c r="L258" s="154">
        <f t="shared" si="21"/>
        <v>0</v>
      </c>
      <c r="M258" s="154">
        <f t="shared" si="21"/>
        <v>0</v>
      </c>
      <c r="N258" s="154">
        <f t="shared" si="21"/>
        <v>0</v>
      </c>
    </row>
    <row r="259" spans="1:14" x14ac:dyDescent="0.25">
      <c r="A259" s="152">
        <v>6362000</v>
      </c>
      <c r="B259" s="73" t="s">
        <v>394</v>
      </c>
      <c r="C259" s="88"/>
      <c r="D259" s="220">
        <f t="shared" si="19"/>
        <v>0</v>
      </c>
      <c r="E259" s="89"/>
      <c r="F259" s="89"/>
      <c r="G259" s="89"/>
      <c r="H259" s="89"/>
      <c r="I259" s="89"/>
      <c r="J259" s="89"/>
      <c r="K259" s="154">
        <f t="shared" si="21"/>
        <v>0</v>
      </c>
      <c r="L259" s="154">
        <f t="shared" si="21"/>
        <v>0</v>
      </c>
      <c r="M259" s="154">
        <f t="shared" si="21"/>
        <v>0</v>
      </c>
      <c r="N259" s="154">
        <f t="shared" si="21"/>
        <v>0</v>
      </c>
    </row>
    <row r="260" spans="1:14" x14ac:dyDescent="0.25">
      <c r="A260" s="152">
        <v>6362000</v>
      </c>
      <c r="B260" s="73" t="s">
        <v>350</v>
      </c>
      <c r="C260" s="88"/>
      <c r="D260" s="220">
        <f t="shared" si="19"/>
        <v>0</v>
      </c>
      <c r="E260" s="89"/>
      <c r="F260" s="89"/>
      <c r="G260" s="89"/>
      <c r="H260" s="89"/>
      <c r="I260" s="89"/>
      <c r="J260" s="89"/>
      <c r="K260" s="154">
        <f t="shared" si="21"/>
        <v>0</v>
      </c>
      <c r="L260" s="154">
        <f t="shared" si="21"/>
        <v>0</v>
      </c>
      <c r="M260" s="154">
        <f t="shared" si="21"/>
        <v>0</v>
      </c>
      <c r="N260" s="154">
        <f t="shared" si="21"/>
        <v>0</v>
      </c>
    </row>
    <row r="261" spans="1:14" s="407" customFormat="1" x14ac:dyDescent="0.25">
      <c r="A261" s="152">
        <v>6362000</v>
      </c>
      <c r="B261" s="73" t="s">
        <v>1171</v>
      </c>
      <c r="C261" s="88"/>
      <c r="D261" s="220">
        <f t="shared" si="19"/>
        <v>0</v>
      </c>
      <c r="E261" s="89"/>
      <c r="F261" s="89"/>
      <c r="G261" s="89"/>
      <c r="H261" s="89"/>
      <c r="I261" s="89"/>
      <c r="J261" s="89"/>
      <c r="K261" s="212">
        <f t="shared" si="21"/>
        <v>0</v>
      </c>
      <c r="L261" s="212">
        <f t="shared" si="21"/>
        <v>0</v>
      </c>
      <c r="M261" s="212">
        <f t="shared" si="21"/>
        <v>0</v>
      </c>
      <c r="N261" s="212">
        <f t="shared" si="21"/>
        <v>0</v>
      </c>
    </row>
    <row r="262" spans="1:14" s="407" customFormat="1" x14ac:dyDescent="0.25">
      <c r="A262" s="152">
        <v>6362000</v>
      </c>
      <c r="B262" s="73" t="s">
        <v>1182</v>
      </c>
      <c r="C262" s="88"/>
      <c r="D262" s="220">
        <f t="shared" si="19"/>
        <v>0</v>
      </c>
      <c r="E262" s="89"/>
      <c r="F262" s="89"/>
      <c r="G262" s="89"/>
      <c r="H262" s="89"/>
      <c r="I262" s="89"/>
      <c r="J262" s="89"/>
      <c r="K262" s="212">
        <f t="shared" si="21"/>
        <v>0</v>
      </c>
      <c r="L262" s="212">
        <f t="shared" si="21"/>
        <v>0</v>
      </c>
      <c r="M262" s="212">
        <f t="shared" si="21"/>
        <v>0</v>
      </c>
      <c r="N262" s="212">
        <f t="shared" si="21"/>
        <v>0</v>
      </c>
    </row>
    <row r="263" spans="1:14" x14ac:dyDescent="0.25">
      <c r="A263" s="152">
        <v>6362000</v>
      </c>
      <c r="B263" s="73" t="s">
        <v>20</v>
      </c>
      <c r="C263" s="88"/>
      <c r="D263" s="220">
        <f t="shared" si="19"/>
        <v>0</v>
      </c>
      <c r="E263" s="89"/>
      <c r="F263" s="89"/>
      <c r="G263" s="89"/>
      <c r="H263" s="89"/>
      <c r="I263" s="89"/>
      <c r="J263" s="89"/>
      <c r="K263" s="154">
        <f t="shared" si="21"/>
        <v>0</v>
      </c>
      <c r="L263" s="154">
        <f t="shared" si="21"/>
        <v>0</v>
      </c>
      <c r="M263" s="154">
        <f t="shared" si="21"/>
        <v>0</v>
      </c>
      <c r="N263" s="154">
        <f t="shared" si="21"/>
        <v>0</v>
      </c>
    </row>
    <row r="264" spans="1:14" x14ac:dyDescent="0.25">
      <c r="A264" s="152">
        <v>6362000</v>
      </c>
      <c r="B264" s="73" t="s">
        <v>510</v>
      </c>
      <c r="C264" s="88"/>
      <c r="D264" s="220">
        <f t="shared" si="19"/>
        <v>0</v>
      </c>
      <c r="E264" s="89"/>
      <c r="F264" s="89"/>
      <c r="G264" s="89"/>
      <c r="H264" s="89"/>
      <c r="I264" s="89"/>
      <c r="J264" s="89"/>
      <c r="K264" s="154">
        <f t="shared" si="21"/>
        <v>0</v>
      </c>
      <c r="L264" s="154">
        <f t="shared" si="21"/>
        <v>0</v>
      </c>
      <c r="M264" s="154">
        <f t="shared" si="21"/>
        <v>0</v>
      </c>
      <c r="N264" s="154">
        <f t="shared" si="21"/>
        <v>0</v>
      </c>
    </row>
    <row r="265" spans="1:14" x14ac:dyDescent="0.25">
      <c r="A265" s="152">
        <v>6362000</v>
      </c>
      <c r="B265" s="73" t="s">
        <v>272</v>
      </c>
      <c r="C265" s="88"/>
      <c r="D265" s="220">
        <f t="shared" si="19"/>
        <v>0</v>
      </c>
      <c r="E265" s="89"/>
      <c r="F265" s="89"/>
      <c r="G265" s="89"/>
      <c r="H265" s="89"/>
      <c r="I265" s="89"/>
      <c r="J265" s="89"/>
      <c r="K265" s="154">
        <f t="shared" si="21"/>
        <v>0</v>
      </c>
      <c r="L265" s="154">
        <f t="shared" si="21"/>
        <v>0</v>
      </c>
      <c r="M265" s="154">
        <f t="shared" si="21"/>
        <v>0</v>
      </c>
      <c r="N265" s="154">
        <f t="shared" si="21"/>
        <v>0</v>
      </c>
    </row>
    <row r="266" spans="1:14" x14ac:dyDescent="0.25">
      <c r="A266" s="152">
        <v>6362000</v>
      </c>
      <c r="B266" s="51" t="s">
        <v>21</v>
      </c>
      <c r="C266" s="88"/>
      <c r="D266" s="220">
        <f t="shared" si="19"/>
        <v>0</v>
      </c>
      <c r="E266" s="89"/>
      <c r="F266" s="89"/>
      <c r="G266" s="89"/>
      <c r="H266" s="89"/>
      <c r="I266" s="89"/>
      <c r="J266" s="89"/>
      <c r="K266" s="154">
        <f t="shared" si="21"/>
        <v>0</v>
      </c>
      <c r="L266" s="154">
        <f t="shared" si="21"/>
        <v>0</v>
      </c>
      <c r="M266" s="154">
        <f t="shared" si="21"/>
        <v>0</v>
      </c>
      <c r="N266" s="154">
        <f t="shared" si="21"/>
        <v>0</v>
      </c>
    </row>
    <row r="267" spans="1:14" x14ac:dyDescent="0.25">
      <c r="A267" s="152">
        <v>6362000</v>
      </c>
      <c r="B267" s="73" t="s">
        <v>1172</v>
      </c>
      <c r="C267" s="88"/>
      <c r="D267" s="220">
        <f t="shared" si="19"/>
        <v>0</v>
      </c>
      <c r="E267" s="89"/>
      <c r="F267" s="89"/>
      <c r="G267" s="89"/>
      <c r="H267" s="89"/>
      <c r="I267" s="89"/>
      <c r="J267" s="89"/>
      <c r="K267" s="154">
        <f t="shared" si="21"/>
        <v>0</v>
      </c>
      <c r="L267" s="154">
        <f t="shared" si="21"/>
        <v>0</v>
      </c>
      <c r="M267" s="154">
        <f t="shared" si="21"/>
        <v>0</v>
      </c>
      <c r="N267" s="154">
        <f t="shared" si="21"/>
        <v>0</v>
      </c>
    </row>
    <row r="268" spans="1:14" x14ac:dyDescent="0.25">
      <c r="A268" s="152">
        <v>6362000</v>
      </c>
      <c r="B268" s="73" t="s">
        <v>810</v>
      </c>
      <c r="C268" s="88"/>
      <c r="D268" s="220">
        <f t="shared" si="19"/>
        <v>0</v>
      </c>
      <c r="E268" s="89"/>
      <c r="F268" s="89"/>
      <c r="G268" s="89"/>
      <c r="H268" s="89"/>
      <c r="I268" s="89"/>
      <c r="J268" s="89"/>
      <c r="K268" s="154">
        <f t="shared" si="21"/>
        <v>0</v>
      </c>
      <c r="L268" s="154">
        <f t="shared" si="21"/>
        <v>0</v>
      </c>
      <c r="M268" s="154">
        <f t="shared" si="21"/>
        <v>0</v>
      </c>
      <c r="N268" s="154">
        <f t="shared" si="21"/>
        <v>0</v>
      </c>
    </row>
    <row r="269" spans="1:14" x14ac:dyDescent="0.25">
      <c r="A269" s="152">
        <v>6362000</v>
      </c>
      <c r="B269" s="51" t="s">
        <v>811</v>
      </c>
      <c r="C269" s="88"/>
      <c r="D269" s="220">
        <f t="shared" si="19"/>
        <v>0</v>
      </c>
      <c r="E269" s="89"/>
      <c r="F269" s="89"/>
      <c r="G269" s="89"/>
      <c r="H269" s="89"/>
      <c r="I269" s="89"/>
      <c r="J269" s="89"/>
      <c r="K269" s="154">
        <f t="shared" si="21"/>
        <v>0</v>
      </c>
      <c r="L269" s="154">
        <f t="shared" si="21"/>
        <v>0</v>
      </c>
      <c r="M269" s="154">
        <f t="shared" si="21"/>
        <v>0</v>
      </c>
      <c r="N269" s="154">
        <f t="shared" si="21"/>
        <v>0</v>
      </c>
    </row>
    <row r="270" spans="1:14" x14ac:dyDescent="0.25">
      <c r="A270" s="152">
        <v>6362000</v>
      </c>
      <c r="B270" s="51" t="s">
        <v>23</v>
      </c>
      <c r="C270" s="88"/>
      <c r="D270" s="220">
        <f t="shared" si="19"/>
        <v>0</v>
      </c>
      <c r="E270" s="89"/>
      <c r="F270" s="89"/>
      <c r="G270" s="89"/>
      <c r="H270" s="89"/>
      <c r="I270" s="89"/>
      <c r="J270" s="89"/>
      <c r="K270" s="154">
        <f t="shared" si="21"/>
        <v>0</v>
      </c>
      <c r="L270" s="154">
        <f t="shared" si="21"/>
        <v>0</v>
      </c>
      <c r="M270" s="154">
        <f t="shared" si="21"/>
        <v>0</v>
      </c>
      <c r="N270" s="154">
        <f t="shared" si="21"/>
        <v>0</v>
      </c>
    </row>
    <row r="271" spans="1:14" x14ac:dyDescent="0.25">
      <c r="A271" s="152">
        <v>6362000</v>
      </c>
      <c r="B271" s="73" t="s">
        <v>268</v>
      </c>
      <c r="C271" s="88"/>
      <c r="D271" s="220">
        <f t="shared" si="19"/>
        <v>0</v>
      </c>
      <c r="E271" s="89"/>
      <c r="F271" s="89"/>
      <c r="G271" s="89"/>
      <c r="H271" s="89"/>
      <c r="I271" s="89"/>
      <c r="J271" s="89"/>
      <c r="K271" s="154">
        <f t="shared" si="21"/>
        <v>0</v>
      </c>
      <c r="L271" s="154">
        <f t="shared" si="21"/>
        <v>0</v>
      </c>
      <c r="M271" s="154">
        <f t="shared" si="21"/>
        <v>0</v>
      </c>
      <c r="N271" s="154">
        <f t="shared" si="21"/>
        <v>0</v>
      </c>
    </row>
    <row r="272" spans="1:14" x14ac:dyDescent="0.25">
      <c r="A272" s="152">
        <v>6362000</v>
      </c>
      <c r="B272" s="73" t="s">
        <v>267</v>
      </c>
      <c r="C272" s="88"/>
      <c r="D272" s="220">
        <f t="shared" si="19"/>
        <v>0</v>
      </c>
      <c r="E272" s="89"/>
      <c r="F272" s="89"/>
      <c r="G272" s="89"/>
      <c r="H272" s="89"/>
      <c r="I272" s="89"/>
      <c r="J272" s="89"/>
      <c r="K272" s="154">
        <f t="shared" si="21"/>
        <v>0</v>
      </c>
      <c r="L272" s="154">
        <f t="shared" si="21"/>
        <v>0</v>
      </c>
      <c r="M272" s="154">
        <f t="shared" si="21"/>
        <v>0</v>
      </c>
      <c r="N272" s="154">
        <f t="shared" si="21"/>
        <v>0</v>
      </c>
    </row>
    <row r="273" spans="1:14" ht="15.75" thickBot="1" x14ac:dyDescent="0.3">
      <c r="A273" s="152">
        <v>6362000</v>
      </c>
      <c r="B273" s="73" t="s">
        <v>920</v>
      </c>
      <c r="C273" s="88"/>
      <c r="D273" s="220">
        <f t="shared" si="19"/>
        <v>2</v>
      </c>
      <c r="E273" s="89"/>
      <c r="F273" s="89"/>
      <c r="G273" s="89"/>
      <c r="H273" s="89"/>
      <c r="I273" s="89"/>
      <c r="J273" s="89"/>
      <c r="K273" s="154">
        <f t="shared" si="21"/>
        <v>0</v>
      </c>
      <c r="L273" s="154">
        <f t="shared" si="21"/>
        <v>0</v>
      </c>
      <c r="M273" s="154">
        <f t="shared" si="21"/>
        <v>0</v>
      </c>
      <c r="N273" s="154">
        <f t="shared" si="21"/>
        <v>16800</v>
      </c>
    </row>
    <row r="274" spans="1:14" x14ac:dyDescent="0.25">
      <c r="A274" s="151">
        <v>6380000</v>
      </c>
      <c r="B274" s="84" t="s">
        <v>19</v>
      </c>
      <c r="C274" s="85"/>
      <c r="D274" s="210">
        <f t="shared" si="19"/>
        <v>0</v>
      </c>
      <c r="E274" s="86"/>
      <c r="F274" s="86"/>
      <c r="G274" s="86"/>
      <c r="H274" s="86"/>
      <c r="I274" s="86"/>
      <c r="J274" s="86"/>
      <c r="K274" s="156">
        <f t="shared" ref="K274:N293" si="22">SUMIFS(K$26:K$212,$A$26:$A$212,$A274,$B$26:$B$212,$B274)</f>
        <v>0</v>
      </c>
      <c r="L274" s="156">
        <f t="shared" si="22"/>
        <v>0</v>
      </c>
      <c r="M274" s="156">
        <f t="shared" si="22"/>
        <v>0</v>
      </c>
      <c r="N274" s="156">
        <f t="shared" si="22"/>
        <v>0</v>
      </c>
    </row>
    <row r="275" spans="1:14" x14ac:dyDescent="0.25">
      <c r="A275" s="152">
        <v>6380000</v>
      </c>
      <c r="B275" s="73" t="s">
        <v>18</v>
      </c>
      <c r="C275" s="88"/>
      <c r="D275" s="220">
        <f t="shared" si="19"/>
        <v>0</v>
      </c>
      <c r="E275" s="89"/>
      <c r="F275" s="89"/>
      <c r="G275" s="89"/>
      <c r="H275" s="89"/>
      <c r="I275" s="89"/>
      <c r="J275" s="89"/>
      <c r="K275" s="154">
        <f t="shared" si="22"/>
        <v>0</v>
      </c>
      <c r="L275" s="154">
        <f t="shared" si="22"/>
        <v>0</v>
      </c>
      <c r="M275" s="154">
        <f t="shared" si="22"/>
        <v>0</v>
      </c>
      <c r="N275" s="154">
        <f t="shared" si="22"/>
        <v>0</v>
      </c>
    </row>
    <row r="276" spans="1:14" x14ac:dyDescent="0.25">
      <c r="A276" s="152">
        <v>6380000</v>
      </c>
      <c r="B276" s="73" t="s">
        <v>22</v>
      </c>
      <c r="C276" s="88"/>
      <c r="D276" s="220">
        <f t="shared" si="19"/>
        <v>0</v>
      </c>
      <c r="E276" s="89"/>
      <c r="F276" s="89"/>
      <c r="G276" s="89"/>
      <c r="H276" s="89"/>
      <c r="I276" s="89"/>
      <c r="J276" s="89"/>
      <c r="K276" s="154">
        <f t="shared" si="22"/>
        <v>0</v>
      </c>
      <c r="L276" s="154">
        <f t="shared" si="22"/>
        <v>0</v>
      </c>
      <c r="M276" s="154">
        <f t="shared" si="22"/>
        <v>0</v>
      </c>
      <c r="N276" s="154">
        <f t="shared" si="22"/>
        <v>0</v>
      </c>
    </row>
    <row r="277" spans="1:14" x14ac:dyDescent="0.25">
      <c r="A277" s="152">
        <v>6380000</v>
      </c>
      <c r="B277" s="73" t="s">
        <v>24</v>
      </c>
      <c r="C277" s="88"/>
      <c r="D277" s="220">
        <f t="shared" si="19"/>
        <v>1</v>
      </c>
      <c r="E277" s="89"/>
      <c r="F277" s="89"/>
      <c r="G277" s="89"/>
      <c r="H277" s="89"/>
      <c r="I277" s="89"/>
      <c r="J277" s="89"/>
      <c r="K277" s="154">
        <f t="shared" si="22"/>
        <v>0</v>
      </c>
      <c r="L277" s="154">
        <f t="shared" si="22"/>
        <v>0</v>
      </c>
      <c r="M277" s="154">
        <f t="shared" si="22"/>
        <v>0</v>
      </c>
      <c r="N277" s="154">
        <f t="shared" si="22"/>
        <v>3000</v>
      </c>
    </row>
    <row r="278" spans="1:14" x14ac:dyDescent="0.25">
      <c r="A278" s="152">
        <v>6380000</v>
      </c>
      <c r="B278" s="73" t="s">
        <v>25</v>
      </c>
      <c r="C278" s="88"/>
      <c r="D278" s="220">
        <f t="shared" si="19"/>
        <v>0</v>
      </c>
      <c r="E278" s="89"/>
      <c r="F278" s="89"/>
      <c r="G278" s="89"/>
      <c r="H278" s="89"/>
      <c r="I278" s="89"/>
      <c r="J278" s="89"/>
      <c r="K278" s="154">
        <f t="shared" si="22"/>
        <v>0</v>
      </c>
      <c r="L278" s="154">
        <f t="shared" si="22"/>
        <v>0</v>
      </c>
      <c r="M278" s="154">
        <f t="shared" si="22"/>
        <v>0</v>
      </c>
      <c r="N278" s="154">
        <f t="shared" si="22"/>
        <v>0</v>
      </c>
    </row>
    <row r="279" spans="1:14" x14ac:dyDescent="0.25">
      <c r="A279" s="152">
        <v>6380000</v>
      </c>
      <c r="B279" s="73" t="s">
        <v>394</v>
      </c>
      <c r="C279" s="88"/>
      <c r="D279" s="220">
        <f t="shared" si="19"/>
        <v>0</v>
      </c>
      <c r="E279" s="89"/>
      <c r="F279" s="89"/>
      <c r="G279" s="89"/>
      <c r="H279" s="89"/>
      <c r="I279" s="89"/>
      <c r="J279" s="89"/>
      <c r="K279" s="154">
        <f t="shared" si="22"/>
        <v>0</v>
      </c>
      <c r="L279" s="154">
        <f t="shared" si="22"/>
        <v>0</v>
      </c>
      <c r="M279" s="154">
        <f t="shared" si="22"/>
        <v>0</v>
      </c>
      <c r="N279" s="154">
        <f t="shared" si="22"/>
        <v>0</v>
      </c>
    </row>
    <row r="280" spans="1:14" x14ac:dyDescent="0.25">
      <c r="A280" s="152">
        <v>6380000</v>
      </c>
      <c r="B280" s="73" t="s">
        <v>350</v>
      </c>
      <c r="C280" s="88"/>
      <c r="D280" s="220">
        <f t="shared" si="19"/>
        <v>0</v>
      </c>
      <c r="E280" s="89"/>
      <c r="F280" s="89"/>
      <c r="G280" s="89"/>
      <c r="H280" s="89"/>
      <c r="I280" s="89"/>
      <c r="J280" s="89"/>
      <c r="K280" s="154">
        <f t="shared" si="22"/>
        <v>0</v>
      </c>
      <c r="L280" s="154">
        <f t="shared" si="22"/>
        <v>0</v>
      </c>
      <c r="M280" s="154">
        <f t="shared" si="22"/>
        <v>0</v>
      </c>
      <c r="N280" s="154">
        <f t="shared" si="22"/>
        <v>0</v>
      </c>
    </row>
    <row r="281" spans="1:14" s="407" customFormat="1" x14ac:dyDescent="0.25">
      <c r="A281" s="152">
        <v>6380000</v>
      </c>
      <c r="B281" s="73" t="s">
        <v>1171</v>
      </c>
      <c r="C281" s="88"/>
      <c r="D281" s="220">
        <f t="shared" si="19"/>
        <v>0</v>
      </c>
      <c r="E281" s="89"/>
      <c r="F281" s="89"/>
      <c r="G281" s="89"/>
      <c r="H281" s="89"/>
      <c r="I281" s="89"/>
      <c r="J281" s="89"/>
      <c r="K281" s="212">
        <f t="shared" si="22"/>
        <v>0</v>
      </c>
      <c r="L281" s="212">
        <f t="shared" si="22"/>
        <v>0</v>
      </c>
      <c r="M281" s="212">
        <f t="shared" si="22"/>
        <v>0</v>
      </c>
      <c r="N281" s="212">
        <f t="shared" si="22"/>
        <v>0</v>
      </c>
    </row>
    <row r="282" spans="1:14" s="407" customFormat="1" x14ac:dyDescent="0.25">
      <c r="A282" s="152">
        <v>6380000</v>
      </c>
      <c r="B282" s="73" t="s">
        <v>1182</v>
      </c>
      <c r="C282" s="88"/>
      <c r="D282" s="220">
        <f t="shared" si="19"/>
        <v>1</v>
      </c>
      <c r="E282" s="89"/>
      <c r="F282" s="89"/>
      <c r="G282" s="89"/>
      <c r="H282" s="89"/>
      <c r="I282" s="89"/>
      <c r="J282" s="89"/>
      <c r="K282" s="212">
        <f t="shared" si="22"/>
        <v>0</v>
      </c>
      <c r="L282" s="212">
        <f t="shared" si="22"/>
        <v>0</v>
      </c>
      <c r="M282" s="212">
        <f t="shared" si="22"/>
        <v>0</v>
      </c>
      <c r="N282" s="212">
        <f t="shared" si="22"/>
        <v>5000</v>
      </c>
    </row>
    <row r="283" spans="1:14" x14ac:dyDescent="0.25">
      <c r="A283" s="152">
        <v>6380000</v>
      </c>
      <c r="B283" s="73" t="s">
        <v>20</v>
      </c>
      <c r="C283" s="88"/>
      <c r="D283" s="220">
        <f t="shared" si="19"/>
        <v>0</v>
      </c>
      <c r="E283" s="89"/>
      <c r="F283" s="89"/>
      <c r="G283" s="89"/>
      <c r="H283" s="89"/>
      <c r="I283" s="89"/>
      <c r="J283" s="89"/>
      <c r="K283" s="154">
        <f t="shared" si="22"/>
        <v>0</v>
      </c>
      <c r="L283" s="154">
        <f t="shared" si="22"/>
        <v>0</v>
      </c>
      <c r="M283" s="154">
        <f t="shared" si="22"/>
        <v>0</v>
      </c>
      <c r="N283" s="154">
        <f t="shared" si="22"/>
        <v>0</v>
      </c>
    </row>
    <row r="284" spans="1:14" x14ac:dyDescent="0.25">
      <c r="A284" s="152">
        <v>6380000</v>
      </c>
      <c r="B284" s="73" t="s">
        <v>510</v>
      </c>
      <c r="C284" s="88"/>
      <c r="D284" s="220">
        <f t="shared" si="19"/>
        <v>0</v>
      </c>
      <c r="E284" s="89"/>
      <c r="F284" s="89"/>
      <c r="G284" s="89"/>
      <c r="H284" s="89"/>
      <c r="I284" s="89"/>
      <c r="J284" s="89"/>
      <c r="K284" s="154">
        <f t="shared" si="22"/>
        <v>0</v>
      </c>
      <c r="L284" s="154">
        <f t="shared" si="22"/>
        <v>0</v>
      </c>
      <c r="M284" s="154">
        <f t="shared" si="22"/>
        <v>0</v>
      </c>
      <c r="N284" s="154">
        <f t="shared" si="22"/>
        <v>0</v>
      </c>
    </row>
    <row r="285" spans="1:14" x14ac:dyDescent="0.25">
      <c r="A285" s="152">
        <v>6380000</v>
      </c>
      <c r="B285" s="73" t="s">
        <v>272</v>
      </c>
      <c r="C285" s="88"/>
      <c r="D285" s="220">
        <f t="shared" si="19"/>
        <v>0</v>
      </c>
      <c r="E285" s="89"/>
      <c r="F285" s="89"/>
      <c r="G285" s="89"/>
      <c r="H285" s="89"/>
      <c r="I285" s="89"/>
      <c r="J285" s="89"/>
      <c r="K285" s="154">
        <f t="shared" si="22"/>
        <v>0</v>
      </c>
      <c r="L285" s="154">
        <f t="shared" si="22"/>
        <v>0</v>
      </c>
      <c r="M285" s="154">
        <f t="shared" si="22"/>
        <v>0</v>
      </c>
      <c r="N285" s="154">
        <f t="shared" si="22"/>
        <v>0</v>
      </c>
    </row>
    <row r="286" spans="1:14" x14ac:dyDescent="0.25">
      <c r="A286" s="152">
        <v>6380000</v>
      </c>
      <c r="B286" s="51" t="s">
        <v>21</v>
      </c>
      <c r="C286" s="88"/>
      <c r="D286" s="220">
        <f t="shared" si="19"/>
        <v>1</v>
      </c>
      <c r="E286" s="89"/>
      <c r="F286" s="89"/>
      <c r="G286" s="89"/>
      <c r="H286" s="89"/>
      <c r="I286" s="89"/>
      <c r="J286" s="89"/>
      <c r="K286" s="154">
        <f t="shared" si="22"/>
        <v>0</v>
      </c>
      <c r="L286" s="154">
        <f t="shared" si="22"/>
        <v>0</v>
      </c>
      <c r="M286" s="154">
        <f t="shared" si="22"/>
        <v>0</v>
      </c>
      <c r="N286" s="154">
        <f t="shared" si="22"/>
        <v>2000</v>
      </c>
    </row>
    <row r="287" spans="1:14" x14ac:dyDescent="0.25">
      <c r="A287" s="152">
        <v>6380000</v>
      </c>
      <c r="B287" s="73" t="s">
        <v>1172</v>
      </c>
      <c r="C287" s="88"/>
      <c r="D287" s="220">
        <f t="shared" si="19"/>
        <v>0</v>
      </c>
      <c r="E287" s="89"/>
      <c r="F287" s="89"/>
      <c r="G287" s="89"/>
      <c r="H287" s="89"/>
      <c r="I287" s="89"/>
      <c r="J287" s="89"/>
      <c r="K287" s="154">
        <f t="shared" si="22"/>
        <v>0</v>
      </c>
      <c r="L287" s="154">
        <f t="shared" si="22"/>
        <v>0</v>
      </c>
      <c r="M287" s="154">
        <f t="shared" si="22"/>
        <v>0</v>
      </c>
      <c r="N287" s="154">
        <f t="shared" si="22"/>
        <v>0</v>
      </c>
    </row>
    <row r="288" spans="1:14" x14ac:dyDescent="0.25">
      <c r="A288" s="152">
        <v>6380000</v>
      </c>
      <c r="B288" s="73" t="s">
        <v>810</v>
      </c>
      <c r="C288" s="88"/>
      <c r="D288" s="220">
        <f t="shared" si="19"/>
        <v>0</v>
      </c>
      <c r="E288" s="89"/>
      <c r="F288" s="89"/>
      <c r="G288" s="89"/>
      <c r="H288" s="89"/>
      <c r="I288" s="89"/>
      <c r="J288" s="89"/>
      <c r="K288" s="154">
        <f t="shared" si="22"/>
        <v>0</v>
      </c>
      <c r="L288" s="154">
        <f t="shared" si="22"/>
        <v>0</v>
      </c>
      <c r="M288" s="154">
        <f t="shared" si="22"/>
        <v>0</v>
      </c>
      <c r="N288" s="154">
        <f t="shared" si="22"/>
        <v>0</v>
      </c>
    </row>
    <row r="289" spans="1:14" x14ac:dyDescent="0.25">
      <c r="A289" s="152">
        <v>6380000</v>
      </c>
      <c r="B289" s="51" t="s">
        <v>811</v>
      </c>
      <c r="C289" s="88"/>
      <c r="D289" s="220">
        <f t="shared" si="19"/>
        <v>0</v>
      </c>
      <c r="E289" s="89"/>
      <c r="F289" s="89"/>
      <c r="G289" s="89"/>
      <c r="H289" s="89"/>
      <c r="I289" s="89"/>
      <c r="J289" s="89"/>
      <c r="K289" s="154">
        <f t="shared" si="22"/>
        <v>0</v>
      </c>
      <c r="L289" s="154">
        <f t="shared" si="22"/>
        <v>0</v>
      </c>
      <c r="M289" s="154">
        <f t="shared" si="22"/>
        <v>0</v>
      </c>
      <c r="N289" s="154">
        <f t="shared" si="22"/>
        <v>0</v>
      </c>
    </row>
    <row r="290" spans="1:14" x14ac:dyDescent="0.25">
      <c r="A290" s="152">
        <v>6380000</v>
      </c>
      <c r="B290" s="51" t="s">
        <v>23</v>
      </c>
      <c r="C290" s="88"/>
      <c r="D290" s="220">
        <f t="shared" si="19"/>
        <v>1</v>
      </c>
      <c r="E290" s="89"/>
      <c r="F290" s="89"/>
      <c r="G290" s="89"/>
      <c r="H290" s="89"/>
      <c r="I290" s="89"/>
      <c r="J290" s="89"/>
      <c r="K290" s="154">
        <f t="shared" si="22"/>
        <v>0</v>
      </c>
      <c r="L290" s="154">
        <f t="shared" si="22"/>
        <v>0</v>
      </c>
      <c r="M290" s="154">
        <f t="shared" si="22"/>
        <v>0</v>
      </c>
      <c r="N290" s="154">
        <f t="shared" si="22"/>
        <v>1500</v>
      </c>
    </row>
    <row r="291" spans="1:14" x14ac:dyDescent="0.25">
      <c r="A291" s="152">
        <v>6380000</v>
      </c>
      <c r="B291" s="73" t="s">
        <v>268</v>
      </c>
      <c r="C291" s="88"/>
      <c r="D291" s="220">
        <f t="shared" si="19"/>
        <v>0</v>
      </c>
      <c r="E291" s="89"/>
      <c r="F291" s="89"/>
      <c r="G291" s="89"/>
      <c r="H291" s="89"/>
      <c r="I291" s="89"/>
      <c r="J291" s="89"/>
      <c r="K291" s="154">
        <f t="shared" si="22"/>
        <v>0</v>
      </c>
      <c r="L291" s="154">
        <f t="shared" si="22"/>
        <v>0</v>
      </c>
      <c r="M291" s="154">
        <f t="shared" si="22"/>
        <v>0</v>
      </c>
      <c r="N291" s="154">
        <f t="shared" si="22"/>
        <v>0</v>
      </c>
    </row>
    <row r="292" spans="1:14" x14ac:dyDescent="0.25">
      <c r="A292" s="152">
        <v>6380000</v>
      </c>
      <c r="B292" s="73" t="s">
        <v>267</v>
      </c>
      <c r="C292" s="88"/>
      <c r="D292" s="220">
        <f t="shared" si="19"/>
        <v>0</v>
      </c>
      <c r="E292" s="89"/>
      <c r="F292" s="89"/>
      <c r="G292" s="89"/>
      <c r="H292" s="89"/>
      <c r="I292" s="89"/>
      <c r="J292" s="89"/>
      <c r="K292" s="154">
        <f t="shared" si="22"/>
        <v>0</v>
      </c>
      <c r="L292" s="154">
        <f t="shared" si="22"/>
        <v>0</v>
      </c>
      <c r="M292" s="154">
        <f t="shared" si="22"/>
        <v>0</v>
      </c>
      <c r="N292" s="154">
        <f t="shared" si="22"/>
        <v>0</v>
      </c>
    </row>
    <row r="293" spans="1:14" ht="15.75" thickBot="1" x14ac:dyDescent="0.3">
      <c r="A293" s="152">
        <v>6380000</v>
      </c>
      <c r="B293" s="73" t="s">
        <v>920</v>
      </c>
      <c r="C293" s="88"/>
      <c r="D293" s="220">
        <f t="shared" si="19"/>
        <v>0</v>
      </c>
      <c r="E293" s="89"/>
      <c r="F293" s="89"/>
      <c r="G293" s="89"/>
      <c r="H293" s="89"/>
      <c r="I293" s="89"/>
      <c r="J293" s="89"/>
      <c r="K293" s="154">
        <f t="shared" si="22"/>
        <v>0</v>
      </c>
      <c r="L293" s="154">
        <f t="shared" si="22"/>
        <v>0</v>
      </c>
      <c r="M293" s="154">
        <f t="shared" si="22"/>
        <v>0</v>
      </c>
      <c r="N293" s="154">
        <f t="shared" si="22"/>
        <v>0</v>
      </c>
    </row>
    <row r="294" spans="1:14" x14ac:dyDescent="0.25">
      <c r="A294" s="151">
        <v>6364000</v>
      </c>
      <c r="B294" s="84" t="s">
        <v>19</v>
      </c>
      <c r="C294" s="85"/>
      <c r="D294" s="210">
        <f t="shared" si="19"/>
        <v>0</v>
      </c>
      <c r="E294" s="86"/>
      <c r="F294" s="86"/>
      <c r="G294" s="86"/>
      <c r="H294" s="86"/>
      <c r="I294" s="86"/>
      <c r="J294" s="86"/>
      <c r="K294" s="156">
        <f t="shared" ref="K294:N313" si="23">SUMIFS(K$26:K$212,$A$26:$A$212,$A294,$B$26:$B$212,$B294)</f>
        <v>0</v>
      </c>
      <c r="L294" s="156">
        <f t="shared" si="23"/>
        <v>0</v>
      </c>
      <c r="M294" s="156">
        <f t="shared" si="23"/>
        <v>0</v>
      </c>
      <c r="N294" s="156">
        <f t="shared" si="23"/>
        <v>0</v>
      </c>
    </row>
    <row r="295" spans="1:14" x14ac:dyDescent="0.25">
      <c r="A295" s="152">
        <v>6364000</v>
      </c>
      <c r="B295" s="73" t="s">
        <v>18</v>
      </c>
      <c r="C295" s="88"/>
      <c r="D295" s="220">
        <f t="shared" si="19"/>
        <v>0</v>
      </c>
      <c r="E295" s="89"/>
      <c r="F295" s="89"/>
      <c r="G295" s="89"/>
      <c r="H295" s="89"/>
      <c r="I295" s="89"/>
      <c r="J295" s="89"/>
      <c r="K295" s="154">
        <f t="shared" si="23"/>
        <v>0</v>
      </c>
      <c r="L295" s="154">
        <f t="shared" si="23"/>
        <v>0</v>
      </c>
      <c r="M295" s="154">
        <f t="shared" si="23"/>
        <v>0</v>
      </c>
      <c r="N295" s="154">
        <f t="shared" si="23"/>
        <v>0</v>
      </c>
    </row>
    <row r="296" spans="1:14" x14ac:dyDescent="0.25">
      <c r="A296" s="152">
        <v>6364000</v>
      </c>
      <c r="B296" s="73" t="s">
        <v>22</v>
      </c>
      <c r="C296" s="88"/>
      <c r="D296" s="220">
        <f t="shared" si="19"/>
        <v>0</v>
      </c>
      <c r="E296" s="89"/>
      <c r="F296" s="89"/>
      <c r="G296" s="89"/>
      <c r="H296" s="89"/>
      <c r="I296" s="89"/>
      <c r="J296" s="89"/>
      <c r="K296" s="154">
        <f t="shared" si="23"/>
        <v>0</v>
      </c>
      <c r="L296" s="154">
        <f t="shared" si="23"/>
        <v>0</v>
      </c>
      <c r="M296" s="154">
        <f t="shared" si="23"/>
        <v>0</v>
      </c>
      <c r="N296" s="154">
        <f t="shared" si="23"/>
        <v>0</v>
      </c>
    </row>
    <row r="297" spans="1:14" x14ac:dyDescent="0.25">
      <c r="A297" s="152">
        <v>6364000</v>
      </c>
      <c r="B297" s="73" t="s">
        <v>24</v>
      </c>
      <c r="C297" s="88"/>
      <c r="D297" s="220">
        <f t="shared" si="19"/>
        <v>0</v>
      </c>
      <c r="E297" s="89"/>
      <c r="F297" s="89"/>
      <c r="G297" s="89"/>
      <c r="H297" s="89"/>
      <c r="I297" s="89"/>
      <c r="J297" s="89"/>
      <c r="K297" s="154">
        <f t="shared" si="23"/>
        <v>0</v>
      </c>
      <c r="L297" s="154">
        <f t="shared" si="23"/>
        <v>0</v>
      </c>
      <c r="M297" s="154">
        <f t="shared" si="23"/>
        <v>0</v>
      </c>
      <c r="N297" s="154">
        <f t="shared" si="23"/>
        <v>0</v>
      </c>
    </row>
    <row r="298" spans="1:14" x14ac:dyDescent="0.25">
      <c r="A298" s="152">
        <v>6364000</v>
      </c>
      <c r="B298" s="73" t="s">
        <v>25</v>
      </c>
      <c r="C298" s="88"/>
      <c r="D298" s="220">
        <f t="shared" ref="D298:D361" si="24">COUNTIFS($A$26:$A$212,$A298,$B$26:$B$212,$B298)</f>
        <v>0</v>
      </c>
      <c r="E298" s="89"/>
      <c r="F298" s="89"/>
      <c r="G298" s="89"/>
      <c r="H298" s="89"/>
      <c r="I298" s="89"/>
      <c r="J298" s="89"/>
      <c r="K298" s="154">
        <f t="shared" si="23"/>
        <v>0</v>
      </c>
      <c r="L298" s="154">
        <f t="shared" si="23"/>
        <v>0</v>
      </c>
      <c r="M298" s="154">
        <f t="shared" si="23"/>
        <v>0</v>
      </c>
      <c r="N298" s="154">
        <f t="shared" si="23"/>
        <v>0</v>
      </c>
    </row>
    <row r="299" spans="1:14" x14ac:dyDescent="0.25">
      <c r="A299" s="152">
        <v>6364000</v>
      </c>
      <c r="B299" s="73" t="s">
        <v>394</v>
      </c>
      <c r="C299" s="88"/>
      <c r="D299" s="220">
        <f t="shared" si="24"/>
        <v>0</v>
      </c>
      <c r="E299" s="89"/>
      <c r="F299" s="89"/>
      <c r="G299" s="89"/>
      <c r="H299" s="89"/>
      <c r="I299" s="89"/>
      <c r="J299" s="89"/>
      <c r="K299" s="154">
        <f t="shared" si="23"/>
        <v>0</v>
      </c>
      <c r="L299" s="154">
        <f t="shared" si="23"/>
        <v>0</v>
      </c>
      <c r="M299" s="154">
        <f t="shared" si="23"/>
        <v>0</v>
      </c>
      <c r="N299" s="154">
        <f t="shared" si="23"/>
        <v>0</v>
      </c>
    </row>
    <row r="300" spans="1:14" x14ac:dyDescent="0.25">
      <c r="A300" s="152">
        <v>6364000</v>
      </c>
      <c r="B300" s="73" t="s">
        <v>350</v>
      </c>
      <c r="C300" s="88"/>
      <c r="D300" s="220">
        <f t="shared" si="24"/>
        <v>0</v>
      </c>
      <c r="E300" s="89"/>
      <c r="F300" s="89"/>
      <c r="G300" s="89"/>
      <c r="H300" s="89"/>
      <c r="I300" s="89"/>
      <c r="J300" s="89"/>
      <c r="K300" s="154">
        <f t="shared" si="23"/>
        <v>0</v>
      </c>
      <c r="L300" s="154">
        <f t="shared" si="23"/>
        <v>0</v>
      </c>
      <c r="M300" s="154">
        <f t="shared" si="23"/>
        <v>0</v>
      </c>
      <c r="N300" s="154">
        <f t="shared" si="23"/>
        <v>0</v>
      </c>
    </row>
    <row r="301" spans="1:14" x14ac:dyDescent="0.25">
      <c r="A301" s="152">
        <v>6364000</v>
      </c>
      <c r="B301" s="73" t="s">
        <v>1171</v>
      </c>
      <c r="C301" s="88"/>
      <c r="D301" s="220">
        <f t="shared" si="24"/>
        <v>0</v>
      </c>
      <c r="E301" s="89"/>
      <c r="F301" s="89"/>
      <c r="G301" s="89"/>
      <c r="H301" s="89"/>
      <c r="I301" s="89"/>
      <c r="J301" s="89"/>
      <c r="K301" s="154">
        <f t="shared" si="23"/>
        <v>0</v>
      </c>
      <c r="L301" s="154">
        <f t="shared" si="23"/>
        <v>0</v>
      </c>
      <c r="M301" s="154">
        <f t="shared" si="23"/>
        <v>0</v>
      </c>
      <c r="N301" s="154">
        <f t="shared" si="23"/>
        <v>0</v>
      </c>
    </row>
    <row r="302" spans="1:14" s="407" customFormat="1" x14ac:dyDescent="0.25">
      <c r="A302" s="152">
        <v>6364000</v>
      </c>
      <c r="B302" s="73" t="s">
        <v>1182</v>
      </c>
      <c r="C302" s="88"/>
      <c r="D302" s="220">
        <f t="shared" si="24"/>
        <v>0</v>
      </c>
      <c r="E302" s="89"/>
      <c r="F302" s="89"/>
      <c r="G302" s="89"/>
      <c r="H302" s="89"/>
      <c r="I302" s="89"/>
      <c r="J302" s="89"/>
      <c r="K302" s="212">
        <f t="shared" si="23"/>
        <v>0</v>
      </c>
      <c r="L302" s="212">
        <f t="shared" si="23"/>
        <v>0</v>
      </c>
      <c r="M302" s="212">
        <f t="shared" si="23"/>
        <v>0</v>
      </c>
      <c r="N302" s="212">
        <f t="shared" si="23"/>
        <v>0</v>
      </c>
    </row>
    <row r="303" spans="1:14" s="407" customFormat="1" x14ac:dyDescent="0.25">
      <c r="A303" s="152">
        <v>6364000</v>
      </c>
      <c r="B303" s="73" t="s">
        <v>20</v>
      </c>
      <c r="C303" s="88"/>
      <c r="D303" s="220">
        <f t="shared" si="24"/>
        <v>0</v>
      </c>
      <c r="E303" s="89"/>
      <c r="F303" s="89"/>
      <c r="G303" s="89"/>
      <c r="H303" s="89"/>
      <c r="I303" s="89"/>
      <c r="J303" s="89"/>
      <c r="K303" s="212">
        <f t="shared" si="23"/>
        <v>0</v>
      </c>
      <c r="L303" s="212">
        <f t="shared" si="23"/>
        <v>0</v>
      </c>
      <c r="M303" s="212">
        <f t="shared" si="23"/>
        <v>0</v>
      </c>
      <c r="N303" s="212">
        <f t="shared" si="23"/>
        <v>0</v>
      </c>
    </row>
    <row r="304" spans="1:14" x14ac:dyDescent="0.25">
      <c r="A304" s="152">
        <v>6364000</v>
      </c>
      <c r="B304" s="73" t="s">
        <v>510</v>
      </c>
      <c r="C304" s="88"/>
      <c r="D304" s="220">
        <f t="shared" si="24"/>
        <v>0</v>
      </c>
      <c r="E304" s="89"/>
      <c r="F304" s="89"/>
      <c r="G304" s="89"/>
      <c r="H304" s="89"/>
      <c r="I304" s="89"/>
      <c r="J304" s="89"/>
      <c r="K304" s="154">
        <f t="shared" si="23"/>
        <v>0</v>
      </c>
      <c r="L304" s="154">
        <f t="shared" si="23"/>
        <v>0</v>
      </c>
      <c r="M304" s="154">
        <f t="shared" si="23"/>
        <v>0</v>
      </c>
      <c r="N304" s="154">
        <f t="shared" si="23"/>
        <v>0</v>
      </c>
    </row>
    <row r="305" spans="1:14" x14ac:dyDescent="0.25">
      <c r="A305" s="152">
        <v>6364000</v>
      </c>
      <c r="B305" s="73" t="s">
        <v>272</v>
      </c>
      <c r="C305" s="88"/>
      <c r="D305" s="220">
        <f t="shared" si="24"/>
        <v>0</v>
      </c>
      <c r="E305" s="89"/>
      <c r="F305" s="89"/>
      <c r="G305" s="89"/>
      <c r="H305" s="89"/>
      <c r="I305" s="89"/>
      <c r="J305" s="89"/>
      <c r="K305" s="154">
        <f t="shared" si="23"/>
        <v>0</v>
      </c>
      <c r="L305" s="154">
        <f t="shared" si="23"/>
        <v>0</v>
      </c>
      <c r="M305" s="154">
        <f t="shared" si="23"/>
        <v>0</v>
      </c>
      <c r="N305" s="154">
        <f t="shared" si="23"/>
        <v>0</v>
      </c>
    </row>
    <row r="306" spans="1:14" x14ac:dyDescent="0.25">
      <c r="A306" s="152">
        <v>6364000</v>
      </c>
      <c r="B306" s="51" t="s">
        <v>21</v>
      </c>
      <c r="C306" s="88"/>
      <c r="D306" s="220">
        <f t="shared" si="24"/>
        <v>0</v>
      </c>
      <c r="E306" s="89"/>
      <c r="F306" s="89"/>
      <c r="G306" s="89"/>
      <c r="H306" s="89"/>
      <c r="I306" s="89"/>
      <c r="J306" s="89"/>
      <c r="K306" s="154">
        <f t="shared" si="23"/>
        <v>0</v>
      </c>
      <c r="L306" s="154">
        <f t="shared" si="23"/>
        <v>0</v>
      </c>
      <c r="M306" s="154">
        <f t="shared" si="23"/>
        <v>0</v>
      </c>
      <c r="N306" s="154">
        <f t="shared" si="23"/>
        <v>0</v>
      </c>
    </row>
    <row r="307" spans="1:14" x14ac:dyDescent="0.25">
      <c r="A307" s="152">
        <v>6364000</v>
      </c>
      <c r="B307" s="73" t="s">
        <v>1172</v>
      </c>
      <c r="C307" s="88"/>
      <c r="D307" s="220">
        <f t="shared" si="24"/>
        <v>0</v>
      </c>
      <c r="E307" s="89"/>
      <c r="F307" s="89"/>
      <c r="G307" s="89"/>
      <c r="H307" s="89"/>
      <c r="I307" s="89"/>
      <c r="J307" s="89"/>
      <c r="K307" s="154">
        <f t="shared" si="23"/>
        <v>0</v>
      </c>
      <c r="L307" s="154">
        <f t="shared" si="23"/>
        <v>0</v>
      </c>
      <c r="M307" s="154">
        <f t="shared" si="23"/>
        <v>0</v>
      </c>
      <c r="N307" s="154">
        <f t="shared" si="23"/>
        <v>0</v>
      </c>
    </row>
    <row r="308" spans="1:14" x14ac:dyDescent="0.25">
      <c r="A308" s="152">
        <v>6364000</v>
      </c>
      <c r="B308" s="73" t="s">
        <v>810</v>
      </c>
      <c r="C308" s="88"/>
      <c r="D308" s="220">
        <f t="shared" si="24"/>
        <v>0</v>
      </c>
      <c r="E308" s="89"/>
      <c r="F308" s="89"/>
      <c r="G308" s="89"/>
      <c r="H308" s="89"/>
      <c r="I308" s="89"/>
      <c r="J308" s="89"/>
      <c r="K308" s="154">
        <f t="shared" si="23"/>
        <v>0</v>
      </c>
      <c r="L308" s="154">
        <f t="shared" si="23"/>
        <v>0</v>
      </c>
      <c r="M308" s="154">
        <f t="shared" si="23"/>
        <v>0</v>
      </c>
      <c r="N308" s="154">
        <f t="shared" si="23"/>
        <v>0</v>
      </c>
    </row>
    <row r="309" spans="1:14" x14ac:dyDescent="0.25">
      <c r="A309" s="152">
        <v>6364000</v>
      </c>
      <c r="B309" s="51" t="s">
        <v>811</v>
      </c>
      <c r="C309" s="88"/>
      <c r="D309" s="220">
        <f t="shared" si="24"/>
        <v>0</v>
      </c>
      <c r="E309" s="89"/>
      <c r="F309" s="89"/>
      <c r="G309" s="89"/>
      <c r="H309" s="89"/>
      <c r="I309" s="89"/>
      <c r="J309" s="89"/>
      <c r="K309" s="154">
        <f t="shared" si="23"/>
        <v>0</v>
      </c>
      <c r="L309" s="154">
        <f t="shared" si="23"/>
        <v>0</v>
      </c>
      <c r="M309" s="154">
        <f t="shared" si="23"/>
        <v>0</v>
      </c>
      <c r="N309" s="154">
        <f t="shared" si="23"/>
        <v>0</v>
      </c>
    </row>
    <row r="310" spans="1:14" x14ac:dyDescent="0.25">
      <c r="A310" s="152">
        <v>6364000</v>
      </c>
      <c r="B310" s="51" t="s">
        <v>23</v>
      </c>
      <c r="C310" s="88"/>
      <c r="D310" s="220">
        <f t="shared" si="24"/>
        <v>0</v>
      </c>
      <c r="E310" s="89"/>
      <c r="F310" s="89"/>
      <c r="G310" s="89"/>
      <c r="H310" s="89"/>
      <c r="I310" s="89"/>
      <c r="J310" s="89"/>
      <c r="K310" s="154">
        <f t="shared" si="23"/>
        <v>0</v>
      </c>
      <c r="L310" s="154">
        <f t="shared" si="23"/>
        <v>0</v>
      </c>
      <c r="M310" s="154">
        <f t="shared" si="23"/>
        <v>0</v>
      </c>
      <c r="N310" s="154">
        <f t="shared" si="23"/>
        <v>0</v>
      </c>
    </row>
    <row r="311" spans="1:14" x14ac:dyDescent="0.25">
      <c r="A311" s="152">
        <v>6364000</v>
      </c>
      <c r="B311" s="73" t="s">
        <v>268</v>
      </c>
      <c r="C311" s="88"/>
      <c r="D311" s="220">
        <f t="shared" si="24"/>
        <v>0</v>
      </c>
      <c r="E311" s="89"/>
      <c r="F311" s="89"/>
      <c r="G311" s="89"/>
      <c r="H311" s="89"/>
      <c r="I311" s="89"/>
      <c r="J311" s="89"/>
      <c r="K311" s="154">
        <f t="shared" si="23"/>
        <v>0</v>
      </c>
      <c r="L311" s="154">
        <f t="shared" si="23"/>
        <v>0</v>
      </c>
      <c r="M311" s="154">
        <f t="shared" si="23"/>
        <v>0</v>
      </c>
      <c r="N311" s="154">
        <f t="shared" si="23"/>
        <v>0</v>
      </c>
    </row>
    <row r="312" spans="1:14" x14ac:dyDescent="0.25">
      <c r="A312" s="152">
        <v>6364000</v>
      </c>
      <c r="B312" s="73" t="s">
        <v>267</v>
      </c>
      <c r="C312" s="88"/>
      <c r="D312" s="220">
        <f t="shared" si="24"/>
        <v>0</v>
      </c>
      <c r="E312" s="89"/>
      <c r="F312" s="89"/>
      <c r="G312" s="89"/>
      <c r="H312" s="89"/>
      <c r="I312" s="89"/>
      <c r="J312" s="89"/>
      <c r="K312" s="154">
        <f t="shared" si="23"/>
        <v>0</v>
      </c>
      <c r="L312" s="154">
        <f t="shared" si="23"/>
        <v>0</v>
      </c>
      <c r="M312" s="154">
        <f t="shared" si="23"/>
        <v>0</v>
      </c>
      <c r="N312" s="154">
        <f t="shared" si="23"/>
        <v>0</v>
      </c>
    </row>
    <row r="313" spans="1:14" ht="15.75" thickBot="1" x14ac:dyDescent="0.3">
      <c r="A313" s="152">
        <v>6364000</v>
      </c>
      <c r="B313" s="73" t="s">
        <v>920</v>
      </c>
      <c r="C313" s="88"/>
      <c r="D313" s="220">
        <f t="shared" si="24"/>
        <v>1</v>
      </c>
      <c r="E313" s="89"/>
      <c r="F313" s="89"/>
      <c r="G313" s="89"/>
      <c r="H313" s="89"/>
      <c r="I313" s="89"/>
      <c r="J313" s="89"/>
      <c r="K313" s="154">
        <f t="shared" si="23"/>
        <v>0</v>
      </c>
      <c r="L313" s="154">
        <f t="shared" si="23"/>
        <v>0</v>
      </c>
      <c r="M313" s="154">
        <f t="shared" si="23"/>
        <v>0</v>
      </c>
      <c r="N313" s="154">
        <f t="shared" si="23"/>
        <v>1000</v>
      </c>
    </row>
    <row r="314" spans="1:14" x14ac:dyDescent="0.25">
      <c r="A314" s="151">
        <v>6350000</v>
      </c>
      <c r="B314" s="84" t="s">
        <v>19</v>
      </c>
      <c r="C314" s="85"/>
      <c r="D314" s="210">
        <f t="shared" si="24"/>
        <v>1</v>
      </c>
      <c r="E314" s="86"/>
      <c r="F314" s="86"/>
      <c r="G314" s="86"/>
      <c r="H314" s="86"/>
      <c r="I314" s="86"/>
      <c r="J314" s="86"/>
      <c r="K314" s="156">
        <f t="shared" ref="K314:N333" si="25">SUMIFS(K$26:K$212,$A$26:$A$212,$A314,$B$26:$B$212,$B314)</f>
        <v>0</v>
      </c>
      <c r="L314" s="156">
        <f t="shared" si="25"/>
        <v>0</v>
      </c>
      <c r="M314" s="156">
        <f t="shared" si="25"/>
        <v>0</v>
      </c>
      <c r="N314" s="156">
        <f t="shared" si="25"/>
        <v>20500</v>
      </c>
    </row>
    <row r="315" spans="1:14" x14ac:dyDescent="0.25">
      <c r="A315" s="152">
        <v>6350000</v>
      </c>
      <c r="B315" s="73" t="s">
        <v>18</v>
      </c>
      <c r="C315" s="88"/>
      <c r="D315" s="220">
        <f t="shared" si="24"/>
        <v>0</v>
      </c>
      <c r="E315" s="89"/>
      <c r="F315" s="89"/>
      <c r="G315" s="89"/>
      <c r="H315" s="89"/>
      <c r="I315" s="89"/>
      <c r="J315" s="89"/>
      <c r="K315" s="154">
        <f t="shared" si="25"/>
        <v>0</v>
      </c>
      <c r="L315" s="154">
        <f t="shared" si="25"/>
        <v>0</v>
      </c>
      <c r="M315" s="154">
        <f t="shared" si="25"/>
        <v>0</v>
      </c>
      <c r="N315" s="154">
        <f t="shared" si="25"/>
        <v>0</v>
      </c>
    </row>
    <row r="316" spans="1:14" x14ac:dyDescent="0.25">
      <c r="A316" s="152">
        <v>6350000</v>
      </c>
      <c r="B316" s="73" t="s">
        <v>22</v>
      </c>
      <c r="C316" s="88"/>
      <c r="D316" s="220">
        <f t="shared" si="24"/>
        <v>3</v>
      </c>
      <c r="E316" s="89"/>
      <c r="F316" s="89"/>
      <c r="G316" s="89"/>
      <c r="H316" s="89"/>
      <c r="I316" s="89"/>
      <c r="J316" s="89"/>
      <c r="K316" s="154">
        <f t="shared" si="25"/>
        <v>0</v>
      </c>
      <c r="L316" s="154">
        <f t="shared" si="25"/>
        <v>0</v>
      </c>
      <c r="M316" s="154">
        <f t="shared" si="25"/>
        <v>0</v>
      </c>
      <c r="N316" s="154">
        <f t="shared" si="25"/>
        <v>450</v>
      </c>
    </row>
    <row r="317" spans="1:14" x14ac:dyDescent="0.25">
      <c r="A317" s="152">
        <v>6350000</v>
      </c>
      <c r="B317" s="73" t="s">
        <v>24</v>
      </c>
      <c r="C317" s="88"/>
      <c r="D317" s="220">
        <f t="shared" si="24"/>
        <v>2</v>
      </c>
      <c r="E317" s="89"/>
      <c r="F317" s="89"/>
      <c r="G317" s="89"/>
      <c r="H317" s="89"/>
      <c r="I317" s="89"/>
      <c r="J317" s="89"/>
      <c r="K317" s="154">
        <f t="shared" si="25"/>
        <v>0</v>
      </c>
      <c r="L317" s="154">
        <f t="shared" si="25"/>
        <v>0</v>
      </c>
      <c r="M317" s="154">
        <f t="shared" si="25"/>
        <v>0</v>
      </c>
      <c r="N317" s="154">
        <f t="shared" si="25"/>
        <v>1100</v>
      </c>
    </row>
    <row r="318" spans="1:14" x14ac:dyDescent="0.25">
      <c r="A318" s="152">
        <v>6350000</v>
      </c>
      <c r="B318" s="73" t="s">
        <v>25</v>
      </c>
      <c r="C318" s="88"/>
      <c r="D318" s="220">
        <f t="shared" si="24"/>
        <v>0</v>
      </c>
      <c r="E318" s="89"/>
      <c r="F318" s="89"/>
      <c r="G318" s="89"/>
      <c r="H318" s="89"/>
      <c r="I318" s="89"/>
      <c r="J318" s="89"/>
      <c r="K318" s="154">
        <f t="shared" si="25"/>
        <v>0</v>
      </c>
      <c r="L318" s="154">
        <f t="shared" si="25"/>
        <v>0</v>
      </c>
      <c r="M318" s="154">
        <f t="shared" si="25"/>
        <v>0</v>
      </c>
      <c r="N318" s="154">
        <f t="shared" si="25"/>
        <v>0</v>
      </c>
    </row>
    <row r="319" spans="1:14" x14ac:dyDescent="0.25">
      <c r="A319" s="152">
        <v>6350000</v>
      </c>
      <c r="B319" s="73" t="s">
        <v>394</v>
      </c>
      <c r="C319" s="88"/>
      <c r="D319" s="220">
        <f t="shared" si="24"/>
        <v>0</v>
      </c>
      <c r="E319" s="89"/>
      <c r="F319" s="89"/>
      <c r="G319" s="89"/>
      <c r="H319" s="89"/>
      <c r="I319" s="89"/>
      <c r="J319" s="89"/>
      <c r="K319" s="154">
        <f t="shared" si="25"/>
        <v>0</v>
      </c>
      <c r="L319" s="154">
        <f t="shared" si="25"/>
        <v>0</v>
      </c>
      <c r="M319" s="154">
        <f t="shared" si="25"/>
        <v>0</v>
      </c>
      <c r="N319" s="154">
        <f t="shared" si="25"/>
        <v>0</v>
      </c>
    </row>
    <row r="320" spans="1:14" x14ac:dyDescent="0.25">
      <c r="A320" s="152">
        <v>6350000</v>
      </c>
      <c r="B320" s="73" t="s">
        <v>350</v>
      </c>
      <c r="C320" s="88"/>
      <c r="D320" s="220">
        <f t="shared" si="24"/>
        <v>8</v>
      </c>
      <c r="E320" s="89"/>
      <c r="F320" s="89"/>
      <c r="G320" s="89"/>
      <c r="H320" s="89"/>
      <c r="I320" s="89"/>
      <c r="J320" s="89"/>
      <c r="K320" s="154">
        <f t="shared" si="25"/>
        <v>0</v>
      </c>
      <c r="L320" s="154">
        <f t="shared" si="25"/>
        <v>0</v>
      </c>
      <c r="M320" s="154">
        <f t="shared" si="25"/>
        <v>0</v>
      </c>
      <c r="N320" s="154">
        <f t="shared" si="25"/>
        <v>9146</v>
      </c>
    </row>
    <row r="321" spans="1:14" s="407" customFormat="1" x14ac:dyDescent="0.25">
      <c r="A321" s="152">
        <v>6350000</v>
      </c>
      <c r="B321" s="73" t="s">
        <v>1171</v>
      </c>
      <c r="C321" s="88"/>
      <c r="D321" s="220">
        <f t="shared" si="24"/>
        <v>0</v>
      </c>
      <c r="E321" s="89"/>
      <c r="F321" s="89"/>
      <c r="G321" s="89"/>
      <c r="H321" s="89"/>
      <c r="I321" s="89"/>
      <c r="J321" s="89"/>
      <c r="K321" s="212">
        <f t="shared" si="25"/>
        <v>0</v>
      </c>
      <c r="L321" s="212">
        <f t="shared" si="25"/>
        <v>0</v>
      </c>
      <c r="M321" s="212">
        <f t="shared" si="25"/>
        <v>0</v>
      </c>
      <c r="N321" s="212">
        <f t="shared" si="25"/>
        <v>0</v>
      </c>
    </row>
    <row r="322" spans="1:14" s="407" customFormat="1" x14ac:dyDescent="0.25">
      <c r="A322" s="152">
        <v>6350000</v>
      </c>
      <c r="B322" s="73" t="s">
        <v>1182</v>
      </c>
      <c r="C322" s="88"/>
      <c r="D322" s="220">
        <f t="shared" si="24"/>
        <v>1</v>
      </c>
      <c r="E322" s="89"/>
      <c r="F322" s="89"/>
      <c r="G322" s="89"/>
      <c r="H322" s="89"/>
      <c r="I322" s="89"/>
      <c r="J322" s="89"/>
      <c r="K322" s="212">
        <f t="shared" si="25"/>
        <v>0</v>
      </c>
      <c r="L322" s="212">
        <f t="shared" si="25"/>
        <v>0</v>
      </c>
      <c r="M322" s="212">
        <f t="shared" si="25"/>
        <v>0</v>
      </c>
      <c r="N322" s="212">
        <f t="shared" si="25"/>
        <v>3000</v>
      </c>
    </row>
    <row r="323" spans="1:14" x14ac:dyDescent="0.25">
      <c r="A323" s="152">
        <v>6350000</v>
      </c>
      <c r="B323" s="73" t="s">
        <v>20</v>
      </c>
      <c r="C323" s="88"/>
      <c r="D323" s="220">
        <f t="shared" si="24"/>
        <v>0</v>
      </c>
      <c r="E323" s="89"/>
      <c r="F323" s="89"/>
      <c r="G323" s="89"/>
      <c r="H323" s="89"/>
      <c r="I323" s="89"/>
      <c r="J323" s="89"/>
      <c r="K323" s="154">
        <f t="shared" si="25"/>
        <v>0</v>
      </c>
      <c r="L323" s="154">
        <f t="shared" si="25"/>
        <v>0</v>
      </c>
      <c r="M323" s="154">
        <f t="shared" si="25"/>
        <v>0</v>
      </c>
      <c r="N323" s="154">
        <f t="shared" si="25"/>
        <v>0</v>
      </c>
    </row>
    <row r="324" spans="1:14" x14ac:dyDescent="0.25">
      <c r="A324" s="152">
        <v>6350000</v>
      </c>
      <c r="B324" s="73" t="s">
        <v>510</v>
      </c>
      <c r="C324" s="88"/>
      <c r="D324" s="220">
        <f t="shared" si="24"/>
        <v>0</v>
      </c>
      <c r="E324" s="89"/>
      <c r="F324" s="89"/>
      <c r="G324" s="89"/>
      <c r="H324" s="89"/>
      <c r="I324" s="89"/>
      <c r="J324" s="89"/>
      <c r="K324" s="154">
        <f t="shared" si="25"/>
        <v>0</v>
      </c>
      <c r="L324" s="154">
        <f t="shared" si="25"/>
        <v>0</v>
      </c>
      <c r="M324" s="154">
        <f t="shared" si="25"/>
        <v>0</v>
      </c>
      <c r="N324" s="154">
        <f t="shared" si="25"/>
        <v>0</v>
      </c>
    </row>
    <row r="325" spans="1:14" x14ac:dyDescent="0.25">
      <c r="A325" s="152">
        <v>6350000</v>
      </c>
      <c r="B325" s="73" t="s">
        <v>272</v>
      </c>
      <c r="C325" s="88"/>
      <c r="D325" s="220">
        <f t="shared" si="24"/>
        <v>3</v>
      </c>
      <c r="E325" s="89"/>
      <c r="F325" s="89"/>
      <c r="G325" s="89"/>
      <c r="H325" s="89"/>
      <c r="I325" s="89"/>
      <c r="J325" s="89"/>
      <c r="K325" s="154">
        <f t="shared" si="25"/>
        <v>0</v>
      </c>
      <c r="L325" s="154">
        <f t="shared" si="25"/>
        <v>0</v>
      </c>
      <c r="M325" s="154">
        <f t="shared" si="25"/>
        <v>0</v>
      </c>
      <c r="N325" s="154">
        <f t="shared" si="25"/>
        <v>1554</v>
      </c>
    </row>
    <row r="326" spans="1:14" x14ac:dyDescent="0.25">
      <c r="A326" s="152">
        <v>6350000</v>
      </c>
      <c r="B326" s="51" t="s">
        <v>21</v>
      </c>
      <c r="C326" s="88"/>
      <c r="D326" s="220">
        <f t="shared" si="24"/>
        <v>1</v>
      </c>
      <c r="E326" s="89"/>
      <c r="F326" s="89"/>
      <c r="G326" s="89"/>
      <c r="H326" s="89"/>
      <c r="I326" s="89"/>
      <c r="J326" s="89"/>
      <c r="K326" s="154">
        <f t="shared" si="25"/>
        <v>0</v>
      </c>
      <c r="L326" s="154">
        <f t="shared" si="25"/>
        <v>0</v>
      </c>
      <c r="M326" s="154">
        <f t="shared" si="25"/>
        <v>0</v>
      </c>
      <c r="N326" s="154">
        <f t="shared" si="25"/>
        <v>760</v>
      </c>
    </row>
    <row r="327" spans="1:14" x14ac:dyDescent="0.25">
      <c r="A327" s="152">
        <v>6350000</v>
      </c>
      <c r="B327" s="73" t="s">
        <v>1172</v>
      </c>
      <c r="C327" s="88"/>
      <c r="D327" s="220">
        <f t="shared" si="24"/>
        <v>2</v>
      </c>
      <c r="E327" s="89"/>
      <c r="F327" s="89"/>
      <c r="G327" s="89"/>
      <c r="H327" s="89"/>
      <c r="I327" s="89"/>
      <c r="J327" s="89"/>
      <c r="K327" s="154">
        <f t="shared" si="25"/>
        <v>0</v>
      </c>
      <c r="L327" s="154">
        <f t="shared" si="25"/>
        <v>0</v>
      </c>
      <c r="M327" s="154">
        <f t="shared" si="25"/>
        <v>0</v>
      </c>
      <c r="N327" s="154">
        <f t="shared" si="25"/>
        <v>1818</v>
      </c>
    </row>
    <row r="328" spans="1:14" x14ac:dyDescent="0.25">
      <c r="A328" s="152">
        <v>6350000</v>
      </c>
      <c r="B328" s="73" t="s">
        <v>810</v>
      </c>
      <c r="C328" s="88"/>
      <c r="D328" s="220">
        <f t="shared" si="24"/>
        <v>0</v>
      </c>
      <c r="E328" s="89"/>
      <c r="F328" s="89"/>
      <c r="G328" s="89"/>
      <c r="H328" s="89"/>
      <c r="I328" s="89"/>
      <c r="J328" s="89"/>
      <c r="K328" s="154">
        <f t="shared" si="25"/>
        <v>0</v>
      </c>
      <c r="L328" s="154">
        <f t="shared" si="25"/>
        <v>0</v>
      </c>
      <c r="M328" s="154">
        <f t="shared" si="25"/>
        <v>0</v>
      </c>
      <c r="N328" s="154">
        <f t="shared" si="25"/>
        <v>0</v>
      </c>
    </row>
    <row r="329" spans="1:14" x14ac:dyDescent="0.25">
      <c r="A329" s="152">
        <v>6350000</v>
      </c>
      <c r="B329" s="51" t="s">
        <v>811</v>
      </c>
      <c r="C329" s="88"/>
      <c r="D329" s="220">
        <f t="shared" si="24"/>
        <v>2</v>
      </c>
      <c r="E329" s="89"/>
      <c r="F329" s="89"/>
      <c r="G329" s="89"/>
      <c r="H329" s="89"/>
      <c r="I329" s="89"/>
      <c r="J329" s="89"/>
      <c r="K329" s="154">
        <f t="shared" si="25"/>
        <v>0</v>
      </c>
      <c r="L329" s="154">
        <f t="shared" si="25"/>
        <v>0</v>
      </c>
      <c r="M329" s="154">
        <f t="shared" si="25"/>
        <v>0</v>
      </c>
      <c r="N329" s="154">
        <f t="shared" si="25"/>
        <v>280</v>
      </c>
    </row>
    <row r="330" spans="1:14" x14ac:dyDescent="0.25">
      <c r="A330" s="152">
        <v>6350000</v>
      </c>
      <c r="B330" s="51" t="s">
        <v>23</v>
      </c>
      <c r="C330" s="88"/>
      <c r="D330" s="220">
        <f t="shared" si="24"/>
        <v>2</v>
      </c>
      <c r="E330" s="89"/>
      <c r="F330" s="89"/>
      <c r="G330" s="89"/>
      <c r="H330" s="89"/>
      <c r="I330" s="89"/>
      <c r="J330" s="89"/>
      <c r="K330" s="154">
        <f t="shared" si="25"/>
        <v>0</v>
      </c>
      <c r="L330" s="154">
        <f t="shared" si="25"/>
        <v>0</v>
      </c>
      <c r="M330" s="154">
        <f t="shared" si="25"/>
        <v>0</v>
      </c>
      <c r="N330" s="154">
        <f t="shared" si="25"/>
        <v>6200</v>
      </c>
    </row>
    <row r="331" spans="1:14" x14ac:dyDescent="0.25">
      <c r="A331" s="152">
        <v>6350000</v>
      </c>
      <c r="B331" s="73" t="s">
        <v>268</v>
      </c>
      <c r="C331" s="88"/>
      <c r="D331" s="220">
        <f t="shared" si="24"/>
        <v>2</v>
      </c>
      <c r="E331" s="89"/>
      <c r="F331" s="89"/>
      <c r="G331" s="89"/>
      <c r="H331" s="89"/>
      <c r="I331" s="89"/>
      <c r="J331" s="89"/>
      <c r="K331" s="154">
        <f t="shared" si="25"/>
        <v>0</v>
      </c>
      <c r="L331" s="154">
        <f t="shared" si="25"/>
        <v>0</v>
      </c>
      <c r="M331" s="154">
        <f t="shared" si="25"/>
        <v>0</v>
      </c>
      <c r="N331" s="154">
        <f t="shared" si="25"/>
        <v>3150</v>
      </c>
    </row>
    <row r="332" spans="1:14" x14ac:dyDescent="0.25">
      <c r="A332" s="152">
        <v>6350000</v>
      </c>
      <c r="B332" s="73" t="s">
        <v>267</v>
      </c>
      <c r="C332" s="88"/>
      <c r="D332" s="220">
        <f t="shared" si="24"/>
        <v>0</v>
      </c>
      <c r="E332" s="89"/>
      <c r="F332" s="89"/>
      <c r="G332" s="89"/>
      <c r="H332" s="89"/>
      <c r="I332" s="89"/>
      <c r="J332" s="89"/>
      <c r="K332" s="154">
        <f t="shared" si="25"/>
        <v>0</v>
      </c>
      <c r="L332" s="154">
        <f t="shared" si="25"/>
        <v>0</v>
      </c>
      <c r="M332" s="154">
        <f t="shared" si="25"/>
        <v>0</v>
      </c>
      <c r="N332" s="154">
        <f t="shared" si="25"/>
        <v>0</v>
      </c>
    </row>
    <row r="333" spans="1:14" ht="15.75" thickBot="1" x14ac:dyDescent="0.3">
      <c r="A333" s="152">
        <v>6350000</v>
      </c>
      <c r="B333" s="73" t="s">
        <v>920</v>
      </c>
      <c r="C333" s="88"/>
      <c r="D333" s="220">
        <f t="shared" si="24"/>
        <v>2</v>
      </c>
      <c r="E333" s="89"/>
      <c r="F333" s="89"/>
      <c r="G333" s="89"/>
      <c r="H333" s="89"/>
      <c r="I333" s="89"/>
      <c r="J333" s="89"/>
      <c r="K333" s="154">
        <f t="shared" si="25"/>
        <v>0</v>
      </c>
      <c r="L333" s="154">
        <f t="shared" si="25"/>
        <v>0</v>
      </c>
      <c r="M333" s="154">
        <f t="shared" si="25"/>
        <v>0</v>
      </c>
      <c r="N333" s="154">
        <f t="shared" si="25"/>
        <v>84</v>
      </c>
    </row>
    <row r="334" spans="1:14" x14ac:dyDescent="0.25">
      <c r="A334" s="151">
        <v>6333000</v>
      </c>
      <c r="B334" s="84" t="s">
        <v>19</v>
      </c>
      <c r="C334" s="85"/>
      <c r="D334" s="210">
        <f t="shared" si="24"/>
        <v>0</v>
      </c>
      <c r="E334" s="86"/>
      <c r="F334" s="86"/>
      <c r="G334" s="86"/>
      <c r="H334" s="86"/>
      <c r="I334" s="86"/>
      <c r="J334" s="86"/>
      <c r="K334" s="156">
        <f t="shared" ref="K334:N353" si="26">SUMIFS(K$26:K$212,$A$26:$A$212,$A334,$B$26:$B$212,$B334)</f>
        <v>0</v>
      </c>
      <c r="L334" s="156">
        <f t="shared" si="26"/>
        <v>0</v>
      </c>
      <c r="M334" s="156">
        <f t="shared" si="26"/>
        <v>0</v>
      </c>
      <c r="N334" s="156">
        <f t="shared" si="26"/>
        <v>0</v>
      </c>
    </row>
    <row r="335" spans="1:14" x14ac:dyDescent="0.25">
      <c r="A335" s="152">
        <v>6333000</v>
      </c>
      <c r="B335" s="73" t="s">
        <v>18</v>
      </c>
      <c r="C335" s="88"/>
      <c r="D335" s="220">
        <f t="shared" si="24"/>
        <v>0</v>
      </c>
      <c r="E335" s="89"/>
      <c r="F335" s="89"/>
      <c r="G335" s="89"/>
      <c r="H335" s="89"/>
      <c r="I335" s="89"/>
      <c r="J335" s="89"/>
      <c r="K335" s="154">
        <f t="shared" si="26"/>
        <v>0</v>
      </c>
      <c r="L335" s="154">
        <f t="shared" si="26"/>
        <v>0</v>
      </c>
      <c r="M335" s="154">
        <f t="shared" si="26"/>
        <v>0</v>
      </c>
      <c r="N335" s="154">
        <f t="shared" si="26"/>
        <v>0</v>
      </c>
    </row>
    <row r="336" spans="1:14" x14ac:dyDescent="0.25">
      <c r="A336" s="152">
        <v>6333000</v>
      </c>
      <c r="B336" s="73" t="s">
        <v>22</v>
      </c>
      <c r="C336" s="88"/>
      <c r="D336" s="220">
        <f t="shared" si="24"/>
        <v>0</v>
      </c>
      <c r="E336" s="89"/>
      <c r="F336" s="89"/>
      <c r="G336" s="89"/>
      <c r="H336" s="89"/>
      <c r="I336" s="89"/>
      <c r="J336" s="89"/>
      <c r="K336" s="154">
        <f t="shared" si="26"/>
        <v>0</v>
      </c>
      <c r="L336" s="154">
        <f t="shared" si="26"/>
        <v>0</v>
      </c>
      <c r="M336" s="154">
        <f t="shared" si="26"/>
        <v>0</v>
      </c>
      <c r="N336" s="154">
        <f t="shared" si="26"/>
        <v>0</v>
      </c>
    </row>
    <row r="337" spans="1:14" x14ac:dyDescent="0.25">
      <c r="A337" s="152">
        <v>6333000</v>
      </c>
      <c r="B337" s="73" t="s">
        <v>24</v>
      </c>
      <c r="C337" s="88"/>
      <c r="D337" s="220">
        <f t="shared" si="24"/>
        <v>0</v>
      </c>
      <c r="E337" s="89"/>
      <c r="F337" s="89"/>
      <c r="G337" s="89"/>
      <c r="H337" s="89"/>
      <c r="I337" s="89"/>
      <c r="J337" s="89"/>
      <c r="K337" s="154">
        <f t="shared" si="26"/>
        <v>0</v>
      </c>
      <c r="L337" s="154">
        <f t="shared" si="26"/>
        <v>0</v>
      </c>
      <c r="M337" s="154">
        <f t="shared" si="26"/>
        <v>0</v>
      </c>
      <c r="N337" s="154">
        <f t="shared" si="26"/>
        <v>0</v>
      </c>
    </row>
    <row r="338" spans="1:14" x14ac:dyDescent="0.25">
      <c r="A338" s="152">
        <v>6333000</v>
      </c>
      <c r="B338" s="73" t="s">
        <v>25</v>
      </c>
      <c r="C338" s="88"/>
      <c r="D338" s="220">
        <f t="shared" si="24"/>
        <v>0</v>
      </c>
      <c r="E338" s="89"/>
      <c r="F338" s="89"/>
      <c r="G338" s="89"/>
      <c r="H338" s="89"/>
      <c r="I338" s="89"/>
      <c r="J338" s="89"/>
      <c r="K338" s="154">
        <f t="shared" si="26"/>
        <v>0</v>
      </c>
      <c r="L338" s="154">
        <f t="shared" si="26"/>
        <v>0</v>
      </c>
      <c r="M338" s="154">
        <f t="shared" si="26"/>
        <v>0</v>
      </c>
      <c r="N338" s="154">
        <f t="shared" si="26"/>
        <v>0</v>
      </c>
    </row>
    <row r="339" spans="1:14" x14ac:dyDescent="0.25">
      <c r="A339" s="152">
        <v>6333000</v>
      </c>
      <c r="B339" s="73" t="s">
        <v>394</v>
      </c>
      <c r="C339" s="88"/>
      <c r="D339" s="220">
        <f t="shared" si="24"/>
        <v>0</v>
      </c>
      <c r="E339" s="89"/>
      <c r="F339" s="89"/>
      <c r="G339" s="89"/>
      <c r="H339" s="89"/>
      <c r="I339" s="89"/>
      <c r="J339" s="89"/>
      <c r="K339" s="154">
        <f t="shared" si="26"/>
        <v>0</v>
      </c>
      <c r="L339" s="154">
        <f t="shared" si="26"/>
        <v>0</v>
      </c>
      <c r="M339" s="154">
        <f t="shared" si="26"/>
        <v>0</v>
      </c>
      <c r="N339" s="154">
        <f t="shared" si="26"/>
        <v>0</v>
      </c>
    </row>
    <row r="340" spans="1:14" x14ac:dyDescent="0.25">
      <c r="A340" s="152">
        <v>6333000</v>
      </c>
      <c r="B340" s="73" t="s">
        <v>350</v>
      </c>
      <c r="C340" s="88"/>
      <c r="D340" s="220">
        <f t="shared" si="24"/>
        <v>0</v>
      </c>
      <c r="E340" s="89"/>
      <c r="F340" s="89"/>
      <c r="G340" s="89"/>
      <c r="H340" s="89"/>
      <c r="I340" s="89"/>
      <c r="J340" s="89"/>
      <c r="K340" s="212">
        <f t="shared" si="26"/>
        <v>0</v>
      </c>
      <c r="L340" s="212">
        <f t="shared" si="26"/>
        <v>0</v>
      </c>
      <c r="M340" s="212">
        <f t="shared" si="26"/>
        <v>0</v>
      </c>
      <c r="N340" s="212">
        <f t="shared" si="26"/>
        <v>0</v>
      </c>
    </row>
    <row r="341" spans="1:14" s="407" customFormat="1" x14ac:dyDescent="0.25">
      <c r="A341" s="152">
        <v>6333000</v>
      </c>
      <c r="B341" s="73" t="s">
        <v>1171</v>
      </c>
      <c r="C341" s="88"/>
      <c r="D341" s="220">
        <f t="shared" si="24"/>
        <v>0</v>
      </c>
      <c r="E341" s="89"/>
      <c r="F341" s="89"/>
      <c r="G341" s="89"/>
      <c r="H341" s="89"/>
      <c r="I341" s="89"/>
      <c r="J341" s="89"/>
      <c r="K341" s="212">
        <f t="shared" si="26"/>
        <v>0</v>
      </c>
      <c r="L341" s="212">
        <f t="shared" si="26"/>
        <v>0</v>
      </c>
      <c r="M341" s="212">
        <f t="shared" si="26"/>
        <v>0</v>
      </c>
      <c r="N341" s="212">
        <f t="shared" si="26"/>
        <v>0</v>
      </c>
    </row>
    <row r="342" spans="1:14" s="407" customFormat="1" x14ac:dyDescent="0.25">
      <c r="A342" s="152">
        <v>6333000</v>
      </c>
      <c r="B342" s="73" t="s">
        <v>1182</v>
      </c>
      <c r="C342" s="88"/>
      <c r="D342" s="220">
        <f t="shared" si="24"/>
        <v>0</v>
      </c>
      <c r="E342" s="89"/>
      <c r="F342" s="89"/>
      <c r="G342" s="89"/>
      <c r="H342" s="89"/>
      <c r="I342" s="89"/>
      <c r="J342" s="89"/>
      <c r="K342" s="212">
        <f t="shared" si="26"/>
        <v>0</v>
      </c>
      <c r="L342" s="212">
        <f t="shared" si="26"/>
        <v>0</v>
      </c>
      <c r="M342" s="212">
        <f t="shared" si="26"/>
        <v>0</v>
      </c>
      <c r="N342" s="212">
        <f t="shared" si="26"/>
        <v>0</v>
      </c>
    </row>
    <row r="343" spans="1:14" x14ac:dyDescent="0.25">
      <c r="A343" s="152">
        <v>6333000</v>
      </c>
      <c r="B343" s="73" t="s">
        <v>20</v>
      </c>
      <c r="C343" s="88"/>
      <c r="D343" s="220">
        <f t="shared" si="24"/>
        <v>0</v>
      </c>
      <c r="E343" s="89"/>
      <c r="F343" s="89"/>
      <c r="G343" s="89"/>
      <c r="H343" s="89"/>
      <c r="I343" s="89"/>
      <c r="J343" s="89"/>
      <c r="K343" s="154">
        <f t="shared" si="26"/>
        <v>0</v>
      </c>
      <c r="L343" s="154">
        <f t="shared" si="26"/>
        <v>0</v>
      </c>
      <c r="M343" s="154">
        <f t="shared" si="26"/>
        <v>0</v>
      </c>
      <c r="N343" s="154">
        <f t="shared" si="26"/>
        <v>0</v>
      </c>
    </row>
    <row r="344" spans="1:14" x14ac:dyDescent="0.25">
      <c r="A344" s="152">
        <v>6333000</v>
      </c>
      <c r="B344" s="73" t="s">
        <v>510</v>
      </c>
      <c r="C344" s="88"/>
      <c r="D344" s="220">
        <f t="shared" si="24"/>
        <v>0</v>
      </c>
      <c r="E344" s="89"/>
      <c r="F344" s="89"/>
      <c r="G344" s="89"/>
      <c r="H344" s="89"/>
      <c r="I344" s="89"/>
      <c r="J344" s="89"/>
      <c r="K344" s="154">
        <f t="shared" si="26"/>
        <v>0</v>
      </c>
      <c r="L344" s="154">
        <f t="shared" si="26"/>
        <v>0</v>
      </c>
      <c r="M344" s="154">
        <f t="shared" si="26"/>
        <v>0</v>
      </c>
      <c r="N344" s="154">
        <f t="shared" si="26"/>
        <v>0</v>
      </c>
    </row>
    <row r="345" spans="1:14" x14ac:dyDescent="0.25">
      <c r="A345" s="152">
        <v>6333000</v>
      </c>
      <c r="B345" s="73" t="s">
        <v>272</v>
      </c>
      <c r="C345" s="88"/>
      <c r="D345" s="220">
        <f t="shared" si="24"/>
        <v>0</v>
      </c>
      <c r="E345" s="89"/>
      <c r="F345" s="89"/>
      <c r="G345" s="89"/>
      <c r="H345" s="89"/>
      <c r="I345" s="89"/>
      <c r="J345" s="89"/>
      <c r="K345" s="154">
        <f t="shared" si="26"/>
        <v>0</v>
      </c>
      <c r="L345" s="154">
        <f t="shared" si="26"/>
        <v>0</v>
      </c>
      <c r="M345" s="154">
        <f t="shared" si="26"/>
        <v>0</v>
      </c>
      <c r="N345" s="154">
        <f t="shared" si="26"/>
        <v>0</v>
      </c>
    </row>
    <row r="346" spans="1:14" x14ac:dyDescent="0.25">
      <c r="A346" s="152">
        <v>6333000</v>
      </c>
      <c r="B346" s="51" t="s">
        <v>21</v>
      </c>
      <c r="C346" s="88"/>
      <c r="D346" s="220">
        <f t="shared" si="24"/>
        <v>0</v>
      </c>
      <c r="E346" s="89"/>
      <c r="F346" s="89"/>
      <c r="G346" s="89"/>
      <c r="H346" s="89"/>
      <c r="I346" s="89"/>
      <c r="J346" s="89"/>
      <c r="K346" s="154">
        <f t="shared" si="26"/>
        <v>0</v>
      </c>
      <c r="L346" s="154">
        <f t="shared" si="26"/>
        <v>0</v>
      </c>
      <c r="M346" s="154">
        <f t="shared" si="26"/>
        <v>0</v>
      </c>
      <c r="N346" s="154">
        <f t="shared" si="26"/>
        <v>0</v>
      </c>
    </row>
    <row r="347" spans="1:14" x14ac:dyDescent="0.25">
      <c r="A347" s="152">
        <v>6333000</v>
      </c>
      <c r="B347" s="73" t="s">
        <v>1172</v>
      </c>
      <c r="C347" s="88"/>
      <c r="D347" s="220">
        <f t="shared" si="24"/>
        <v>0</v>
      </c>
      <c r="E347" s="89"/>
      <c r="F347" s="89"/>
      <c r="G347" s="89"/>
      <c r="H347" s="89"/>
      <c r="I347" s="89"/>
      <c r="J347" s="89"/>
      <c r="K347" s="154">
        <f t="shared" si="26"/>
        <v>0</v>
      </c>
      <c r="L347" s="154">
        <f t="shared" si="26"/>
        <v>0</v>
      </c>
      <c r="M347" s="154">
        <f t="shared" si="26"/>
        <v>0</v>
      </c>
      <c r="N347" s="154">
        <f t="shared" si="26"/>
        <v>0</v>
      </c>
    </row>
    <row r="348" spans="1:14" x14ac:dyDescent="0.25">
      <c r="A348" s="152">
        <v>6333000</v>
      </c>
      <c r="B348" s="73" t="s">
        <v>810</v>
      </c>
      <c r="C348" s="88"/>
      <c r="D348" s="220">
        <f t="shared" si="24"/>
        <v>0</v>
      </c>
      <c r="E348" s="89"/>
      <c r="F348" s="89"/>
      <c r="G348" s="89"/>
      <c r="H348" s="89"/>
      <c r="I348" s="89"/>
      <c r="J348" s="89"/>
      <c r="K348" s="154">
        <f t="shared" si="26"/>
        <v>0</v>
      </c>
      <c r="L348" s="154">
        <f t="shared" si="26"/>
        <v>0</v>
      </c>
      <c r="M348" s="154">
        <f t="shared" si="26"/>
        <v>0</v>
      </c>
      <c r="N348" s="154">
        <f t="shared" si="26"/>
        <v>0</v>
      </c>
    </row>
    <row r="349" spans="1:14" x14ac:dyDescent="0.25">
      <c r="A349" s="152">
        <v>6333000</v>
      </c>
      <c r="B349" s="51" t="s">
        <v>811</v>
      </c>
      <c r="C349" s="88"/>
      <c r="D349" s="220">
        <f t="shared" si="24"/>
        <v>0</v>
      </c>
      <c r="E349" s="89"/>
      <c r="F349" s="89"/>
      <c r="G349" s="89"/>
      <c r="H349" s="89"/>
      <c r="I349" s="89"/>
      <c r="J349" s="89"/>
      <c r="K349" s="154">
        <f t="shared" si="26"/>
        <v>0</v>
      </c>
      <c r="L349" s="154">
        <f t="shared" si="26"/>
        <v>0</v>
      </c>
      <c r="M349" s="154">
        <f t="shared" si="26"/>
        <v>0</v>
      </c>
      <c r="N349" s="154">
        <f t="shared" si="26"/>
        <v>0</v>
      </c>
    </row>
    <row r="350" spans="1:14" x14ac:dyDescent="0.25">
      <c r="A350" s="152">
        <v>6333000</v>
      </c>
      <c r="B350" s="51" t="s">
        <v>23</v>
      </c>
      <c r="C350" s="88"/>
      <c r="D350" s="220">
        <f t="shared" si="24"/>
        <v>0</v>
      </c>
      <c r="E350" s="89"/>
      <c r="F350" s="89"/>
      <c r="G350" s="89"/>
      <c r="H350" s="89"/>
      <c r="I350" s="89"/>
      <c r="J350" s="89"/>
      <c r="K350" s="154">
        <f t="shared" si="26"/>
        <v>0</v>
      </c>
      <c r="L350" s="154">
        <f t="shared" si="26"/>
        <v>0</v>
      </c>
      <c r="M350" s="154">
        <f t="shared" si="26"/>
        <v>0</v>
      </c>
      <c r="N350" s="154">
        <f t="shared" si="26"/>
        <v>0</v>
      </c>
    </row>
    <row r="351" spans="1:14" x14ac:dyDescent="0.25">
      <c r="A351" s="152">
        <v>6333000</v>
      </c>
      <c r="B351" s="73" t="s">
        <v>268</v>
      </c>
      <c r="C351" s="88"/>
      <c r="D351" s="220">
        <f t="shared" si="24"/>
        <v>0</v>
      </c>
      <c r="E351" s="89"/>
      <c r="F351" s="89"/>
      <c r="G351" s="89"/>
      <c r="H351" s="89"/>
      <c r="I351" s="89"/>
      <c r="J351" s="89"/>
      <c r="K351" s="154">
        <f t="shared" si="26"/>
        <v>0</v>
      </c>
      <c r="L351" s="154">
        <f t="shared" si="26"/>
        <v>0</v>
      </c>
      <c r="M351" s="154">
        <f t="shared" si="26"/>
        <v>0</v>
      </c>
      <c r="N351" s="154">
        <f t="shared" si="26"/>
        <v>0</v>
      </c>
    </row>
    <row r="352" spans="1:14" x14ac:dyDescent="0.25">
      <c r="A352" s="152">
        <v>6333000</v>
      </c>
      <c r="B352" s="73" t="s">
        <v>267</v>
      </c>
      <c r="C352" s="88"/>
      <c r="D352" s="220">
        <f t="shared" si="24"/>
        <v>0</v>
      </c>
      <c r="E352" s="89"/>
      <c r="F352" s="89"/>
      <c r="G352" s="89"/>
      <c r="H352" s="89"/>
      <c r="I352" s="89"/>
      <c r="J352" s="89"/>
      <c r="K352" s="154">
        <f t="shared" si="26"/>
        <v>0</v>
      </c>
      <c r="L352" s="154">
        <f t="shared" si="26"/>
        <v>0</v>
      </c>
      <c r="M352" s="154">
        <f t="shared" si="26"/>
        <v>0</v>
      </c>
      <c r="N352" s="154">
        <f t="shared" si="26"/>
        <v>0</v>
      </c>
    </row>
    <row r="353" spans="1:14" ht="15.75" thickBot="1" x14ac:dyDescent="0.3">
      <c r="A353" s="152">
        <v>6333000</v>
      </c>
      <c r="B353" s="73" t="s">
        <v>920</v>
      </c>
      <c r="C353" s="88"/>
      <c r="D353" s="220">
        <f t="shared" si="24"/>
        <v>0</v>
      </c>
      <c r="E353" s="89"/>
      <c r="F353" s="89"/>
      <c r="G353" s="89"/>
      <c r="H353" s="89"/>
      <c r="I353" s="89"/>
      <c r="J353" s="89"/>
      <c r="K353" s="154">
        <f t="shared" si="26"/>
        <v>0</v>
      </c>
      <c r="L353" s="154">
        <f t="shared" si="26"/>
        <v>0</v>
      </c>
      <c r="M353" s="154">
        <f t="shared" si="26"/>
        <v>0</v>
      </c>
      <c r="N353" s="154">
        <f t="shared" si="26"/>
        <v>0</v>
      </c>
    </row>
    <row r="354" spans="1:14" x14ac:dyDescent="0.25">
      <c r="A354" s="151">
        <v>6310000</v>
      </c>
      <c r="B354" s="84" t="s">
        <v>19</v>
      </c>
      <c r="C354" s="85"/>
      <c r="D354" s="210">
        <f t="shared" si="24"/>
        <v>0</v>
      </c>
      <c r="E354" s="86"/>
      <c r="F354" s="86"/>
      <c r="G354" s="86"/>
      <c r="H354" s="86"/>
      <c r="I354" s="86"/>
      <c r="J354" s="86"/>
      <c r="K354" s="156">
        <f t="shared" ref="K354:N373" si="27">SUMIFS(K$26:K$212,$A$26:$A$212,$A354,$B$26:$B$212,$B354)</f>
        <v>0</v>
      </c>
      <c r="L354" s="156">
        <f t="shared" si="27"/>
        <v>0</v>
      </c>
      <c r="M354" s="156">
        <f t="shared" si="27"/>
        <v>0</v>
      </c>
      <c r="N354" s="156">
        <f t="shared" si="27"/>
        <v>0</v>
      </c>
    </row>
    <row r="355" spans="1:14" x14ac:dyDescent="0.25">
      <c r="A355" s="152">
        <v>6310000</v>
      </c>
      <c r="B355" s="73" t="s">
        <v>18</v>
      </c>
      <c r="C355" s="88"/>
      <c r="D355" s="220">
        <f t="shared" si="24"/>
        <v>0</v>
      </c>
      <c r="E355" s="89"/>
      <c r="F355" s="89"/>
      <c r="G355" s="89"/>
      <c r="H355" s="89"/>
      <c r="I355" s="89"/>
      <c r="J355" s="89"/>
      <c r="K355" s="154">
        <f t="shared" si="27"/>
        <v>0</v>
      </c>
      <c r="L355" s="154">
        <f t="shared" si="27"/>
        <v>0</v>
      </c>
      <c r="M355" s="154">
        <f t="shared" si="27"/>
        <v>0</v>
      </c>
      <c r="N355" s="154">
        <f t="shared" si="27"/>
        <v>0</v>
      </c>
    </row>
    <row r="356" spans="1:14" x14ac:dyDescent="0.25">
      <c r="A356" s="152">
        <v>6310000</v>
      </c>
      <c r="B356" s="73" t="s">
        <v>22</v>
      </c>
      <c r="C356" s="88"/>
      <c r="D356" s="220">
        <f t="shared" si="24"/>
        <v>0</v>
      </c>
      <c r="E356" s="89"/>
      <c r="F356" s="89"/>
      <c r="G356" s="89"/>
      <c r="H356" s="89"/>
      <c r="I356" s="89"/>
      <c r="J356" s="89"/>
      <c r="K356" s="154">
        <f t="shared" si="27"/>
        <v>0</v>
      </c>
      <c r="L356" s="154">
        <f t="shared" si="27"/>
        <v>0</v>
      </c>
      <c r="M356" s="154">
        <f t="shared" si="27"/>
        <v>0</v>
      </c>
      <c r="N356" s="154">
        <f t="shared" si="27"/>
        <v>0</v>
      </c>
    </row>
    <row r="357" spans="1:14" x14ac:dyDescent="0.25">
      <c r="A357" s="152">
        <v>6310000</v>
      </c>
      <c r="B357" s="73" t="s">
        <v>24</v>
      </c>
      <c r="C357" s="88"/>
      <c r="D357" s="220">
        <f t="shared" si="24"/>
        <v>0</v>
      </c>
      <c r="E357" s="89"/>
      <c r="F357" s="89"/>
      <c r="G357" s="89"/>
      <c r="H357" s="89"/>
      <c r="I357" s="89"/>
      <c r="J357" s="89"/>
      <c r="K357" s="154">
        <f t="shared" si="27"/>
        <v>0</v>
      </c>
      <c r="L357" s="154">
        <f t="shared" si="27"/>
        <v>0</v>
      </c>
      <c r="M357" s="154">
        <f t="shared" si="27"/>
        <v>0</v>
      </c>
      <c r="N357" s="154">
        <f t="shared" si="27"/>
        <v>0</v>
      </c>
    </row>
    <row r="358" spans="1:14" x14ac:dyDescent="0.25">
      <c r="A358" s="152">
        <v>6310000</v>
      </c>
      <c r="B358" s="73" t="s">
        <v>25</v>
      </c>
      <c r="C358" s="88"/>
      <c r="D358" s="220">
        <f t="shared" si="24"/>
        <v>0</v>
      </c>
      <c r="E358" s="89"/>
      <c r="F358" s="89"/>
      <c r="G358" s="89"/>
      <c r="H358" s="89"/>
      <c r="I358" s="89"/>
      <c r="J358" s="89"/>
      <c r="K358" s="154">
        <f t="shared" si="27"/>
        <v>0</v>
      </c>
      <c r="L358" s="154">
        <f t="shared" si="27"/>
        <v>0</v>
      </c>
      <c r="M358" s="154">
        <f t="shared" si="27"/>
        <v>0</v>
      </c>
      <c r="N358" s="154">
        <f t="shared" si="27"/>
        <v>0</v>
      </c>
    </row>
    <row r="359" spans="1:14" x14ac:dyDescent="0.25">
      <c r="A359" s="152">
        <v>6310000</v>
      </c>
      <c r="B359" s="73" t="s">
        <v>394</v>
      </c>
      <c r="C359" s="88"/>
      <c r="D359" s="220">
        <f t="shared" si="24"/>
        <v>0</v>
      </c>
      <c r="E359" s="89"/>
      <c r="F359" s="89"/>
      <c r="G359" s="89"/>
      <c r="H359" s="89"/>
      <c r="I359" s="89"/>
      <c r="J359" s="89"/>
      <c r="K359" s="154">
        <f t="shared" si="27"/>
        <v>0</v>
      </c>
      <c r="L359" s="154">
        <f t="shared" si="27"/>
        <v>0</v>
      </c>
      <c r="M359" s="154">
        <f t="shared" si="27"/>
        <v>0</v>
      </c>
      <c r="N359" s="154">
        <f t="shared" si="27"/>
        <v>0</v>
      </c>
    </row>
    <row r="360" spans="1:14" x14ac:dyDescent="0.25">
      <c r="A360" s="152">
        <v>6310000</v>
      </c>
      <c r="B360" s="73" t="s">
        <v>350</v>
      </c>
      <c r="C360" s="88"/>
      <c r="D360" s="220">
        <f t="shared" si="24"/>
        <v>0</v>
      </c>
      <c r="E360" s="89"/>
      <c r="F360" s="89"/>
      <c r="G360" s="89"/>
      <c r="H360" s="89"/>
      <c r="I360" s="89"/>
      <c r="J360" s="89"/>
      <c r="K360" s="154">
        <f t="shared" si="27"/>
        <v>0</v>
      </c>
      <c r="L360" s="154">
        <f t="shared" si="27"/>
        <v>0</v>
      </c>
      <c r="M360" s="154">
        <f t="shared" si="27"/>
        <v>0</v>
      </c>
      <c r="N360" s="154">
        <f t="shared" si="27"/>
        <v>0</v>
      </c>
    </row>
    <row r="361" spans="1:14" s="407" customFormat="1" x14ac:dyDescent="0.25">
      <c r="A361" s="152">
        <v>6310000</v>
      </c>
      <c r="B361" s="73" t="s">
        <v>1171</v>
      </c>
      <c r="C361" s="88"/>
      <c r="D361" s="220">
        <f t="shared" si="24"/>
        <v>0</v>
      </c>
      <c r="E361" s="89"/>
      <c r="F361" s="89"/>
      <c r="G361" s="89"/>
      <c r="H361" s="89"/>
      <c r="I361" s="89"/>
      <c r="J361" s="89"/>
      <c r="K361" s="212">
        <f t="shared" si="27"/>
        <v>0</v>
      </c>
      <c r="L361" s="212">
        <f t="shared" si="27"/>
        <v>0</v>
      </c>
      <c r="M361" s="212">
        <f t="shared" si="27"/>
        <v>0</v>
      </c>
      <c r="N361" s="212">
        <f t="shared" si="27"/>
        <v>0</v>
      </c>
    </row>
    <row r="362" spans="1:14" s="407" customFormat="1" x14ac:dyDescent="0.25">
      <c r="A362" s="152">
        <v>6310000</v>
      </c>
      <c r="B362" s="73" t="s">
        <v>1182</v>
      </c>
      <c r="C362" s="88"/>
      <c r="D362" s="220">
        <f t="shared" ref="D362:D425" si="28">COUNTIFS($A$26:$A$212,$A362,$B$26:$B$212,$B362)</f>
        <v>0</v>
      </c>
      <c r="E362" s="89"/>
      <c r="F362" s="89"/>
      <c r="G362" s="89"/>
      <c r="H362" s="89"/>
      <c r="I362" s="89"/>
      <c r="J362" s="89"/>
      <c r="K362" s="212">
        <f t="shared" si="27"/>
        <v>0</v>
      </c>
      <c r="L362" s="212">
        <f t="shared" si="27"/>
        <v>0</v>
      </c>
      <c r="M362" s="212">
        <f t="shared" si="27"/>
        <v>0</v>
      </c>
      <c r="N362" s="212">
        <f t="shared" si="27"/>
        <v>0</v>
      </c>
    </row>
    <row r="363" spans="1:14" x14ac:dyDescent="0.25">
      <c r="A363" s="152">
        <v>6310000</v>
      </c>
      <c r="B363" s="73" t="s">
        <v>20</v>
      </c>
      <c r="C363" s="88"/>
      <c r="D363" s="220">
        <f t="shared" si="28"/>
        <v>1</v>
      </c>
      <c r="E363" s="89"/>
      <c r="F363" s="89"/>
      <c r="G363" s="89"/>
      <c r="H363" s="89"/>
      <c r="I363" s="89"/>
      <c r="J363" s="89"/>
      <c r="K363" s="154">
        <f t="shared" si="27"/>
        <v>0</v>
      </c>
      <c r="L363" s="154">
        <f t="shared" si="27"/>
        <v>0</v>
      </c>
      <c r="M363" s="154">
        <f t="shared" si="27"/>
        <v>0</v>
      </c>
      <c r="N363" s="154">
        <f t="shared" si="27"/>
        <v>0</v>
      </c>
    </row>
    <row r="364" spans="1:14" x14ac:dyDescent="0.25">
      <c r="A364" s="152">
        <v>6310000</v>
      </c>
      <c r="B364" s="73" t="s">
        <v>510</v>
      </c>
      <c r="C364" s="88"/>
      <c r="D364" s="220">
        <f t="shared" si="28"/>
        <v>0</v>
      </c>
      <c r="E364" s="89"/>
      <c r="F364" s="89"/>
      <c r="G364" s="89"/>
      <c r="H364" s="89"/>
      <c r="I364" s="89"/>
      <c r="J364" s="89"/>
      <c r="K364" s="154">
        <f t="shared" si="27"/>
        <v>0</v>
      </c>
      <c r="L364" s="154">
        <f t="shared" si="27"/>
        <v>0</v>
      </c>
      <c r="M364" s="154">
        <f t="shared" si="27"/>
        <v>0</v>
      </c>
      <c r="N364" s="154">
        <f t="shared" si="27"/>
        <v>0</v>
      </c>
    </row>
    <row r="365" spans="1:14" x14ac:dyDescent="0.25">
      <c r="A365" s="152">
        <v>6310000</v>
      </c>
      <c r="B365" s="73" t="s">
        <v>272</v>
      </c>
      <c r="C365" s="88"/>
      <c r="D365" s="220">
        <f t="shared" si="28"/>
        <v>0</v>
      </c>
      <c r="E365" s="89"/>
      <c r="F365" s="89"/>
      <c r="G365" s="89"/>
      <c r="H365" s="89"/>
      <c r="I365" s="89"/>
      <c r="J365" s="89"/>
      <c r="K365" s="154">
        <f t="shared" si="27"/>
        <v>0</v>
      </c>
      <c r="L365" s="154">
        <f t="shared" si="27"/>
        <v>0</v>
      </c>
      <c r="M365" s="154">
        <f t="shared" si="27"/>
        <v>0</v>
      </c>
      <c r="N365" s="154">
        <f t="shared" si="27"/>
        <v>0</v>
      </c>
    </row>
    <row r="366" spans="1:14" x14ac:dyDescent="0.25">
      <c r="A366" s="152">
        <v>6310000</v>
      </c>
      <c r="B366" s="51" t="s">
        <v>21</v>
      </c>
      <c r="C366" s="88"/>
      <c r="D366" s="220">
        <f t="shared" si="28"/>
        <v>0</v>
      </c>
      <c r="E366" s="89"/>
      <c r="F366" s="89"/>
      <c r="G366" s="89"/>
      <c r="H366" s="89"/>
      <c r="I366" s="89"/>
      <c r="J366" s="89"/>
      <c r="K366" s="154">
        <f t="shared" si="27"/>
        <v>0</v>
      </c>
      <c r="L366" s="154">
        <f t="shared" si="27"/>
        <v>0</v>
      </c>
      <c r="M366" s="154">
        <f t="shared" si="27"/>
        <v>0</v>
      </c>
      <c r="N366" s="154">
        <f t="shared" si="27"/>
        <v>0</v>
      </c>
    </row>
    <row r="367" spans="1:14" x14ac:dyDescent="0.25">
      <c r="A367" s="152">
        <v>6310000</v>
      </c>
      <c r="B367" s="73" t="s">
        <v>1172</v>
      </c>
      <c r="C367" s="88"/>
      <c r="D367" s="220">
        <f t="shared" si="28"/>
        <v>0</v>
      </c>
      <c r="E367" s="89"/>
      <c r="F367" s="89"/>
      <c r="G367" s="89"/>
      <c r="H367" s="89"/>
      <c r="I367" s="89"/>
      <c r="J367" s="89"/>
      <c r="K367" s="154">
        <f t="shared" si="27"/>
        <v>0</v>
      </c>
      <c r="L367" s="154">
        <f t="shared" si="27"/>
        <v>0</v>
      </c>
      <c r="M367" s="154">
        <f t="shared" si="27"/>
        <v>0</v>
      </c>
      <c r="N367" s="154">
        <f t="shared" si="27"/>
        <v>0</v>
      </c>
    </row>
    <row r="368" spans="1:14" x14ac:dyDescent="0.25">
      <c r="A368" s="152">
        <v>6310000</v>
      </c>
      <c r="B368" s="73" t="s">
        <v>810</v>
      </c>
      <c r="C368" s="88"/>
      <c r="D368" s="220">
        <f t="shared" si="28"/>
        <v>1</v>
      </c>
      <c r="E368" s="89"/>
      <c r="F368" s="89"/>
      <c r="G368" s="89"/>
      <c r="H368" s="89"/>
      <c r="I368" s="89"/>
      <c r="J368" s="89"/>
      <c r="K368" s="154">
        <f t="shared" si="27"/>
        <v>0</v>
      </c>
      <c r="L368" s="154">
        <f t="shared" si="27"/>
        <v>0</v>
      </c>
      <c r="M368" s="154">
        <f t="shared" si="27"/>
        <v>0</v>
      </c>
      <c r="N368" s="154">
        <f t="shared" si="27"/>
        <v>0</v>
      </c>
    </row>
    <row r="369" spans="1:14" x14ac:dyDescent="0.25">
      <c r="A369" s="152">
        <v>6310000</v>
      </c>
      <c r="B369" s="51" t="s">
        <v>811</v>
      </c>
      <c r="C369" s="88"/>
      <c r="D369" s="220">
        <f t="shared" si="28"/>
        <v>0</v>
      </c>
      <c r="E369" s="89"/>
      <c r="F369" s="89"/>
      <c r="G369" s="89"/>
      <c r="H369" s="89"/>
      <c r="I369" s="89"/>
      <c r="J369" s="89"/>
      <c r="K369" s="154">
        <f t="shared" si="27"/>
        <v>0</v>
      </c>
      <c r="L369" s="154">
        <f t="shared" si="27"/>
        <v>0</v>
      </c>
      <c r="M369" s="154">
        <f t="shared" si="27"/>
        <v>0</v>
      </c>
      <c r="N369" s="154">
        <f t="shared" si="27"/>
        <v>0</v>
      </c>
    </row>
    <row r="370" spans="1:14" x14ac:dyDescent="0.25">
      <c r="A370" s="152">
        <v>6310000</v>
      </c>
      <c r="B370" s="51" t="s">
        <v>23</v>
      </c>
      <c r="C370" s="88"/>
      <c r="D370" s="220">
        <f t="shared" si="28"/>
        <v>0</v>
      </c>
      <c r="E370" s="89"/>
      <c r="F370" s="89"/>
      <c r="G370" s="89"/>
      <c r="H370" s="89"/>
      <c r="I370" s="89"/>
      <c r="J370" s="89"/>
      <c r="K370" s="154">
        <f t="shared" si="27"/>
        <v>0</v>
      </c>
      <c r="L370" s="154">
        <f t="shared" si="27"/>
        <v>0</v>
      </c>
      <c r="M370" s="154">
        <f t="shared" si="27"/>
        <v>0</v>
      </c>
      <c r="N370" s="154">
        <f t="shared" si="27"/>
        <v>0</v>
      </c>
    </row>
    <row r="371" spans="1:14" x14ac:dyDescent="0.25">
      <c r="A371" s="152">
        <v>6310000</v>
      </c>
      <c r="B371" s="73" t="s">
        <v>268</v>
      </c>
      <c r="C371" s="88"/>
      <c r="D371" s="220">
        <f t="shared" si="28"/>
        <v>0</v>
      </c>
      <c r="E371" s="89"/>
      <c r="F371" s="89"/>
      <c r="G371" s="89"/>
      <c r="H371" s="89"/>
      <c r="I371" s="89"/>
      <c r="J371" s="89"/>
      <c r="K371" s="154">
        <f t="shared" si="27"/>
        <v>0</v>
      </c>
      <c r="L371" s="154">
        <f t="shared" si="27"/>
        <v>0</v>
      </c>
      <c r="M371" s="154">
        <f t="shared" si="27"/>
        <v>0</v>
      </c>
      <c r="N371" s="154">
        <f t="shared" si="27"/>
        <v>0</v>
      </c>
    </row>
    <row r="372" spans="1:14" x14ac:dyDescent="0.25">
      <c r="A372" s="152">
        <v>6310000</v>
      </c>
      <c r="B372" s="73" t="s">
        <v>267</v>
      </c>
      <c r="C372" s="88"/>
      <c r="D372" s="220">
        <f t="shared" si="28"/>
        <v>0</v>
      </c>
      <c r="E372" s="89"/>
      <c r="F372" s="89"/>
      <c r="G372" s="89"/>
      <c r="H372" s="89"/>
      <c r="I372" s="89"/>
      <c r="J372" s="89"/>
      <c r="K372" s="154">
        <f t="shared" si="27"/>
        <v>0</v>
      </c>
      <c r="L372" s="154">
        <f t="shared" si="27"/>
        <v>0</v>
      </c>
      <c r="M372" s="154">
        <f t="shared" si="27"/>
        <v>0</v>
      </c>
      <c r="N372" s="154">
        <f t="shared" si="27"/>
        <v>0</v>
      </c>
    </row>
    <row r="373" spans="1:14" ht="15.75" thickBot="1" x14ac:dyDescent="0.3">
      <c r="A373" s="152">
        <v>6310000</v>
      </c>
      <c r="B373" s="73" t="s">
        <v>920</v>
      </c>
      <c r="C373" s="88"/>
      <c r="D373" s="220">
        <f t="shared" si="28"/>
        <v>0</v>
      </c>
      <c r="E373" s="89"/>
      <c r="F373" s="89"/>
      <c r="G373" s="89"/>
      <c r="H373" s="89"/>
      <c r="I373" s="89"/>
      <c r="J373" s="89"/>
      <c r="K373" s="154">
        <f t="shared" si="27"/>
        <v>0</v>
      </c>
      <c r="L373" s="154">
        <f t="shared" si="27"/>
        <v>0</v>
      </c>
      <c r="M373" s="154">
        <f t="shared" si="27"/>
        <v>0</v>
      </c>
      <c r="N373" s="154">
        <f t="shared" si="27"/>
        <v>0</v>
      </c>
    </row>
    <row r="374" spans="1:14" x14ac:dyDescent="0.25">
      <c r="A374" s="151">
        <v>6315000</v>
      </c>
      <c r="B374" s="84" t="s">
        <v>19</v>
      </c>
      <c r="C374" s="85"/>
      <c r="D374" s="210">
        <f t="shared" si="28"/>
        <v>0</v>
      </c>
      <c r="E374" s="86"/>
      <c r="F374" s="86"/>
      <c r="G374" s="86"/>
      <c r="H374" s="86"/>
      <c r="I374" s="86"/>
      <c r="J374" s="86"/>
      <c r="K374" s="213">
        <f t="shared" ref="K374:N393" si="29">SUMIFS(K$26:K$212,$A$26:$A$212,$A374,$B$26:$B$212,$B374)</f>
        <v>0</v>
      </c>
      <c r="L374" s="213">
        <f t="shared" si="29"/>
        <v>0</v>
      </c>
      <c r="M374" s="213">
        <f t="shared" si="29"/>
        <v>0</v>
      </c>
      <c r="N374" s="213">
        <f t="shared" si="29"/>
        <v>0</v>
      </c>
    </row>
    <row r="375" spans="1:14" x14ac:dyDescent="0.25">
      <c r="A375" s="152">
        <v>6315000</v>
      </c>
      <c r="B375" s="73" t="s">
        <v>18</v>
      </c>
      <c r="C375" s="88"/>
      <c r="D375" s="220">
        <f t="shared" si="28"/>
        <v>0</v>
      </c>
      <c r="E375" s="89"/>
      <c r="F375" s="89"/>
      <c r="G375" s="89"/>
      <c r="H375" s="89"/>
      <c r="I375" s="89"/>
      <c r="J375" s="89"/>
      <c r="K375" s="212">
        <f t="shared" si="29"/>
        <v>0</v>
      </c>
      <c r="L375" s="212">
        <f t="shared" si="29"/>
        <v>0</v>
      </c>
      <c r="M375" s="212">
        <f t="shared" si="29"/>
        <v>0</v>
      </c>
      <c r="N375" s="212">
        <f t="shared" si="29"/>
        <v>0</v>
      </c>
    </row>
    <row r="376" spans="1:14" x14ac:dyDescent="0.25">
      <c r="A376" s="152">
        <v>6315000</v>
      </c>
      <c r="B376" s="73" t="s">
        <v>22</v>
      </c>
      <c r="C376" s="88"/>
      <c r="D376" s="220">
        <f t="shared" si="28"/>
        <v>0</v>
      </c>
      <c r="E376" s="89"/>
      <c r="F376" s="89"/>
      <c r="G376" s="89"/>
      <c r="H376" s="89"/>
      <c r="I376" s="89"/>
      <c r="J376" s="89"/>
      <c r="K376" s="212">
        <f t="shared" si="29"/>
        <v>0</v>
      </c>
      <c r="L376" s="212">
        <f t="shared" si="29"/>
        <v>0</v>
      </c>
      <c r="M376" s="212">
        <f t="shared" si="29"/>
        <v>0</v>
      </c>
      <c r="N376" s="212">
        <f t="shared" si="29"/>
        <v>0</v>
      </c>
    </row>
    <row r="377" spans="1:14" x14ac:dyDescent="0.25">
      <c r="A377" s="152">
        <v>6315000</v>
      </c>
      <c r="B377" s="73" t="s">
        <v>24</v>
      </c>
      <c r="C377" s="88"/>
      <c r="D377" s="220">
        <f t="shared" si="28"/>
        <v>0</v>
      </c>
      <c r="E377" s="89"/>
      <c r="F377" s="89"/>
      <c r="G377" s="89"/>
      <c r="H377" s="89"/>
      <c r="I377" s="89"/>
      <c r="J377" s="89"/>
      <c r="K377" s="212">
        <f t="shared" si="29"/>
        <v>0</v>
      </c>
      <c r="L377" s="212">
        <f t="shared" si="29"/>
        <v>0</v>
      </c>
      <c r="M377" s="212">
        <f t="shared" si="29"/>
        <v>0</v>
      </c>
      <c r="N377" s="212">
        <f t="shared" si="29"/>
        <v>0</v>
      </c>
    </row>
    <row r="378" spans="1:14" x14ac:dyDescent="0.25">
      <c r="A378" s="152">
        <v>6315000</v>
      </c>
      <c r="B378" s="73" t="s">
        <v>25</v>
      </c>
      <c r="C378" s="88"/>
      <c r="D378" s="220">
        <f t="shared" si="28"/>
        <v>0</v>
      </c>
      <c r="E378" s="89"/>
      <c r="F378" s="89"/>
      <c r="G378" s="89"/>
      <c r="H378" s="89"/>
      <c r="I378" s="89"/>
      <c r="J378" s="89"/>
      <c r="K378" s="212">
        <f t="shared" si="29"/>
        <v>0</v>
      </c>
      <c r="L378" s="212">
        <f t="shared" si="29"/>
        <v>0</v>
      </c>
      <c r="M378" s="212">
        <f t="shared" si="29"/>
        <v>0</v>
      </c>
      <c r="N378" s="212">
        <f t="shared" si="29"/>
        <v>0</v>
      </c>
    </row>
    <row r="379" spans="1:14" x14ac:dyDescent="0.25">
      <c r="A379" s="152">
        <v>6315000</v>
      </c>
      <c r="B379" s="73" t="s">
        <v>394</v>
      </c>
      <c r="C379" s="88"/>
      <c r="D379" s="220">
        <f t="shared" si="28"/>
        <v>0</v>
      </c>
      <c r="E379" s="89"/>
      <c r="F379" s="89"/>
      <c r="G379" s="89"/>
      <c r="H379" s="89"/>
      <c r="I379" s="89"/>
      <c r="J379" s="89"/>
      <c r="K379" s="212">
        <f t="shared" si="29"/>
        <v>0</v>
      </c>
      <c r="L379" s="212">
        <f t="shared" si="29"/>
        <v>0</v>
      </c>
      <c r="M379" s="212">
        <f t="shared" si="29"/>
        <v>0</v>
      </c>
      <c r="N379" s="212">
        <f t="shared" si="29"/>
        <v>0</v>
      </c>
    </row>
    <row r="380" spans="1:14" x14ac:dyDescent="0.25">
      <c r="A380" s="152">
        <v>6315000</v>
      </c>
      <c r="B380" s="73" t="s">
        <v>350</v>
      </c>
      <c r="C380" s="88"/>
      <c r="D380" s="220">
        <f t="shared" si="28"/>
        <v>3</v>
      </c>
      <c r="E380" s="89"/>
      <c r="F380" s="89"/>
      <c r="G380" s="89"/>
      <c r="H380" s="89"/>
      <c r="I380" s="89"/>
      <c r="J380" s="89"/>
      <c r="K380" s="212">
        <f t="shared" si="29"/>
        <v>0</v>
      </c>
      <c r="L380" s="212">
        <f t="shared" si="29"/>
        <v>0</v>
      </c>
      <c r="M380" s="212">
        <f t="shared" si="29"/>
        <v>0</v>
      </c>
      <c r="N380" s="212">
        <f t="shared" si="29"/>
        <v>1500</v>
      </c>
    </row>
    <row r="381" spans="1:14" s="407" customFormat="1" x14ac:dyDescent="0.25">
      <c r="A381" s="152">
        <v>6315000</v>
      </c>
      <c r="B381" s="73" t="s">
        <v>1171</v>
      </c>
      <c r="C381" s="88"/>
      <c r="D381" s="220">
        <f t="shared" si="28"/>
        <v>0</v>
      </c>
      <c r="E381" s="89"/>
      <c r="F381" s="89"/>
      <c r="G381" s="89"/>
      <c r="H381" s="89"/>
      <c r="I381" s="89"/>
      <c r="J381" s="89"/>
      <c r="K381" s="212">
        <f t="shared" si="29"/>
        <v>0</v>
      </c>
      <c r="L381" s="212">
        <f t="shared" si="29"/>
        <v>0</v>
      </c>
      <c r="M381" s="212">
        <f t="shared" si="29"/>
        <v>0</v>
      </c>
      <c r="N381" s="212">
        <f t="shared" si="29"/>
        <v>0</v>
      </c>
    </row>
    <row r="382" spans="1:14" s="407" customFormat="1" x14ac:dyDescent="0.25">
      <c r="A382" s="152">
        <v>6315000</v>
      </c>
      <c r="B382" s="73" t="s">
        <v>1182</v>
      </c>
      <c r="C382" s="88"/>
      <c r="D382" s="220">
        <f t="shared" si="28"/>
        <v>0</v>
      </c>
      <c r="E382" s="89"/>
      <c r="F382" s="89"/>
      <c r="G382" s="89"/>
      <c r="H382" s="89"/>
      <c r="I382" s="89"/>
      <c r="J382" s="89"/>
      <c r="K382" s="212">
        <f t="shared" si="29"/>
        <v>0</v>
      </c>
      <c r="L382" s="212">
        <f t="shared" si="29"/>
        <v>0</v>
      </c>
      <c r="M382" s="212">
        <f t="shared" si="29"/>
        <v>0</v>
      </c>
      <c r="N382" s="212">
        <f t="shared" si="29"/>
        <v>0</v>
      </c>
    </row>
    <row r="383" spans="1:14" x14ac:dyDescent="0.25">
      <c r="A383" s="152">
        <v>6315000</v>
      </c>
      <c r="B383" s="73" t="s">
        <v>20</v>
      </c>
      <c r="C383" s="88"/>
      <c r="D383" s="220">
        <f t="shared" si="28"/>
        <v>0</v>
      </c>
      <c r="E383" s="89"/>
      <c r="F383" s="89"/>
      <c r="G383" s="89"/>
      <c r="H383" s="89"/>
      <c r="I383" s="89"/>
      <c r="J383" s="89"/>
      <c r="K383" s="212">
        <f t="shared" si="29"/>
        <v>0</v>
      </c>
      <c r="L383" s="212">
        <f t="shared" si="29"/>
        <v>0</v>
      </c>
      <c r="M383" s="212">
        <f t="shared" si="29"/>
        <v>0</v>
      </c>
      <c r="N383" s="212">
        <f t="shared" si="29"/>
        <v>0</v>
      </c>
    </row>
    <row r="384" spans="1:14" x14ac:dyDescent="0.25">
      <c r="A384" s="152">
        <v>6315000</v>
      </c>
      <c r="B384" s="73" t="s">
        <v>510</v>
      </c>
      <c r="C384" s="88"/>
      <c r="D384" s="220">
        <f t="shared" si="28"/>
        <v>0</v>
      </c>
      <c r="E384" s="89"/>
      <c r="F384" s="89"/>
      <c r="G384" s="89"/>
      <c r="H384" s="89"/>
      <c r="I384" s="89"/>
      <c r="J384" s="89"/>
      <c r="K384" s="212">
        <f t="shared" si="29"/>
        <v>0</v>
      </c>
      <c r="L384" s="212">
        <f t="shared" si="29"/>
        <v>0</v>
      </c>
      <c r="M384" s="212">
        <f t="shared" si="29"/>
        <v>0</v>
      </c>
      <c r="N384" s="212">
        <f t="shared" si="29"/>
        <v>0</v>
      </c>
    </row>
    <row r="385" spans="1:14" x14ac:dyDescent="0.25">
      <c r="A385" s="152">
        <v>6315000</v>
      </c>
      <c r="B385" s="73" t="s">
        <v>272</v>
      </c>
      <c r="C385" s="88"/>
      <c r="D385" s="220">
        <f t="shared" si="28"/>
        <v>0</v>
      </c>
      <c r="E385" s="89"/>
      <c r="F385" s="89"/>
      <c r="G385" s="89"/>
      <c r="H385" s="89"/>
      <c r="I385" s="89"/>
      <c r="J385" s="89"/>
      <c r="K385" s="212">
        <f t="shared" si="29"/>
        <v>0</v>
      </c>
      <c r="L385" s="212">
        <f t="shared" si="29"/>
        <v>0</v>
      </c>
      <c r="M385" s="212">
        <f t="shared" si="29"/>
        <v>0</v>
      </c>
      <c r="N385" s="212">
        <f t="shared" si="29"/>
        <v>0</v>
      </c>
    </row>
    <row r="386" spans="1:14" x14ac:dyDescent="0.25">
      <c r="A386" s="152">
        <v>6315000</v>
      </c>
      <c r="B386" s="51" t="s">
        <v>21</v>
      </c>
      <c r="C386" s="88"/>
      <c r="D386" s="220">
        <f t="shared" si="28"/>
        <v>0</v>
      </c>
      <c r="E386" s="89"/>
      <c r="F386" s="89"/>
      <c r="G386" s="89"/>
      <c r="H386" s="89"/>
      <c r="I386" s="89"/>
      <c r="J386" s="89"/>
      <c r="K386" s="212">
        <f t="shared" si="29"/>
        <v>0</v>
      </c>
      <c r="L386" s="212">
        <f t="shared" si="29"/>
        <v>0</v>
      </c>
      <c r="M386" s="212">
        <f t="shared" si="29"/>
        <v>0</v>
      </c>
      <c r="N386" s="212">
        <f t="shared" si="29"/>
        <v>0</v>
      </c>
    </row>
    <row r="387" spans="1:14" x14ac:dyDescent="0.25">
      <c r="A387" s="152">
        <v>6315000</v>
      </c>
      <c r="B387" s="73" t="s">
        <v>1172</v>
      </c>
      <c r="C387" s="88"/>
      <c r="D387" s="220">
        <f t="shared" si="28"/>
        <v>0</v>
      </c>
      <c r="E387" s="89"/>
      <c r="F387" s="89"/>
      <c r="G387" s="89"/>
      <c r="H387" s="89"/>
      <c r="I387" s="89"/>
      <c r="J387" s="89"/>
      <c r="K387" s="212">
        <f t="shared" si="29"/>
        <v>0</v>
      </c>
      <c r="L387" s="212">
        <f t="shared" si="29"/>
        <v>0</v>
      </c>
      <c r="M387" s="212">
        <f t="shared" si="29"/>
        <v>0</v>
      </c>
      <c r="N387" s="212">
        <f t="shared" si="29"/>
        <v>0</v>
      </c>
    </row>
    <row r="388" spans="1:14" x14ac:dyDescent="0.25">
      <c r="A388" s="152">
        <v>6315000</v>
      </c>
      <c r="B388" s="73" t="s">
        <v>810</v>
      </c>
      <c r="C388" s="88"/>
      <c r="D388" s="220">
        <f t="shared" si="28"/>
        <v>4</v>
      </c>
      <c r="E388" s="89"/>
      <c r="F388" s="89"/>
      <c r="G388" s="89"/>
      <c r="H388" s="89"/>
      <c r="I388" s="89"/>
      <c r="J388" s="89"/>
      <c r="K388" s="212">
        <f t="shared" si="29"/>
        <v>0</v>
      </c>
      <c r="L388" s="212">
        <f t="shared" si="29"/>
        <v>0</v>
      </c>
      <c r="M388" s="212">
        <f t="shared" si="29"/>
        <v>0</v>
      </c>
      <c r="N388" s="212">
        <f t="shared" si="29"/>
        <v>16000</v>
      </c>
    </row>
    <row r="389" spans="1:14" x14ac:dyDescent="0.25">
      <c r="A389" s="152">
        <v>6315000</v>
      </c>
      <c r="B389" s="51" t="s">
        <v>811</v>
      </c>
      <c r="C389" s="88"/>
      <c r="D389" s="220">
        <f t="shared" si="28"/>
        <v>0</v>
      </c>
      <c r="E389" s="89"/>
      <c r="F389" s="89"/>
      <c r="G389" s="89"/>
      <c r="H389" s="89"/>
      <c r="I389" s="89"/>
      <c r="J389" s="89"/>
      <c r="K389" s="212">
        <f t="shared" si="29"/>
        <v>0</v>
      </c>
      <c r="L389" s="212">
        <f t="shared" si="29"/>
        <v>0</v>
      </c>
      <c r="M389" s="212">
        <f t="shared" si="29"/>
        <v>0</v>
      </c>
      <c r="N389" s="212">
        <f t="shared" si="29"/>
        <v>0</v>
      </c>
    </row>
    <row r="390" spans="1:14" x14ac:dyDescent="0.25">
      <c r="A390" s="152">
        <v>6315000</v>
      </c>
      <c r="B390" s="51" t="s">
        <v>23</v>
      </c>
      <c r="C390" s="88"/>
      <c r="D390" s="220">
        <f t="shared" si="28"/>
        <v>0</v>
      </c>
      <c r="E390" s="89"/>
      <c r="F390" s="89"/>
      <c r="G390" s="89"/>
      <c r="H390" s="89"/>
      <c r="I390" s="89"/>
      <c r="J390" s="89"/>
      <c r="K390" s="212">
        <f t="shared" si="29"/>
        <v>0</v>
      </c>
      <c r="L390" s="212">
        <f t="shared" si="29"/>
        <v>0</v>
      </c>
      <c r="M390" s="212">
        <f t="shared" si="29"/>
        <v>0</v>
      </c>
      <c r="N390" s="212">
        <f t="shared" si="29"/>
        <v>0</v>
      </c>
    </row>
    <row r="391" spans="1:14" x14ac:dyDescent="0.25">
      <c r="A391" s="152">
        <v>6315000</v>
      </c>
      <c r="B391" s="73" t="s">
        <v>268</v>
      </c>
      <c r="C391" s="88"/>
      <c r="D391" s="220">
        <f t="shared" si="28"/>
        <v>0</v>
      </c>
      <c r="E391" s="89"/>
      <c r="F391" s="89"/>
      <c r="G391" s="89"/>
      <c r="H391" s="89"/>
      <c r="I391" s="89"/>
      <c r="J391" s="89"/>
      <c r="K391" s="212">
        <f t="shared" si="29"/>
        <v>0</v>
      </c>
      <c r="L391" s="212">
        <f t="shared" si="29"/>
        <v>0</v>
      </c>
      <c r="M391" s="212">
        <f t="shared" si="29"/>
        <v>0</v>
      </c>
      <c r="N391" s="212">
        <f t="shared" si="29"/>
        <v>0</v>
      </c>
    </row>
    <row r="392" spans="1:14" x14ac:dyDescent="0.25">
      <c r="A392" s="152">
        <v>6315000</v>
      </c>
      <c r="B392" s="73" t="s">
        <v>267</v>
      </c>
      <c r="C392" s="88"/>
      <c r="D392" s="220">
        <f t="shared" si="28"/>
        <v>0</v>
      </c>
      <c r="E392" s="89"/>
      <c r="F392" s="89"/>
      <c r="G392" s="89"/>
      <c r="H392" s="89"/>
      <c r="I392" s="89"/>
      <c r="J392" s="89"/>
      <c r="K392" s="212">
        <f t="shared" si="29"/>
        <v>0</v>
      </c>
      <c r="L392" s="212">
        <f t="shared" si="29"/>
        <v>0</v>
      </c>
      <c r="M392" s="212">
        <f t="shared" si="29"/>
        <v>0</v>
      </c>
      <c r="N392" s="212">
        <f t="shared" si="29"/>
        <v>0</v>
      </c>
    </row>
    <row r="393" spans="1:14" ht="15.75" thickBot="1" x14ac:dyDescent="0.3">
      <c r="A393" s="152">
        <v>6315000</v>
      </c>
      <c r="B393" s="73" t="s">
        <v>920</v>
      </c>
      <c r="C393" s="88"/>
      <c r="D393" s="220">
        <f t="shared" si="28"/>
        <v>0</v>
      </c>
      <c r="E393" s="89"/>
      <c r="F393" s="89"/>
      <c r="G393" s="89"/>
      <c r="H393" s="89"/>
      <c r="I393" s="89"/>
      <c r="J393" s="89"/>
      <c r="K393" s="212">
        <f t="shared" si="29"/>
        <v>0</v>
      </c>
      <c r="L393" s="212">
        <f t="shared" si="29"/>
        <v>0</v>
      </c>
      <c r="M393" s="212">
        <f t="shared" si="29"/>
        <v>0</v>
      </c>
      <c r="N393" s="212">
        <f t="shared" si="29"/>
        <v>0</v>
      </c>
    </row>
    <row r="394" spans="1:14" x14ac:dyDescent="0.25">
      <c r="A394" s="151">
        <v>6385000</v>
      </c>
      <c r="B394" s="84" t="s">
        <v>19</v>
      </c>
      <c r="C394" s="85"/>
      <c r="D394" s="210">
        <f t="shared" si="28"/>
        <v>0</v>
      </c>
      <c r="E394" s="86"/>
      <c r="F394" s="86"/>
      <c r="G394" s="86"/>
      <c r="H394" s="86"/>
      <c r="I394" s="86"/>
      <c r="J394" s="86"/>
      <c r="K394" s="156">
        <f t="shared" ref="K394:N413" si="30">SUMIFS(K$26:K$212,$A$26:$A$212,$A394,$B$26:$B$212,$B394)</f>
        <v>0</v>
      </c>
      <c r="L394" s="156">
        <f t="shared" si="30"/>
        <v>0</v>
      </c>
      <c r="M394" s="156">
        <f t="shared" si="30"/>
        <v>0</v>
      </c>
      <c r="N394" s="156">
        <f t="shared" si="30"/>
        <v>0</v>
      </c>
    </row>
    <row r="395" spans="1:14" x14ac:dyDescent="0.25">
      <c r="A395" s="152">
        <v>6385000</v>
      </c>
      <c r="B395" s="73" t="s">
        <v>18</v>
      </c>
      <c r="C395" s="88"/>
      <c r="D395" s="220">
        <f t="shared" si="28"/>
        <v>0</v>
      </c>
      <c r="E395" s="89"/>
      <c r="F395" s="89"/>
      <c r="G395" s="89"/>
      <c r="H395" s="89"/>
      <c r="I395" s="89"/>
      <c r="J395" s="89"/>
      <c r="K395" s="154">
        <f t="shared" si="30"/>
        <v>0</v>
      </c>
      <c r="L395" s="154">
        <f t="shared" si="30"/>
        <v>0</v>
      </c>
      <c r="M395" s="154">
        <f t="shared" si="30"/>
        <v>0</v>
      </c>
      <c r="N395" s="154">
        <f t="shared" si="30"/>
        <v>0</v>
      </c>
    </row>
    <row r="396" spans="1:14" x14ac:dyDescent="0.25">
      <c r="A396" s="152">
        <v>6385000</v>
      </c>
      <c r="B396" s="73" t="s">
        <v>22</v>
      </c>
      <c r="C396" s="88"/>
      <c r="D396" s="220">
        <f t="shared" si="28"/>
        <v>1</v>
      </c>
      <c r="E396" s="89"/>
      <c r="F396" s="89"/>
      <c r="G396" s="89"/>
      <c r="H396" s="89"/>
      <c r="I396" s="89"/>
      <c r="J396" s="89"/>
      <c r="K396" s="154">
        <f t="shared" si="30"/>
        <v>0</v>
      </c>
      <c r="L396" s="154">
        <f t="shared" si="30"/>
        <v>0</v>
      </c>
      <c r="M396" s="154">
        <f t="shared" si="30"/>
        <v>0</v>
      </c>
      <c r="N396" s="154">
        <f t="shared" si="30"/>
        <v>1200</v>
      </c>
    </row>
    <row r="397" spans="1:14" x14ac:dyDescent="0.25">
      <c r="A397" s="152">
        <v>6385000</v>
      </c>
      <c r="B397" s="73" t="s">
        <v>24</v>
      </c>
      <c r="C397" s="88"/>
      <c r="D397" s="220">
        <f t="shared" si="28"/>
        <v>1</v>
      </c>
      <c r="E397" s="89"/>
      <c r="F397" s="89"/>
      <c r="G397" s="89"/>
      <c r="H397" s="89"/>
      <c r="I397" s="89"/>
      <c r="J397" s="89"/>
      <c r="K397" s="154">
        <f t="shared" si="30"/>
        <v>0</v>
      </c>
      <c r="L397" s="154">
        <f t="shared" si="30"/>
        <v>0</v>
      </c>
      <c r="M397" s="154">
        <f t="shared" si="30"/>
        <v>0</v>
      </c>
      <c r="N397" s="154">
        <f t="shared" si="30"/>
        <v>1000</v>
      </c>
    </row>
    <row r="398" spans="1:14" x14ac:dyDescent="0.25">
      <c r="A398" s="152">
        <v>6385000</v>
      </c>
      <c r="B398" s="73" t="s">
        <v>25</v>
      </c>
      <c r="C398" s="88"/>
      <c r="D398" s="220">
        <f t="shared" si="28"/>
        <v>0</v>
      </c>
      <c r="E398" s="89"/>
      <c r="F398" s="89"/>
      <c r="G398" s="89"/>
      <c r="H398" s="89"/>
      <c r="I398" s="89"/>
      <c r="J398" s="89"/>
      <c r="K398" s="154">
        <f t="shared" si="30"/>
        <v>0</v>
      </c>
      <c r="L398" s="154">
        <f t="shared" si="30"/>
        <v>0</v>
      </c>
      <c r="M398" s="154">
        <f t="shared" si="30"/>
        <v>0</v>
      </c>
      <c r="N398" s="154">
        <f t="shared" si="30"/>
        <v>0</v>
      </c>
    </row>
    <row r="399" spans="1:14" x14ac:dyDescent="0.25">
      <c r="A399" s="152">
        <v>6385000</v>
      </c>
      <c r="B399" s="73" t="s">
        <v>394</v>
      </c>
      <c r="C399" s="88"/>
      <c r="D399" s="220">
        <f t="shared" si="28"/>
        <v>0</v>
      </c>
      <c r="E399" s="89"/>
      <c r="F399" s="89"/>
      <c r="G399" s="89"/>
      <c r="H399" s="89"/>
      <c r="I399" s="89"/>
      <c r="J399" s="89"/>
      <c r="K399" s="154">
        <f t="shared" si="30"/>
        <v>0</v>
      </c>
      <c r="L399" s="154">
        <f t="shared" si="30"/>
        <v>0</v>
      </c>
      <c r="M399" s="154">
        <f t="shared" si="30"/>
        <v>0</v>
      </c>
      <c r="N399" s="154">
        <f t="shared" si="30"/>
        <v>0</v>
      </c>
    </row>
    <row r="400" spans="1:14" x14ac:dyDescent="0.25">
      <c r="A400" s="152">
        <v>6385000</v>
      </c>
      <c r="B400" s="73" t="s">
        <v>350</v>
      </c>
      <c r="C400" s="88"/>
      <c r="D400" s="220">
        <f t="shared" si="28"/>
        <v>0</v>
      </c>
      <c r="E400" s="89"/>
      <c r="F400" s="89"/>
      <c r="G400" s="89"/>
      <c r="H400" s="89"/>
      <c r="I400" s="89"/>
      <c r="J400" s="89"/>
      <c r="K400" s="154">
        <f t="shared" si="30"/>
        <v>0</v>
      </c>
      <c r="L400" s="154">
        <f t="shared" si="30"/>
        <v>0</v>
      </c>
      <c r="M400" s="154">
        <f t="shared" si="30"/>
        <v>0</v>
      </c>
      <c r="N400" s="154">
        <f t="shared" si="30"/>
        <v>0</v>
      </c>
    </row>
    <row r="401" spans="1:14" x14ac:dyDescent="0.25">
      <c r="A401" s="152">
        <v>6385000</v>
      </c>
      <c r="B401" s="73" t="s">
        <v>1171</v>
      </c>
      <c r="C401" s="88"/>
      <c r="D401" s="220">
        <f t="shared" si="28"/>
        <v>0</v>
      </c>
      <c r="E401" s="89"/>
      <c r="F401" s="89"/>
      <c r="G401" s="89"/>
      <c r="H401" s="89"/>
      <c r="I401" s="89"/>
      <c r="J401" s="89"/>
      <c r="K401" s="154">
        <f t="shared" si="30"/>
        <v>0</v>
      </c>
      <c r="L401" s="154">
        <f t="shared" si="30"/>
        <v>0</v>
      </c>
      <c r="M401" s="154">
        <f t="shared" si="30"/>
        <v>0</v>
      </c>
      <c r="N401" s="154">
        <f t="shared" si="30"/>
        <v>0</v>
      </c>
    </row>
    <row r="402" spans="1:14" s="407" customFormat="1" x14ac:dyDescent="0.25">
      <c r="A402" s="152">
        <v>6385000</v>
      </c>
      <c r="B402" s="73" t="s">
        <v>1182</v>
      </c>
      <c r="C402" s="88"/>
      <c r="D402" s="220">
        <f t="shared" si="28"/>
        <v>1</v>
      </c>
      <c r="E402" s="89"/>
      <c r="F402" s="89"/>
      <c r="G402" s="89"/>
      <c r="H402" s="89"/>
      <c r="I402" s="89"/>
      <c r="J402" s="89"/>
      <c r="K402" s="212">
        <f t="shared" si="30"/>
        <v>0</v>
      </c>
      <c r="L402" s="212">
        <f t="shared" si="30"/>
        <v>0</v>
      </c>
      <c r="M402" s="212">
        <f t="shared" si="30"/>
        <v>0</v>
      </c>
      <c r="N402" s="212">
        <f t="shared" si="30"/>
        <v>1500</v>
      </c>
    </row>
    <row r="403" spans="1:14" s="407" customFormat="1" x14ac:dyDescent="0.25">
      <c r="A403" s="152">
        <v>6385000</v>
      </c>
      <c r="B403" s="73" t="s">
        <v>20</v>
      </c>
      <c r="C403" s="88"/>
      <c r="D403" s="220">
        <f t="shared" si="28"/>
        <v>0</v>
      </c>
      <c r="E403" s="89"/>
      <c r="F403" s="89"/>
      <c r="G403" s="89"/>
      <c r="H403" s="89"/>
      <c r="I403" s="89"/>
      <c r="J403" s="89"/>
      <c r="K403" s="212">
        <f t="shared" si="30"/>
        <v>0</v>
      </c>
      <c r="L403" s="212">
        <f t="shared" si="30"/>
        <v>0</v>
      </c>
      <c r="M403" s="212">
        <f t="shared" si="30"/>
        <v>0</v>
      </c>
      <c r="N403" s="212">
        <f t="shared" si="30"/>
        <v>0</v>
      </c>
    </row>
    <row r="404" spans="1:14" x14ac:dyDescent="0.25">
      <c r="A404" s="152">
        <v>6385000</v>
      </c>
      <c r="B404" s="73" t="s">
        <v>510</v>
      </c>
      <c r="C404" s="88"/>
      <c r="D404" s="220">
        <f t="shared" si="28"/>
        <v>0</v>
      </c>
      <c r="E404" s="89"/>
      <c r="F404" s="89"/>
      <c r="G404" s="89"/>
      <c r="H404" s="89"/>
      <c r="I404" s="89"/>
      <c r="J404" s="89"/>
      <c r="K404" s="154">
        <f t="shared" si="30"/>
        <v>0</v>
      </c>
      <c r="L404" s="154">
        <f t="shared" si="30"/>
        <v>0</v>
      </c>
      <c r="M404" s="154">
        <f t="shared" si="30"/>
        <v>0</v>
      </c>
      <c r="N404" s="154">
        <f t="shared" si="30"/>
        <v>0</v>
      </c>
    </row>
    <row r="405" spans="1:14" x14ac:dyDescent="0.25">
      <c r="A405" s="152">
        <v>6385000</v>
      </c>
      <c r="B405" s="73" t="s">
        <v>272</v>
      </c>
      <c r="C405" s="88"/>
      <c r="D405" s="220">
        <f t="shared" si="28"/>
        <v>0</v>
      </c>
      <c r="E405" s="89"/>
      <c r="F405" s="89"/>
      <c r="G405" s="89"/>
      <c r="H405" s="89"/>
      <c r="I405" s="89"/>
      <c r="J405" s="89"/>
      <c r="K405" s="154">
        <f t="shared" si="30"/>
        <v>0</v>
      </c>
      <c r="L405" s="154">
        <f t="shared" si="30"/>
        <v>0</v>
      </c>
      <c r="M405" s="154">
        <f t="shared" si="30"/>
        <v>0</v>
      </c>
      <c r="N405" s="154">
        <f t="shared" si="30"/>
        <v>0</v>
      </c>
    </row>
    <row r="406" spans="1:14" x14ac:dyDescent="0.25">
      <c r="A406" s="152">
        <v>6385000</v>
      </c>
      <c r="B406" s="51" t="s">
        <v>21</v>
      </c>
      <c r="C406" s="88"/>
      <c r="D406" s="220">
        <f t="shared" si="28"/>
        <v>0</v>
      </c>
      <c r="E406" s="89"/>
      <c r="F406" s="89"/>
      <c r="G406" s="89"/>
      <c r="H406" s="89"/>
      <c r="I406" s="89"/>
      <c r="J406" s="89"/>
      <c r="K406" s="154">
        <f t="shared" si="30"/>
        <v>0</v>
      </c>
      <c r="L406" s="154">
        <f t="shared" si="30"/>
        <v>0</v>
      </c>
      <c r="M406" s="154">
        <f t="shared" si="30"/>
        <v>0</v>
      </c>
      <c r="N406" s="154">
        <f t="shared" si="30"/>
        <v>0</v>
      </c>
    </row>
    <row r="407" spans="1:14" x14ac:dyDescent="0.25">
      <c r="A407" s="152">
        <v>6385000</v>
      </c>
      <c r="B407" s="73" t="s">
        <v>1172</v>
      </c>
      <c r="C407" s="88"/>
      <c r="D407" s="220">
        <f t="shared" si="28"/>
        <v>0</v>
      </c>
      <c r="E407" s="89"/>
      <c r="F407" s="89"/>
      <c r="G407" s="89"/>
      <c r="H407" s="89"/>
      <c r="I407" s="89"/>
      <c r="J407" s="89"/>
      <c r="K407" s="154">
        <f t="shared" si="30"/>
        <v>0</v>
      </c>
      <c r="L407" s="154">
        <f t="shared" si="30"/>
        <v>0</v>
      </c>
      <c r="M407" s="154">
        <f t="shared" si="30"/>
        <v>0</v>
      </c>
      <c r="N407" s="154">
        <f t="shared" si="30"/>
        <v>0</v>
      </c>
    </row>
    <row r="408" spans="1:14" x14ac:dyDescent="0.25">
      <c r="A408" s="152">
        <v>6385000</v>
      </c>
      <c r="B408" s="73" t="s">
        <v>810</v>
      </c>
      <c r="C408" s="88"/>
      <c r="D408" s="220">
        <f t="shared" si="28"/>
        <v>0</v>
      </c>
      <c r="E408" s="89"/>
      <c r="F408" s="89"/>
      <c r="G408" s="89"/>
      <c r="H408" s="89"/>
      <c r="I408" s="89"/>
      <c r="J408" s="89"/>
      <c r="K408" s="154">
        <f t="shared" si="30"/>
        <v>0</v>
      </c>
      <c r="L408" s="154">
        <f t="shared" si="30"/>
        <v>0</v>
      </c>
      <c r="M408" s="154">
        <f t="shared" si="30"/>
        <v>0</v>
      </c>
      <c r="N408" s="154">
        <f t="shared" si="30"/>
        <v>0</v>
      </c>
    </row>
    <row r="409" spans="1:14" x14ac:dyDescent="0.25">
      <c r="A409" s="152">
        <v>6385000</v>
      </c>
      <c r="B409" s="51" t="s">
        <v>811</v>
      </c>
      <c r="C409" s="88"/>
      <c r="D409" s="220">
        <f t="shared" si="28"/>
        <v>0</v>
      </c>
      <c r="E409" s="89"/>
      <c r="F409" s="89"/>
      <c r="G409" s="89"/>
      <c r="H409" s="89"/>
      <c r="I409" s="89"/>
      <c r="J409" s="89"/>
      <c r="K409" s="154">
        <f t="shared" si="30"/>
        <v>0</v>
      </c>
      <c r="L409" s="154">
        <f t="shared" si="30"/>
        <v>0</v>
      </c>
      <c r="M409" s="154">
        <f t="shared" si="30"/>
        <v>0</v>
      </c>
      <c r="N409" s="154">
        <f t="shared" si="30"/>
        <v>0</v>
      </c>
    </row>
    <row r="410" spans="1:14" x14ac:dyDescent="0.25">
      <c r="A410" s="152">
        <v>6385000</v>
      </c>
      <c r="B410" s="51" t="s">
        <v>23</v>
      </c>
      <c r="C410" s="88"/>
      <c r="D410" s="220">
        <f t="shared" si="28"/>
        <v>1</v>
      </c>
      <c r="E410" s="89"/>
      <c r="F410" s="89"/>
      <c r="G410" s="89"/>
      <c r="H410" s="89"/>
      <c r="I410" s="89"/>
      <c r="J410" s="89"/>
      <c r="K410" s="154">
        <f t="shared" si="30"/>
        <v>0</v>
      </c>
      <c r="L410" s="154">
        <f t="shared" si="30"/>
        <v>0</v>
      </c>
      <c r="M410" s="154">
        <f t="shared" si="30"/>
        <v>0</v>
      </c>
      <c r="N410" s="154">
        <f t="shared" si="30"/>
        <v>500</v>
      </c>
    </row>
    <row r="411" spans="1:14" x14ac:dyDescent="0.25">
      <c r="A411" s="152">
        <v>6385000</v>
      </c>
      <c r="B411" s="73" t="s">
        <v>268</v>
      </c>
      <c r="C411" s="88"/>
      <c r="D411" s="220">
        <f t="shared" si="28"/>
        <v>0</v>
      </c>
      <c r="E411" s="89"/>
      <c r="F411" s="89"/>
      <c r="G411" s="89"/>
      <c r="H411" s="89"/>
      <c r="I411" s="89"/>
      <c r="J411" s="89"/>
      <c r="K411" s="154">
        <f t="shared" si="30"/>
        <v>0</v>
      </c>
      <c r="L411" s="154">
        <f t="shared" si="30"/>
        <v>0</v>
      </c>
      <c r="M411" s="154">
        <f t="shared" si="30"/>
        <v>0</v>
      </c>
      <c r="N411" s="154">
        <f t="shared" si="30"/>
        <v>0</v>
      </c>
    </row>
    <row r="412" spans="1:14" x14ac:dyDescent="0.25">
      <c r="A412" s="152">
        <v>6385000</v>
      </c>
      <c r="B412" s="73" t="s">
        <v>267</v>
      </c>
      <c r="C412" s="88"/>
      <c r="D412" s="220">
        <f t="shared" si="28"/>
        <v>0</v>
      </c>
      <c r="E412" s="89"/>
      <c r="F412" s="89"/>
      <c r="G412" s="89"/>
      <c r="H412" s="89"/>
      <c r="I412" s="89"/>
      <c r="J412" s="89"/>
      <c r="K412" s="154">
        <f t="shared" si="30"/>
        <v>0</v>
      </c>
      <c r="L412" s="154">
        <f t="shared" si="30"/>
        <v>0</v>
      </c>
      <c r="M412" s="154">
        <f t="shared" si="30"/>
        <v>0</v>
      </c>
      <c r="N412" s="154">
        <f t="shared" si="30"/>
        <v>0</v>
      </c>
    </row>
    <row r="413" spans="1:14" ht="15.75" thickBot="1" x14ac:dyDescent="0.3">
      <c r="A413" s="152">
        <v>6385000</v>
      </c>
      <c r="B413" s="73" t="s">
        <v>920</v>
      </c>
      <c r="C413" s="88"/>
      <c r="D413" s="220">
        <f t="shared" si="28"/>
        <v>0</v>
      </c>
      <c r="E413" s="89"/>
      <c r="F413" s="89"/>
      <c r="G413" s="89"/>
      <c r="H413" s="89"/>
      <c r="I413" s="89"/>
      <c r="J413" s="89"/>
      <c r="K413" s="154">
        <f t="shared" si="30"/>
        <v>0</v>
      </c>
      <c r="L413" s="154">
        <f t="shared" si="30"/>
        <v>0</v>
      </c>
      <c r="M413" s="154">
        <f t="shared" si="30"/>
        <v>0</v>
      </c>
      <c r="N413" s="154">
        <f t="shared" si="30"/>
        <v>0</v>
      </c>
    </row>
    <row r="414" spans="1:14" x14ac:dyDescent="0.25">
      <c r="A414" s="151">
        <v>6395000</v>
      </c>
      <c r="B414" s="84" t="s">
        <v>19</v>
      </c>
      <c r="C414" s="85"/>
      <c r="D414" s="210">
        <f t="shared" si="28"/>
        <v>0</v>
      </c>
      <c r="E414" s="86"/>
      <c r="F414" s="86"/>
      <c r="G414" s="86"/>
      <c r="H414" s="86"/>
      <c r="I414" s="86"/>
      <c r="J414" s="86"/>
      <c r="K414" s="213">
        <f t="shared" ref="K414:N433" si="31">SUMIFS(K$26:K$212,$A$26:$A$212,$A414,$B$26:$B$212,$B414)</f>
        <v>0</v>
      </c>
      <c r="L414" s="213">
        <f t="shared" si="31"/>
        <v>0</v>
      </c>
      <c r="M414" s="213">
        <f t="shared" si="31"/>
        <v>0</v>
      </c>
      <c r="N414" s="213">
        <f t="shared" si="31"/>
        <v>0</v>
      </c>
    </row>
    <row r="415" spans="1:14" x14ac:dyDescent="0.25">
      <c r="A415" s="152">
        <v>6395000</v>
      </c>
      <c r="B415" s="73" t="s">
        <v>18</v>
      </c>
      <c r="C415" s="88"/>
      <c r="D415" s="220">
        <f t="shared" si="28"/>
        <v>0</v>
      </c>
      <c r="E415" s="89"/>
      <c r="F415" s="89"/>
      <c r="G415" s="89"/>
      <c r="H415" s="89"/>
      <c r="I415" s="89"/>
      <c r="J415" s="89"/>
      <c r="K415" s="212">
        <f t="shared" si="31"/>
        <v>0</v>
      </c>
      <c r="L415" s="212">
        <f t="shared" si="31"/>
        <v>0</v>
      </c>
      <c r="M415" s="212">
        <f t="shared" si="31"/>
        <v>0</v>
      </c>
      <c r="N415" s="212">
        <f t="shared" si="31"/>
        <v>0</v>
      </c>
    </row>
    <row r="416" spans="1:14" x14ac:dyDescent="0.25">
      <c r="A416" s="152">
        <v>6395000</v>
      </c>
      <c r="B416" s="73" t="s">
        <v>22</v>
      </c>
      <c r="C416" s="88"/>
      <c r="D416" s="220">
        <f t="shared" si="28"/>
        <v>0</v>
      </c>
      <c r="E416" s="89"/>
      <c r="F416" s="89"/>
      <c r="G416" s="89"/>
      <c r="H416" s="89"/>
      <c r="I416" s="89"/>
      <c r="J416" s="89"/>
      <c r="K416" s="212">
        <f t="shared" si="31"/>
        <v>0</v>
      </c>
      <c r="L416" s="212">
        <f t="shared" si="31"/>
        <v>0</v>
      </c>
      <c r="M416" s="212">
        <f t="shared" si="31"/>
        <v>0</v>
      </c>
      <c r="N416" s="212">
        <f t="shared" si="31"/>
        <v>0</v>
      </c>
    </row>
    <row r="417" spans="1:14" x14ac:dyDescent="0.25">
      <c r="A417" s="152">
        <v>6395000</v>
      </c>
      <c r="B417" s="73" t="s">
        <v>24</v>
      </c>
      <c r="C417" s="88"/>
      <c r="D417" s="220">
        <f t="shared" si="28"/>
        <v>0</v>
      </c>
      <c r="E417" s="89"/>
      <c r="F417" s="89"/>
      <c r="G417" s="89"/>
      <c r="H417" s="89"/>
      <c r="I417" s="89"/>
      <c r="J417" s="89"/>
      <c r="K417" s="212">
        <f t="shared" si="31"/>
        <v>0</v>
      </c>
      <c r="L417" s="212">
        <f t="shared" si="31"/>
        <v>0</v>
      </c>
      <c r="M417" s="212">
        <f t="shared" si="31"/>
        <v>0</v>
      </c>
      <c r="N417" s="212">
        <f t="shared" si="31"/>
        <v>0</v>
      </c>
    </row>
    <row r="418" spans="1:14" x14ac:dyDescent="0.25">
      <c r="A418" s="152">
        <v>6395000</v>
      </c>
      <c r="B418" s="73" t="s">
        <v>25</v>
      </c>
      <c r="C418" s="88"/>
      <c r="D418" s="220">
        <f t="shared" si="28"/>
        <v>0</v>
      </c>
      <c r="E418" s="89"/>
      <c r="F418" s="89"/>
      <c r="G418" s="89"/>
      <c r="H418" s="89"/>
      <c r="I418" s="89"/>
      <c r="J418" s="89"/>
      <c r="K418" s="212">
        <f t="shared" si="31"/>
        <v>0</v>
      </c>
      <c r="L418" s="212">
        <f t="shared" si="31"/>
        <v>0</v>
      </c>
      <c r="M418" s="212">
        <f t="shared" si="31"/>
        <v>0</v>
      </c>
      <c r="N418" s="212">
        <f t="shared" si="31"/>
        <v>0</v>
      </c>
    </row>
    <row r="419" spans="1:14" x14ac:dyDescent="0.25">
      <c r="A419" s="152">
        <v>6395000</v>
      </c>
      <c r="B419" s="73" t="s">
        <v>394</v>
      </c>
      <c r="C419" s="88"/>
      <c r="D419" s="220">
        <f t="shared" si="28"/>
        <v>0</v>
      </c>
      <c r="E419" s="89"/>
      <c r="F419" s="89"/>
      <c r="G419" s="89"/>
      <c r="H419" s="89"/>
      <c r="I419" s="89"/>
      <c r="J419" s="89"/>
      <c r="K419" s="212">
        <f t="shared" si="31"/>
        <v>0</v>
      </c>
      <c r="L419" s="212">
        <f t="shared" si="31"/>
        <v>0</v>
      </c>
      <c r="M419" s="212">
        <f t="shared" si="31"/>
        <v>0</v>
      </c>
      <c r="N419" s="212">
        <f t="shared" si="31"/>
        <v>0</v>
      </c>
    </row>
    <row r="420" spans="1:14" x14ac:dyDescent="0.25">
      <c r="A420" s="152">
        <v>6395000</v>
      </c>
      <c r="B420" s="73" t="s">
        <v>350</v>
      </c>
      <c r="C420" s="88"/>
      <c r="D420" s="220">
        <f t="shared" si="28"/>
        <v>3</v>
      </c>
      <c r="E420" s="89"/>
      <c r="F420" s="89"/>
      <c r="G420" s="89"/>
      <c r="H420" s="89"/>
      <c r="I420" s="89"/>
      <c r="J420" s="89"/>
      <c r="K420" s="212">
        <f t="shared" si="31"/>
        <v>0</v>
      </c>
      <c r="L420" s="212">
        <f t="shared" si="31"/>
        <v>0</v>
      </c>
      <c r="M420" s="212">
        <f t="shared" si="31"/>
        <v>0</v>
      </c>
      <c r="N420" s="212">
        <f t="shared" si="31"/>
        <v>3000</v>
      </c>
    </row>
    <row r="421" spans="1:14" s="407" customFormat="1" x14ac:dyDescent="0.25">
      <c r="A421" s="152">
        <v>6395000</v>
      </c>
      <c r="B421" s="73" t="s">
        <v>1171</v>
      </c>
      <c r="C421" s="88"/>
      <c r="D421" s="220">
        <f t="shared" si="28"/>
        <v>0</v>
      </c>
      <c r="E421" s="89"/>
      <c r="F421" s="89"/>
      <c r="G421" s="89"/>
      <c r="H421" s="89"/>
      <c r="I421" s="89"/>
      <c r="J421" s="89"/>
      <c r="K421" s="212">
        <f t="shared" si="31"/>
        <v>0</v>
      </c>
      <c r="L421" s="212">
        <f t="shared" si="31"/>
        <v>0</v>
      </c>
      <c r="M421" s="212">
        <f t="shared" si="31"/>
        <v>0</v>
      </c>
      <c r="N421" s="212">
        <f t="shared" si="31"/>
        <v>0</v>
      </c>
    </row>
    <row r="422" spans="1:14" s="407" customFormat="1" x14ac:dyDescent="0.25">
      <c r="A422" s="152">
        <v>6395000</v>
      </c>
      <c r="B422" s="73" t="s">
        <v>1182</v>
      </c>
      <c r="C422" s="88"/>
      <c r="D422" s="220">
        <f t="shared" si="28"/>
        <v>0</v>
      </c>
      <c r="E422" s="89"/>
      <c r="F422" s="89"/>
      <c r="G422" s="89"/>
      <c r="H422" s="89"/>
      <c r="I422" s="89"/>
      <c r="J422" s="89"/>
      <c r="K422" s="212">
        <f t="shared" si="31"/>
        <v>0</v>
      </c>
      <c r="L422" s="212">
        <f t="shared" si="31"/>
        <v>0</v>
      </c>
      <c r="M422" s="212">
        <f t="shared" si="31"/>
        <v>0</v>
      </c>
      <c r="N422" s="212">
        <f t="shared" si="31"/>
        <v>0</v>
      </c>
    </row>
    <row r="423" spans="1:14" x14ac:dyDescent="0.25">
      <c r="A423" s="152">
        <v>6395000</v>
      </c>
      <c r="B423" s="73" t="s">
        <v>20</v>
      </c>
      <c r="C423" s="88"/>
      <c r="D423" s="220">
        <f t="shared" si="28"/>
        <v>0</v>
      </c>
      <c r="E423" s="89"/>
      <c r="F423" s="89"/>
      <c r="G423" s="89"/>
      <c r="H423" s="89"/>
      <c r="I423" s="89"/>
      <c r="J423" s="89"/>
      <c r="K423" s="212">
        <f t="shared" si="31"/>
        <v>0</v>
      </c>
      <c r="L423" s="212">
        <f t="shared" si="31"/>
        <v>0</v>
      </c>
      <c r="M423" s="212">
        <f t="shared" si="31"/>
        <v>0</v>
      </c>
      <c r="N423" s="212">
        <f t="shared" si="31"/>
        <v>0</v>
      </c>
    </row>
    <row r="424" spans="1:14" x14ac:dyDescent="0.25">
      <c r="A424" s="152">
        <v>6395000</v>
      </c>
      <c r="B424" s="73" t="s">
        <v>510</v>
      </c>
      <c r="C424" s="88"/>
      <c r="D424" s="220">
        <f t="shared" si="28"/>
        <v>0</v>
      </c>
      <c r="E424" s="89"/>
      <c r="F424" s="89"/>
      <c r="G424" s="89"/>
      <c r="H424" s="89"/>
      <c r="I424" s="89"/>
      <c r="J424" s="89"/>
      <c r="K424" s="212">
        <f t="shared" si="31"/>
        <v>0</v>
      </c>
      <c r="L424" s="212">
        <f t="shared" si="31"/>
        <v>0</v>
      </c>
      <c r="M424" s="212">
        <f t="shared" si="31"/>
        <v>0</v>
      </c>
      <c r="N424" s="212">
        <f t="shared" si="31"/>
        <v>0</v>
      </c>
    </row>
    <row r="425" spans="1:14" x14ac:dyDescent="0.25">
      <c r="A425" s="152">
        <v>6395000</v>
      </c>
      <c r="B425" s="73" t="s">
        <v>272</v>
      </c>
      <c r="C425" s="88"/>
      <c r="D425" s="220">
        <f t="shared" si="28"/>
        <v>0</v>
      </c>
      <c r="E425" s="89"/>
      <c r="F425" s="89"/>
      <c r="G425" s="89"/>
      <c r="H425" s="89"/>
      <c r="I425" s="89"/>
      <c r="J425" s="89"/>
      <c r="K425" s="212">
        <f t="shared" si="31"/>
        <v>0</v>
      </c>
      <c r="L425" s="212">
        <f t="shared" si="31"/>
        <v>0</v>
      </c>
      <c r="M425" s="212">
        <f t="shared" si="31"/>
        <v>0</v>
      </c>
      <c r="N425" s="212">
        <f t="shared" si="31"/>
        <v>0</v>
      </c>
    </row>
    <row r="426" spans="1:14" x14ac:dyDescent="0.25">
      <c r="A426" s="152">
        <v>6395000</v>
      </c>
      <c r="B426" s="51" t="s">
        <v>21</v>
      </c>
      <c r="C426" s="88"/>
      <c r="D426" s="220">
        <f t="shared" ref="D426:D489" si="32">COUNTIFS($A$26:$A$212,$A426,$B$26:$B$212,$B426)</f>
        <v>0</v>
      </c>
      <c r="E426" s="89"/>
      <c r="F426" s="89"/>
      <c r="G426" s="89"/>
      <c r="H426" s="89"/>
      <c r="I426" s="89"/>
      <c r="J426" s="89"/>
      <c r="K426" s="212">
        <f t="shared" si="31"/>
        <v>0</v>
      </c>
      <c r="L426" s="212">
        <f t="shared" si="31"/>
        <v>0</v>
      </c>
      <c r="M426" s="212">
        <f t="shared" si="31"/>
        <v>0</v>
      </c>
      <c r="N426" s="212">
        <f t="shared" si="31"/>
        <v>0</v>
      </c>
    </row>
    <row r="427" spans="1:14" x14ac:dyDescent="0.25">
      <c r="A427" s="152">
        <v>6395000</v>
      </c>
      <c r="B427" s="73" t="s">
        <v>1172</v>
      </c>
      <c r="C427" s="88"/>
      <c r="D427" s="220">
        <f t="shared" si="32"/>
        <v>0</v>
      </c>
      <c r="E427" s="89"/>
      <c r="F427" s="89"/>
      <c r="G427" s="89"/>
      <c r="H427" s="89"/>
      <c r="I427" s="89"/>
      <c r="J427" s="89"/>
      <c r="K427" s="212">
        <f t="shared" si="31"/>
        <v>0</v>
      </c>
      <c r="L427" s="212">
        <f t="shared" si="31"/>
        <v>0</v>
      </c>
      <c r="M427" s="212">
        <f t="shared" si="31"/>
        <v>0</v>
      </c>
      <c r="N427" s="212">
        <f t="shared" si="31"/>
        <v>0</v>
      </c>
    </row>
    <row r="428" spans="1:14" x14ac:dyDescent="0.25">
      <c r="A428" s="152">
        <v>6395000</v>
      </c>
      <c r="B428" s="73" t="s">
        <v>810</v>
      </c>
      <c r="C428" s="88"/>
      <c r="D428" s="220">
        <f t="shared" si="32"/>
        <v>1</v>
      </c>
      <c r="E428" s="89"/>
      <c r="F428" s="89"/>
      <c r="G428" s="89"/>
      <c r="H428" s="89"/>
      <c r="I428" s="89"/>
      <c r="J428" s="89"/>
      <c r="K428" s="212">
        <f t="shared" si="31"/>
        <v>0</v>
      </c>
      <c r="L428" s="212">
        <f t="shared" si="31"/>
        <v>0</v>
      </c>
      <c r="M428" s="212">
        <f t="shared" si="31"/>
        <v>0</v>
      </c>
      <c r="N428" s="212">
        <f t="shared" si="31"/>
        <v>23000</v>
      </c>
    </row>
    <row r="429" spans="1:14" x14ac:dyDescent="0.25">
      <c r="A429" s="152">
        <v>6395000</v>
      </c>
      <c r="B429" s="51" t="s">
        <v>811</v>
      </c>
      <c r="C429" s="88"/>
      <c r="D429" s="220">
        <f t="shared" si="32"/>
        <v>0</v>
      </c>
      <c r="E429" s="89"/>
      <c r="F429" s="89"/>
      <c r="G429" s="89"/>
      <c r="H429" s="89"/>
      <c r="I429" s="89"/>
      <c r="J429" s="89"/>
      <c r="K429" s="212">
        <f t="shared" si="31"/>
        <v>0</v>
      </c>
      <c r="L429" s="212">
        <f t="shared" si="31"/>
        <v>0</v>
      </c>
      <c r="M429" s="212">
        <f t="shared" si="31"/>
        <v>0</v>
      </c>
      <c r="N429" s="212">
        <f t="shared" si="31"/>
        <v>0</v>
      </c>
    </row>
    <row r="430" spans="1:14" x14ac:dyDescent="0.25">
      <c r="A430" s="152">
        <v>6395000</v>
      </c>
      <c r="B430" s="51" t="s">
        <v>23</v>
      </c>
      <c r="C430" s="88"/>
      <c r="D430" s="220">
        <f t="shared" si="32"/>
        <v>0</v>
      </c>
      <c r="E430" s="89"/>
      <c r="F430" s="89"/>
      <c r="G430" s="89"/>
      <c r="H430" s="89"/>
      <c r="I430" s="89"/>
      <c r="J430" s="89"/>
      <c r="K430" s="212">
        <f t="shared" si="31"/>
        <v>0</v>
      </c>
      <c r="L430" s="212">
        <f t="shared" si="31"/>
        <v>0</v>
      </c>
      <c r="M430" s="212">
        <f t="shared" si="31"/>
        <v>0</v>
      </c>
      <c r="N430" s="212">
        <f t="shared" si="31"/>
        <v>0</v>
      </c>
    </row>
    <row r="431" spans="1:14" x14ac:dyDescent="0.25">
      <c r="A431" s="152">
        <v>6395000</v>
      </c>
      <c r="B431" s="73" t="s">
        <v>268</v>
      </c>
      <c r="C431" s="88"/>
      <c r="D431" s="220">
        <f t="shared" si="32"/>
        <v>0</v>
      </c>
      <c r="E431" s="89"/>
      <c r="F431" s="89"/>
      <c r="G431" s="89"/>
      <c r="H431" s="89"/>
      <c r="I431" s="89"/>
      <c r="J431" s="89"/>
      <c r="K431" s="212">
        <f t="shared" si="31"/>
        <v>0</v>
      </c>
      <c r="L431" s="212">
        <f t="shared" si="31"/>
        <v>0</v>
      </c>
      <c r="M431" s="212">
        <f t="shared" si="31"/>
        <v>0</v>
      </c>
      <c r="N431" s="212">
        <f t="shared" si="31"/>
        <v>0</v>
      </c>
    </row>
    <row r="432" spans="1:14" x14ac:dyDescent="0.25">
      <c r="A432" s="152">
        <v>6395000</v>
      </c>
      <c r="B432" s="73" t="s">
        <v>267</v>
      </c>
      <c r="C432" s="88"/>
      <c r="D432" s="220">
        <f t="shared" si="32"/>
        <v>0</v>
      </c>
      <c r="E432" s="89"/>
      <c r="F432" s="89"/>
      <c r="G432" s="89"/>
      <c r="H432" s="89"/>
      <c r="I432" s="89"/>
      <c r="J432" s="89"/>
      <c r="K432" s="212">
        <f t="shared" si="31"/>
        <v>0</v>
      </c>
      <c r="L432" s="212">
        <f t="shared" si="31"/>
        <v>0</v>
      </c>
      <c r="M432" s="212">
        <f t="shared" si="31"/>
        <v>0</v>
      </c>
      <c r="N432" s="212">
        <f t="shared" si="31"/>
        <v>0</v>
      </c>
    </row>
    <row r="433" spans="1:14" ht="15.75" thickBot="1" x14ac:dyDescent="0.3">
      <c r="A433" s="152">
        <v>6395000</v>
      </c>
      <c r="B433" s="73" t="s">
        <v>920</v>
      </c>
      <c r="C433" s="88"/>
      <c r="D433" s="220">
        <f t="shared" si="32"/>
        <v>0</v>
      </c>
      <c r="E433" s="89"/>
      <c r="F433" s="89"/>
      <c r="G433" s="89"/>
      <c r="H433" s="89"/>
      <c r="I433" s="89"/>
      <c r="J433" s="89"/>
      <c r="K433" s="212">
        <f t="shared" si="31"/>
        <v>0</v>
      </c>
      <c r="L433" s="212">
        <f t="shared" si="31"/>
        <v>0</v>
      </c>
      <c r="M433" s="212">
        <f t="shared" si="31"/>
        <v>0</v>
      </c>
      <c r="N433" s="212">
        <f t="shared" si="31"/>
        <v>0</v>
      </c>
    </row>
    <row r="434" spans="1:14" x14ac:dyDescent="0.25">
      <c r="A434" s="151">
        <v>6325000</v>
      </c>
      <c r="B434" s="84" t="s">
        <v>19</v>
      </c>
      <c r="C434" s="85"/>
      <c r="D434" s="210">
        <f t="shared" si="32"/>
        <v>3</v>
      </c>
      <c r="E434" s="86"/>
      <c r="F434" s="86"/>
      <c r="G434" s="86"/>
      <c r="H434" s="86"/>
      <c r="I434" s="86"/>
      <c r="J434" s="86"/>
      <c r="K434" s="156">
        <f t="shared" ref="K434:N453" si="33">SUMIFS(K$26:K$212,$A$26:$A$212,$A434,$B$26:$B$212,$B434)</f>
        <v>0</v>
      </c>
      <c r="L434" s="156">
        <f t="shared" si="33"/>
        <v>0</v>
      </c>
      <c r="M434" s="156">
        <f t="shared" si="33"/>
        <v>0</v>
      </c>
      <c r="N434" s="156">
        <f t="shared" si="33"/>
        <v>4110</v>
      </c>
    </row>
    <row r="435" spans="1:14" x14ac:dyDescent="0.25">
      <c r="A435" s="152">
        <v>6325000</v>
      </c>
      <c r="B435" s="73" t="s">
        <v>18</v>
      </c>
      <c r="C435" s="88"/>
      <c r="D435" s="220">
        <f t="shared" si="32"/>
        <v>0</v>
      </c>
      <c r="E435" s="89"/>
      <c r="F435" s="89"/>
      <c r="G435" s="89"/>
      <c r="H435" s="89"/>
      <c r="I435" s="89"/>
      <c r="J435" s="89"/>
      <c r="K435" s="154">
        <f t="shared" si="33"/>
        <v>0</v>
      </c>
      <c r="L435" s="154">
        <f t="shared" si="33"/>
        <v>0</v>
      </c>
      <c r="M435" s="154">
        <f t="shared" si="33"/>
        <v>0</v>
      </c>
      <c r="N435" s="154">
        <f t="shared" si="33"/>
        <v>0</v>
      </c>
    </row>
    <row r="436" spans="1:14" x14ac:dyDescent="0.25">
      <c r="A436" s="152">
        <v>6325000</v>
      </c>
      <c r="B436" s="73" t="s">
        <v>22</v>
      </c>
      <c r="C436" s="88"/>
      <c r="D436" s="220">
        <f t="shared" si="32"/>
        <v>0</v>
      </c>
      <c r="E436" s="89"/>
      <c r="F436" s="89"/>
      <c r="G436" s="89"/>
      <c r="H436" s="89"/>
      <c r="I436" s="89"/>
      <c r="J436" s="89"/>
      <c r="K436" s="154">
        <f t="shared" si="33"/>
        <v>0</v>
      </c>
      <c r="L436" s="154">
        <f t="shared" si="33"/>
        <v>0</v>
      </c>
      <c r="M436" s="154">
        <f t="shared" si="33"/>
        <v>0</v>
      </c>
      <c r="N436" s="154">
        <f t="shared" si="33"/>
        <v>0</v>
      </c>
    </row>
    <row r="437" spans="1:14" x14ac:dyDescent="0.25">
      <c r="A437" s="152">
        <v>6325000</v>
      </c>
      <c r="B437" s="73" t="s">
        <v>24</v>
      </c>
      <c r="C437" s="88"/>
      <c r="D437" s="220">
        <f t="shared" si="32"/>
        <v>0</v>
      </c>
      <c r="E437" s="89"/>
      <c r="F437" s="89"/>
      <c r="G437" s="89"/>
      <c r="H437" s="89"/>
      <c r="I437" s="89"/>
      <c r="J437" s="89"/>
      <c r="K437" s="154">
        <f t="shared" si="33"/>
        <v>0</v>
      </c>
      <c r="L437" s="154">
        <f t="shared" si="33"/>
        <v>0</v>
      </c>
      <c r="M437" s="154">
        <f t="shared" si="33"/>
        <v>0</v>
      </c>
      <c r="N437" s="154">
        <f t="shared" si="33"/>
        <v>0</v>
      </c>
    </row>
    <row r="438" spans="1:14" x14ac:dyDescent="0.25">
      <c r="A438" s="152">
        <v>6325000</v>
      </c>
      <c r="B438" s="73" t="s">
        <v>25</v>
      </c>
      <c r="C438" s="88"/>
      <c r="D438" s="220">
        <f t="shared" si="32"/>
        <v>0</v>
      </c>
      <c r="E438" s="89"/>
      <c r="F438" s="89"/>
      <c r="G438" s="89"/>
      <c r="H438" s="89"/>
      <c r="I438" s="89"/>
      <c r="J438" s="89"/>
      <c r="K438" s="154">
        <f t="shared" si="33"/>
        <v>0</v>
      </c>
      <c r="L438" s="154">
        <f t="shared" si="33"/>
        <v>0</v>
      </c>
      <c r="M438" s="154">
        <f t="shared" si="33"/>
        <v>0</v>
      </c>
      <c r="N438" s="154">
        <f t="shared" si="33"/>
        <v>0</v>
      </c>
    </row>
    <row r="439" spans="1:14" x14ac:dyDescent="0.25">
      <c r="A439" s="152">
        <v>6325000</v>
      </c>
      <c r="B439" s="73" t="s">
        <v>394</v>
      </c>
      <c r="C439" s="88"/>
      <c r="D439" s="220">
        <f t="shared" si="32"/>
        <v>0</v>
      </c>
      <c r="E439" s="89"/>
      <c r="F439" s="89"/>
      <c r="G439" s="89"/>
      <c r="H439" s="89"/>
      <c r="I439" s="89"/>
      <c r="J439" s="89"/>
      <c r="K439" s="154">
        <f t="shared" si="33"/>
        <v>0</v>
      </c>
      <c r="L439" s="154">
        <f t="shared" si="33"/>
        <v>0</v>
      </c>
      <c r="M439" s="154">
        <f t="shared" si="33"/>
        <v>0</v>
      </c>
      <c r="N439" s="154">
        <f t="shared" si="33"/>
        <v>0</v>
      </c>
    </row>
    <row r="440" spans="1:14" x14ac:dyDescent="0.25">
      <c r="A440" s="152">
        <v>6325000</v>
      </c>
      <c r="B440" s="73" t="s">
        <v>350</v>
      </c>
      <c r="C440" s="88"/>
      <c r="D440" s="220">
        <f t="shared" si="32"/>
        <v>0</v>
      </c>
      <c r="E440" s="89"/>
      <c r="F440" s="89"/>
      <c r="G440" s="89"/>
      <c r="H440" s="89"/>
      <c r="I440" s="89"/>
      <c r="J440" s="89"/>
      <c r="K440" s="154">
        <f t="shared" si="33"/>
        <v>0</v>
      </c>
      <c r="L440" s="154">
        <f t="shared" si="33"/>
        <v>0</v>
      </c>
      <c r="M440" s="154">
        <f t="shared" si="33"/>
        <v>0</v>
      </c>
      <c r="N440" s="154">
        <f t="shared" si="33"/>
        <v>0</v>
      </c>
    </row>
    <row r="441" spans="1:14" x14ac:dyDescent="0.25">
      <c r="A441" s="152">
        <v>6325000</v>
      </c>
      <c r="B441" s="73" t="s">
        <v>1171</v>
      </c>
      <c r="C441" s="88"/>
      <c r="D441" s="220">
        <f t="shared" si="32"/>
        <v>0</v>
      </c>
      <c r="E441" s="89"/>
      <c r="F441" s="89"/>
      <c r="G441" s="89"/>
      <c r="H441" s="89"/>
      <c r="I441" s="89"/>
      <c r="J441" s="89"/>
      <c r="K441" s="154">
        <f t="shared" si="33"/>
        <v>0</v>
      </c>
      <c r="L441" s="154">
        <f t="shared" si="33"/>
        <v>0</v>
      </c>
      <c r="M441" s="154">
        <f t="shared" si="33"/>
        <v>0</v>
      </c>
      <c r="N441" s="154">
        <f t="shared" si="33"/>
        <v>0</v>
      </c>
    </row>
    <row r="442" spans="1:14" x14ac:dyDescent="0.25">
      <c r="A442" s="152">
        <v>6325000</v>
      </c>
      <c r="B442" s="73" t="s">
        <v>1182</v>
      </c>
      <c r="C442" s="88"/>
      <c r="D442" s="220">
        <f t="shared" si="32"/>
        <v>0</v>
      </c>
      <c r="E442" s="89"/>
      <c r="F442" s="89"/>
      <c r="G442" s="89"/>
      <c r="H442" s="89"/>
      <c r="I442" s="89"/>
      <c r="J442" s="89"/>
      <c r="K442" s="154">
        <f t="shared" si="33"/>
        <v>0</v>
      </c>
      <c r="L442" s="154">
        <f t="shared" si="33"/>
        <v>0</v>
      </c>
      <c r="M442" s="154">
        <f t="shared" si="33"/>
        <v>0</v>
      </c>
      <c r="N442" s="154">
        <f t="shared" si="33"/>
        <v>0</v>
      </c>
    </row>
    <row r="443" spans="1:14" s="407" customFormat="1" x14ac:dyDescent="0.25">
      <c r="A443" s="152">
        <v>6325000</v>
      </c>
      <c r="B443" s="73" t="s">
        <v>20</v>
      </c>
      <c r="C443" s="88"/>
      <c r="D443" s="220">
        <f t="shared" si="32"/>
        <v>0</v>
      </c>
      <c r="E443" s="89"/>
      <c r="F443" s="89"/>
      <c r="G443" s="89"/>
      <c r="H443" s="89"/>
      <c r="I443" s="89"/>
      <c r="J443" s="89"/>
      <c r="K443" s="212">
        <f t="shared" si="33"/>
        <v>0</v>
      </c>
      <c r="L443" s="212">
        <f t="shared" si="33"/>
        <v>0</v>
      </c>
      <c r="M443" s="212">
        <f t="shared" si="33"/>
        <v>0</v>
      </c>
      <c r="N443" s="212">
        <f t="shared" si="33"/>
        <v>0</v>
      </c>
    </row>
    <row r="444" spans="1:14" s="407" customFormat="1" x14ac:dyDescent="0.25">
      <c r="A444" s="152">
        <v>6325000</v>
      </c>
      <c r="B444" s="73" t="s">
        <v>510</v>
      </c>
      <c r="C444" s="88"/>
      <c r="D444" s="220">
        <f t="shared" si="32"/>
        <v>0</v>
      </c>
      <c r="E444" s="89"/>
      <c r="F444" s="89"/>
      <c r="G444" s="89"/>
      <c r="H444" s="89"/>
      <c r="I444" s="89"/>
      <c r="J444" s="89"/>
      <c r="K444" s="212">
        <f t="shared" si="33"/>
        <v>0</v>
      </c>
      <c r="L444" s="212">
        <f t="shared" si="33"/>
        <v>0</v>
      </c>
      <c r="M444" s="212">
        <f t="shared" si="33"/>
        <v>0</v>
      </c>
      <c r="N444" s="212">
        <f t="shared" si="33"/>
        <v>0</v>
      </c>
    </row>
    <row r="445" spans="1:14" x14ac:dyDescent="0.25">
      <c r="A445" s="152">
        <v>6325000</v>
      </c>
      <c r="B445" s="73" t="s">
        <v>272</v>
      </c>
      <c r="C445" s="88"/>
      <c r="D445" s="220">
        <f t="shared" si="32"/>
        <v>0</v>
      </c>
      <c r="E445" s="89"/>
      <c r="F445" s="89"/>
      <c r="G445" s="89"/>
      <c r="H445" s="89"/>
      <c r="I445" s="89"/>
      <c r="J445" s="89"/>
      <c r="K445" s="154">
        <f t="shared" si="33"/>
        <v>0</v>
      </c>
      <c r="L445" s="154">
        <f t="shared" si="33"/>
        <v>0</v>
      </c>
      <c r="M445" s="154">
        <f t="shared" si="33"/>
        <v>0</v>
      </c>
      <c r="N445" s="154">
        <f t="shared" si="33"/>
        <v>0</v>
      </c>
    </row>
    <row r="446" spans="1:14" x14ac:dyDescent="0.25">
      <c r="A446" s="152">
        <v>6325000</v>
      </c>
      <c r="B446" s="51" t="s">
        <v>21</v>
      </c>
      <c r="C446" s="88"/>
      <c r="D446" s="220">
        <f t="shared" si="32"/>
        <v>0</v>
      </c>
      <c r="E446" s="89"/>
      <c r="F446" s="89"/>
      <c r="G446" s="89"/>
      <c r="H446" s="89"/>
      <c r="I446" s="89"/>
      <c r="J446" s="89"/>
      <c r="K446" s="154">
        <f t="shared" si="33"/>
        <v>0</v>
      </c>
      <c r="L446" s="154">
        <f t="shared" si="33"/>
        <v>0</v>
      </c>
      <c r="M446" s="154">
        <f t="shared" si="33"/>
        <v>0</v>
      </c>
      <c r="N446" s="154">
        <f t="shared" si="33"/>
        <v>0</v>
      </c>
    </row>
    <row r="447" spans="1:14" x14ac:dyDescent="0.25">
      <c r="A447" s="152">
        <v>6325000</v>
      </c>
      <c r="B447" s="73" t="s">
        <v>1172</v>
      </c>
      <c r="C447" s="88"/>
      <c r="D447" s="220">
        <f t="shared" si="32"/>
        <v>0</v>
      </c>
      <c r="E447" s="89"/>
      <c r="F447" s="89"/>
      <c r="G447" s="89"/>
      <c r="H447" s="89"/>
      <c r="I447" s="89"/>
      <c r="J447" s="89"/>
      <c r="K447" s="154">
        <f t="shared" si="33"/>
        <v>0</v>
      </c>
      <c r="L447" s="154">
        <f t="shared" si="33"/>
        <v>0</v>
      </c>
      <c r="M447" s="154">
        <f t="shared" si="33"/>
        <v>0</v>
      </c>
      <c r="N447" s="154">
        <f t="shared" si="33"/>
        <v>0</v>
      </c>
    </row>
    <row r="448" spans="1:14" x14ac:dyDescent="0.25">
      <c r="A448" s="152">
        <v>6325000</v>
      </c>
      <c r="B448" s="73" t="s">
        <v>810</v>
      </c>
      <c r="C448" s="88"/>
      <c r="D448" s="220">
        <f t="shared" si="32"/>
        <v>0</v>
      </c>
      <c r="E448" s="89"/>
      <c r="F448" s="89"/>
      <c r="G448" s="89"/>
      <c r="H448" s="89"/>
      <c r="I448" s="89"/>
      <c r="J448" s="89"/>
      <c r="K448" s="154">
        <f t="shared" si="33"/>
        <v>0</v>
      </c>
      <c r="L448" s="154">
        <f t="shared" si="33"/>
        <v>0</v>
      </c>
      <c r="M448" s="154">
        <f t="shared" si="33"/>
        <v>0</v>
      </c>
      <c r="N448" s="154">
        <f t="shared" si="33"/>
        <v>0</v>
      </c>
    </row>
    <row r="449" spans="1:14" x14ac:dyDescent="0.25">
      <c r="A449" s="152">
        <v>6325000</v>
      </c>
      <c r="B449" s="51" t="s">
        <v>811</v>
      </c>
      <c r="C449" s="88"/>
      <c r="D449" s="220">
        <f t="shared" si="32"/>
        <v>0</v>
      </c>
      <c r="E449" s="89"/>
      <c r="F449" s="89"/>
      <c r="G449" s="89"/>
      <c r="H449" s="89"/>
      <c r="I449" s="89"/>
      <c r="J449" s="89"/>
      <c r="K449" s="154">
        <f t="shared" si="33"/>
        <v>0</v>
      </c>
      <c r="L449" s="154">
        <f t="shared" si="33"/>
        <v>0</v>
      </c>
      <c r="M449" s="154">
        <f t="shared" si="33"/>
        <v>0</v>
      </c>
      <c r="N449" s="154">
        <f t="shared" si="33"/>
        <v>0</v>
      </c>
    </row>
    <row r="450" spans="1:14" x14ac:dyDescent="0.25">
      <c r="A450" s="152">
        <v>6325000</v>
      </c>
      <c r="B450" s="51" t="s">
        <v>23</v>
      </c>
      <c r="C450" s="88"/>
      <c r="D450" s="220">
        <f t="shared" si="32"/>
        <v>0</v>
      </c>
      <c r="E450" s="89"/>
      <c r="F450" s="89"/>
      <c r="G450" s="89"/>
      <c r="H450" s="89"/>
      <c r="I450" s="89"/>
      <c r="J450" s="89"/>
      <c r="K450" s="154">
        <f t="shared" si="33"/>
        <v>0</v>
      </c>
      <c r="L450" s="154">
        <f t="shared" si="33"/>
        <v>0</v>
      </c>
      <c r="M450" s="154">
        <f t="shared" si="33"/>
        <v>0</v>
      </c>
      <c r="N450" s="154">
        <f t="shared" si="33"/>
        <v>0</v>
      </c>
    </row>
    <row r="451" spans="1:14" x14ac:dyDescent="0.25">
      <c r="A451" s="152">
        <v>6325000</v>
      </c>
      <c r="B451" s="73" t="s">
        <v>268</v>
      </c>
      <c r="C451" s="88"/>
      <c r="D451" s="220">
        <f t="shared" si="32"/>
        <v>0</v>
      </c>
      <c r="E451" s="89"/>
      <c r="F451" s="89"/>
      <c r="G451" s="89"/>
      <c r="H451" s="89"/>
      <c r="I451" s="89"/>
      <c r="J451" s="89"/>
      <c r="K451" s="154">
        <f t="shared" si="33"/>
        <v>0</v>
      </c>
      <c r="L451" s="154">
        <f t="shared" si="33"/>
        <v>0</v>
      </c>
      <c r="M451" s="154">
        <f t="shared" si="33"/>
        <v>0</v>
      </c>
      <c r="N451" s="154">
        <f t="shared" si="33"/>
        <v>0</v>
      </c>
    </row>
    <row r="452" spans="1:14" x14ac:dyDescent="0.25">
      <c r="A452" s="152">
        <v>6325000</v>
      </c>
      <c r="B452" s="73" t="s">
        <v>267</v>
      </c>
      <c r="C452" s="88"/>
      <c r="D452" s="220">
        <f t="shared" si="32"/>
        <v>0</v>
      </c>
      <c r="E452" s="89"/>
      <c r="F452" s="89"/>
      <c r="G452" s="89"/>
      <c r="H452" s="89"/>
      <c r="I452" s="89"/>
      <c r="J452" s="89"/>
      <c r="K452" s="154">
        <f t="shared" si="33"/>
        <v>0</v>
      </c>
      <c r="L452" s="154">
        <f t="shared" si="33"/>
        <v>0</v>
      </c>
      <c r="M452" s="154">
        <f t="shared" si="33"/>
        <v>0</v>
      </c>
      <c r="N452" s="154">
        <f t="shared" si="33"/>
        <v>0</v>
      </c>
    </row>
    <row r="453" spans="1:14" ht="15.75" thickBot="1" x14ac:dyDescent="0.3">
      <c r="A453" s="152">
        <v>6325000</v>
      </c>
      <c r="B453" s="73" t="s">
        <v>920</v>
      </c>
      <c r="C453" s="88"/>
      <c r="D453" s="220">
        <f t="shared" si="32"/>
        <v>11</v>
      </c>
      <c r="E453" s="89"/>
      <c r="F453" s="89"/>
      <c r="G453" s="89"/>
      <c r="H453" s="89"/>
      <c r="I453" s="89"/>
      <c r="J453" s="89"/>
      <c r="K453" s="154">
        <f t="shared" si="33"/>
        <v>0</v>
      </c>
      <c r="L453" s="154">
        <f t="shared" si="33"/>
        <v>0</v>
      </c>
      <c r="M453" s="154">
        <f t="shared" si="33"/>
        <v>0</v>
      </c>
      <c r="N453" s="154">
        <f t="shared" si="33"/>
        <v>428970.69</v>
      </c>
    </row>
    <row r="454" spans="1:14" x14ac:dyDescent="0.25">
      <c r="A454" s="151">
        <v>6365000</v>
      </c>
      <c r="B454" s="84" t="s">
        <v>19</v>
      </c>
      <c r="C454" s="85"/>
      <c r="D454" s="210">
        <f t="shared" si="32"/>
        <v>1</v>
      </c>
      <c r="E454" s="86"/>
      <c r="F454" s="86"/>
      <c r="G454" s="86"/>
      <c r="H454" s="86"/>
      <c r="I454" s="86"/>
      <c r="J454" s="86"/>
      <c r="K454" s="156">
        <f t="shared" ref="K454:N473" si="34">SUMIFS(K$26:K$212,$A$26:$A$212,$A454,$B$26:$B$212,$B454)</f>
        <v>0</v>
      </c>
      <c r="L454" s="156">
        <f t="shared" si="34"/>
        <v>0</v>
      </c>
      <c r="M454" s="156">
        <f t="shared" si="34"/>
        <v>0</v>
      </c>
      <c r="N454" s="156">
        <f t="shared" si="34"/>
        <v>4000</v>
      </c>
    </row>
    <row r="455" spans="1:14" x14ac:dyDescent="0.25">
      <c r="A455" s="152">
        <v>6365000</v>
      </c>
      <c r="B455" s="73" t="s">
        <v>18</v>
      </c>
      <c r="C455" s="88"/>
      <c r="D455" s="220">
        <f t="shared" si="32"/>
        <v>0</v>
      </c>
      <c r="E455" s="89"/>
      <c r="F455" s="89"/>
      <c r="G455" s="89"/>
      <c r="H455" s="89"/>
      <c r="I455" s="89"/>
      <c r="J455" s="89"/>
      <c r="K455" s="154">
        <f t="shared" si="34"/>
        <v>0</v>
      </c>
      <c r="L455" s="154">
        <f t="shared" si="34"/>
        <v>0</v>
      </c>
      <c r="M455" s="154">
        <f t="shared" si="34"/>
        <v>0</v>
      </c>
      <c r="N455" s="154">
        <f t="shared" si="34"/>
        <v>0</v>
      </c>
    </row>
    <row r="456" spans="1:14" x14ac:dyDescent="0.25">
      <c r="A456" s="152">
        <v>6365000</v>
      </c>
      <c r="B456" s="73" t="s">
        <v>22</v>
      </c>
      <c r="C456" s="88"/>
      <c r="D456" s="220">
        <f t="shared" si="32"/>
        <v>0</v>
      </c>
      <c r="E456" s="89"/>
      <c r="F456" s="89"/>
      <c r="G456" s="89"/>
      <c r="H456" s="89"/>
      <c r="I456" s="89"/>
      <c r="J456" s="89"/>
      <c r="K456" s="154">
        <f t="shared" si="34"/>
        <v>0</v>
      </c>
      <c r="L456" s="154">
        <f t="shared" si="34"/>
        <v>0</v>
      </c>
      <c r="M456" s="154">
        <f t="shared" si="34"/>
        <v>0</v>
      </c>
      <c r="N456" s="154">
        <f t="shared" si="34"/>
        <v>0</v>
      </c>
    </row>
    <row r="457" spans="1:14" x14ac:dyDescent="0.25">
      <c r="A457" s="152">
        <v>6365000</v>
      </c>
      <c r="B457" s="73" t="s">
        <v>24</v>
      </c>
      <c r="C457" s="88"/>
      <c r="D457" s="220">
        <f t="shared" si="32"/>
        <v>3</v>
      </c>
      <c r="E457" s="89"/>
      <c r="F457" s="89"/>
      <c r="G457" s="89"/>
      <c r="H457" s="89"/>
      <c r="I457" s="89"/>
      <c r="J457" s="89"/>
      <c r="K457" s="154">
        <f t="shared" si="34"/>
        <v>0</v>
      </c>
      <c r="L457" s="154">
        <f t="shared" si="34"/>
        <v>0</v>
      </c>
      <c r="M457" s="154">
        <f t="shared" si="34"/>
        <v>0</v>
      </c>
      <c r="N457" s="154">
        <f t="shared" si="34"/>
        <v>4700</v>
      </c>
    </row>
    <row r="458" spans="1:14" x14ac:dyDescent="0.25">
      <c r="A458" s="152">
        <v>6365000</v>
      </c>
      <c r="B458" s="73" t="s">
        <v>25</v>
      </c>
      <c r="C458" s="88"/>
      <c r="D458" s="220">
        <f t="shared" si="32"/>
        <v>0</v>
      </c>
      <c r="E458" s="89"/>
      <c r="F458" s="89"/>
      <c r="G458" s="89"/>
      <c r="H458" s="89"/>
      <c r="I458" s="89"/>
      <c r="J458" s="89"/>
      <c r="K458" s="154">
        <f t="shared" si="34"/>
        <v>0</v>
      </c>
      <c r="L458" s="154">
        <f t="shared" si="34"/>
        <v>0</v>
      </c>
      <c r="M458" s="154">
        <f t="shared" si="34"/>
        <v>0</v>
      </c>
      <c r="N458" s="154">
        <f t="shared" si="34"/>
        <v>0</v>
      </c>
    </row>
    <row r="459" spans="1:14" x14ac:dyDescent="0.25">
      <c r="A459" s="152">
        <v>6365000</v>
      </c>
      <c r="B459" s="73" t="s">
        <v>394</v>
      </c>
      <c r="C459" s="88"/>
      <c r="D459" s="220">
        <f t="shared" si="32"/>
        <v>0</v>
      </c>
      <c r="E459" s="89"/>
      <c r="F459" s="89"/>
      <c r="G459" s="89"/>
      <c r="H459" s="89"/>
      <c r="I459" s="89"/>
      <c r="J459" s="89"/>
      <c r="K459" s="154">
        <f t="shared" si="34"/>
        <v>0</v>
      </c>
      <c r="L459" s="154">
        <f t="shared" si="34"/>
        <v>0</v>
      </c>
      <c r="M459" s="154">
        <f t="shared" si="34"/>
        <v>0</v>
      </c>
      <c r="N459" s="154">
        <f t="shared" si="34"/>
        <v>0</v>
      </c>
    </row>
    <row r="460" spans="1:14" s="407" customFormat="1" x14ac:dyDescent="0.25">
      <c r="A460" s="152">
        <v>6365000</v>
      </c>
      <c r="B460" s="73" t="s">
        <v>350</v>
      </c>
      <c r="C460" s="88"/>
      <c r="D460" s="220">
        <f t="shared" si="32"/>
        <v>7</v>
      </c>
      <c r="E460" s="89"/>
      <c r="F460" s="89"/>
      <c r="G460" s="89"/>
      <c r="H460" s="89"/>
      <c r="I460" s="89"/>
      <c r="J460" s="89"/>
      <c r="K460" s="212">
        <f t="shared" si="34"/>
        <v>0</v>
      </c>
      <c r="L460" s="212">
        <f t="shared" si="34"/>
        <v>0</v>
      </c>
      <c r="M460" s="212">
        <f t="shared" si="34"/>
        <v>0</v>
      </c>
      <c r="N460" s="212">
        <f t="shared" si="34"/>
        <v>5068</v>
      </c>
    </row>
    <row r="461" spans="1:14" s="407" customFormat="1" x14ac:dyDescent="0.25">
      <c r="A461" s="152">
        <v>6365000</v>
      </c>
      <c r="B461" s="73" t="s">
        <v>1171</v>
      </c>
      <c r="C461" s="88"/>
      <c r="D461" s="220">
        <f t="shared" si="32"/>
        <v>0</v>
      </c>
      <c r="E461" s="89"/>
      <c r="F461" s="89"/>
      <c r="G461" s="89"/>
      <c r="H461" s="89"/>
      <c r="I461" s="89"/>
      <c r="J461" s="89"/>
      <c r="K461" s="212">
        <f t="shared" si="34"/>
        <v>0</v>
      </c>
      <c r="L461" s="212">
        <f t="shared" si="34"/>
        <v>0</v>
      </c>
      <c r="M461" s="212">
        <f t="shared" si="34"/>
        <v>0</v>
      </c>
      <c r="N461" s="212">
        <f t="shared" si="34"/>
        <v>0</v>
      </c>
    </row>
    <row r="462" spans="1:14" x14ac:dyDescent="0.25">
      <c r="A462" s="152">
        <v>6365000</v>
      </c>
      <c r="B462" s="73" t="s">
        <v>1182</v>
      </c>
      <c r="C462" s="88"/>
      <c r="D462" s="220">
        <f t="shared" si="32"/>
        <v>0</v>
      </c>
      <c r="E462" s="89"/>
      <c r="F462" s="89"/>
      <c r="G462" s="89"/>
      <c r="H462" s="89"/>
      <c r="I462" s="89"/>
      <c r="J462" s="89"/>
      <c r="K462" s="154">
        <f t="shared" si="34"/>
        <v>0</v>
      </c>
      <c r="L462" s="154">
        <f t="shared" si="34"/>
        <v>0</v>
      </c>
      <c r="M462" s="154">
        <f t="shared" si="34"/>
        <v>0</v>
      </c>
      <c r="N462" s="154">
        <f t="shared" si="34"/>
        <v>0</v>
      </c>
    </row>
    <row r="463" spans="1:14" x14ac:dyDescent="0.25">
      <c r="A463" s="152">
        <v>6365000</v>
      </c>
      <c r="B463" s="73" t="s">
        <v>20</v>
      </c>
      <c r="C463" s="88"/>
      <c r="D463" s="220">
        <f t="shared" si="32"/>
        <v>0</v>
      </c>
      <c r="E463" s="89"/>
      <c r="F463" s="89"/>
      <c r="G463" s="89"/>
      <c r="H463" s="89"/>
      <c r="I463" s="89"/>
      <c r="J463" s="89"/>
      <c r="K463" s="154">
        <f t="shared" si="34"/>
        <v>0</v>
      </c>
      <c r="L463" s="154">
        <f t="shared" si="34"/>
        <v>0</v>
      </c>
      <c r="M463" s="154">
        <f t="shared" si="34"/>
        <v>0</v>
      </c>
      <c r="N463" s="154">
        <f t="shared" si="34"/>
        <v>0</v>
      </c>
    </row>
    <row r="464" spans="1:14" x14ac:dyDescent="0.25">
      <c r="A464" s="152">
        <v>6365000</v>
      </c>
      <c r="B464" s="73" t="s">
        <v>510</v>
      </c>
      <c r="C464" s="88"/>
      <c r="D464" s="220">
        <f t="shared" si="32"/>
        <v>0</v>
      </c>
      <c r="E464" s="89"/>
      <c r="F464" s="89"/>
      <c r="G464" s="89"/>
      <c r="H464" s="89"/>
      <c r="I464" s="89"/>
      <c r="J464" s="89"/>
      <c r="K464" s="154">
        <f t="shared" si="34"/>
        <v>0</v>
      </c>
      <c r="L464" s="154">
        <f t="shared" si="34"/>
        <v>0</v>
      </c>
      <c r="M464" s="154">
        <f t="shared" si="34"/>
        <v>0</v>
      </c>
      <c r="N464" s="154">
        <f t="shared" si="34"/>
        <v>0</v>
      </c>
    </row>
    <row r="465" spans="1:14" x14ac:dyDescent="0.25">
      <c r="A465" s="152">
        <v>6365000</v>
      </c>
      <c r="B465" s="73" t="s">
        <v>272</v>
      </c>
      <c r="C465" s="88"/>
      <c r="D465" s="220">
        <f t="shared" si="32"/>
        <v>1</v>
      </c>
      <c r="E465" s="89"/>
      <c r="F465" s="89"/>
      <c r="G465" s="89"/>
      <c r="H465" s="89"/>
      <c r="I465" s="89"/>
      <c r="J465" s="89"/>
      <c r="K465" s="154">
        <f t="shared" si="34"/>
        <v>0</v>
      </c>
      <c r="L465" s="154">
        <f t="shared" si="34"/>
        <v>0</v>
      </c>
      <c r="M465" s="154">
        <f t="shared" si="34"/>
        <v>0</v>
      </c>
      <c r="N465" s="154">
        <f t="shared" si="34"/>
        <v>12</v>
      </c>
    </row>
    <row r="466" spans="1:14" x14ac:dyDescent="0.25">
      <c r="A466" s="152">
        <v>6365000</v>
      </c>
      <c r="B466" s="51" t="s">
        <v>21</v>
      </c>
      <c r="C466" s="88"/>
      <c r="D466" s="220">
        <f t="shared" si="32"/>
        <v>0</v>
      </c>
      <c r="E466" s="89"/>
      <c r="F466" s="89"/>
      <c r="G466" s="89"/>
      <c r="H466" s="89"/>
      <c r="I466" s="89"/>
      <c r="J466" s="89"/>
      <c r="K466" s="154">
        <f t="shared" si="34"/>
        <v>0</v>
      </c>
      <c r="L466" s="154">
        <f t="shared" si="34"/>
        <v>0</v>
      </c>
      <c r="M466" s="154">
        <f t="shared" si="34"/>
        <v>0</v>
      </c>
      <c r="N466" s="154">
        <f t="shared" si="34"/>
        <v>0</v>
      </c>
    </row>
    <row r="467" spans="1:14" x14ac:dyDescent="0.25">
      <c r="A467" s="152">
        <v>6365000</v>
      </c>
      <c r="B467" s="73" t="s">
        <v>1172</v>
      </c>
      <c r="C467" s="88"/>
      <c r="D467" s="220">
        <f t="shared" si="32"/>
        <v>0</v>
      </c>
      <c r="E467" s="89"/>
      <c r="F467" s="89"/>
      <c r="G467" s="89"/>
      <c r="H467" s="89"/>
      <c r="I467" s="89"/>
      <c r="J467" s="89"/>
      <c r="K467" s="154">
        <f t="shared" si="34"/>
        <v>0</v>
      </c>
      <c r="L467" s="154">
        <f t="shared" si="34"/>
        <v>0</v>
      </c>
      <c r="M467" s="154">
        <f t="shared" si="34"/>
        <v>0</v>
      </c>
      <c r="N467" s="154">
        <f t="shared" si="34"/>
        <v>0</v>
      </c>
    </row>
    <row r="468" spans="1:14" x14ac:dyDescent="0.25">
      <c r="A468" s="152">
        <v>6365000</v>
      </c>
      <c r="B468" s="73" t="s">
        <v>810</v>
      </c>
      <c r="C468" s="88"/>
      <c r="D468" s="220">
        <f t="shared" si="32"/>
        <v>5</v>
      </c>
      <c r="E468" s="89"/>
      <c r="F468" s="89"/>
      <c r="G468" s="89"/>
      <c r="H468" s="89"/>
      <c r="I468" s="89"/>
      <c r="J468" s="89"/>
      <c r="K468" s="154">
        <f t="shared" si="34"/>
        <v>0</v>
      </c>
      <c r="L468" s="154">
        <f t="shared" si="34"/>
        <v>0</v>
      </c>
      <c r="M468" s="154">
        <f t="shared" si="34"/>
        <v>0</v>
      </c>
      <c r="N468" s="154">
        <f t="shared" si="34"/>
        <v>3745</v>
      </c>
    </row>
    <row r="469" spans="1:14" x14ac:dyDescent="0.25">
      <c r="A469" s="152">
        <v>6365000</v>
      </c>
      <c r="B469" s="51" t="s">
        <v>811</v>
      </c>
      <c r="C469" s="88"/>
      <c r="D469" s="220">
        <f t="shared" si="32"/>
        <v>0</v>
      </c>
      <c r="E469" s="89"/>
      <c r="F469" s="89"/>
      <c r="G469" s="89"/>
      <c r="H469" s="89"/>
      <c r="I469" s="89"/>
      <c r="J469" s="89"/>
      <c r="K469" s="154">
        <f t="shared" si="34"/>
        <v>0</v>
      </c>
      <c r="L469" s="154">
        <f t="shared" si="34"/>
        <v>0</v>
      </c>
      <c r="M469" s="154">
        <f t="shared" si="34"/>
        <v>0</v>
      </c>
      <c r="N469" s="154">
        <f t="shared" si="34"/>
        <v>0</v>
      </c>
    </row>
    <row r="470" spans="1:14" x14ac:dyDescent="0.25">
      <c r="A470" s="152">
        <v>6365000</v>
      </c>
      <c r="B470" s="51" t="s">
        <v>23</v>
      </c>
      <c r="C470" s="88"/>
      <c r="D470" s="220">
        <f t="shared" si="32"/>
        <v>0</v>
      </c>
      <c r="E470" s="89"/>
      <c r="F470" s="89"/>
      <c r="G470" s="89"/>
      <c r="H470" s="89"/>
      <c r="I470" s="89"/>
      <c r="J470" s="89"/>
      <c r="K470" s="154">
        <f t="shared" si="34"/>
        <v>0</v>
      </c>
      <c r="L470" s="154">
        <f t="shared" si="34"/>
        <v>0</v>
      </c>
      <c r="M470" s="154">
        <f t="shared" si="34"/>
        <v>0</v>
      </c>
      <c r="N470" s="154">
        <f t="shared" si="34"/>
        <v>0</v>
      </c>
    </row>
    <row r="471" spans="1:14" x14ac:dyDescent="0.25">
      <c r="A471" s="152">
        <v>6365000</v>
      </c>
      <c r="B471" s="73" t="s">
        <v>268</v>
      </c>
      <c r="C471" s="88"/>
      <c r="D471" s="220">
        <f t="shared" si="32"/>
        <v>0</v>
      </c>
      <c r="E471" s="89"/>
      <c r="F471" s="89"/>
      <c r="G471" s="89"/>
      <c r="H471" s="89"/>
      <c r="I471" s="89"/>
      <c r="J471" s="89"/>
      <c r="K471" s="154">
        <f t="shared" si="34"/>
        <v>0</v>
      </c>
      <c r="L471" s="154">
        <f t="shared" si="34"/>
        <v>0</v>
      </c>
      <c r="M471" s="154">
        <f t="shared" si="34"/>
        <v>0</v>
      </c>
      <c r="N471" s="154">
        <f t="shared" si="34"/>
        <v>0</v>
      </c>
    </row>
    <row r="472" spans="1:14" x14ac:dyDescent="0.25">
      <c r="A472" s="152">
        <v>6365000</v>
      </c>
      <c r="B472" s="73" t="s">
        <v>267</v>
      </c>
      <c r="C472" s="88"/>
      <c r="D472" s="220">
        <f t="shared" si="32"/>
        <v>3</v>
      </c>
      <c r="E472" s="89"/>
      <c r="F472" s="89"/>
      <c r="G472" s="89"/>
      <c r="H472" s="89"/>
      <c r="I472" s="89"/>
      <c r="J472" s="89"/>
      <c r="K472" s="154">
        <f t="shared" si="34"/>
        <v>0</v>
      </c>
      <c r="L472" s="154">
        <f t="shared" si="34"/>
        <v>0</v>
      </c>
      <c r="M472" s="154">
        <f t="shared" si="34"/>
        <v>0</v>
      </c>
      <c r="N472" s="154">
        <f t="shared" si="34"/>
        <v>650</v>
      </c>
    </row>
    <row r="473" spans="1:14" ht="15.75" thickBot="1" x14ac:dyDescent="0.3">
      <c r="A473" s="152">
        <v>6365000</v>
      </c>
      <c r="B473" s="73" t="s">
        <v>920</v>
      </c>
      <c r="C473" s="88"/>
      <c r="D473" s="220">
        <f t="shared" si="32"/>
        <v>2</v>
      </c>
      <c r="E473" s="89"/>
      <c r="F473" s="89"/>
      <c r="G473" s="89"/>
      <c r="H473" s="89"/>
      <c r="I473" s="89"/>
      <c r="J473" s="89"/>
      <c r="K473" s="154">
        <f t="shared" si="34"/>
        <v>0</v>
      </c>
      <c r="L473" s="154">
        <f t="shared" si="34"/>
        <v>0</v>
      </c>
      <c r="M473" s="154">
        <f t="shared" si="34"/>
        <v>0</v>
      </c>
      <c r="N473" s="154">
        <f t="shared" si="34"/>
        <v>60000</v>
      </c>
    </row>
    <row r="474" spans="1:14" s="407" customFormat="1" x14ac:dyDescent="0.25">
      <c r="A474" s="151">
        <v>6365015</v>
      </c>
      <c r="B474" s="84" t="s">
        <v>19</v>
      </c>
      <c r="C474" s="85"/>
      <c r="D474" s="210">
        <f t="shared" si="32"/>
        <v>0</v>
      </c>
      <c r="E474" s="86"/>
      <c r="F474" s="86"/>
      <c r="G474" s="86"/>
      <c r="H474" s="86"/>
      <c r="I474" s="86"/>
      <c r="J474" s="86"/>
      <c r="K474" s="213">
        <f t="shared" ref="K474:N493" si="35">SUMIFS(K$26:K$212,$A$26:$A$212,$A474,$B$26:$B$212,$B474)</f>
        <v>0</v>
      </c>
      <c r="L474" s="213">
        <f t="shared" si="35"/>
        <v>0</v>
      </c>
      <c r="M474" s="213">
        <f t="shared" si="35"/>
        <v>0</v>
      </c>
      <c r="N474" s="213">
        <f t="shared" si="35"/>
        <v>0</v>
      </c>
    </row>
    <row r="475" spans="1:14" s="407" customFormat="1" x14ac:dyDescent="0.25">
      <c r="A475" s="152">
        <v>6365015</v>
      </c>
      <c r="B475" s="73" t="s">
        <v>18</v>
      </c>
      <c r="C475" s="88"/>
      <c r="D475" s="220">
        <f t="shared" si="32"/>
        <v>0</v>
      </c>
      <c r="E475" s="89"/>
      <c r="F475" s="89"/>
      <c r="G475" s="89"/>
      <c r="H475" s="89"/>
      <c r="I475" s="89"/>
      <c r="J475" s="89"/>
      <c r="K475" s="212">
        <f t="shared" si="35"/>
        <v>0</v>
      </c>
      <c r="L475" s="212">
        <f t="shared" si="35"/>
        <v>0</v>
      </c>
      <c r="M475" s="212">
        <f t="shared" si="35"/>
        <v>0</v>
      </c>
      <c r="N475" s="212">
        <f t="shared" si="35"/>
        <v>0</v>
      </c>
    </row>
    <row r="476" spans="1:14" s="407" customFormat="1" x14ac:dyDescent="0.25">
      <c r="A476" s="152">
        <v>6365015</v>
      </c>
      <c r="B476" s="73" t="s">
        <v>22</v>
      </c>
      <c r="C476" s="88"/>
      <c r="D476" s="220">
        <f t="shared" si="32"/>
        <v>0</v>
      </c>
      <c r="E476" s="89"/>
      <c r="F476" s="89"/>
      <c r="G476" s="89"/>
      <c r="H476" s="89"/>
      <c r="I476" s="89"/>
      <c r="J476" s="89"/>
      <c r="K476" s="212">
        <f t="shared" si="35"/>
        <v>0</v>
      </c>
      <c r="L476" s="212">
        <f t="shared" si="35"/>
        <v>0</v>
      </c>
      <c r="M476" s="212">
        <f t="shared" si="35"/>
        <v>0</v>
      </c>
      <c r="N476" s="212">
        <f t="shared" si="35"/>
        <v>0</v>
      </c>
    </row>
    <row r="477" spans="1:14" s="407" customFormat="1" x14ac:dyDescent="0.25">
      <c r="A477" s="152">
        <v>6365015</v>
      </c>
      <c r="B477" s="73" t="s">
        <v>24</v>
      </c>
      <c r="C477" s="88"/>
      <c r="D477" s="220">
        <f t="shared" si="32"/>
        <v>0</v>
      </c>
      <c r="E477" s="89"/>
      <c r="F477" s="89"/>
      <c r="G477" s="89"/>
      <c r="H477" s="89"/>
      <c r="I477" s="89"/>
      <c r="J477" s="89"/>
      <c r="K477" s="212">
        <f t="shared" si="35"/>
        <v>0</v>
      </c>
      <c r="L477" s="212">
        <f t="shared" si="35"/>
        <v>0</v>
      </c>
      <c r="M477" s="212">
        <f t="shared" si="35"/>
        <v>0</v>
      </c>
      <c r="N477" s="212">
        <f t="shared" si="35"/>
        <v>0</v>
      </c>
    </row>
    <row r="478" spans="1:14" s="407" customFormat="1" x14ac:dyDescent="0.25">
      <c r="A478" s="152">
        <v>6365015</v>
      </c>
      <c r="B478" s="73" t="s">
        <v>25</v>
      </c>
      <c r="C478" s="88"/>
      <c r="D478" s="220">
        <f t="shared" si="32"/>
        <v>0</v>
      </c>
      <c r="E478" s="89"/>
      <c r="F478" s="89"/>
      <c r="G478" s="89"/>
      <c r="H478" s="89"/>
      <c r="I478" s="89"/>
      <c r="J478" s="89"/>
      <c r="K478" s="212">
        <f t="shared" si="35"/>
        <v>0</v>
      </c>
      <c r="L478" s="212">
        <f t="shared" si="35"/>
        <v>0</v>
      </c>
      <c r="M478" s="212">
        <f t="shared" si="35"/>
        <v>0</v>
      </c>
      <c r="N478" s="212">
        <f t="shared" si="35"/>
        <v>0</v>
      </c>
    </row>
    <row r="479" spans="1:14" s="407" customFormat="1" x14ac:dyDescent="0.25">
      <c r="A479" s="152">
        <v>6365015</v>
      </c>
      <c r="B479" s="73" t="s">
        <v>394</v>
      </c>
      <c r="C479" s="88"/>
      <c r="D479" s="220">
        <f t="shared" si="32"/>
        <v>0</v>
      </c>
      <c r="E479" s="89"/>
      <c r="F479" s="89"/>
      <c r="G479" s="89"/>
      <c r="H479" s="89"/>
      <c r="I479" s="89"/>
      <c r="J479" s="89"/>
      <c r="K479" s="212">
        <f t="shared" si="35"/>
        <v>0</v>
      </c>
      <c r="L479" s="212">
        <f t="shared" si="35"/>
        <v>0</v>
      </c>
      <c r="M479" s="212">
        <f t="shared" si="35"/>
        <v>0</v>
      </c>
      <c r="N479" s="212">
        <f t="shared" si="35"/>
        <v>0</v>
      </c>
    </row>
    <row r="480" spans="1:14" s="407" customFormat="1" x14ac:dyDescent="0.25">
      <c r="A480" s="152">
        <v>6365015</v>
      </c>
      <c r="B480" s="73" t="s">
        <v>350</v>
      </c>
      <c r="C480" s="88"/>
      <c r="D480" s="220">
        <f t="shared" si="32"/>
        <v>0</v>
      </c>
      <c r="E480" s="89"/>
      <c r="F480" s="89"/>
      <c r="G480" s="89"/>
      <c r="H480" s="89"/>
      <c r="I480" s="89"/>
      <c r="J480" s="89"/>
      <c r="K480" s="212">
        <f t="shared" si="35"/>
        <v>0</v>
      </c>
      <c r="L480" s="212">
        <f t="shared" si="35"/>
        <v>0</v>
      </c>
      <c r="M480" s="212">
        <f t="shared" si="35"/>
        <v>0</v>
      </c>
      <c r="N480" s="212">
        <f t="shared" si="35"/>
        <v>0</v>
      </c>
    </row>
    <row r="481" spans="1:14" s="407" customFormat="1" x14ac:dyDescent="0.25">
      <c r="A481" s="152">
        <v>6365015</v>
      </c>
      <c r="B481" s="73" t="s">
        <v>1171</v>
      </c>
      <c r="C481" s="88"/>
      <c r="D481" s="220">
        <f t="shared" si="32"/>
        <v>0</v>
      </c>
      <c r="E481" s="89"/>
      <c r="F481" s="89"/>
      <c r="G481" s="89"/>
      <c r="H481" s="89"/>
      <c r="I481" s="89"/>
      <c r="J481" s="89"/>
      <c r="K481" s="212">
        <f t="shared" si="35"/>
        <v>0</v>
      </c>
      <c r="L481" s="212">
        <f t="shared" si="35"/>
        <v>0</v>
      </c>
      <c r="M481" s="212">
        <f t="shared" si="35"/>
        <v>0</v>
      </c>
      <c r="N481" s="212">
        <f t="shared" si="35"/>
        <v>0</v>
      </c>
    </row>
    <row r="482" spans="1:14" s="407" customFormat="1" x14ac:dyDescent="0.25">
      <c r="A482" s="152">
        <v>6365015</v>
      </c>
      <c r="B482" s="73" t="s">
        <v>1182</v>
      </c>
      <c r="C482" s="88"/>
      <c r="D482" s="220">
        <f t="shared" si="32"/>
        <v>0</v>
      </c>
      <c r="E482" s="89"/>
      <c r="F482" s="89"/>
      <c r="G482" s="89"/>
      <c r="H482" s="89"/>
      <c r="I482" s="89"/>
      <c r="J482" s="89"/>
      <c r="K482" s="212">
        <f t="shared" si="35"/>
        <v>0</v>
      </c>
      <c r="L482" s="212">
        <f t="shared" si="35"/>
        <v>0</v>
      </c>
      <c r="M482" s="212">
        <f t="shared" si="35"/>
        <v>0</v>
      </c>
      <c r="N482" s="212">
        <f t="shared" si="35"/>
        <v>0</v>
      </c>
    </row>
    <row r="483" spans="1:14" s="407" customFormat="1" x14ac:dyDescent="0.25">
      <c r="A483" s="152">
        <v>6365015</v>
      </c>
      <c r="B483" s="73" t="s">
        <v>20</v>
      </c>
      <c r="C483" s="88"/>
      <c r="D483" s="220">
        <f t="shared" si="32"/>
        <v>0</v>
      </c>
      <c r="E483" s="89"/>
      <c r="F483" s="89"/>
      <c r="G483" s="89"/>
      <c r="H483" s="89"/>
      <c r="I483" s="89"/>
      <c r="J483" s="89"/>
      <c r="K483" s="212">
        <f t="shared" si="35"/>
        <v>0</v>
      </c>
      <c r="L483" s="212">
        <f t="shared" si="35"/>
        <v>0</v>
      </c>
      <c r="M483" s="212">
        <f t="shared" si="35"/>
        <v>0</v>
      </c>
      <c r="N483" s="212">
        <f t="shared" si="35"/>
        <v>0</v>
      </c>
    </row>
    <row r="484" spans="1:14" s="407" customFormat="1" x14ac:dyDescent="0.25">
      <c r="A484" s="152">
        <v>6365015</v>
      </c>
      <c r="B484" s="73" t="s">
        <v>510</v>
      </c>
      <c r="C484" s="88"/>
      <c r="D484" s="220">
        <f t="shared" si="32"/>
        <v>0</v>
      </c>
      <c r="E484" s="89"/>
      <c r="F484" s="89"/>
      <c r="G484" s="89"/>
      <c r="H484" s="89"/>
      <c r="I484" s="89"/>
      <c r="J484" s="89"/>
      <c r="K484" s="212">
        <f t="shared" si="35"/>
        <v>0</v>
      </c>
      <c r="L484" s="212">
        <f t="shared" si="35"/>
        <v>0</v>
      </c>
      <c r="M484" s="212">
        <f t="shared" si="35"/>
        <v>0</v>
      </c>
      <c r="N484" s="212">
        <f t="shared" si="35"/>
        <v>0</v>
      </c>
    </row>
    <row r="485" spans="1:14" s="407" customFormat="1" x14ac:dyDescent="0.25">
      <c r="A485" s="152">
        <v>6365015</v>
      </c>
      <c r="B485" s="73" t="s">
        <v>272</v>
      </c>
      <c r="C485" s="88"/>
      <c r="D485" s="220">
        <f t="shared" si="32"/>
        <v>0</v>
      </c>
      <c r="E485" s="89"/>
      <c r="F485" s="89"/>
      <c r="G485" s="89"/>
      <c r="H485" s="89"/>
      <c r="I485" s="89"/>
      <c r="J485" s="89"/>
      <c r="K485" s="212">
        <f t="shared" si="35"/>
        <v>0</v>
      </c>
      <c r="L485" s="212">
        <f t="shared" si="35"/>
        <v>0</v>
      </c>
      <c r="M485" s="212">
        <f t="shared" si="35"/>
        <v>0</v>
      </c>
      <c r="N485" s="212">
        <f t="shared" si="35"/>
        <v>0</v>
      </c>
    </row>
    <row r="486" spans="1:14" s="407" customFormat="1" x14ac:dyDescent="0.25">
      <c r="A486" s="152">
        <v>6365015</v>
      </c>
      <c r="B486" s="51" t="s">
        <v>21</v>
      </c>
      <c r="C486" s="88"/>
      <c r="D486" s="220">
        <f t="shared" si="32"/>
        <v>0</v>
      </c>
      <c r="E486" s="89"/>
      <c r="F486" s="89"/>
      <c r="G486" s="89"/>
      <c r="H486" s="89"/>
      <c r="I486" s="89"/>
      <c r="J486" s="89"/>
      <c r="K486" s="212">
        <f t="shared" si="35"/>
        <v>0</v>
      </c>
      <c r="L486" s="212">
        <f t="shared" si="35"/>
        <v>0</v>
      </c>
      <c r="M486" s="212">
        <f t="shared" si="35"/>
        <v>0</v>
      </c>
      <c r="N486" s="212">
        <f t="shared" si="35"/>
        <v>0</v>
      </c>
    </row>
    <row r="487" spans="1:14" s="407" customFormat="1" x14ac:dyDescent="0.25">
      <c r="A487" s="152">
        <v>6365015</v>
      </c>
      <c r="B487" s="73" t="s">
        <v>1172</v>
      </c>
      <c r="C487" s="88"/>
      <c r="D487" s="220">
        <f t="shared" si="32"/>
        <v>0</v>
      </c>
      <c r="E487" s="89"/>
      <c r="F487" s="89"/>
      <c r="G487" s="89"/>
      <c r="H487" s="89"/>
      <c r="I487" s="89"/>
      <c r="J487" s="89"/>
      <c r="K487" s="212">
        <f t="shared" si="35"/>
        <v>0</v>
      </c>
      <c r="L487" s="212">
        <f t="shared" si="35"/>
        <v>0</v>
      </c>
      <c r="M487" s="212">
        <f t="shared" si="35"/>
        <v>0</v>
      </c>
      <c r="N487" s="212">
        <f t="shared" si="35"/>
        <v>0</v>
      </c>
    </row>
    <row r="488" spans="1:14" s="407" customFormat="1" x14ac:dyDescent="0.25">
      <c r="A488" s="152">
        <v>6365015</v>
      </c>
      <c r="B488" s="73" t="s">
        <v>810</v>
      </c>
      <c r="C488" s="88"/>
      <c r="D488" s="220">
        <f t="shared" si="32"/>
        <v>0</v>
      </c>
      <c r="E488" s="89"/>
      <c r="F488" s="89"/>
      <c r="G488" s="89"/>
      <c r="H488" s="89"/>
      <c r="I488" s="89"/>
      <c r="J488" s="89"/>
      <c r="K488" s="212">
        <f t="shared" si="35"/>
        <v>0</v>
      </c>
      <c r="L488" s="212">
        <f t="shared" si="35"/>
        <v>0</v>
      </c>
      <c r="M488" s="212">
        <f t="shared" si="35"/>
        <v>0</v>
      </c>
      <c r="N488" s="212">
        <f t="shared" si="35"/>
        <v>0</v>
      </c>
    </row>
    <row r="489" spans="1:14" s="407" customFormat="1" x14ac:dyDescent="0.25">
      <c r="A489" s="152">
        <v>6365015</v>
      </c>
      <c r="B489" s="51" t="s">
        <v>811</v>
      </c>
      <c r="C489" s="88"/>
      <c r="D489" s="220">
        <f t="shared" si="32"/>
        <v>0</v>
      </c>
      <c r="E489" s="89"/>
      <c r="F489" s="89"/>
      <c r="G489" s="89"/>
      <c r="H489" s="89"/>
      <c r="I489" s="89"/>
      <c r="J489" s="89"/>
      <c r="K489" s="212">
        <f t="shared" si="35"/>
        <v>0</v>
      </c>
      <c r="L489" s="212">
        <f t="shared" si="35"/>
        <v>0</v>
      </c>
      <c r="M489" s="212">
        <f t="shared" si="35"/>
        <v>0</v>
      </c>
      <c r="N489" s="212">
        <f t="shared" si="35"/>
        <v>0</v>
      </c>
    </row>
    <row r="490" spans="1:14" s="407" customFormat="1" x14ac:dyDescent="0.25">
      <c r="A490" s="152">
        <v>6365015</v>
      </c>
      <c r="B490" s="51" t="s">
        <v>23</v>
      </c>
      <c r="C490" s="88"/>
      <c r="D490" s="220">
        <f t="shared" ref="D490:D553" si="36">COUNTIFS($A$26:$A$212,$A490,$B$26:$B$212,$B490)</f>
        <v>0</v>
      </c>
      <c r="E490" s="89"/>
      <c r="F490" s="89"/>
      <c r="G490" s="89"/>
      <c r="H490" s="89"/>
      <c r="I490" s="89"/>
      <c r="J490" s="89"/>
      <c r="K490" s="212">
        <f t="shared" si="35"/>
        <v>0</v>
      </c>
      <c r="L490" s="212">
        <f t="shared" si="35"/>
        <v>0</v>
      </c>
      <c r="M490" s="212">
        <f t="shared" si="35"/>
        <v>0</v>
      </c>
      <c r="N490" s="212">
        <f t="shared" si="35"/>
        <v>0</v>
      </c>
    </row>
    <row r="491" spans="1:14" s="407" customFormat="1" x14ac:dyDescent="0.25">
      <c r="A491" s="152">
        <v>6365015</v>
      </c>
      <c r="B491" s="73" t="s">
        <v>268</v>
      </c>
      <c r="C491" s="88"/>
      <c r="D491" s="220">
        <f t="shared" si="36"/>
        <v>0</v>
      </c>
      <c r="E491" s="89"/>
      <c r="F491" s="89"/>
      <c r="G491" s="89"/>
      <c r="H491" s="89"/>
      <c r="I491" s="89"/>
      <c r="J491" s="89"/>
      <c r="K491" s="212">
        <f t="shared" si="35"/>
        <v>0</v>
      </c>
      <c r="L491" s="212">
        <f t="shared" si="35"/>
        <v>0</v>
      </c>
      <c r="M491" s="212">
        <f t="shared" si="35"/>
        <v>0</v>
      </c>
      <c r="N491" s="212">
        <f t="shared" si="35"/>
        <v>0</v>
      </c>
    </row>
    <row r="492" spans="1:14" s="407" customFormat="1" x14ac:dyDescent="0.25">
      <c r="A492" s="152">
        <v>6365015</v>
      </c>
      <c r="B492" s="73" t="s">
        <v>267</v>
      </c>
      <c r="C492" s="88"/>
      <c r="D492" s="220">
        <f t="shared" si="36"/>
        <v>0</v>
      </c>
      <c r="E492" s="89"/>
      <c r="F492" s="89"/>
      <c r="G492" s="89"/>
      <c r="H492" s="89"/>
      <c r="I492" s="89"/>
      <c r="J492" s="89"/>
      <c r="K492" s="212">
        <f t="shared" si="35"/>
        <v>0</v>
      </c>
      <c r="L492" s="212">
        <f t="shared" si="35"/>
        <v>0</v>
      </c>
      <c r="M492" s="212">
        <f t="shared" si="35"/>
        <v>0</v>
      </c>
      <c r="N492" s="212">
        <f t="shared" si="35"/>
        <v>0</v>
      </c>
    </row>
    <row r="493" spans="1:14" s="407" customFormat="1" ht="15.75" thickBot="1" x14ac:dyDescent="0.3">
      <c r="A493" s="152">
        <v>6365015</v>
      </c>
      <c r="B493" s="73" t="s">
        <v>920</v>
      </c>
      <c r="C493" s="88"/>
      <c r="D493" s="220">
        <f t="shared" si="36"/>
        <v>0</v>
      </c>
      <c r="E493" s="89"/>
      <c r="F493" s="89"/>
      <c r="G493" s="89"/>
      <c r="H493" s="89"/>
      <c r="I493" s="89"/>
      <c r="J493" s="89"/>
      <c r="K493" s="212">
        <f t="shared" si="35"/>
        <v>0</v>
      </c>
      <c r="L493" s="212">
        <f t="shared" si="35"/>
        <v>0</v>
      </c>
      <c r="M493" s="212">
        <f t="shared" si="35"/>
        <v>0</v>
      </c>
      <c r="N493" s="212">
        <f t="shared" si="35"/>
        <v>0</v>
      </c>
    </row>
    <row r="494" spans="1:14" x14ac:dyDescent="0.25">
      <c r="A494" s="151">
        <v>6355000</v>
      </c>
      <c r="B494" s="84" t="s">
        <v>19</v>
      </c>
      <c r="C494" s="85"/>
      <c r="D494" s="210">
        <f t="shared" si="36"/>
        <v>0</v>
      </c>
      <c r="E494" s="86"/>
      <c r="F494" s="86"/>
      <c r="G494" s="86"/>
      <c r="H494" s="86"/>
      <c r="I494" s="86"/>
      <c r="J494" s="86"/>
      <c r="K494" s="156">
        <f t="shared" ref="K494:N513" si="37">SUMIFS(K$26:K$212,$A$26:$A$212,$A494,$B$26:$B$212,$B494)</f>
        <v>0</v>
      </c>
      <c r="L494" s="156">
        <f t="shared" si="37"/>
        <v>0</v>
      </c>
      <c r="M494" s="156">
        <f t="shared" si="37"/>
        <v>0</v>
      </c>
      <c r="N494" s="156">
        <f t="shared" si="37"/>
        <v>0</v>
      </c>
    </row>
    <row r="495" spans="1:14" x14ac:dyDescent="0.25">
      <c r="A495" s="152">
        <v>6355000</v>
      </c>
      <c r="B495" s="73" t="s">
        <v>18</v>
      </c>
      <c r="C495" s="88"/>
      <c r="D495" s="220">
        <f t="shared" si="36"/>
        <v>0</v>
      </c>
      <c r="E495" s="89"/>
      <c r="F495" s="89"/>
      <c r="G495" s="89"/>
      <c r="H495" s="89"/>
      <c r="I495" s="89"/>
      <c r="J495" s="89"/>
      <c r="K495" s="154">
        <f t="shared" si="37"/>
        <v>0</v>
      </c>
      <c r="L495" s="154">
        <f t="shared" si="37"/>
        <v>0</v>
      </c>
      <c r="M495" s="154">
        <f t="shared" si="37"/>
        <v>0</v>
      </c>
      <c r="N495" s="154">
        <f t="shared" si="37"/>
        <v>0</v>
      </c>
    </row>
    <row r="496" spans="1:14" x14ac:dyDescent="0.25">
      <c r="A496" s="152">
        <v>6355000</v>
      </c>
      <c r="B496" s="73" t="s">
        <v>22</v>
      </c>
      <c r="C496" s="88"/>
      <c r="D496" s="220">
        <f t="shared" si="36"/>
        <v>0</v>
      </c>
      <c r="E496" s="89"/>
      <c r="F496" s="89"/>
      <c r="G496" s="89"/>
      <c r="H496" s="89"/>
      <c r="I496" s="89"/>
      <c r="J496" s="89"/>
      <c r="K496" s="154">
        <f t="shared" si="37"/>
        <v>0</v>
      </c>
      <c r="L496" s="154">
        <f t="shared" si="37"/>
        <v>0</v>
      </c>
      <c r="M496" s="154">
        <f t="shared" si="37"/>
        <v>0</v>
      </c>
      <c r="N496" s="154">
        <f t="shared" si="37"/>
        <v>0</v>
      </c>
    </row>
    <row r="497" spans="1:14" x14ac:dyDescent="0.25">
      <c r="A497" s="152">
        <v>6355000</v>
      </c>
      <c r="B497" s="73" t="s">
        <v>24</v>
      </c>
      <c r="C497" s="88"/>
      <c r="D497" s="220">
        <f t="shared" si="36"/>
        <v>1</v>
      </c>
      <c r="E497" s="89"/>
      <c r="F497" s="89"/>
      <c r="G497" s="89"/>
      <c r="H497" s="89"/>
      <c r="I497" s="89"/>
      <c r="J497" s="89"/>
      <c r="K497" s="154">
        <f t="shared" si="37"/>
        <v>0</v>
      </c>
      <c r="L497" s="154">
        <f t="shared" si="37"/>
        <v>0</v>
      </c>
      <c r="M497" s="154">
        <f t="shared" si="37"/>
        <v>0</v>
      </c>
      <c r="N497" s="154">
        <f t="shared" si="37"/>
        <v>1500</v>
      </c>
    </row>
    <row r="498" spans="1:14" x14ac:dyDescent="0.25">
      <c r="A498" s="152">
        <v>6355000</v>
      </c>
      <c r="B498" s="73" t="s">
        <v>25</v>
      </c>
      <c r="C498" s="88"/>
      <c r="D498" s="220">
        <f t="shared" si="36"/>
        <v>1</v>
      </c>
      <c r="E498" s="89"/>
      <c r="F498" s="89"/>
      <c r="G498" s="89"/>
      <c r="H498" s="89"/>
      <c r="I498" s="89"/>
      <c r="J498" s="89"/>
      <c r="K498" s="154">
        <f t="shared" si="37"/>
        <v>0</v>
      </c>
      <c r="L498" s="154">
        <f t="shared" si="37"/>
        <v>0</v>
      </c>
      <c r="M498" s="154">
        <f t="shared" si="37"/>
        <v>0</v>
      </c>
      <c r="N498" s="154">
        <f t="shared" si="37"/>
        <v>500</v>
      </c>
    </row>
    <row r="499" spans="1:14" x14ac:dyDescent="0.25">
      <c r="A499" s="152">
        <v>6355000</v>
      </c>
      <c r="B499" s="73" t="s">
        <v>394</v>
      </c>
      <c r="C499" s="88"/>
      <c r="D499" s="220">
        <f t="shared" si="36"/>
        <v>6</v>
      </c>
      <c r="E499" s="89"/>
      <c r="F499" s="89"/>
      <c r="G499" s="89"/>
      <c r="H499" s="89"/>
      <c r="I499" s="89"/>
      <c r="J499" s="89"/>
      <c r="K499" s="154">
        <f t="shared" si="37"/>
        <v>0</v>
      </c>
      <c r="L499" s="154">
        <f t="shared" si="37"/>
        <v>0</v>
      </c>
      <c r="M499" s="154">
        <f t="shared" si="37"/>
        <v>0</v>
      </c>
      <c r="N499" s="154">
        <f t="shared" si="37"/>
        <v>900</v>
      </c>
    </row>
    <row r="500" spans="1:14" s="407" customFormat="1" x14ac:dyDescent="0.25">
      <c r="A500" s="152">
        <v>6355000</v>
      </c>
      <c r="B500" s="73" t="s">
        <v>350</v>
      </c>
      <c r="C500" s="88"/>
      <c r="D500" s="220">
        <f t="shared" si="36"/>
        <v>2</v>
      </c>
      <c r="E500" s="89"/>
      <c r="F500" s="89"/>
      <c r="G500" s="89"/>
      <c r="H500" s="89"/>
      <c r="I500" s="89"/>
      <c r="J500" s="89"/>
      <c r="K500" s="212">
        <f t="shared" si="37"/>
        <v>0</v>
      </c>
      <c r="L500" s="212">
        <f t="shared" si="37"/>
        <v>0</v>
      </c>
      <c r="M500" s="212">
        <f t="shared" si="37"/>
        <v>0</v>
      </c>
      <c r="N500" s="212">
        <f t="shared" si="37"/>
        <v>1075</v>
      </c>
    </row>
    <row r="501" spans="1:14" s="407" customFormat="1" x14ac:dyDescent="0.25">
      <c r="A501" s="152">
        <v>6355000</v>
      </c>
      <c r="B501" s="73" t="s">
        <v>1171</v>
      </c>
      <c r="C501" s="88"/>
      <c r="D501" s="220">
        <f t="shared" si="36"/>
        <v>0</v>
      </c>
      <c r="E501" s="89"/>
      <c r="F501" s="89"/>
      <c r="G501" s="89"/>
      <c r="H501" s="89"/>
      <c r="I501" s="89"/>
      <c r="J501" s="89"/>
      <c r="K501" s="212">
        <f t="shared" si="37"/>
        <v>0</v>
      </c>
      <c r="L501" s="212">
        <f t="shared" si="37"/>
        <v>0</v>
      </c>
      <c r="M501" s="212">
        <f t="shared" si="37"/>
        <v>0</v>
      </c>
      <c r="N501" s="212">
        <f t="shared" si="37"/>
        <v>0</v>
      </c>
    </row>
    <row r="502" spans="1:14" x14ac:dyDescent="0.25">
      <c r="A502" s="152">
        <v>6355000</v>
      </c>
      <c r="B502" s="73" t="s">
        <v>1182</v>
      </c>
      <c r="C502" s="88"/>
      <c r="D502" s="220">
        <f t="shared" si="36"/>
        <v>1</v>
      </c>
      <c r="E502" s="89"/>
      <c r="F502" s="89"/>
      <c r="G502" s="89"/>
      <c r="H502" s="89"/>
      <c r="I502" s="89"/>
      <c r="J502" s="89"/>
      <c r="K502" s="154">
        <f t="shared" si="37"/>
        <v>0</v>
      </c>
      <c r="L502" s="154">
        <f t="shared" si="37"/>
        <v>0</v>
      </c>
      <c r="M502" s="154">
        <f t="shared" si="37"/>
        <v>0</v>
      </c>
      <c r="N502" s="154">
        <f t="shared" si="37"/>
        <v>200</v>
      </c>
    </row>
    <row r="503" spans="1:14" x14ac:dyDescent="0.25">
      <c r="A503" s="152">
        <v>6355000</v>
      </c>
      <c r="B503" s="73" t="s">
        <v>20</v>
      </c>
      <c r="C503" s="88"/>
      <c r="D503" s="220">
        <f t="shared" si="36"/>
        <v>0</v>
      </c>
      <c r="E503" s="89"/>
      <c r="F503" s="89"/>
      <c r="G503" s="89"/>
      <c r="H503" s="89"/>
      <c r="I503" s="89"/>
      <c r="J503" s="89"/>
      <c r="K503" s="154">
        <f t="shared" si="37"/>
        <v>0</v>
      </c>
      <c r="L503" s="154">
        <f t="shared" si="37"/>
        <v>0</v>
      </c>
      <c r="M503" s="154">
        <f t="shared" si="37"/>
        <v>0</v>
      </c>
      <c r="N503" s="154">
        <f t="shared" si="37"/>
        <v>0</v>
      </c>
    </row>
    <row r="504" spans="1:14" x14ac:dyDescent="0.25">
      <c r="A504" s="152">
        <v>6355000</v>
      </c>
      <c r="B504" s="73" t="s">
        <v>510</v>
      </c>
      <c r="C504" s="88"/>
      <c r="D504" s="220">
        <f t="shared" si="36"/>
        <v>1</v>
      </c>
      <c r="E504" s="89"/>
      <c r="F504" s="89"/>
      <c r="G504" s="89"/>
      <c r="H504" s="89"/>
      <c r="I504" s="89"/>
      <c r="J504" s="89"/>
      <c r="K504" s="154">
        <f t="shared" si="37"/>
        <v>0</v>
      </c>
      <c r="L504" s="154">
        <f t="shared" si="37"/>
        <v>0</v>
      </c>
      <c r="M504" s="154">
        <f t="shared" si="37"/>
        <v>0</v>
      </c>
      <c r="N504" s="154">
        <f t="shared" si="37"/>
        <v>0</v>
      </c>
    </row>
    <row r="505" spans="1:14" x14ac:dyDescent="0.25">
      <c r="A505" s="152">
        <v>6355000</v>
      </c>
      <c r="B505" s="73" t="s">
        <v>272</v>
      </c>
      <c r="C505" s="88"/>
      <c r="D505" s="220">
        <f t="shared" si="36"/>
        <v>1</v>
      </c>
      <c r="E505" s="89"/>
      <c r="F505" s="89"/>
      <c r="G505" s="89"/>
      <c r="H505" s="89"/>
      <c r="I505" s="89"/>
      <c r="J505" s="89"/>
      <c r="K505" s="154">
        <f t="shared" si="37"/>
        <v>0</v>
      </c>
      <c r="L505" s="154">
        <f t="shared" si="37"/>
        <v>0</v>
      </c>
      <c r="M505" s="154">
        <f t="shared" si="37"/>
        <v>0</v>
      </c>
      <c r="N505" s="154">
        <f t="shared" si="37"/>
        <v>375</v>
      </c>
    </row>
    <row r="506" spans="1:14" x14ac:dyDescent="0.25">
      <c r="A506" s="152">
        <v>6355000</v>
      </c>
      <c r="B506" s="51" t="s">
        <v>21</v>
      </c>
      <c r="C506" s="88"/>
      <c r="D506" s="220">
        <f t="shared" si="36"/>
        <v>1</v>
      </c>
      <c r="E506" s="89"/>
      <c r="F506" s="89"/>
      <c r="G506" s="89"/>
      <c r="H506" s="89"/>
      <c r="I506" s="89"/>
      <c r="J506" s="89"/>
      <c r="K506" s="154">
        <f t="shared" si="37"/>
        <v>0</v>
      </c>
      <c r="L506" s="154">
        <f t="shared" si="37"/>
        <v>0</v>
      </c>
      <c r="M506" s="154">
        <f t="shared" si="37"/>
        <v>0</v>
      </c>
      <c r="N506" s="154">
        <f t="shared" si="37"/>
        <v>250</v>
      </c>
    </row>
    <row r="507" spans="1:14" x14ac:dyDescent="0.25">
      <c r="A507" s="152">
        <v>6355000</v>
      </c>
      <c r="B507" s="73" t="s">
        <v>1172</v>
      </c>
      <c r="C507" s="88"/>
      <c r="D507" s="220">
        <f t="shared" si="36"/>
        <v>1</v>
      </c>
      <c r="E507" s="89"/>
      <c r="F507" s="89"/>
      <c r="G507" s="89"/>
      <c r="H507" s="89"/>
      <c r="I507" s="89"/>
      <c r="J507" s="89"/>
      <c r="K507" s="154">
        <f t="shared" si="37"/>
        <v>0</v>
      </c>
      <c r="L507" s="154">
        <f t="shared" si="37"/>
        <v>0</v>
      </c>
      <c r="M507" s="154">
        <f t="shared" si="37"/>
        <v>0</v>
      </c>
      <c r="N507" s="154">
        <f t="shared" si="37"/>
        <v>800</v>
      </c>
    </row>
    <row r="508" spans="1:14" x14ac:dyDescent="0.25">
      <c r="A508" s="152">
        <v>6355000</v>
      </c>
      <c r="B508" s="73" t="s">
        <v>810</v>
      </c>
      <c r="C508" s="88"/>
      <c r="D508" s="220">
        <f t="shared" si="36"/>
        <v>1</v>
      </c>
      <c r="E508" s="89"/>
      <c r="F508" s="89"/>
      <c r="G508" s="89"/>
      <c r="H508" s="89"/>
      <c r="I508" s="89"/>
      <c r="J508" s="89"/>
      <c r="K508" s="154">
        <f t="shared" si="37"/>
        <v>0</v>
      </c>
      <c r="L508" s="154">
        <f t="shared" si="37"/>
        <v>0</v>
      </c>
      <c r="M508" s="154">
        <f t="shared" si="37"/>
        <v>0</v>
      </c>
      <c r="N508" s="154">
        <f t="shared" si="37"/>
        <v>2000</v>
      </c>
    </row>
    <row r="509" spans="1:14" x14ac:dyDescent="0.25">
      <c r="A509" s="152">
        <v>6355000</v>
      </c>
      <c r="B509" s="51" t="s">
        <v>811</v>
      </c>
      <c r="C509" s="88"/>
      <c r="D509" s="220">
        <f t="shared" si="36"/>
        <v>1</v>
      </c>
      <c r="E509" s="89"/>
      <c r="F509" s="89"/>
      <c r="G509" s="89"/>
      <c r="H509" s="89"/>
      <c r="I509" s="89"/>
      <c r="J509" s="89"/>
      <c r="K509" s="154">
        <f t="shared" si="37"/>
        <v>0</v>
      </c>
      <c r="L509" s="154">
        <f t="shared" si="37"/>
        <v>0</v>
      </c>
      <c r="M509" s="154">
        <f t="shared" si="37"/>
        <v>0</v>
      </c>
      <c r="N509" s="154">
        <f t="shared" si="37"/>
        <v>50</v>
      </c>
    </row>
    <row r="510" spans="1:14" x14ac:dyDescent="0.25">
      <c r="A510" s="152">
        <v>6355000</v>
      </c>
      <c r="B510" s="51" t="s">
        <v>23</v>
      </c>
      <c r="C510" s="88"/>
      <c r="D510" s="220">
        <f t="shared" si="36"/>
        <v>1</v>
      </c>
      <c r="E510" s="89"/>
      <c r="F510" s="89"/>
      <c r="G510" s="89"/>
      <c r="H510" s="89"/>
      <c r="I510" s="89"/>
      <c r="J510" s="89"/>
      <c r="K510" s="154">
        <f t="shared" si="37"/>
        <v>0</v>
      </c>
      <c r="L510" s="154">
        <f t="shared" si="37"/>
        <v>0</v>
      </c>
      <c r="M510" s="154">
        <f t="shared" si="37"/>
        <v>0</v>
      </c>
      <c r="N510" s="154">
        <f t="shared" si="37"/>
        <v>100</v>
      </c>
    </row>
    <row r="511" spans="1:14" x14ac:dyDescent="0.25">
      <c r="A511" s="152">
        <v>6355000</v>
      </c>
      <c r="B511" s="73" t="s">
        <v>268</v>
      </c>
      <c r="C511" s="88"/>
      <c r="D511" s="220">
        <f t="shared" si="36"/>
        <v>2</v>
      </c>
      <c r="E511" s="89"/>
      <c r="F511" s="89"/>
      <c r="G511" s="89"/>
      <c r="H511" s="89"/>
      <c r="I511" s="89"/>
      <c r="J511" s="89"/>
      <c r="K511" s="154">
        <f t="shared" si="37"/>
        <v>0</v>
      </c>
      <c r="L511" s="154">
        <f t="shared" si="37"/>
        <v>0</v>
      </c>
      <c r="M511" s="154">
        <f t="shared" si="37"/>
        <v>0</v>
      </c>
      <c r="N511" s="154">
        <f t="shared" si="37"/>
        <v>3000</v>
      </c>
    </row>
    <row r="512" spans="1:14" x14ac:dyDescent="0.25">
      <c r="A512" s="152">
        <v>6355000</v>
      </c>
      <c r="B512" s="73" t="s">
        <v>267</v>
      </c>
      <c r="C512" s="88"/>
      <c r="D512" s="220">
        <f t="shared" si="36"/>
        <v>1</v>
      </c>
      <c r="E512" s="89"/>
      <c r="F512" s="89"/>
      <c r="G512" s="89"/>
      <c r="H512" s="89"/>
      <c r="I512" s="89"/>
      <c r="J512" s="89"/>
      <c r="K512" s="154">
        <f t="shared" si="37"/>
        <v>0</v>
      </c>
      <c r="L512" s="154">
        <f t="shared" si="37"/>
        <v>0</v>
      </c>
      <c r="M512" s="154">
        <f t="shared" si="37"/>
        <v>0</v>
      </c>
      <c r="N512" s="154">
        <f t="shared" si="37"/>
        <v>700</v>
      </c>
    </row>
    <row r="513" spans="1:14" ht="15.75" thickBot="1" x14ac:dyDescent="0.3">
      <c r="A513" s="152">
        <v>6355000</v>
      </c>
      <c r="B513" s="73" t="s">
        <v>920</v>
      </c>
      <c r="C513" s="88"/>
      <c r="D513" s="220">
        <f t="shared" si="36"/>
        <v>0</v>
      </c>
      <c r="E513" s="89"/>
      <c r="F513" s="89"/>
      <c r="G513" s="89"/>
      <c r="H513" s="89"/>
      <c r="I513" s="89"/>
      <c r="J513" s="89"/>
      <c r="K513" s="154">
        <f t="shared" si="37"/>
        <v>0</v>
      </c>
      <c r="L513" s="154">
        <f t="shared" si="37"/>
        <v>0</v>
      </c>
      <c r="M513" s="154">
        <f t="shared" si="37"/>
        <v>0</v>
      </c>
      <c r="N513" s="154">
        <f t="shared" si="37"/>
        <v>0</v>
      </c>
    </row>
    <row r="514" spans="1:14" x14ac:dyDescent="0.25">
      <c r="A514" s="151">
        <v>6330000</v>
      </c>
      <c r="B514" s="84" t="s">
        <v>19</v>
      </c>
      <c r="C514" s="85"/>
      <c r="D514" s="210">
        <f t="shared" si="36"/>
        <v>0</v>
      </c>
      <c r="E514" s="86"/>
      <c r="F514" s="86"/>
      <c r="G514" s="86"/>
      <c r="H514" s="86"/>
      <c r="I514" s="86"/>
      <c r="J514" s="86"/>
      <c r="K514" s="156">
        <f t="shared" ref="K514:N533" si="38">SUMIFS(K$26:K$212,$A$26:$A$212,$A514,$B$26:$B$212,$B514)</f>
        <v>0</v>
      </c>
      <c r="L514" s="156">
        <f t="shared" si="38"/>
        <v>0</v>
      </c>
      <c r="M514" s="156">
        <f t="shared" si="38"/>
        <v>0</v>
      </c>
      <c r="N514" s="156">
        <f t="shared" si="38"/>
        <v>0</v>
      </c>
    </row>
    <row r="515" spans="1:14" x14ac:dyDescent="0.25">
      <c r="A515" s="152">
        <v>6330000</v>
      </c>
      <c r="B515" s="73" t="s">
        <v>18</v>
      </c>
      <c r="C515" s="88"/>
      <c r="D515" s="220">
        <f t="shared" si="36"/>
        <v>0</v>
      </c>
      <c r="E515" s="89"/>
      <c r="F515" s="89"/>
      <c r="G515" s="89"/>
      <c r="H515" s="89"/>
      <c r="I515" s="89"/>
      <c r="J515" s="89"/>
      <c r="K515" s="154">
        <f t="shared" si="38"/>
        <v>0</v>
      </c>
      <c r="L515" s="154">
        <f t="shared" si="38"/>
        <v>0</v>
      </c>
      <c r="M515" s="154">
        <f t="shared" si="38"/>
        <v>0</v>
      </c>
      <c r="N515" s="154">
        <f t="shared" si="38"/>
        <v>0</v>
      </c>
    </row>
    <row r="516" spans="1:14" x14ac:dyDescent="0.25">
      <c r="A516" s="152">
        <v>6330000</v>
      </c>
      <c r="B516" s="73" t="s">
        <v>22</v>
      </c>
      <c r="C516" s="88"/>
      <c r="D516" s="220">
        <f t="shared" si="36"/>
        <v>0</v>
      </c>
      <c r="E516" s="89"/>
      <c r="F516" s="89"/>
      <c r="G516" s="89"/>
      <c r="H516" s="89"/>
      <c r="I516" s="89"/>
      <c r="J516" s="89"/>
      <c r="K516" s="154">
        <f t="shared" si="38"/>
        <v>0</v>
      </c>
      <c r="L516" s="154">
        <f t="shared" si="38"/>
        <v>0</v>
      </c>
      <c r="M516" s="154">
        <f t="shared" si="38"/>
        <v>0</v>
      </c>
      <c r="N516" s="154">
        <f t="shared" si="38"/>
        <v>0</v>
      </c>
    </row>
    <row r="517" spans="1:14" x14ac:dyDescent="0.25">
      <c r="A517" s="152">
        <v>6330000</v>
      </c>
      <c r="B517" s="73" t="s">
        <v>24</v>
      </c>
      <c r="C517" s="88"/>
      <c r="D517" s="220">
        <f t="shared" si="36"/>
        <v>0</v>
      </c>
      <c r="E517" s="89"/>
      <c r="F517" s="89"/>
      <c r="G517" s="89"/>
      <c r="H517" s="89"/>
      <c r="I517" s="89"/>
      <c r="J517" s="89"/>
      <c r="K517" s="154">
        <f t="shared" si="38"/>
        <v>0</v>
      </c>
      <c r="L517" s="154">
        <f t="shared" si="38"/>
        <v>0</v>
      </c>
      <c r="M517" s="154">
        <f t="shared" si="38"/>
        <v>0</v>
      </c>
      <c r="N517" s="154">
        <f t="shared" si="38"/>
        <v>0</v>
      </c>
    </row>
    <row r="518" spans="1:14" x14ac:dyDescent="0.25">
      <c r="A518" s="152">
        <v>6330000</v>
      </c>
      <c r="B518" s="73" t="s">
        <v>25</v>
      </c>
      <c r="C518" s="88"/>
      <c r="D518" s="220">
        <f t="shared" si="36"/>
        <v>0</v>
      </c>
      <c r="E518" s="89"/>
      <c r="F518" s="89"/>
      <c r="G518" s="89"/>
      <c r="H518" s="89"/>
      <c r="I518" s="89"/>
      <c r="J518" s="89"/>
      <c r="K518" s="154">
        <f t="shared" si="38"/>
        <v>0</v>
      </c>
      <c r="L518" s="154">
        <f t="shared" si="38"/>
        <v>0</v>
      </c>
      <c r="M518" s="154">
        <f t="shared" si="38"/>
        <v>0</v>
      </c>
      <c r="N518" s="154">
        <f t="shared" si="38"/>
        <v>0</v>
      </c>
    </row>
    <row r="519" spans="1:14" x14ac:dyDescent="0.25">
      <c r="A519" s="152">
        <v>6330000</v>
      </c>
      <c r="B519" s="73" t="s">
        <v>394</v>
      </c>
      <c r="C519" s="88"/>
      <c r="D519" s="220">
        <f t="shared" si="36"/>
        <v>0</v>
      </c>
      <c r="E519" s="89"/>
      <c r="F519" s="89"/>
      <c r="G519" s="89"/>
      <c r="H519" s="89"/>
      <c r="I519" s="89"/>
      <c r="J519" s="89"/>
      <c r="K519" s="154">
        <f t="shared" si="38"/>
        <v>0</v>
      </c>
      <c r="L519" s="154">
        <f t="shared" si="38"/>
        <v>0</v>
      </c>
      <c r="M519" s="154">
        <f t="shared" si="38"/>
        <v>0</v>
      </c>
      <c r="N519" s="154">
        <f t="shared" si="38"/>
        <v>0</v>
      </c>
    </row>
    <row r="520" spans="1:14" x14ac:dyDescent="0.25">
      <c r="A520" s="152">
        <v>6330000</v>
      </c>
      <c r="B520" s="73" t="s">
        <v>350</v>
      </c>
      <c r="C520" s="88"/>
      <c r="D520" s="220">
        <f t="shared" si="36"/>
        <v>0</v>
      </c>
      <c r="E520" s="89"/>
      <c r="F520" s="89"/>
      <c r="G520" s="89"/>
      <c r="H520" s="89"/>
      <c r="I520" s="89"/>
      <c r="J520" s="89"/>
      <c r="K520" s="154">
        <f t="shared" si="38"/>
        <v>0</v>
      </c>
      <c r="L520" s="154">
        <f t="shared" si="38"/>
        <v>0</v>
      </c>
      <c r="M520" s="154">
        <f t="shared" si="38"/>
        <v>0</v>
      </c>
      <c r="N520" s="154">
        <f t="shared" si="38"/>
        <v>0</v>
      </c>
    </row>
    <row r="521" spans="1:14" s="407" customFormat="1" x14ac:dyDescent="0.25">
      <c r="A521" s="152">
        <v>6330000</v>
      </c>
      <c r="B521" s="73" t="s">
        <v>1171</v>
      </c>
      <c r="C521" s="88"/>
      <c r="D521" s="220">
        <f t="shared" si="36"/>
        <v>0</v>
      </c>
      <c r="E521" s="89"/>
      <c r="F521" s="89"/>
      <c r="G521" s="89"/>
      <c r="H521" s="89"/>
      <c r="I521" s="89"/>
      <c r="J521" s="89"/>
      <c r="K521" s="212">
        <f t="shared" si="38"/>
        <v>0</v>
      </c>
      <c r="L521" s="212">
        <f t="shared" si="38"/>
        <v>0</v>
      </c>
      <c r="M521" s="212">
        <f t="shared" si="38"/>
        <v>0</v>
      </c>
      <c r="N521" s="212">
        <f t="shared" si="38"/>
        <v>0</v>
      </c>
    </row>
    <row r="522" spans="1:14" s="407" customFormat="1" x14ac:dyDescent="0.25">
      <c r="A522" s="152">
        <v>6330000</v>
      </c>
      <c r="B522" s="73" t="s">
        <v>1182</v>
      </c>
      <c r="C522" s="88"/>
      <c r="D522" s="220">
        <f t="shared" si="36"/>
        <v>0</v>
      </c>
      <c r="E522" s="89"/>
      <c r="F522" s="89"/>
      <c r="G522" s="89"/>
      <c r="H522" s="89"/>
      <c r="I522" s="89"/>
      <c r="J522" s="89"/>
      <c r="K522" s="212">
        <f t="shared" si="38"/>
        <v>0</v>
      </c>
      <c r="L522" s="212">
        <f t="shared" si="38"/>
        <v>0</v>
      </c>
      <c r="M522" s="212">
        <f t="shared" si="38"/>
        <v>0</v>
      </c>
      <c r="N522" s="212">
        <f t="shared" si="38"/>
        <v>0</v>
      </c>
    </row>
    <row r="523" spans="1:14" x14ac:dyDescent="0.25">
      <c r="A523" s="152">
        <v>6330000</v>
      </c>
      <c r="B523" s="73" t="s">
        <v>20</v>
      </c>
      <c r="C523" s="88"/>
      <c r="D523" s="220">
        <f t="shared" si="36"/>
        <v>0</v>
      </c>
      <c r="E523" s="89"/>
      <c r="F523" s="89"/>
      <c r="G523" s="89"/>
      <c r="H523" s="89"/>
      <c r="I523" s="89"/>
      <c r="J523" s="89"/>
      <c r="K523" s="154">
        <f t="shared" si="38"/>
        <v>0</v>
      </c>
      <c r="L523" s="154">
        <f t="shared" si="38"/>
        <v>0</v>
      </c>
      <c r="M523" s="154">
        <f t="shared" si="38"/>
        <v>0</v>
      </c>
      <c r="N523" s="154">
        <f t="shared" si="38"/>
        <v>0</v>
      </c>
    </row>
    <row r="524" spans="1:14" x14ac:dyDescent="0.25">
      <c r="A524" s="152">
        <v>6330000</v>
      </c>
      <c r="B524" s="73" t="s">
        <v>510</v>
      </c>
      <c r="C524" s="88"/>
      <c r="D524" s="220">
        <f t="shared" si="36"/>
        <v>0</v>
      </c>
      <c r="E524" s="89"/>
      <c r="F524" s="89"/>
      <c r="G524" s="89"/>
      <c r="H524" s="89"/>
      <c r="I524" s="89"/>
      <c r="J524" s="89"/>
      <c r="K524" s="154">
        <f t="shared" si="38"/>
        <v>0</v>
      </c>
      <c r="L524" s="154">
        <f t="shared" si="38"/>
        <v>0</v>
      </c>
      <c r="M524" s="154">
        <f t="shared" si="38"/>
        <v>0</v>
      </c>
      <c r="N524" s="154">
        <f t="shared" si="38"/>
        <v>0</v>
      </c>
    </row>
    <row r="525" spans="1:14" x14ac:dyDescent="0.25">
      <c r="A525" s="152">
        <v>6330000</v>
      </c>
      <c r="B525" s="73" t="s">
        <v>272</v>
      </c>
      <c r="C525" s="88"/>
      <c r="D525" s="220">
        <f t="shared" si="36"/>
        <v>0</v>
      </c>
      <c r="E525" s="89"/>
      <c r="F525" s="89"/>
      <c r="G525" s="89"/>
      <c r="H525" s="89"/>
      <c r="I525" s="89"/>
      <c r="J525" s="89"/>
      <c r="K525" s="154">
        <f t="shared" si="38"/>
        <v>0</v>
      </c>
      <c r="L525" s="154">
        <f t="shared" si="38"/>
        <v>0</v>
      </c>
      <c r="M525" s="154">
        <f t="shared" si="38"/>
        <v>0</v>
      </c>
      <c r="N525" s="154">
        <f t="shared" si="38"/>
        <v>0</v>
      </c>
    </row>
    <row r="526" spans="1:14" x14ac:dyDescent="0.25">
      <c r="A526" s="152">
        <v>6330000</v>
      </c>
      <c r="B526" s="51" t="s">
        <v>21</v>
      </c>
      <c r="C526" s="88"/>
      <c r="D526" s="220">
        <f t="shared" si="36"/>
        <v>0</v>
      </c>
      <c r="E526" s="89"/>
      <c r="F526" s="89"/>
      <c r="G526" s="89"/>
      <c r="H526" s="89"/>
      <c r="I526" s="89"/>
      <c r="J526" s="89"/>
      <c r="K526" s="154">
        <f t="shared" si="38"/>
        <v>0</v>
      </c>
      <c r="L526" s="154">
        <f t="shared" si="38"/>
        <v>0</v>
      </c>
      <c r="M526" s="154">
        <f t="shared" si="38"/>
        <v>0</v>
      </c>
      <c r="N526" s="154">
        <f t="shared" si="38"/>
        <v>0</v>
      </c>
    </row>
    <row r="527" spans="1:14" x14ac:dyDescent="0.25">
      <c r="A527" s="152">
        <v>6330000</v>
      </c>
      <c r="B527" s="73" t="s">
        <v>1172</v>
      </c>
      <c r="C527" s="88"/>
      <c r="D527" s="220">
        <f t="shared" si="36"/>
        <v>0</v>
      </c>
      <c r="E527" s="89"/>
      <c r="F527" s="89"/>
      <c r="G527" s="89"/>
      <c r="H527" s="89"/>
      <c r="I527" s="89"/>
      <c r="J527" s="89"/>
      <c r="K527" s="154">
        <f t="shared" si="38"/>
        <v>0</v>
      </c>
      <c r="L527" s="154">
        <f t="shared" si="38"/>
        <v>0</v>
      </c>
      <c r="M527" s="154">
        <f t="shared" si="38"/>
        <v>0</v>
      </c>
      <c r="N527" s="154">
        <f t="shared" si="38"/>
        <v>0</v>
      </c>
    </row>
    <row r="528" spans="1:14" x14ac:dyDescent="0.25">
      <c r="A528" s="152">
        <v>6330000</v>
      </c>
      <c r="B528" s="73" t="s">
        <v>810</v>
      </c>
      <c r="C528" s="88"/>
      <c r="D528" s="220">
        <f t="shared" si="36"/>
        <v>2</v>
      </c>
      <c r="E528" s="89"/>
      <c r="F528" s="89"/>
      <c r="G528" s="89"/>
      <c r="H528" s="89"/>
      <c r="I528" s="89"/>
      <c r="J528" s="89"/>
      <c r="K528" s="154">
        <f t="shared" si="38"/>
        <v>0</v>
      </c>
      <c r="L528" s="154">
        <f t="shared" si="38"/>
        <v>0</v>
      </c>
      <c r="M528" s="154">
        <f t="shared" si="38"/>
        <v>0</v>
      </c>
      <c r="N528" s="154">
        <f t="shared" si="38"/>
        <v>3000</v>
      </c>
    </row>
    <row r="529" spans="1:14" x14ac:dyDescent="0.25">
      <c r="A529" s="152">
        <v>6330000</v>
      </c>
      <c r="B529" s="51" t="s">
        <v>811</v>
      </c>
      <c r="C529" s="88"/>
      <c r="D529" s="220">
        <f t="shared" si="36"/>
        <v>0</v>
      </c>
      <c r="E529" s="89"/>
      <c r="F529" s="89"/>
      <c r="G529" s="89"/>
      <c r="H529" s="89"/>
      <c r="I529" s="89"/>
      <c r="J529" s="89"/>
      <c r="K529" s="154">
        <f t="shared" si="38"/>
        <v>0</v>
      </c>
      <c r="L529" s="154">
        <f t="shared" si="38"/>
        <v>0</v>
      </c>
      <c r="M529" s="154">
        <f t="shared" si="38"/>
        <v>0</v>
      </c>
      <c r="N529" s="154">
        <f t="shared" si="38"/>
        <v>0</v>
      </c>
    </row>
    <row r="530" spans="1:14" x14ac:dyDescent="0.25">
      <c r="A530" s="152">
        <v>6330000</v>
      </c>
      <c r="B530" s="51" t="s">
        <v>23</v>
      </c>
      <c r="C530" s="88"/>
      <c r="D530" s="220">
        <f t="shared" si="36"/>
        <v>0</v>
      </c>
      <c r="E530" s="89"/>
      <c r="F530" s="89"/>
      <c r="G530" s="89"/>
      <c r="H530" s="89"/>
      <c r="I530" s="89"/>
      <c r="J530" s="89"/>
      <c r="K530" s="154">
        <f t="shared" si="38"/>
        <v>0</v>
      </c>
      <c r="L530" s="154">
        <f t="shared" si="38"/>
        <v>0</v>
      </c>
      <c r="M530" s="154">
        <f t="shared" si="38"/>
        <v>0</v>
      </c>
      <c r="N530" s="154">
        <f t="shared" si="38"/>
        <v>0</v>
      </c>
    </row>
    <row r="531" spans="1:14" x14ac:dyDescent="0.25">
      <c r="A531" s="152">
        <v>6330000</v>
      </c>
      <c r="B531" s="73" t="s">
        <v>268</v>
      </c>
      <c r="C531" s="88"/>
      <c r="D531" s="220">
        <f t="shared" si="36"/>
        <v>0</v>
      </c>
      <c r="E531" s="89"/>
      <c r="F531" s="89"/>
      <c r="G531" s="89"/>
      <c r="H531" s="89"/>
      <c r="I531" s="89"/>
      <c r="J531" s="89"/>
      <c r="K531" s="154">
        <f t="shared" si="38"/>
        <v>0</v>
      </c>
      <c r="L531" s="154">
        <f t="shared" si="38"/>
        <v>0</v>
      </c>
      <c r="M531" s="154">
        <f t="shared" si="38"/>
        <v>0</v>
      </c>
      <c r="N531" s="154">
        <f t="shared" si="38"/>
        <v>0</v>
      </c>
    </row>
    <row r="532" spans="1:14" x14ac:dyDescent="0.25">
      <c r="A532" s="152">
        <v>6330000</v>
      </c>
      <c r="B532" s="73" t="s">
        <v>267</v>
      </c>
      <c r="C532" s="88"/>
      <c r="D532" s="220">
        <f t="shared" si="36"/>
        <v>0</v>
      </c>
      <c r="E532" s="89"/>
      <c r="F532" s="89"/>
      <c r="G532" s="89"/>
      <c r="H532" s="89"/>
      <c r="I532" s="89"/>
      <c r="J532" s="89"/>
      <c r="K532" s="154">
        <f t="shared" si="38"/>
        <v>0</v>
      </c>
      <c r="L532" s="154">
        <f t="shared" si="38"/>
        <v>0</v>
      </c>
      <c r="M532" s="154">
        <f t="shared" si="38"/>
        <v>0</v>
      </c>
      <c r="N532" s="154">
        <f t="shared" si="38"/>
        <v>0</v>
      </c>
    </row>
    <row r="533" spans="1:14" ht="15.75" thickBot="1" x14ac:dyDescent="0.3">
      <c r="A533" s="152">
        <v>6330000</v>
      </c>
      <c r="B533" s="73" t="s">
        <v>920</v>
      </c>
      <c r="C533" s="88"/>
      <c r="D533" s="220">
        <f t="shared" si="36"/>
        <v>0</v>
      </c>
      <c r="E533" s="89"/>
      <c r="F533" s="89"/>
      <c r="G533" s="89"/>
      <c r="H533" s="89"/>
      <c r="I533" s="89"/>
      <c r="J533" s="89"/>
      <c r="K533" s="154">
        <f t="shared" si="38"/>
        <v>0</v>
      </c>
      <c r="L533" s="154">
        <f t="shared" si="38"/>
        <v>0</v>
      </c>
      <c r="M533" s="154">
        <f t="shared" si="38"/>
        <v>0</v>
      </c>
      <c r="N533" s="154">
        <f t="shared" si="38"/>
        <v>0</v>
      </c>
    </row>
    <row r="534" spans="1:14" x14ac:dyDescent="0.25">
      <c r="A534" s="151">
        <v>6335000</v>
      </c>
      <c r="B534" s="84" t="s">
        <v>19</v>
      </c>
      <c r="C534" s="85"/>
      <c r="D534" s="210">
        <f t="shared" si="36"/>
        <v>0</v>
      </c>
      <c r="E534" s="86"/>
      <c r="F534" s="86"/>
      <c r="G534" s="86"/>
      <c r="H534" s="86"/>
      <c r="I534" s="86"/>
      <c r="J534" s="86"/>
      <c r="K534" s="156">
        <f t="shared" ref="K534:N553" si="39">SUMIFS(K$26:K$212,$A$26:$A$212,$A534,$B$26:$B$212,$B534)</f>
        <v>0</v>
      </c>
      <c r="L534" s="156">
        <f t="shared" si="39"/>
        <v>0</v>
      </c>
      <c r="M534" s="156">
        <f t="shared" si="39"/>
        <v>0</v>
      </c>
      <c r="N534" s="156">
        <f t="shared" si="39"/>
        <v>0</v>
      </c>
    </row>
    <row r="535" spans="1:14" x14ac:dyDescent="0.25">
      <c r="A535" s="152">
        <v>6335000</v>
      </c>
      <c r="B535" s="73" t="s">
        <v>18</v>
      </c>
      <c r="C535" s="88"/>
      <c r="D535" s="220">
        <f t="shared" si="36"/>
        <v>0</v>
      </c>
      <c r="E535" s="89"/>
      <c r="F535" s="89"/>
      <c r="G535" s="89"/>
      <c r="H535" s="89"/>
      <c r="I535" s="89"/>
      <c r="J535" s="89"/>
      <c r="K535" s="154">
        <f t="shared" si="39"/>
        <v>0</v>
      </c>
      <c r="L535" s="154">
        <f t="shared" si="39"/>
        <v>0</v>
      </c>
      <c r="M535" s="154">
        <f t="shared" si="39"/>
        <v>0</v>
      </c>
      <c r="N535" s="154">
        <f t="shared" si="39"/>
        <v>0</v>
      </c>
    </row>
    <row r="536" spans="1:14" x14ac:dyDescent="0.25">
      <c r="A536" s="152">
        <v>6335000</v>
      </c>
      <c r="B536" s="73" t="s">
        <v>22</v>
      </c>
      <c r="C536" s="88"/>
      <c r="D536" s="220">
        <f t="shared" si="36"/>
        <v>0</v>
      </c>
      <c r="E536" s="89"/>
      <c r="F536" s="89"/>
      <c r="G536" s="89"/>
      <c r="H536" s="89"/>
      <c r="I536" s="89"/>
      <c r="J536" s="89"/>
      <c r="K536" s="154">
        <f t="shared" si="39"/>
        <v>0</v>
      </c>
      <c r="L536" s="154">
        <f t="shared" si="39"/>
        <v>0</v>
      </c>
      <c r="M536" s="154">
        <f t="shared" si="39"/>
        <v>0</v>
      </c>
      <c r="N536" s="154">
        <f t="shared" si="39"/>
        <v>0</v>
      </c>
    </row>
    <row r="537" spans="1:14" x14ac:dyDescent="0.25">
      <c r="A537" s="152">
        <v>6335000</v>
      </c>
      <c r="B537" s="73" t="s">
        <v>24</v>
      </c>
      <c r="C537" s="88"/>
      <c r="D537" s="220">
        <f t="shared" si="36"/>
        <v>0</v>
      </c>
      <c r="E537" s="89"/>
      <c r="F537" s="89"/>
      <c r="G537" s="89"/>
      <c r="H537" s="89"/>
      <c r="I537" s="89"/>
      <c r="J537" s="89"/>
      <c r="K537" s="154">
        <f t="shared" si="39"/>
        <v>0</v>
      </c>
      <c r="L537" s="154">
        <f t="shared" si="39"/>
        <v>0</v>
      </c>
      <c r="M537" s="154">
        <f t="shared" si="39"/>
        <v>0</v>
      </c>
      <c r="N537" s="154">
        <f t="shared" si="39"/>
        <v>0</v>
      </c>
    </row>
    <row r="538" spans="1:14" x14ac:dyDescent="0.25">
      <c r="A538" s="152">
        <v>6335000</v>
      </c>
      <c r="B538" s="73" t="s">
        <v>25</v>
      </c>
      <c r="C538" s="88"/>
      <c r="D538" s="220">
        <f t="shared" si="36"/>
        <v>0</v>
      </c>
      <c r="E538" s="89"/>
      <c r="F538" s="89"/>
      <c r="G538" s="89"/>
      <c r="H538" s="89"/>
      <c r="I538" s="89"/>
      <c r="J538" s="89"/>
      <c r="K538" s="154">
        <f t="shared" si="39"/>
        <v>0</v>
      </c>
      <c r="L538" s="154">
        <f t="shared" si="39"/>
        <v>0</v>
      </c>
      <c r="M538" s="154">
        <f t="shared" si="39"/>
        <v>0</v>
      </c>
      <c r="N538" s="154">
        <f t="shared" si="39"/>
        <v>0</v>
      </c>
    </row>
    <row r="539" spans="1:14" x14ac:dyDescent="0.25">
      <c r="A539" s="152">
        <v>6335000</v>
      </c>
      <c r="B539" s="73" t="s">
        <v>394</v>
      </c>
      <c r="C539" s="88"/>
      <c r="D539" s="220">
        <f t="shared" si="36"/>
        <v>0</v>
      </c>
      <c r="E539" s="89"/>
      <c r="F539" s="89"/>
      <c r="G539" s="89"/>
      <c r="H539" s="89"/>
      <c r="I539" s="89"/>
      <c r="J539" s="89"/>
      <c r="K539" s="154">
        <f t="shared" si="39"/>
        <v>0</v>
      </c>
      <c r="L539" s="154">
        <f t="shared" si="39"/>
        <v>0</v>
      </c>
      <c r="M539" s="154">
        <f t="shared" si="39"/>
        <v>0</v>
      </c>
      <c r="N539" s="154">
        <f t="shared" si="39"/>
        <v>0</v>
      </c>
    </row>
    <row r="540" spans="1:14" s="407" customFormat="1" x14ac:dyDescent="0.25">
      <c r="A540" s="152">
        <v>6335000</v>
      </c>
      <c r="B540" s="73" t="s">
        <v>350</v>
      </c>
      <c r="C540" s="88"/>
      <c r="D540" s="220">
        <f t="shared" si="36"/>
        <v>0</v>
      </c>
      <c r="E540" s="89"/>
      <c r="F540" s="89"/>
      <c r="G540" s="89"/>
      <c r="H540" s="89"/>
      <c r="I540" s="89"/>
      <c r="J540" s="89"/>
      <c r="K540" s="212">
        <f t="shared" si="39"/>
        <v>0</v>
      </c>
      <c r="L540" s="212">
        <f t="shared" si="39"/>
        <v>0</v>
      </c>
      <c r="M540" s="212">
        <f t="shared" si="39"/>
        <v>0</v>
      </c>
      <c r="N540" s="212">
        <f t="shared" si="39"/>
        <v>0</v>
      </c>
    </row>
    <row r="541" spans="1:14" s="407" customFormat="1" x14ac:dyDescent="0.25">
      <c r="A541" s="152">
        <v>6335000</v>
      </c>
      <c r="B541" s="73" t="s">
        <v>1171</v>
      </c>
      <c r="C541" s="88"/>
      <c r="D541" s="220">
        <f t="shared" si="36"/>
        <v>0</v>
      </c>
      <c r="E541" s="89"/>
      <c r="F541" s="89"/>
      <c r="G541" s="89"/>
      <c r="H541" s="89"/>
      <c r="I541" s="89"/>
      <c r="J541" s="89"/>
      <c r="K541" s="212">
        <f t="shared" si="39"/>
        <v>0</v>
      </c>
      <c r="L541" s="212">
        <f t="shared" si="39"/>
        <v>0</v>
      </c>
      <c r="M541" s="212">
        <f t="shared" si="39"/>
        <v>0</v>
      </c>
      <c r="N541" s="212">
        <f t="shared" si="39"/>
        <v>0</v>
      </c>
    </row>
    <row r="542" spans="1:14" x14ac:dyDescent="0.25">
      <c r="A542" s="152">
        <v>6335000</v>
      </c>
      <c r="B542" s="73" t="s">
        <v>1182</v>
      </c>
      <c r="C542" s="88"/>
      <c r="D542" s="220">
        <f t="shared" si="36"/>
        <v>0</v>
      </c>
      <c r="E542" s="89"/>
      <c r="F542" s="89"/>
      <c r="G542" s="89"/>
      <c r="H542" s="89"/>
      <c r="I542" s="89"/>
      <c r="J542" s="89"/>
      <c r="K542" s="154">
        <f t="shared" si="39"/>
        <v>0</v>
      </c>
      <c r="L542" s="154">
        <f t="shared" si="39"/>
        <v>0</v>
      </c>
      <c r="M542" s="154">
        <f t="shared" si="39"/>
        <v>0</v>
      </c>
      <c r="N542" s="154">
        <f t="shared" si="39"/>
        <v>0</v>
      </c>
    </row>
    <row r="543" spans="1:14" x14ac:dyDescent="0.25">
      <c r="A543" s="152">
        <v>6335000</v>
      </c>
      <c r="B543" s="73" t="s">
        <v>20</v>
      </c>
      <c r="C543" s="88"/>
      <c r="D543" s="220">
        <f t="shared" si="36"/>
        <v>0</v>
      </c>
      <c r="E543" s="89"/>
      <c r="F543" s="89"/>
      <c r="G543" s="89"/>
      <c r="H543" s="89"/>
      <c r="I543" s="89"/>
      <c r="J543" s="89"/>
      <c r="K543" s="154">
        <f t="shared" si="39"/>
        <v>0</v>
      </c>
      <c r="L543" s="154">
        <f t="shared" si="39"/>
        <v>0</v>
      </c>
      <c r="M543" s="154">
        <f t="shared" si="39"/>
        <v>0</v>
      </c>
      <c r="N543" s="154">
        <f t="shared" si="39"/>
        <v>0</v>
      </c>
    </row>
    <row r="544" spans="1:14" x14ac:dyDescent="0.25">
      <c r="A544" s="152">
        <v>6335000</v>
      </c>
      <c r="B544" s="73" t="s">
        <v>510</v>
      </c>
      <c r="C544" s="88"/>
      <c r="D544" s="220">
        <f t="shared" si="36"/>
        <v>0</v>
      </c>
      <c r="E544" s="89"/>
      <c r="F544" s="89"/>
      <c r="G544" s="89"/>
      <c r="H544" s="89"/>
      <c r="I544" s="89"/>
      <c r="J544" s="89"/>
      <c r="K544" s="154">
        <f t="shared" si="39"/>
        <v>0</v>
      </c>
      <c r="L544" s="154">
        <f t="shared" si="39"/>
        <v>0</v>
      </c>
      <c r="M544" s="154">
        <f t="shared" si="39"/>
        <v>0</v>
      </c>
      <c r="N544" s="154">
        <f t="shared" si="39"/>
        <v>0</v>
      </c>
    </row>
    <row r="545" spans="1:14" x14ac:dyDescent="0.25">
      <c r="A545" s="152">
        <v>6335000</v>
      </c>
      <c r="B545" s="73" t="s">
        <v>272</v>
      </c>
      <c r="C545" s="88"/>
      <c r="D545" s="220">
        <f t="shared" si="36"/>
        <v>0</v>
      </c>
      <c r="E545" s="89"/>
      <c r="F545" s="89"/>
      <c r="G545" s="89"/>
      <c r="H545" s="89"/>
      <c r="I545" s="89"/>
      <c r="J545" s="89"/>
      <c r="K545" s="154">
        <f t="shared" si="39"/>
        <v>0</v>
      </c>
      <c r="L545" s="154">
        <f t="shared" si="39"/>
        <v>0</v>
      </c>
      <c r="M545" s="154">
        <f t="shared" si="39"/>
        <v>0</v>
      </c>
      <c r="N545" s="154">
        <f t="shared" si="39"/>
        <v>0</v>
      </c>
    </row>
    <row r="546" spans="1:14" x14ac:dyDescent="0.25">
      <c r="A546" s="152">
        <v>6335000</v>
      </c>
      <c r="B546" s="51" t="s">
        <v>21</v>
      </c>
      <c r="C546" s="88"/>
      <c r="D546" s="220">
        <f t="shared" si="36"/>
        <v>0</v>
      </c>
      <c r="E546" s="89"/>
      <c r="F546" s="89"/>
      <c r="G546" s="89"/>
      <c r="H546" s="89"/>
      <c r="I546" s="89"/>
      <c r="J546" s="89"/>
      <c r="K546" s="154">
        <f t="shared" si="39"/>
        <v>0</v>
      </c>
      <c r="L546" s="154">
        <f t="shared" si="39"/>
        <v>0</v>
      </c>
      <c r="M546" s="154">
        <f t="shared" si="39"/>
        <v>0</v>
      </c>
      <c r="N546" s="154">
        <f t="shared" si="39"/>
        <v>0</v>
      </c>
    </row>
    <row r="547" spans="1:14" x14ac:dyDescent="0.25">
      <c r="A547" s="152">
        <v>6335000</v>
      </c>
      <c r="B547" s="73" t="s">
        <v>1172</v>
      </c>
      <c r="C547" s="88"/>
      <c r="D547" s="220">
        <f t="shared" si="36"/>
        <v>0</v>
      </c>
      <c r="E547" s="89"/>
      <c r="F547" s="89"/>
      <c r="G547" s="89"/>
      <c r="H547" s="89"/>
      <c r="I547" s="89"/>
      <c r="J547" s="89"/>
      <c r="K547" s="154">
        <f t="shared" si="39"/>
        <v>0</v>
      </c>
      <c r="L547" s="154">
        <f t="shared" si="39"/>
        <v>0</v>
      </c>
      <c r="M547" s="154">
        <f t="shared" si="39"/>
        <v>0</v>
      </c>
      <c r="N547" s="154">
        <f t="shared" si="39"/>
        <v>0</v>
      </c>
    </row>
    <row r="548" spans="1:14" x14ac:dyDescent="0.25">
      <c r="A548" s="152">
        <v>6335000</v>
      </c>
      <c r="B548" s="73" t="s">
        <v>810</v>
      </c>
      <c r="C548" s="88"/>
      <c r="D548" s="220">
        <f t="shared" si="36"/>
        <v>1</v>
      </c>
      <c r="E548" s="89"/>
      <c r="F548" s="89"/>
      <c r="G548" s="89"/>
      <c r="H548" s="89"/>
      <c r="I548" s="89"/>
      <c r="J548" s="89"/>
      <c r="K548" s="154">
        <f t="shared" si="39"/>
        <v>0</v>
      </c>
      <c r="L548" s="154">
        <f t="shared" si="39"/>
        <v>0</v>
      </c>
      <c r="M548" s="154">
        <f t="shared" si="39"/>
        <v>0</v>
      </c>
      <c r="N548" s="154">
        <f t="shared" si="39"/>
        <v>14000</v>
      </c>
    </row>
    <row r="549" spans="1:14" x14ac:dyDescent="0.25">
      <c r="A549" s="152">
        <v>6335000</v>
      </c>
      <c r="B549" s="51" t="s">
        <v>811</v>
      </c>
      <c r="C549" s="88"/>
      <c r="D549" s="220">
        <f t="shared" si="36"/>
        <v>0</v>
      </c>
      <c r="E549" s="89"/>
      <c r="F549" s="89"/>
      <c r="G549" s="89"/>
      <c r="H549" s="89"/>
      <c r="I549" s="89"/>
      <c r="J549" s="89"/>
      <c r="K549" s="154">
        <f t="shared" si="39"/>
        <v>0</v>
      </c>
      <c r="L549" s="154">
        <f t="shared" si="39"/>
        <v>0</v>
      </c>
      <c r="M549" s="154">
        <f t="shared" si="39"/>
        <v>0</v>
      </c>
      <c r="N549" s="154">
        <f t="shared" si="39"/>
        <v>0</v>
      </c>
    </row>
    <row r="550" spans="1:14" x14ac:dyDescent="0.25">
      <c r="A550" s="152">
        <v>6335000</v>
      </c>
      <c r="B550" s="51" t="s">
        <v>23</v>
      </c>
      <c r="C550" s="88"/>
      <c r="D550" s="220">
        <f t="shared" si="36"/>
        <v>0</v>
      </c>
      <c r="E550" s="89"/>
      <c r="F550" s="89"/>
      <c r="G550" s="89"/>
      <c r="H550" s="89"/>
      <c r="I550" s="89"/>
      <c r="J550" s="89"/>
      <c r="K550" s="154">
        <f t="shared" si="39"/>
        <v>0</v>
      </c>
      <c r="L550" s="154">
        <f t="shared" si="39"/>
        <v>0</v>
      </c>
      <c r="M550" s="154">
        <f t="shared" si="39"/>
        <v>0</v>
      </c>
      <c r="N550" s="154">
        <f t="shared" si="39"/>
        <v>0</v>
      </c>
    </row>
    <row r="551" spans="1:14" x14ac:dyDescent="0.25">
      <c r="A551" s="152">
        <v>6335000</v>
      </c>
      <c r="B551" s="73" t="s">
        <v>268</v>
      </c>
      <c r="C551" s="88"/>
      <c r="D551" s="220">
        <f t="shared" si="36"/>
        <v>0</v>
      </c>
      <c r="E551" s="89"/>
      <c r="F551" s="89"/>
      <c r="G551" s="89"/>
      <c r="H551" s="89"/>
      <c r="I551" s="89"/>
      <c r="J551" s="89"/>
      <c r="K551" s="154">
        <f t="shared" si="39"/>
        <v>0</v>
      </c>
      <c r="L551" s="154">
        <f t="shared" si="39"/>
        <v>0</v>
      </c>
      <c r="M551" s="154">
        <f t="shared" si="39"/>
        <v>0</v>
      </c>
      <c r="N551" s="154">
        <f t="shared" si="39"/>
        <v>0</v>
      </c>
    </row>
    <row r="552" spans="1:14" x14ac:dyDescent="0.25">
      <c r="A552" s="152">
        <v>6335000</v>
      </c>
      <c r="B552" s="73" t="s">
        <v>267</v>
      </c>
      <c r="C552" s="88"/>
      <c r="D552" s="220">
        <f t="shared" si="36"/>
        <v>0</v>
      </c>
      <c r="E552" s="89"/>
      <c r="F552" s="89"/>
      <c r="G552" s="89"/>
      <c r="H552" s="89"/>
      <c r="I552" s="89"/>
      <c r="J552" s="89"/>
      <c r="K552" s="154">
        <f t="shared" si="39"/>
        <v>0</v>
      </c>
      <c r="L552" s="154">
        <f t="shared" si="39"/>
        <v>0</v>
      </c>
      <c r="M552" s="154">
        <f t="shared" si="39"/>
        <v>0</v>
      </c>
      <c r="N552" s="154">
        <f t="shared" si="39"/>
        <v>0</v>
      </c>
    </row>
    <row r="553" spans="1:14" ht="15.75" thickBot="1" x14ac:dyDescent="0.3">
      <c r="A553" s="152">
        <v>6335000</v>
      </c>
      <c r="B553" s="73" t="s">
        <v>920</v>
      </c>
      <c r="C553" s="88"/>
      <c r="D553" s="220">
        <f t="shared" si="36"/>
        <v>1</v>
      </c>
      <c r="E553" s="89"/>
      <c r="F553" s="89"/>
      <c r="G553" s="89"/>
      <c r="H553" s="89"/>
      <c r="I553" s="89"/>
      <c r="J553" s="89"/>
      <c r="K553" s="154">
        <f t="shared" si="39"/>
        <v>0</v>
      </c>
      <c r="L553" s="154">
        <f t="shared" si="39"/>
        <v>0</v>
      </c>
      <c r="M553" s="154">
        <f t="shared" si="39"/>
        <v>0</v>
      </c>
      <c r="N553" s="154">
        <f t="shared" si="39"/>
        <v>24500</v>
      </c>
    </row>
    <row r="554" spans="1:14" x14ac:dyDescent="0.25">
      <c r="A554" s="151">
        <v>6375000</v>
      </c>
      <c r="B554" s="84" t="s">
        <v>19</v>
      </c>
      <c r="C554" s="85"/>
      <c r="D554" s="210">
        <f t="shared" ref="D554:D593" si="40">COUNTIFS($A$26:$A$212,$A554,$B$26:$B$212,$B554)</f>
        <v>4</v>
      </c>
      <c r="E554" s="86"/>
      <c r="F554" s="86"/>
      <c r="G554" s="86"/>
      <c r="H554" s="86"/>
      <c r="I554" s="86"/>
      <c r="J554" s="86"/>
      <c r="K554" s="156">
        <f t="shared" ref="K554:N573" si="41">SUMIFS(K$26:K$212,$A$26:$A$212,$A554,$B$26:$B$212,$B554)</f>
        <v>0</v>
      </c>
      <c r="L554" s="156">
        <f t="shared" si="41"/>
        <v>0</v>
      </c>
      <c r="M554" s="156">
        <f t="shared" si="41"/>
        <v>0</v>
      </c>
      <c r="N554" s="156">
        <f t="shared" si="41"/>
        <v>6029</v>
      </c>
    </row>
    <row r="555" spans="1:14" x14ac:dyDescent="0.25">
      <c r="A555" s="152">
        <v>6375000</v>
      </c>
      <c r="B555" s="73" t="s">
        <v>18</v>
      </c>
      <c r="C555" s="88"/>
      <c r="D555" s="220">
        <f t="shared" si="40"/>
        <v>0</v>
      </c>
      <c r="E555" s="89"/>
      <c r="F555" s="89"/>
      <c r="G555" s="89"/>
      <c r="H555" s="89"/>
      <c r="I555" s="89"/>
      <c r="J555" s="89"/>
      <c r="K555" s="154">
        <f t="shared" si="41"/>
        <v>0</v>
      </c>
      <c r="L555" s="154">
        <f t="shared" si="41"/>
        <v>0</v>
      </c>
      <c r="M555" s="154">
        <f t="shared" si="41"/>
        <v>0</v>
      </c>
      <c r="N555" s="154">
        <f t="shared" si="41"/>
        <v>0</v>
      </c>
    </row>
    <row r="556" spans="1:14" x14ac:dyDescent="0.25">
      <c r="A556" s="152">
        <v>6375000</v>
      </c>
      <c r="B556" s="73" t="s">
        <v>22</v>
      </c>
      <c r="C556" s="88"/>
      <c r="D556" s="220">
        <f t="shared" si="40"/>
        <v>1</v>
      </c>
      <c r="E556" s="89"/>
      <c r="F556" s="89"/>
      <c r="G556" s="89"/>
      <c r="H556" s="89"/>
      <c r="I556" s="89"/>
      <c r="J556" s="89"/>
      <c r="K556" s="154">
        <f t="shared" si="41"/>
        <v>0</v>
      </c>
      <c r="L556" s="154">
        <f t="shared" si="41"/>
        <v>0</v>
      </c>
      <c r="M556" s="154">
        <f t="shared" si="41"/>
        <v>0</v>
      </c>
      <c r="N556" s="154">
        <f t="shared" si="41"/>
        <v>45000</v>
      </c>
    </row>
    <row r="557" spans="1:14" x14ac:dyDescent="0.25">
      <c r="A557" s="152">
        <v>6375000</v>
      </c>
      <c r="B557" s="73" t="s">
        <v>24</v>
      </c>
      <c r="C557" s="88"/>
      <c r="D557" s="220">
        <f t="shared" si="40"/>
        <v>0</v>
      </c>
      <c r="E557" s="89"/>
      <c r="F557" s="89"/>
      <c r="G557" s="89"/>
      <c r="H557" s="89"/>
      <c r="I557" s="89"/>
      <c r="J557" s="89"/>
      <c r="K557" s="154">
        <f t="shared" si="41"/>
        <v>0</v>
      </c>
      <c r="L557" s="154">
        <f t="shared" si="41"/>
        <v>0</v>
      </c>
      <c r="M557" s="154">
        <f t="shared" si="41"/>
        <v>0</v>
      </c>
      <c r="N557" s="154">
        <f t="shared" si="41"/>
        <v>0</v>
      </c>
    </row>
    <row r="558" spans="1:14" x14ac:dyDescent="0.25">
      <c r="A558" s="152">
        <v>6375000</v>
      </c>
      <c r="B558" s="73" t="s">
        <v>25</v>
      </c>
      <c r="C558" s="88"/>
      <c r="D558" s="220">
        <f t="shared" si="40"/>
        <v>1</v>
      </c>
      <c r="E558" s="89"/>
      <c r="F558" s="89"/>
      <c r="G558" s="89"/>
      <c r="H558" s="89"/>
      <c r="I558" s="89"/>
      <c r="J558" s="89"/>
      <c r="K558" s="154">
        <f t="shared" si="41"/>
        <v>0</v>
      </c>
      <c r="L558" s="154">
        <f t="shared" si="41"/>
        <v>0</v>
      </c>
      <c r="M558" s="154">
        <f t="shared" si="41"/>
        <v>0</v>
      </c>
      <c r="N558" s="154">
        <f t="shared" si="41"/>
        <v>1000</v>
      </c>
    </row>
    <row r="559" spans="1:14" x14ac:dyDescent="0.25">
      <c r="A559" s="152">
        <v>6375000</v>
      </c>
      <c r="B559" s="73" t="s">
        <v>394</v>
      </c>
      <c r="C559" s="88"/>
      <c r="D559" s="220">
        <f t="shared" si="40"/>
        <v>7</v>
      </c>
      <c r="E559" s="89"/>
      <c r="F559" s="89"/>
      <c r="G559" s="89"/>
      <c r="H559" s="89"/>
      <c r="I559" s="89"/>
      <c r="J559" s="89"/>
      <c r="K559" s="154">
        <f t="shared" si="41"/>
        <v>0</v>
      </c>
      <c r="L559" s="154">
        <f t="shared" si="41"/>
        <v>0</v>
      </c>
      <c r="M559" s="154">
        <f t="shared" si="41"/>
        <v>0</v>
      </c>
      <c r="N559" s="154">
        <f t="shared" si="41"/>
        <v>18186.02</v>
      </c>
    </row>
    <row r="560" spans="1:14" x14ac:dyDescent="0.25">
      <c r="A560" s="152">
        <v>6375000</v>
      </c>
      <c r="B560" s="73" t="s">
        <v>350</v>
      </c>
      <c r="C560" s="88"/>
      <c r="D560" s="220">
        <f t="shared" si="40"/>
        <v>4</v>
      </c>
      <c r="E560" s="89"/>
      <c r="F560" s="89"/>
      <c r="G560" s="89"/>
      <c r="H560" s="89"/>
      <c r="I560" s="89"/>
      <c r="J560" s="89"/>
      <c r="K560" s="154">
        <f t="shared" si="41"/>
        <v>0</v>
      </c>
      <c r="L560" s="154">
        <f t="shared" si="41"/>
        <v>0</v>
      </c>
      <c r="M560" s="154">
        <f t="shared" si="41"/>
        <v>0</v>
      </c>
      <c r="N560" s="154">
        <f t="shared" si="41"/>
        <v>155000</v>
      </c>
    </row>
    <row r="561" spans="1:14" s="407" customFormat="1" x14ac:dyDescent="0.25">
      <c r="A561" s="152">
        <v>6375000</v>
      </c>
      <c r="B561" s="73" t="s">
        <v>1171</v>
      </c>
      <c r="C561" s="88"/>
      <c r="D561" s="220">
        <f t="shared" si="40"/>
        <v>10</v>
      </c>
      <c r="E561" s="89"/>
      <c r="F561" s="89"/>
      <c r="G561" s="89"/>
      <c r="H561" s="89"/>
      <c r="I561" s="89"/>
      <c r="J561" s="89"/>
      <c r="K561" s="212">
        <f t="shared" si="41"/>
        <v>0</v>
      </c>
      <c r="L561" s="212">
        <f t="shared" si="41"/>
        <v>0</v>
      </c>
      <c r="M561" s="212">
        <f t="shared" si="41"/>
        <v>0</v>
      </c>
      <c r="N561" s="212">
        <f t="shared" si="41"/>
        <v>51548</v>
      </c>
    </row>
    <row r="562" spans="1:14" s="407" customFormat="1" x14ac:dyDescent="0.25">
      <c r="A562" s="152">
        <v>6375000</v>
      </c>
      <c r="B562" s="73" t="s">
        <v>1182</v>
      </c>
      <c r="C562" s="88"/>
      <c r="D562" s="220">
        <f t="shared" si="40"/>
        <v>1</v>
      </c>
      <c r="E562" s="89"/>
      <c r="F562" s="89"/>
      <c r="G562" s="89"/>
      <c r="H562" s="89"/>
      <c r="I562" s="89"/>
      <c r="J562" s="89"/>
      <c r="K562" s="212">
        <f t="shared" si="41"/>
        <v>0</v>
      </c>
      <c r="L562" s="212">
        <f t="shared" si="41"/>
        <v>0</v>
      </c>
      <c r="M562" s="212">
        <f t="shared" si="41"/>
        <v>0</v>
      </c>
      <c r="N562" s="212">
        <f t="shared" si="41"/>
        <v>4600</v>
      </c>
    </row>
    <row r="563" spans="1:14" x14ac:dyDescent="0.25">
      <c r="A563" s="152">
        <v>6375000</v>
      </c>
      <c r="B563" s="73" t="s">
        <v>20</v>
      </c>
      <c r="C563" s="88"/>
      <c r="D563" s="220">
        <f t="shared" si="40"/>
        <v>1</v>
      </c>
      <c r="E563" s="89"/>
      <c r="F563" s="89"/>
      <c r="G563" s="89"/>
      <c r="H563" s="89"/>
      <c r="I563" s="89"/>
      <c r="J563" s="89"/>
      <c r="K563" s="154">
        <f t="shared" si="41"/>
        <v>0</v>
      </c>
      <c r="L563" s="154">
        <f t="shared" si="41"/>
        <v>0</v>
      </c>
      <c r="M563" s="154">
        <f t="shared" si="41"/>
        <v>0</v>
      </c>
      <c r="N563" s="154">
        <f t="shared" si="41"/>
        <v>618.01</v>
      </c>
    </row>
    <row r="564" spans="1:14" x14ac:dyDescent="0.25">
      <c r="A564" s="152">
        <v>6375000</v>
      </c>
      <c r="B564" s="73" t="s">
        <v>510</v>
      </c>
      <c r="C564" s="88"/>
      <c r="D564" s="220">
        <f t="shared" si="40"/>
        <v>6</v>
      </c>
      <c r="E564" s="89"/>
      <c r="F564" s="89"/>
      <c r="G564" s="89"/>
      <c r="H564" s="89"/>
      <c r="I564" s="89"/>
      <c r="J564" s="89"/>
      <c r="K564" s="154">
        <f t="shared" si="41"/>
        <v>0</v>
      </c>
      <c r="L564" s="154">
        <f t="shared" si="41"/>
        <v>0</v>
      </c>
      <c r="M564" s="154">
        <f t="shared" si="41"/>
        <v>0</v>
      </c>
      <c r="N564" s="154">
        <f t="shared" si="41"/>
        <v>4326.01</v>
      </c>
    </row>
    <row r="565" spans="1:14" x14ac:dyDescent="0.25">
      <c r="A565" s="152">
        <v>6375000</v>
      </c>
      <c r="B565" s="73" t="s">
        <v>272</v>
      </c>
      <c r="C565" s="88"/>
      <c r="D565" s="220">
        <f t="shared" si="40"/>
        <v>1</v>
      </c>
      <c r="E565" s="89"/>
      <c r="F565" s="89"/>
      <c r="G565" s="89"/>
      <c r="H565" s="89"/>
      <c r="I565" s="89"/>
      <c r="J565" s="89"/>
      <c r="K565" s="154">
        <f t="shared" si="41"/>
        <v>0</v>
      </c>
      <c r="L565" s="154">
        <f t="shared" si="41"/>
        <v>0</v>
      </c>
      <c r="M565" s="154">
        <f t="shared" si="41"/>
        <v>0</v>
      </c>
      <c r="N565" s="154">
        <f t="shared" si="41"/>
        <v>144</v>
      </c>
    </row>
    <row r="566" spans="1:14" x14ac:dyDescent="0.25">
      <c r="A566" s="152">
        <v>6375000</v>
      </c>
      <c r="B566" s="51" t="s">
        <v>21</v>
      </c>
      <c r="C566" s="88"/>
      <c r="D566" s="220">
        <f t="shared" si="40"/>
        <v>0</v>
      </c>
      <c r="E566" s="89"/>
      <c r="F566" s="89"/>
      <c r="G566" s="89"/>
      <c r="H566" s="89"/>
      <c r="I566" s="89"/>
      <c r="J566" s="89"/>
      <c r="K566" s="154">
        <f t="shared" si="41"/>
        <v>0</v>
      </c>
      <c r="L566" s="154">
        <f t="shared" si="41"/>
        <v>0</v>
      </c>
      <c r="M566" s="154">
        <f t="shared" si="41"/>
        <v>0</v>
      </c>
      <c r="N566" s="154">
        <f t="shared" si="41"/>
        <v>0</v>
      </c>
    </row>
    <row r="567" spans="1:14" x14ac:dyDescent="0.25">
      <c r="A567" s="152">
        <v>6375000</v>
      </c>
      <c r="B567" s="73" t="s">
        <v>1172</v>
      </c>
      <c r="C567" s="88"/>
      <c r="D567" s="220">
        <f t="shared" si="40"/>
        <v>8</v>
      </c>
      <c r="E567" s="89"/>
      <c r="F567" s="89"/>
      <c r="G567" s="89"/>
      <c r="H567" s="89"/>
      <c r="I567" s="89"/>
      <c r="J567" s="89"/>
      <c r="K567" s="154">
        <f t="shared" si="41"/>
        <v>0</v>
      </c>
      <c r="L567" s="154">
        <f t="shared" si="41"/>
        <v>0</v>
      </c>
      <c r="M567" s="154">
        <f t="shared" si="41"/>
        <v>0</v>
      </c>
      <c r="N567" s="154">
        <f t="shared" si="41"/>
        <v>53377.120000000003</v>
      </c>
    </row>
    <row r="568" spans="1:14" x14ac:dyDescent="0.25">
      <c r="A568" s="152">
        <v>6375000</v>
      </c>
      <c r="B568" s="73" t="s">
        <v>810</v>
      </c>
      <c r="C568" s="88"/>
      <c r="D568" s="220">
        <f t="shared" si="40"/>
        <v>1</v>
      </c>
      <c r="E568" s="89"/>
      <c r="F568" s="89"/>
      <c r="G568" s="89"/>
      <c r="H568" s="89"/>
      <c r="I568" s="89"/>
      <c r="J568" s="89"/>
      <c r="K568" s="154">
        <f t="shared" si="41"/>
        <v>0</v>
      </c>
      <c r="L568" s="154">
        <f t="shared" si="41"/>
        <v>0</v>
      </c>
      <c r="M568" s="154">
        <f t="shared" si="41"/>
        <v>0</v>
      </c>
      <c r="N568" s="154">
        <f t="shared" si="41"/>
        <v>7000</v>
      </c>
    </row>
    <row r="569" spans="1:14" x14ac:dyDescent="0.25">
      <c r="A569" s="152">
        <v>6375000</v>
      </c>
      <c r="B569" s="51" t="s">
        <v>811</v>
      </c>
      <c r="C569" s="88"/>
      <c r="D569" s="220">
        <f t="shared" si="40"/>
        <v>0</v>
      </c>
      <c r="E569" s="89"/>
      <c r="F569" s="89"/>
      <c r="G569" s="89"/>
      <c r="H569" s="89"/>
      <c r="I569" s="89"/>
      <c r="J569" s="89"/>
      <c r="K569" s="154">
        <f t="shared" si="41"/>
        <v>0</v>
      </c>
      <c r="L569" s="154">
        <f t="shared" si="41"/>
        <v>0</v>
      </c>
      <c r="M569" s="154">
        <f t="shared" si="41"/>
        <v>0</v>
      </c>
      <c r="N569" s="154">
        <f t="shared" si="41"/>
        <v>0</v>
      </c>
    </row>
    <row r="570" spans="1:14" x14ac:dyDescent="0.25">
      <c r="A570" s="152">
        <v>6375000</v>
      </c>
      <c r="B570" s="51" t="s">
        <v>23</v>
      </c>
      <c r="C570" s="88"/>
      <c r="D570" s="220">
        <f t="shared" si="40"/>
        <v>2</v>
      </c>
      <c r="E570" s="89"/>
      <c r="F570" s="89"/>
      <c r="G570" s="89"/>
      <c r="H570" s="89"/>
      <c r="I570" s="89"/>
      <c r="J570" s="89"/>
      <c r="K570" s="154">
        <f t="shared" si="41"/>
        <v>0</v>
      </c>
      <c r="L570" s="154">
        <f t="shared" si="41"/>
        <v>0</v>
      </c>
      <c r="M570" s="154">
        <f t="shared" si="41"/>
        <v>0</v>
      </c>
      <c r="N570" s="154">
        <f t="shared" si="41"/>
        <v>1675</v>
      </c>
    </row>
    <row r="571" spans="1:14" x14ac:dyDescent="0.25">
      <c r="A571" s="152">
        <v>6375000</v>
      </c>
      <c r="B571" s="73" t="s">
        <v>268</v>
      </c>
      <c r="C571" s="88"/>
      <c r="D571" s="220">
        <f t="shared" si="40"/>
        <v>3</v>
      </c>
      <c r="E571" s="89"/>
      <c r="F571" s="89"/>
      <c r="G571" s="89"/>
      <c r="H571" s="89"/>
      <c r="I571" s="89"/>
      <c r="J571" s="89"/>
      <c r="K571" s="154">
        <f t="shared" si="41"/>
        <v>0</v>
      </c>
      <c r="L571" s="154">
        <f t="shared" si="41"/>
        <v>0</v>
      </c>
      <c r="M571" s="154">
        <f t="shared" si="41"/>
        <v>0</v>
      </c>
      <c r="N571" s="154">
        <f t="shared" si="41"/>
        <v>31518.03</v>
      </c>
    </row>
    <row r="572" spans="1:14" x14ac:dyDescent="0.25">
      <c r="A572" s="152">
        <v>6375000</v>
      </c>
      <c r="B572" s="73" t="s">
        <v>267</v>
      </c>
      <c r="C572" s="88"/>
      <c r="D572" s="220">
        <f t="shared" si="40"/>
        <v>1</v>
      </c>
      <c r="E572" s="89"/>
      <c r="F572" s="89"/>
      <c r="G572" s="89"/>
      <c r="H572" s="89"/>
      <c r="I572" s="89"/>
      <c r="J572" s="89"/>
      <c r="K572" s="154">
        <f t="shared" si="41"/>
        <v>0</v>
      </c>
      <c r="L572" s="154">
        <f t="shared" si="41"/>
        <v>0</v>
      </c>
      <c r="M572" s="154">
        <f t="shared" si="41"/>
        <v>0</v>
      </c>
      <c r="N572" s="154">
        <f t="shared" si="41"/>
        <v>595</v>
      </c>
    </row>
    <row r="573" spans="1:14" ht="15.75" thickBot="1" x14ac:dyDescent="0.3">
      <c r="A573" s="152">
        <v>6375000</v>
      </c>
      <c r="B573" s="73" t="s">
        <v>920</v>
      </c>
      <c r="C573" s="88"/>
      <c r="D573" s="220">
        <f t="shared" si="40"/>
        <v>8</v>
      </c>
      <c r="E573" s="89"/>
      <c r="F573" s="89"/>
      <c r="G573" s="89"/>
      <c r="H573" s="89"/>
      <c r="I573" s="89"/>
      <c r="J573" s="89"/>
      <c r="K573" s="154">
        <f t="shared" si="41"/>
        <v>0</v>
      </c>
      <c r="L573" s="154">
        <f t="shared" si="41"/>
        <v>0</v>
      </c>
      <c r="M573" s="154">
        <f t="shared" si="41"/>
        <v>0</v>
      </c>
      <c r="N573" s="154">
        <f t="shared" si="41"/>
        <v>98988.01</v>
      </c>
    </row>
    <row r="574" spans="1:14" x14ac:dyDescent="0.25">
      <c r="A574" s="151">
        <v>6360000</v>
      </c>
      <c r="B574" s="84" t="s">
        <v>19</v>
      </c>
      <c r="C574" s="85"/>
      <c r="D574" s="210">
        <f t="shared" si="40"/>
        <v>0</v>
      </c>
      <c r="E574" s="86"/>
      <c r="F574" s="86"/>
      <c r="G574" s="86"/>
      <c r="H574" s="86"/>
      <c r="I574" s="86"/>
      <c r="J574" s="86"/>
      <c r="K574" s="156">
        <f t="shared" ref="K574:N593" si="42">SUMIFS(K$26:K$212,$A$26:$A$212,$A574,$B$26:$B$212,$B574)</f>
        <v>0</v>
      </c>
      <c r="L574" s="156">
        <f t="shared" si="42"/>
        <v>0</v>
      </c>
      <c r="M574" s="156">
        <f t="shared" si="42"/>
        <v>0</v>
      </c>
      <c r="N574" s="156">
        <f t="shared" si="42"/>
        <v>0</v>
      </c>
    </row>
    <row r="575" spans="1:14" x14ac:dyDescent="0.25">
      <c r="A575" s="152">
        <v>6360000</v>
      </c>
      <c r="B575" s="73" t="s">
        <v>18</v>
      </c>
      <c r="C575" s="88"/>
      <c r="D575" s="220">
        <f t="shared" si="40"/>
        <v>0</v>
      </c>
      <c r="E575" s="89"/>
      <c r="F575" s="89"/>
      <c r="G575" s="89"/>
      <c r="H575" s="89"/>
      <c r="I575" s="89"/>
      <c r="J575" s="89"/>
      <c r="K575" s="154">
        <f t="shared" si="42"/>
        <v>0</v>
      </c>
      <c r="L575" s="154">
        <f t="shared" si="42"/>
        <v>0</v>
      </c>
      <c r="M575" s="154">
        <f t="shared" si="42"/>
        <v>0</v>
      </c>
      <c r="N575" s="154">
        <f t="shared" si="42"/>
        <v>0</v>
      </c>
    </row>
    <row r="576" spans="1:14" x14ac:dyDescent="0.25">
      <c r="A576" s="152">
        <v>6360000</v>
      </c>
      <c r="B576" s="73" t="s">
        <v>22</v>
      </c>
      <c r="C576" s="88"/>
      <c r="D576" s="220">
        <f t="shared" si="40"/>
        <v>0</v>
      </c>
      <c r="E576" s="89"/>
      <c r="F576" s="89"/>
      <c r="G576" s="89"/>
      <c r="H576" s="89"/>
      <c r="I576" s="89"/>
      <c r="J576" s="89"/>
      <c r="K576" s="154">
        <f t="shared" si="42"/>
        <v>0</v>
      </c>
      <c r="L576" s="154">
        <f t="shared" si="42"/>
        <v>0</v>
      </c>
      <c r="M576" s="154">
        <f t="shared" si="42"/>
        <v>0</v>
      </c>
      <c r="N576" s="154">
        <f t="shared" si="42"/>
        <v>0</v>
      </c>
    </row>
    <row r="577" spans="1:14" x14ac:dyDescent="0.25">
      <c r="A577" s="152">
        <v>6360000</v>
      </c>
      <c r="B577" s="73" t="s">
        <v>24</v>
      </c>
      <c r="C577" s="88"/>
      <c r="D577" s="220">
        <f t="shared" si="40"/>
        <v>0</v>
      </c>
      <c r="E577" s="89"/>
      <c r="F577" s="89"/>
      <c r="G577" s="89"/>
      <c r="H577" s="89"/>
      <c r="I577" s="89"/>
      <c r="J577" s="89"/>
      <c r="K577" s="154">
        <f t="shared" si="42"/>
        <v>0</v>
      </c>
      <c r="L577" s="154">
        <f t="shared" si="42"/>
        <v>0</v>
      </c>
      <c r="M577" s="154">
        <f t="shared" si="42"/>
        <v>0</v>
      </c>
      <c r="N577" s="154">
        <f t="shared" si="42"/>
        <v>0</v>
      </c>
    </row>
    <row r="578" spans="1:14" x14ac:dyDescent="0.25">
      <c r="A578" s="152">
        <v>6360000</v>
      </c>
      <c r="B578" s="73" t="s">
        <v>25</v>
      </c>
      <c r="C578" s="88"/>
      <c r="D578" s="220">
        <f t="shared" si="40"/>
        <v>0</v>
      </c>
      <c r="E578" s="89"/>
      <c r="F578" s="89"/>
      <c r="G578" s="89"/>
      <c r="H578" s="89"/>
      <c r="I578" s="89"/>
      <c r="J578" s="89"/>
      <c r="K578" s="154">
        <f t="shared" si="42"/>
        <v>0</v>
      </c>
      <c r="L578" s="154">
        <f t="shared" si="42"/>
        <v>0</v>
      </c>
      <c r="M578" s="154">
        <f t="shared" si="42"/>
        <v>0</v>
      </c>
      <c r="N578" s="154">
        <f t="shared" si="42"/>
        <v>0</v>
      </c>
    </row>
    <row r="579" spans="1:14" x14ac:dyDescent="0.25">
      <c r="A579" s="152">
        <v>6360000</v>
      </c>
      <c r="B579" s="73" t="s">
        <v>394</v>
      </c>
      <c r="C579" s="88"/>
      <c r="D579" s="220">
        <f t="shared" si="40"/>
        <v>0</v>
      </c>
      <c r="E579" s="89"/>
      <c r="F579" s="89"/>
      <c r="G579" s="89"/>
      <c r="H579" s="89"/>
      <c r="I579" s="89"/>
      <c r="J579" s="89"/>
      <c r="K579" s="154">
        <f t="shared" si="42"/>
        <v>0</v>
      </c>
      <c r="L579" s="154">
        <f t="shared" si="42"/>
        <v>0</v>
      </c>
      <c r="M579" s="154">
        <f t="shared" si="42"/>
        <v>0</v>
      </c>
      <c r="N579" s="154">
        <f t="shared" si="42"/>
        <v>0</v>
      </c>
    </row>
    <row r="580" spans="1:14" x14ac:dyDescent="0.25">
      <c r="A580" s="152">
        <v>6360000</v>
      </c>
      <c r="B580" s="73" t="s">
        <v>350</v>
      </c>
      <c r="C580" s="88"/>
      <c r="D580" s="220">
        <f t="shared" si="40"/>
        <v>0</v>
      </c>
      <c r="E580" s="89"/>
      <c r="F580" s="89"/>
      <c r="G580" s="89"/>
      <c r="H580" s="89"/>
      <c r="I580" s="89"/>
      <c r="J580" s="89"/>
      <c r="K580" s="154">
        <f t="shared" si="42"/>
        <v>0</v>
      </c>
      <c r="L580" s="154">
        <f t="shared" si="42"/>
        <v>0</v>
      </c>
      <c r="M580" s="154">
        <f t="shared" si="42"/>
        <v>0</v>
      </c>
      <c r="N580" s="154">
        <f t="shared" si="42"/>
        <v>0</v>
      </c>
    </row>
    <row r="581" spans="1:14" s="407" customFormat="1" x14ac:dyDescent="0.25">
      <c r="A581" s="152">
        <v>6360000</v>
      </c>
      <c r="B581" s="73" t="s">
        <v>1171</v>
      </c>
      <c r="C581" s="88"/>
      <c r="D581" s="220">
        <f t="shared" si="40"/>
        <v>0</v>
      </c>
      <c r="E581" s="89"/>
      <c r="F581" s="89"/>
      <c r="G581" s="89"/>
      <c r="H581" s="89"/>
      <c r="I581" s="89"/>
      <c r="J581" s="89"/>
      <c r="K581" s="212">
        <f t="shared" si="42"/>
        <v>0</v>
      </c>
      <c r="L581" s="212">
        <f t="shared" si="42"/>
        <v>0</v>
      </c>
      <c r="M581" s="212">
        <f t="shared" si="42"/>
        <v>0</v>
      </c>
      <c r="N581" s="212">
        <f t="shared" si="42"/>
        <v>0</v>
      </c>
    </row>
    <row r="582" spans="1:14" s="407" customFormat="1" x14ac:dyDescent="0.25">
      <c r="A582" s="152">
        <v>6360000</v>
      </c>
      <c r="B582" s="73" t="s">
        <v>1182</v>
      </c>
      <c r="C582" s="88"/>
      <c r="D582" s="220">
        <f t="shared" si="40"/>
        <v>0</v>
      </c>
      <c r="E582" s="89"/>
      <c r="F582" s="89"/>
      <c r="G582" s="89"/>
      <c r="H582" s="89"/>
      <c r="I582" s="89"/>
      <c r="J582" s="89"/>
      <c r="K582" s="212">
        <f t="shared" si="42"/>
        <v>0</v>
      </c>
      <c r="L582" s="212">
        <f t="shared" si="42"/>
        <v>0</v>
      </c>
      <c r="M582" s="212">
        <f t="shared" si="42"/>
        <v>0</v>
      </c>
      <c r="N582" s="212">
        <f t="shared" si="42"/>
        <v>0</v>
      </c>
    </row>
    <row r="583" spans="1:14" x14ac:dyDescent="0.25">
      <c r="A583" s="152">
        <v>6360000</v>
      </c>
      <c r="B583" s="73" t="s">
        <v>20</v>
      </c>
      <c r="C583" s="88"/>
      <c r="D583" s="220">
        <f t="shared" si="40"/>
        <v>0</v>
      </c>
      <c r="E583" s="89"/>
      <c r="F583" s="89"/>
      <c r="G583" s="89"/>
      <c r="H583" s="89"/>
      <c r="I583" s="89"/>
      <c r="J583" s="89"/>
      <c r="K583" s="154">
        <f t="shared" si="42"/>
        <v>0</v>
      </c>
      <c r="L583" s="154">
        <f t="shared" si="42"/>
        <v>0</v>
      </c>
      <c r="M583" s="154">
        <f t="shared" si="42"/>
        <v>0</v>
      </c>
      <c r="N583" s="154">
        <f t="shared" si="42"/>
        <v>0</v>
      </c>
    </row>
    <row r="584" spans="1:14" x14ac:dyDescent="0.25">
      <c r="A584" s="152">
        <v>6360000</v>
      </c>
      <c r="B584" s="73" t="s">
        <v>510</v>
      </c>
      <c r="C584" s="88"/>
      <c r="D584" s="220">
        <f t="shared" si="40"/>
        <v>0</v>
      </c>
      <c r="E584" s="89"/>
      <c r="F584" s="89"/>
      <c r="G584" s="89"/>
      <c r="H584" s="89"/>
      <c r="I584" s="89"/>
      <c r="J584" s="89"/>
      <c r="K584" s="154">
        <f t="shared" si="42"/>
        <v>0</v>
      </c>
      <c r="L584" s="154">
        <f t="shared" si="42"/>
        <v>0</v>
      </c>
      <c r="M584" s="154">
        <f t="shared" si="42"/>
        <v>0</v>
      </c>
      <c r="N584" s="154">
        <f t="shared" si="42"/>
        <v>0</v>
      </c>
    </row>
    <row r="585" spans="1:14" x14ac:dyDescent="0.25">
      <c r="A585" s="152">
        <v>6360000</v>
      </c>
      <c r="B585" s="73" t="s">
        <v>272</v>
      </c>
      <c r="C585" s="88"/>
      <c r="D585" s="220">
        <f t="shared" si="40"/>
        <v>0</v>
      </c>
      <c r="E585" s="89"/>
      <c r="F585" s="89"/>
      <c r="G585" s="89"/>
      <c r="H585" s="89"/>
      <c r="I585" s="89"/>
      <c r="J585" s="89"/>
      <c r="K585" s="154">
        <f t="shared" si="42"/>
        <v>0</v>
      </c>
      <c r="L585" s="154">
        <f t="shared" si="42"/>
        <v>0</v>
      </c>
      <c r="M585" s="154">
        <f t="shared" si="42"/>
        <v>0</v>
      </c>
      <c r="N585" s="154">
        <f t="shared" si="42"/>
        <v>0</v>
      </c>
    </row>
    <row r="586" spans="1:14" x14ac:dyDescent="0.25">
      <c r="A586" s="152">
        <v>6360000</v>
      </c>
      <c r="B586" s="51" t="s">
        <v>21</v>
      </c>
      <c r="C586" s="88"/>
      <c r="D586" s="220">
        <f t="shared" si="40"/>
        <v>0</v>
      </c>
      <c r="E586" s="89"/>
      <c r="F586" s="89"/>
      <c r="G586" s="89"/>
      <c r="H586" s="89"/>
      <c r="I586" s="89"/>
      <c r="J586" s="89"/>
      <c r="K586" s="154">
        <f t="shared" si="42"/>
        <v>0</v>
      </c>
      <c r="L586" s="154">
        <f t="shared" si="42"/>
        <v>0</v>
      </c>
      <c r="M586" s="154">
        <f t="shared" si="42"/>
        <v>0</v>
      </c>
      <c r="N586" s="154">
        <f t="shared" si="42"/>
        <v>0</v>
      </c>
    </row>
    <row r="587" spans="1:14" x14ac:dyDescent="0.25">
      <c r="A587" s="152">
        <v>6360000</v>
      </c>
      <c r="B587" s="73" t="s">
        <v>1172</v>
      </c>
      <c r="C587" s="88"/>
      <c r="D587" s="220">
        <f t="shared" si="40"/>
        <v>0</v>
      </c>
      <c r="E587" s="89"/>
      <c r="F587" s="89"/>
      <c r="G587" s="89"/>
      <c r="H587" s="89"/>
      <c r="I587" s="89"/>
      <c r="J587" s="89"/>
      <c r="K587" s="154">
        <f t="shared" si="42"/>
        <v>0</v>
      </c>
      <c r="L587" s="154">
        <f t="shared" si="42"/>
        <v>0</v>
      </c>
      <c r="M587" s="154">
        <f t="shared" si="42"/>
        <v>0</v>
      </c>
      <c r="N587" s="154">
        <f t="shared" si="42"/>
        <v>0</v>
      </c>
    </row>
    <row r="588" spans="1:14" x14ac:dyDescent="0.25">
      <c r="A588" s="152">
        <v>6360000</v>
      </c>
      <c r="B588" s="73" t="s">
        <v>810</v>
      </c>
      <c r="C588" s="88"/>
      <c r="D588" s="220">
        <f t="shared" si="40"/>
        <v>0</v>
      </c>
      <c r="E588" s="89"/>
      <c r="F588" s="89"/>
      <c r="G588" s="89"/>
      <c r="H588" s="89"/>
      <c r="I588" s="89"/>
      <c r="J588" s="89"/>
      <c r="K588" s="154">
        <f t="shared" si="42"/>
        <v>0</v>
      </c>
      <c r="L588" s="154">
        <f t="shared" si="42"/>
        <v>0</v>
      </c>
      <c r="M588" s="154">
        <f t="shared" si="42"/>
        <v>0</v>
      </c>
      <c r="N588" s="154">
        <f t="shared" si="42"/>
        <v>0</v>
      </c>
    </row>
    <row r="589" spans="1:14" x14ac:dyDescent="0.25">
      <c r="A589" s="152">
        <v>6360000</v>
      </c>
      <c r="B589" s="51" t="s">
        <v>811</v>
      </c>
      <c r="C589" s="88"/>
      <c r="D589" s="220">
        <f t="shared" si="40"/>
        <v>0</v>
      </c>
      <c r="E589" s="89"/>
      <c r="F589" s="89"/>
      <c r="G589" s="89"/>
      <c r="H589" s="89"/>
      <c r="I589" s="89"/>
      <c r="J589" s="89"/>
      <c r="K589" s="154">
        <f t="shared" si="42"/>
        <v>0</v>
      </c>
      <c r="L589" s="154">
        <f t="shared" si="42"/>
        <v>0</v>
      </c>
      <c r="M589" s="154">
        <f t="shared" si="42"/>
        <v>0</v>
      </c>
      <c r="N589" s="154">
        <f t="shared" si="42"/>
        <v>0</v>
      </c>
    </row>
    <row r="590" spans="1:14" x14ac:dyDescent="0.25">
      <c r="A590" s="152">
        <v>6360000</v>
      </c>
      <c r="B590" s="51" t="s">
        <v>23</v>
      </c>
      <c r="C590" s="88"/>
      <c r="D590" s="220">
        <f t="shared" si="40"/>
        <v>0</v>
      </c>
      <c r="E590" s="89"/>
      <c r="F590" s="89"/>
      <c r="G590" s="89"/>
      <c r="H590" s="89"/>
      <c r="I590" s="89"/>
      <c r="J590" s="89"/>
      <c r="K590" s="154">
        <f t="shared" si="42"/>
        <v>0</v>
      </c>
      <c r="L590" s="154">
        <f t="shared" si="42"/>
        <v>0</v>
      </c>
      <c r="M590" s="154">
        <f t="shared" si="42"/>
        <v>0</v>
      </c>
      <c r="N590" s="154">
        <f t="shared" si="42"/>
        <v>0</v>
      </c>
    </row>
    <row r="591" spans="1:14" x14ac:dyDescent="0.25">
      <c r="A591" s="152">
        <v>6360000</v>
      </c>
      <c r="B591" s="73" t="s">
        <v>268</v>
      </c>
      <c r="C591" s="88"/>
      <c r="D591" s="220">
        <f t="shared" si="40"/>
        <v>0</v>
      </c>
      <c r="E591" s="89"/>
      <c r="F591" s="89"/>
      <c r="G591" s="89"/>
      <c r="H591" s="89"/>
      <c r="I591" s="89"/>
      <c r="J591" s="89"/>
      <c r="K591" s="154">
        <f t="shared" si="42"/>
        <v>0</v>
      </c>
      <c r="L591" s="154">
        <f t="shared" si="42"/>
        <v>0</v>
      </c>
      <c r="M591" s="154">
        <f t="shared" si="42"/>
        <v>0</v>
      </c>
      <c r="N591" s="154">
        <f t="shared" si="42"/>
        <v>0</v>
      </c>
    </row>
    <row r="592" spans="1:14" x14ac:dyDescent="0.25">
      <c r="A592" s="152">
        <v>6360000</v>
      </c>
      <c r="B592" s="73" t="s">
        <v>267</v>
      </c>
      <c r="C592" s="88"/>
      <c r="D592" s="220">
        <f t="shared" si="40"/>
        <v>0</v>
      </c>
      <c r="E592" s="89"/>
      <c r="F592" s="89"/>
      <c r="G592" s="89"/>
      <c r="H592" s="89"/>
      <c r="I592" s="89"/>
      <c r="J592" s="89"/>
      <c r="K592" s="154">
        <f t="shared" si="42"/>
        <v>0</v>
      </c>
      <c r="L592" s="154">
        <f t="shared" si="42"/>
        <v>0</v>
      </c>
      <c r="M592" s="154">
        <f t="shared" si="42"/>
        <v>0</v>
      </c>
      <c r="N592" s="154">
        <f t="shared" si="42"/>
        <v>0</v>
      </c>
    </row>
    <row r="593" spans="1:15" x14ac:dyDescent="0.25">
      <c r="A593" s="152">
        <v>6360000</v>
      </c>
      <c r="B593" s="73" t="s">
        <v>920</v>
      </c>
      <c r="C593" s="88"/>
      <c r="D593" s="220">
        <f t="shared" si="40"/>
        <v>4</v>
      </c>
      <c r="E593" s="89"/>
      <c r="F593" s="89"/>
      <c r="G593" s="89"/>
      <c r="H593" s="89"/>
      <c r="I593" s="89"/>
      <c r="J593" s="89"/>
      <c r="K593" s="154">
        <f t="shared" si="42"/>
        <v>0</v>
      </c>
      <c r="L593" s="154">
        <f t="shared" si="42"/>
        <v>0</v>
      </c>
      <c r="M593" s="154">
        <f t="shared" si="42"/>
        <v>0</v>
      </c>
      <c r="N593" s="154">
        <f t="shared" si="42"/>
        <v>52033</v>
      </c>
    </row>
    <row r="594" spans="1:15" ht="15.75" thickBot="1" x14ac:dyDescent="0.3"/>
    <row r="595" spans="1:15" ht="15.75" thickBot="1" x14ac:dyDescent="0.3">
      <c r="A595" s="148"/>
      <c r="B595" s="149"/>
      <c r="C595" s="149"/>
      <c r="D595" s="486">
        <f>D213-SUM(D234:D593)</f>
        <v>-6</v>
      </c>
      <c r="E595" s="148"/>
      <c r="F595" s="148"/>
      <c r="G595" s="148"/>
      <c r="H595" s="148"/>
      <c r="I595" s="148"/>
      <c r="J595" s="148"/>
      <c r="K595" s="217"/>
      <c r="L595" s="217"/>
      <c r="M595" s="217"/>
      <c r="N595" s="217">
        <f>N213-SUM(N234:N593)</f>
        <v>0</v>
      </c>
    </row>
    <row r="597" spans="1:15" customFormat="1" ht="12.75" x14ac:dyDescent="0.2">
      <c r="A597" s="21" t="s">
        <v>186</v>
      </c>
      <c r="B597" s="21"/>
      <c r="E597" s="21"/>
    </row>
    <row r="598" spans="1:15" customFormat="1" ht="12.75" x14ac:dyDescent="0.2"/>
    <row r="599" spans="1:15" customFormat="1" ht="12.75" x14ac:dyDescent="0.2">
      <c r="A599" s="1" t="s">
        <v>187</v>
      </c>
      <c r="B599" s="1"/>
      <c r="E599" s="1"/>
    </row>
    <row r="600" spans="1:15" customFormat="1" ht="12.75" x14ac:dyDescent="0.2">
      <c r="A600" s="1" t="s">
        <v>188</v>
      </c>
      <c r="B600" s="1"/>
      <c r="E600" s="1"/>
    </row>
    <row r="601" spans="1:15" customFormat="1" ht="12.75" x14ac:dyDescent="0.2"/>
    <row r="602" spans="1:15" customFormat="1" ht="12.75" x14ac:dyDescent="0.2"/>
    <row r="603" spans="1:15" customFormat="1" ht="12.75" x14ac:dyDescent="0.2"/>
    <row r="604" spans="1:15" customFormat="1" ht="12.75" x14ac:dyDescent="0.2"/>
    <row r="605" spans="1:15" customFormat="1" ht="12.75" x14ac:dyDescent="0.2"/>
    <row r="606" spans="1:15" customFormat="1" ht="12.75" x14ac:dyDescent="0.2"/>
    <row r="607" spans="1:15" customFormat="1" ht="12.75" x14ac:dyDescent="0.2">
      <c r="A607" s="21" t="s">
        <v>190</v>
      </c>
      <c r="D607" s="23" t="s">
        <v>191</v>
      </c>
      <c r="F607" s="23" t="s">
        <v>192</v>
      </c>
      <c r="K607" s="23"/>
      <c r="L607" s="23"/>
      <c r="M607" s="23"/>
      <c r="N607" s="23"/>
      <c r="O607" s="23"/>
    </row>
    <row r="608" spans="1:15" customFormat="1" ht="12.75" x14ac:dyDescent="0.2">
      <c r="A608" s="1" t="s">
        <v>187</v>
      </c>
    </row>
    <row r="609" spans="1:1" customFormat="1" ht="12.75" x14ac:dyDescent="0.2">
      <c r="A609" s="1" t="s">
        <v>188</v>
      </c>
    </row>
    <row r="610" spans="1:1" customFormat="1" ht="12.75" x14ac:dyDescent="0.2"/>
    <row r="635" spans="1:14" ht="12.75" x14ac:dyDescent="0.2">
      <c r="A635" s="152"/>
      <c r="B635" s="51"/>
      <c r="C635" s="51" t="s">
        <v>986</v>
      </c>
      <c r="D635" s="220">
        <f>COUNTIFS($A$26:$A$212,$A635,$B$26:$B$212,$B635)</f>
        <v>0</v>
      </c>
      <c r="E635" s="89"/>
      <c r="F635" s="89"/>
      <c r="G635" s="89"/>
      <c r="H635" s="89"/>
      <c r="I635" s="89"/>
      <c r="J635" s="89"/>
      <c r="K635" s="212">
        <f t="shared" ref="K635:N654" si="43">SUMIF($C$26:$C$212,$C635,K$26:K$212)</f>
        <v>0</v>
      </c>
      <c r="L635" s="212">
        <f t="shared" si="43"/>
        <v>0</v>
      </c>
      <c r="M635" s="212">
        <f t="shared" si="43"/>
        <v>0</v>
      </c>
      <c r="N635" s="212">
        <f t="shared" si="43"/>
        <v>0</v>
      </c>
    </row>
    <row r="636" spans="1:14" s="235" customFormat="1" ht="12.75" x14ac:dyDescent="0.2">
      <c r="A636" s="152"/>
      <c r="B636" s="51"/>
      <c r="C636" s="51" t="s">
        <v>988</v>
      </c>
      <c r="D636" s="220"/>
      <c r="E636" s="89"/>
      <c r="F636" s="89"/>
      <c r="G636" s="89"/>
      <c r="H636" s="89"/>
      <c r="I636" s="89"/>
      <c r="J636" s="89"/>
      <c r="K636" s="212">
        <f t="shared" si="43"/>
        <v>0</v>
      </c>
      <c r="L636" s="212">
        <f t="shared" si="43"/>
        <v>0</v>
      </c>
      <c r="M636" s="212">
        <f t="shared" si="43"/>
        <v>0</v>
      </c>
      <c r="N636" s="212">
        <f t="shared" si="43"/>
        <v>0</v>
      </c>
    </row>
    <row r="637" spans="1:14" s="235" customFormat="1" ht="12.75" x14ac:dyDescent="0.2">
      <c r="A637" s="152"/>
      <c r="B637" s="51"/>
      <c r="C637" s="51" t="s">
        <v>1058</v>
      </c>
      <c r="D637" s="220"/>
      <c r="E637" s="89"/>
      <c r="F637" s="89"/>
      <c r="G637" s="89"/>
      <c r="H637" s="89"/>
      <c r="I637" s="89"/>
      <c r="J637" s="89"/>
      <c r="K637" s="212">
        <f t="shared" si="43"/>
        <v>0</v>
      </c>
      <c r="L637" s="212">
        <f t="shared" si="43"/>
        <v>0</v>
      </c>
      <c r="M637" s="212">
        <f t="shared" si="43"/>
        <v>0</v>
      </c>
      <c r="N637" s="212">
        <f t="shared" si="43"/>
        <v>0</v>
      </c>
    </row>
    <row r="638" spans="1:14" s="235" customFormat="1" ht="12.75" x14ac:dyDescent="0.2">
      <c r="A638" s="152"/>
      <c r="B638" s="51"/>
      <c r="C638" s="51" t="s">
        <v>972</v>
      </c>
      <c r="D638" s="220"/>
      <c r="E638" s="89"/>
      <c r="F638" s="89"/>
      <c r="G638" s="89"/>
      <c r="H638" s="89"/>
      <c r="I638" s="89"/>
      <c r="J638" s="89"/>
      <c r="K638" s="212">
        <f t="shared" si="43"/>
        <v>0</v>
      </c>
      <c r="L638" s="212">
        <f t="shared" si="43"/>
        <v>0</v>
      </c>
      <c r="M638" s="212">
        <f t="shared" si="43"/>
        <v>0</v>
      </c>
      <c r="N638" s="212">
        <f t="shared" si="43"/>
        <v>0</v>
      </c>
    </row>
    <row r="639" spans="1:14" s="235" customFormat="1" ht="12.75" x14ac:dyDescent="0.2">
      <c r="A639" s="152"/>
      <c r="B639" s="51"/>
      <c r="C639" s="51" t="s">
        <v>973</v>
      </c>
      <c r="D639" s="220"/>
      <c r="E639" s="89"/>
      <c r="F639" s="89"/>
      <c r="G639" s="89"/>
      <c r="H639" s="89"/>
      <c r="I639" s="89"/>
      <c r="J639" s="89"/>
      <c r="K639" s="212">
        <f t="shared" si="43"/>
        <v>0</v>
      </c>
      <c r="L639" s="212">
        <f t="shared" si="43"/>
        <v>0</v>
      </c>
      <c r="M639" s="212">
        <f t="shared" si="43"/>
        <v>0</v>
      </c>
      <c r="N639" s="212">
        <f t="shared" si="43"/>
        <v>0</v>
      </c>
    </row>
    <row r="640" spans="1:14" s="235" customFormat="1" ht="12.75" x14ac:dyDescent="0.2">
      <c r="A640" s="152"/>
      <c r="B640" s="51"/>
      <c r="C640" s="51" t="s">
        <v>980</v>
      </c>
      <c r="D640" s="220"/>
      <c r="E640" s="89"/>
      <c r="F640" s="89"/>
      <c r="G640" s="89"/>
      <c r="H640" s="89"/>
      <c r="I640" s="89"/>
      <c r="J640" s="89"/>
      <c r="K640" s="212">
        <f t="shared" si="43"/>
        <v>0</v>
      </c>
      <c r="L640" s="212">
        <f t="shared" si="43"/>
        <v>0</v>
      </c>
      <c r="M640" s="212">
        <f t="shared" si="43"/>
        <v>0</v>
      </c>
      <c r="N640" s="212">
        <f t="shared" si="43"/>
        <v>0</v>
      </c>
    </row>
    <row r="641" spans="1:14" s="284" customFormat="1" ht="12.75" x14ac:dyDescent="0.2">
      <c r="A641" s="152"/>
      <c r="B641" s="51"/>
      <c r="C641" s="51" t="s">
        <v>982</v>
      </c>
      <c r="D641" s="220"/>
      <c r="E641" s="89"/>
      <c r="F641" s="89"/>
      <c r="G641" s="89"/>
      <c r="H641" s="89"/>
      <c r="I641" s="89"/>
      <c r="J641" s="89"/>
      <c r="K641" s="212">
        <f t="shared" si="43"/>
        <v>0</v>
      </c>
      <c r="L641" s="212">
        <f t="shared" si="43"/>
        <v>0</v>
      </c>
      <c r="M641" s="212">
        <f t="shared" si="43"/>
        <v>0</v>
      </c>
      <c r="N641" s="212">
        <f t="shared" si="43"/>
        <v>0</v>
      </c>
    </row>
    <row r="642" spans="1:14" s="235" customFormat="1" ht="12.75" x14ac:dyDescent="0.2">
      <c r="A642" s="152"/>
      <c r="B642" s="51"/>
      <c r="C642" s="51" t="s">
        <v>46</v>
      </c>
      <c r="D642" s="220"/>
      <c r="E642" s="89"/>
      <c r="F642" s="89"/>
      <c r="G642" s="89"/>
      <c r="H642" s="89"/>
      <c r="I642" s="89"/>
      <c r="J642" s="89"/>
      <c r="K642" s="212">
        <f t="shared" si="43"/>
        <v>0</v>
      </c>
      <c r="L642" s="212">
        <f t="shared" si="43"/>
        <v>0</v>
      </c>
      <c r="M642" s="212">
        <f t="shared" si="43"/>
        <v>0</v>
      </c>
      <c r="N642" s="212">
        <f t="shared" si="43"/>
        <v>4000</v>
      </c>
    </row>
    <row r="643" spans="1:14" s="235" customFormat="1" ht="12.75" x14ac:dyDescent="0.2">
      <c r="A643" s="152"/>
      <c r="B643" s="51"/>
      <c r="C643" s="51" t="s">
        <v>1019</v>
      </c>
      <c r="D643" s="220"/>
      <c r="E643" s="89"/>
      <c r="F643" s="89"/>
      <c r="G643" s="89"/>
      <c r="H643" s="89"/>
      <c r="I643" s="89"/>
      <c r="J643" s="89"/>
      <c r="K643" s="212">
        <f t="shared" si="43"/>
        <v>0</v>
      </c>
      <c r="L643" s="212">
        <f t="shared" si="43"/>
        <v>0</v>
      </c>
      <c r="M643" s="212">
        <f t="shared" si="43"/>
        <v>0</v>
      </c>
      <c r="N643" s="212">
        <f t="shared" si="43"/>
        <v>595576.76</v>
      </c>
    </row>
    <row r="644" spans="1:14" s="235" customFormat="1" ht="12.75" x14ac:dyDescent="0.2">
      <c r="A644" s="152"/>
      <c r="B644" s="51"/>
      <c r="C644" s="51" t="s">
        <v>1050</v>
      </c>
      <c r="D644" s="220"/>
      <c r="E644" s="89"/>
      <c r="F644" s="89"/>
      <c r="G644" s="89"/>
      <c r="H644" s="89"/>
      <c r="I644" s="89"/>
      <c r="J644" s="89"/>
      <c r="K644" s="212">
        <f t="shared" si="43"/>
        <v>0</v>
      </c>
      <c r="L644" s="212">
        <f t="shared" si="43"/>
        <v>0</v>
      </c>
      <c r="M644" s="212">
        <f t="shared" si="43"/>
        <v>0</v>
      </c>
      <c r="N644" s="212">
        <f t="shared" si="43"/>
        <v>0</v>
      </c>
    </row>
    <row r="645" spans="1:14" s="235" customFormat="1" ht="12.75" x14ac:dyDescent="0.2">
      <c r="A645" s="152"/>
      <c r="B645" s="51"/>
      <c r="C645" s="51" t="s">
        <v>100</v>
      </c>
      <c r="D645" s="220"/>
      <c r="E645" s="89"/>
      <c r="F645" s="89"/>
      <c r="G645" s="89"/>
      <c r="H645" s="89"/>
      <c r="I645" s="89"/>
      <c r="J645" s="89"/>
      <c r="K645" s="212">
        <f t="shared" si="43"/>
        <v>0</v>
      </c>
      <c r="L645" s="212">
        <f t="shared" si="43"/>
        <v>0</v>
      </c>
      <c r="M645" s="212">
        <f t="shared" si="43"/>
        <v>0</v>
      </c>
      <c r="N645" s="212">
        <f t="shared" si="43"/>
        <v>0</v>
      </c>
    </row>
    <row r="646" spans="1:14" s="235" customFormat="1" ht="12.75" x14ac:dyDescent="0.2">
      <c r="A646" s="152"/>
      <c r="B646" s="51"/>
      <c r="C646" s="51" t="s">
        <v>101</v>
      </c>
      <c r="D646" s="220"/>
      <c r="E646" s="89"/>
      <c r="F646" s="89"/>
      <c r="G646" s="89"/>
      <c r="H646" s="89"/>
      <c r="I646" s="89"/>
      <c r="J646" s="89"/>
      <c r="K646" s="212">
        <f t="shared" si="43"/>
        <v>0</v>
      </c>
      <c r="L646" s="212">
        <f t="shared" si="43"/>
        <v>0</v>
      </c>
      <c r="M646" s="212">
        <f t="shared" si="43"/>
        <v>0</v>
      </c>
      <c r="N646" s="212">
        <f t="shared" si="43"/>
        <v>0</v>
      </c>
    </row>
    <row r="647" spans="1:14" s="235" customFormat="1" ht="12.75" x14ac:dyDescent="0.2">
      <c r="A647" s="152"/>
      <c r="B647" s="51"/>
      <c r="C647" s="51" t="s">
        <v>1056</v>
      </c>
      <c r="D647" s="220"/>
      <c r="E647" s="89"/>
      <c r="F647" s="89"/>
      <c r="G647" s="89"/>
      <c r="H647" s="89"/>
      <c r="I647" s="89"/>
      <c r="J647" s="89"/>
      <c r="K647" s="212">
        <f t="shared" si="43"/>
        <v>0</v>
      </c>
      <c r="L647" s="212">
        <f t="shared" si="43"/>
        <v>0</v>
      </c>
      <c r="M647" s="212">
        <f t="shared" si="43"/>
        <v>0</v>
      </c>
      <c r="N647" s="212">
        <f t="shared" si="43"/>
        <v>42731</v>
      </c>
    </row>
    <row r="648" spans="1:14" s="235" customFormat="1" ht="12.75" x14ac:dyDescent="0.2">
      <c r="A648" s="152"/>
      <c r="B648" s="51"/>
      <c r="C648" s="51" t="s">
        <v>1057</v>
      </c>
      <c r="D648" s="220"/>
      <c r="E648" s="89"/>
      <c r="F648" s="89"/>
      <c r="G648" s="89"/>
      <c r="H648" s="89"/>
      <c r="I648" s="89"/>
      <c r="J648" s="89"/>
      <c r="K648" s="212">
        <f t="shared" si="43"/>
        <v>0</v>
      </c>
      <c r="L648" s="212">
        <f t="shared" si="43"/>
        <v>0</v>
      </c>
      <c r="M648" s="212">
        <f t="shared" si="43"/>
        <v>0</v>
      </c>
      <c r="N648" s="212">
        <f t="shared" si="43"/>
        <v>2720</v>
      </c>
    </row>
    <row r="649" spans="1:14" s="235" customFormat="1" ht="12.75" x14ac:dyDescent="0.2">
      <c r="A649" s="152"/>
      <c r="B649" s="51"/>
      <c r="C649" s="51" t="s">
        <v>1631</v>
      </c>
      <c r="D649" s="220"/>
      <c r="E649" s="89"/>
      <c r="F649" s="89"/>
      <c r="G649" s="89"/>
      <c r="H649" s="89"/>
      <c r="I649" s="89"/>
      <c r="J649" s="89"/>
      <c r="K649" s="212">
        <f t="shared" si="43"/>
        <v>0</v>
      </c>
      <c r="L649" s="212">
        <f t="shared" si="43"/>
        <v>0</v>
      </c>
      <c r="M649" s="212">
        <f t="shared" si="43"/>
        <v>0</v>
      </c>
      <c r="N649" s="212">
        <f t="shared" si="43"/>
        <v>0</v>
      </c>
    </row>
    <row r="650" spans="1:14" s="235" customFormat="1" ht="12.75" x14ac:dyDescent="0.2">
      <c r="A650" s="152"/>
      <c r="B650" s="51"/>
      <c r="C650" s="51" t="s">
        <v>1632</v>
      </c>
      <c r="D650" s="220"/>
      <c r="E650" s="89"/>
      <c r="F650" s="89"/>
      <c r="G650" s="89"/>
      <c r="H650" s="89"/>
      <c r="I650" s="89"/>
      <c r="J650" s="89"/>
      <c r="K650" s="212">
        <f t="shared" si="43"/>
        <v>0</v>
      </c>
      <c r="L650" s="212">
        <f t="shared" si="43"/>
        <v>0</v>
      </c>
      <c r="M650" s="212">
        <f t="shared" si="43"/>
        <v>0</v>
      </c>
      <c r="N650" s="212">
        <f t="shared" si="43"/>
        <v>8493.01</v>
      </c>
    </row>
    <row r="651" spans="1:14" s="235" customFormat="1" ht="12.75" x14ac:dyDescent="0.2">
      <c r="A651" s="152"/>
      <c r="B651" s="51"/>
      <c r="C651" s="51" t="s">
        <v>965</v>
      </c>
      <c r="D651" s="220"/>
      <c r="E651" s="89"/>
      <c r="F651" s="89"/>
      <c r="G651" s="89"/>
      <c r="H651" s="89"/>
      <c r="I651" s="89"/>
      <c r="J651" s="89"/>
      <c r="K651" s="212">
        <f t="shared" si="43"/>
        <v>0</v>
      </c>
      <c r="L651" s="212">
        <f t="shared" si="43"/>
        <v>0</v>
      </c>
      <c r="M651" s="212">
        <f t="shared" si="43"/>
        <v>0</v>
      </c>
      <c r="N651" s="212">
        <f t="shared" si="43"/>
        <v>0</v>
      </c>
    </row>
    <row r="652" spans="1:14" s="235" customFormat="1" ht="12.75" x14ac:dyDescent="0.2">
      <c r="A652" s="152"/>
      <c r="B652" s="51"/>
      <c r="C652" s="51" t="s">
        <v>1011</v>
      </c>
      <c r="D652" s="220"/>
      <c r="E652" s="89"/>
      <c r="F652" s="89"/>
      <c r="G652" s="89"/>
      <c r="H652" s="89"/>
      <c r="I652" s="89"/>
      <c r="J652" s="89"/>
      <c r="K652" s="212">
        <f t="shared" si="43"/>
        <v>0</v>
      </c>
      <c r="L652" s="212">
        <f t="shared" si="43"/>
        <v>0</v>
      </c>
      <c r="M652" s="212">
        <f t="shared" si="43"/>
        <v>0</v>
      </c>
      <c r="N652" s="212">
        <f t="shared" si="43"/>
        <v>0</v>
      </c>
    </row>
    <row r="653" spans="1:14" s="235" customFormat="1" ht="12.75" x14ac:dyDescent="0.2">
      <c r="A653" s="152"/>
      <c r="B653" s="51"/>
      <c r="C653" s="51" t="s">
        <v>1010</v>
      </c>
      <c r="D653" s="220"/>
      <c r="E653" s="89"/>
      <c r="F653" s="89"/>
      <c r="G653" s="89"/>
      <c r="H653" s="89"/>
      <c r="I653" s="89"/>
      <c r="J653" s="89"/>
      <c r="K653" s="212">
        <f t="shared" si="43"/>
        <v>0</v>
      </c>
      <c r="L653" s="212">
        <f t="shared" si="43"/>
        <v>0</v>
      </c>
      <c r="M653" s="212">
        <f t="shared" si="43"/>
        <v>0</v>
      </c>
      <c r="N653" s="212">
        <f t="shared" si="43"/>
        <v>450</v>
      </c>
    </row>
    <row r="654" spans="1:14" s="235" customFormat="1" ht="12.75" x14ac:dyDescent="0.2">
      <c r="A654" s="152"/>
      <c r="B654" s="51"/>
      <c r="C654" s="51" t="s">
        <v>1013</v>
      </c>
      <c r="D654" s="220"/>
      <c r="E654" s="89"/>
      <c r="F654" s="89"/>
      <c r="G654" s="89"/>
      <c r="H654" s="89"/>
      <c r="I654" s="89"/>
      <c r="J654" s="89"/>
      <c r="K654" s="212">
        <f t="shared" si="43"/>
        <v>0</v>
      </c>
      <c r="L654" s="212">
        <f t="shared" si="43"/>
        <v>0</v>
      </c>
      <c r="M654" s="212">
        <f t="shared" si="43"/>
        <v>0</v>
      </c>
      <c r="N654" s="212">
        <f t="shared" si="43"/>
        <v>0</v>
      </c>
    </row>
    <row r="655" spans="1:14" s="235" customFormat="1" ht="12.75" x14ac:dyDescent="0.2">
      <c r="A655" s="152"/>
      <c r="B655" s="51"/>
      <c r="C655" s="51" t="s">
        <v>1012</v>
      </c>
      <c r="D655" s="220"/>
      <c r="E655" s="89"/>
      <c r="F655" s="89"/>
      <c r="G655" s="89"/>
      <c r="H655" s="89"/>
      <c r="I655" s="89"/>
      <c r="J655" s="89"/>
      <c r="K655" s="212">
        <f t="shared" ref="K655:N676" si="44">SUMIF($C$26:$C$212,$C655,K$26:K$212)</f>
        <v>0</v>
      </c>
      <c r="L655" s="212">
        <f t="shared" si="44"/>
        <v>0</v>
      </c>
      <c r="M655" s="212">
        <f t="shared" si="44"/>
        <v>0</v>
      </c>
      <c r="N655" s="212">
        <f t="shared" si="44"/>
        <v>0</v>
      </c>
    </row>
    <row r="656" spans="1:14" s="235" customFormat="1" ht="12.75" x14ac:dyDescent="0.2">
      <c r="A656" s="152"/>
      <c r="B656" s="51"/>
      <c r="C656" s="51" t="s">
        <v>1052</v>
      </c>
      <c r="D656" s="220"/>
      <c r="E656" s="89"/>
      <c r="F656" s="89"/>
      <c r="G656" s="89"/>
      <c r="H656" s="89"/>
      <c r="I656" s="89"/>
      <c r="J656" s="89"/>
      <c r="K656" s="212">
        <f t="shared" si="44"/>
        <v>0</v>
      </c>
      <c r="L656" s="212">
        <f t="shared" si="44"/>
        <v>0</v>
      </c>
      <c r="M656" s="212">
        <f t="shared" si="44"/>
        <v>0</v>
      </c>
      <c r="N656" s="212">
        <f t="shared" si="44"/>
        <v>0</v>
      </c>
    </row>
    <row r="657" spans="1:14" s="235" customFormat="1" ht="12.75" x14ac:dyDescent="0.2">
      <c r="A657" s="152"/>
      <c r="B657" s="51"/>
      <c r="C657" s="51" t="s">
        <v>1053</v>
      </c>
      <c r="D657" s="220"/>
      <c r="E657" s="89"/>
      <c r="F657" s="89"/>
      <c r="G657" s="89"/>
      <c r="H657" s="89"/>
      <c r="I657" s="89"/>
      <c r="J657" s="89"/>
      <c r="K657" s="212">
        <f t="shared" si="44"/>
        <v>0</v>
      </c>
      <c r="L657" s="212">
        <f t="shared" si="44"/>
        <v>0</v>
      </c>
      <c r="M657" s="212">
        <f t="shared" si="44"/>
        <v>0</v>
      </c>
      <c r="N657" s="212">
        <f t="shared" si="44"/>
        <v>450</v>
      </c>
    </row>
    <row r="658" spans="1:14" s="235" customFormat="1" ht="12.75" x14ac:dyDescent="0.2">
      <c r="A658" s="152"/>
      <c r="B658" s="51"/>
      <c r="C658" s="51" t="s">
        <v>984</v>
      </c>
      <c r="D658" s="220"/>
      <c r="E658" s="89"/>
      <c r="F658" s="89"/>
      <c r="G658" s="89"/>
      <c r="H658" s="89"/>
      <c r="I658" s="89"/>
      <c r="J658" s="89"/>
      <c r="K658" s="212">
        <f t="shared" si="44"/>
        <v>0</v>
      </c>
      <c r="L658" s="212">
        <f t="shared" si="44"/>
        <v>0</v>
      </c>
      <c r="M658" s="212">
        <f t="shared" si="44"/>
        <v>0</v>
      </c>
      <c r="N658" s="212">
        <f t="shared" si="44"/>
        <v>0</v>
      </c>
    </row>
    <row r="659" spans="1:14" s="235" customFormat="1" ht="12.75" x14ac:dyDescent="0.2">
      <c r="A659" s="152"/>
      <c r="B659" s="51"/>
      <c r="C659" s="51" t="s">
        <v>985</v>
      </c>
      <c r="D659" s="220"/>
      <c r="E659" s="89"/>
      <c r="F659" s="89"/>
      <c r="G659" s="89"/>
      <c r="H659" s="89"/>
      <c r="I659" s="89"/>
      <c r="J659" s="89"/>
      <c r="K659" s="212">
        <f t="shared" si="44"/>
        <v>0</v>
      </c>
      <c r="L659" s="212">
        <f t="shared" si="44"/>
        <v>0</v>
      </c>
      <c r="M659" s="212">
        <f t="shared" si="44"/>
        <v>0</v>
      </c>
      <c r="N659" s="212">
        <f t="shared" si="44"/>
        <v>450</v>
      </c>
    </row>
    <row r="660" spans="1:14" s="235" customFormat="1" ht="12.75" x14ac:dyDescent="0.2">
      <c r="A660" s="152"/>
      <c r="B660" s="51"/>
      <c r="C660" s="51" t="s">
        <v>1005</v>
      </c>
      <c r="D660" s="220"/>
      <c r="E660" s="89"/>
      <c r="F660" s="89"/>
      <c r="G660" s="89"/>
      <c r="H660" s="89"/>
      <c r="I660" s="89"/>
      <c r="J660" s="89"/>
      <c r="K660" s="212">
        <f t="shared" si="44"/>
        <v>0</v>
      </c>
      <c r="L660" s="212">
        <f t="shared" si="44"/>
        <v>0</v>
      </c>
      <c r="M660" s="212">
        <f t="shared" si="44"/>
        <v>0</v>
      </c>
      <c r="N660" s="212">
        <f t="shared" si="44"/>
        <v>0</v>
      </c>
    </row>
    <row r="661" spans="1:14" s="235" customFormat="1" ht="12.75" x14ac:dyDescent="0.2">
      <c r="A661" s="152"/>
      <c r="B661" s="51"/>
      <c r="C661" s="51" t="s">
        <v>1004</v>
      </c>
      <c r="D661" s="220"/>
      <c r="E661" s="89"/>
      <c r="F661" s="89"/>
      <c r="G661" s="89"/>
      <c r="H661" s="89"/>
      <c r="I661" s="89"/>
      <c r="J661" s="89"/>
      <c r="K661" s="212">
        <f t="shared" si="44"/>
        <v>0</v>
      </c>
      <c r="L661" s="212">
        <f t="shared" si="44"/>
        <v>0</v>
      </c>
      <c r="M661" s="212">
        <f t="shared" si="44"/>
        <v>0</v>
      </c>
      <c r="N661" s="212">
        <f t="shared" si="44"/>
        <v>0</v>
      </c>
    </row>
    <row r="662" spans="1:14" s="235" customFormat="1" ht="12.75" x14ac:dyDescent="0.2">
      <c r="A662" s="152"/>
      <c r="B662" s="51"/>
      <c r="C662" s="51" t="s">
        <v>1008</v>
      </c>
      <c r="D662" s="220"/>
      <c r="E662" s="89"/>
      <c r="F662" s="89"/>
      <c r="G662" s="89"/>
      <c r="H662" s="89"/>
      <c r="I662" s="89"/>
      <c r="J662" s="89"/>
      <c r="K662" s="212">
        <f t="shared" si="44"/>
        <v>0</v>
      </c>
      <c r="L662" s="212">
        <f t="shared" si="44"/>
        <v>0</v>
      </c>
      <c r="M662" s="212">
        <f t="shared" si="44"/>
        <v>0</v>
      </c>
      <c r="N662" s="212">
        <f t="shared" si="44"/>
        <v>0</v>
      </c>
    </row>
    <row r="663" spans="1:14" s="235" customFormat="1" ht="12.75" x14ac:dyDescent="0.2">
      <c r="A663" s="152"/>
      <c r="B663" s="51"/>
      <c r="C663" s="51" t="s">
        <v>1006</v>
      </c>
      <c r="D663" s="220"/>
      <c r="E663" s="89"/>
      <c r="F663" s="89"/>
      <c r="G663" s="89"/>
      <c r="H663" s="89"/>
      <c r="I663" s="89"/>
      <c r="J663" s="89"/>
      <c r="K663" s="212">
        <f t="shared" si="44"/>
        <v>0</v>
      </c>
      <c r="L663" s="212">
        <f t="shared" si="44"/>
        <v>0</v>
      </c>
      <c r="M663" s="212">
        <f t="shared" si="44"/>
        <v>0</v>
      </c>
      <c r="N663" s="212">
        <f t="shared" si="44"/>
        <v>0</v>
      </c>
    </row>
    <row r="664" spans="1:14" s="235" customFormat="1" ht="12.75" x14ac:dyDescent="0.2">
      <c r="A664" s="152"/>
      <c r="B664" s="51"/>
      <c r="C664" s="51" t="s">
        <v>1034</v>
      </c>
      <c r="D664" s="220"/>
      <c r="E664" s="89"/>
      <c r="F664" s="89"/>
      <c r="G664" s="89"/>
      <c r="H664" s="89"/>
      <c r="I664" s="89"/>
      <c r="J664" s="89"/>
      <c r="K664" s="212">
        <f t="shared" si="44"/>
        <v>0</v>
      </c>
      <c r="L664" s="212">
        <f t="shared" si="44"/>
        <v>0</v>
      </c>
      <c r="M664" s="212">
        <f t="shared" si="44"/>
        <v>0</v>
      </c>
      <c r="N664" s="212">
        <f t="shared" si="44"/>
        <v>0</v>
      </c>
    </row>
    <row r="665" spans="1:14" s="235" customFormat="1" ht="12.75" x14ac:dyDescent="0.2">
      <c r="A665" s="152"/>
      <c r="B665" s="51"/>
      <c r="C665" s="51" t="s">
        <v>1035</v>
      </c>
      <c r="D665" s="220"/>
      <c r="E665" s="89"/>
      <c r="F665" s="89"/>
      <c r="G665" s="89"/>
      <c r="H665" s="89"/>
      <c r="I665" s="89"/>
      <c r="J665" s="89"/>
      <c r="K665" s="212">
        <f t="shared" si="44"/>
        <v>0</v>
      </c>
      <c r="L665" s="212">
        <f t="shared" si="44"/>
        <v>0</v>
      </c>
      <c r="M665" s="212">
        <f t="shared" si="44"/>
        <v>0</v>
      </c>
      <c r="N665" s="212">
        <f t="shared" si="44"/>
        <v>0</v>
      </c>
    </row>
    <row r="666" spans="1:14" s="235" customFormat="1" ht="12.75" x14ac:dyDescent="0.2">
      <c r="A666" s="152"/>
      <c r="B666" s="51"/>
      <c r="C666" s="51" t="s">
        <v>922</v>
      </c>
      <c r="D666" s="220"/>
      <c r="E666" s="89"/>
      <c r="F666" s="89"/>
      <c r="G666" s="89"/>
      <c r="H666" s="89"/>
      <c r="I666" s="89"/>
      <c r="J666" s="89"/>
      <c r="K666" s="212">
        <f t="shared" si="44"/>
        <v>0</v>
      </c>
      <c r="L666" s="212">
        <f t="shared" si="44"/>
        <v>0</v>
      </c>
      <c r="M666" s="212">
        <f t="shared" si="44"/>
        <v>0</v>
      </c>
      <c r="N666" s="212">
        <f t="shared" si="44"/>
        <v>0</v>
      </c>
    </row>
    <row r="667" spans="1:14" s="235" customFormat="1" ht="12.75" x14ac:dyDescent="0.2">
      <c r="A667" s="152"/>
      <c r="B667" s="51"/>
      <c r="C667" s="51" t="s">
        <v>942</v>
      </c>
      <c r="D667" s="220"/>
      <c r="E667" s="89"/>
      <c r="F667" s="89"/>
      <c r="G667" s="89"/>
      <c r="H667" s="89"/>
      <c r="I667" s="89"/>
      <c r="J667" s="89"/>
      <c r="K667" s="212">
        <f t="shared" si="44"/>
        <v>0</v>
      </c>
      <c r="L667" s="212">
        <f t="shared" si="44"/>
        <v>0</v>
      </c>
      <c r="M667" s="212">
        <f t="shared" si="44"/>
        <v>0</v>
      </c>
      <c r="N667" s="212">
        <f t="shared" si="44"/>
        <v>0</v>
      </c>
    </row>
    <row r="668" spans="1:14" s="235" customFormat="1" ht="12.75" x14ac:dyDescent="0.2">
      <c r="A668" s="152"/>
      <c r="B668" s="51"/>
      <c r="C668" s="51" t="s">
        <v>943</v>
      </c>
      <c r="D668" s="220"/>
      <c r="E668" s="89"/>
      <c r="F668" s="89"/>
      <c r="G668" s="89"/>
      <c r="H668" s="89"/>
      <c r="I668" s="89"/>
      <c r="J668" s="89"/>
      <c r="K668" s="212">
        <f t="shared" si="44"/>
        <v>0</v>
      </c>
      <c r="L668" s="212">
        <f t="shared" si="44"/>
        <v>0</v>
      </c>
      <c r="M668" s="212">
        <f t="shared" si="44"/>
        <v>0</v>
      </c>
      <c r="N668" s="212">
        <f t="shared" si="44"/>
        <v>4000</v>
      </c>
    </row>
    <row r="669" spans="1:14" s="235" customFormat="1" ht="12.75" x14ac:dyDescent="0.2">
      <c r="A669" s="152"/>
      <c r="B669" s="51"/>
      <c r="C669" s="51" t="s">
        <v>938</v>
      </c>
      <c r="D669" s="220"/>
      <c r="E669" s="89"/>
      <c r="F669" s="89"/>
      <c r="G669" s="89"/>
      <c r="H669" s="89"/>
      <c r="I669" s="89"/>
      <c r="J669" s="89"/>
      <c r="K669" s="212">
        <f t="shared" si="44"/>
        <v>0</v>
      </c>
      <c r="L669" s="212">
        <f t="shared" si="44"/>
        <v>0</v>
      </c>
      <c r="M669" s="212">
        <f t="shared" si="44"/>
        <v>0</v>
      </c>
      <c r="N669" s="212">
        <f t="shared" si="44"/>
        <v>0</v>
      </c>
    </row>
    <row r="670" spans="1:14" s="235" customFormat="1" ht="12.75" x14ac:dyDescent="0.2">
      <c r="A670" s="152"/>
      <c r="B670" s="51"/>
      <c r="C670" s="51" t="s">
        <v>1602</v>
      </c>
      <c r="D670" s="220"/>
      <c r="E670" s="89"/>
      <c r="F670" s="89"/>
      <c r="G670" s="89"/>
      <c r="H670" s="89"/>
      <c r="I670" s="89"/>
      <c r="J670" s="89"/>
      <c r="K670" s="212">
        <f t="shared" si="44"/>
        <v>0</v>
      </c>
      <c r="L670" s="212">
        <f t="shared" si="44"/>
        <v>0</v>
      </c>
      <c r="M670" s="212">
        <f t="shared" si="44"/>
        <v>0</v>
      </c>
      <c r="N670" s="212">
        <f t="shared" si="44"/>
        <v>8793.01</v>
      </c>
    </row>
    <row r="671" spans="1:14" s="235" customFormat="1" ht="12.75" x14ac:dyDescent="0.2">
      <c r="A671" s="152"/>
      <c r="B671" s="51"/>
      <c r="C671" s="51" t="s">
        <v>934</v>
      </c>
      <c r="D671" s="220"/>
      <c r="E671" s="89"/>
      <c r="F671" s="89"/>
      <c r="G671" s="89"/>
      <c r="H671" s="89"/>
      <c r="I671" s="89"/>
      <c r="J671" s="89"/>
      <c r="K671" s="212">
        <f t="shared" si="44"/>
        <v>0</v>
      </c>
      <c r="L671" s="212">
        <f t="shared" si="44"/>
        <v>0</v>
      </c>
      <c r="M671" s="212">
        <f t="shared" si="44"/>
        <v>0</v>
      </c>
      <c r="N671" s="212">
        <f t="shared" si="44"/>
        <v>0</v>
      </c>
    </row>
    <row r="672" spans="1:14" s="235" customFormat="1" ht="12.75" x14ac:dyDescent="0.2">
      <c r="A672" s="152"/>
      <c r="B672" s="51"/>
      <c r="C672" s="51" t="s">
        <v>935</v>
      </c>
      <c r="D672" s="220"/>
      <c r="E672" s="89"/>
      <c r="F672" s="89"/>
      <c r="G672" s="89"/>
      <c r="H672" s="89"/>
      <c r="I672" s="89"/>
      <c r="J672" s="89"/>
      <c r="K672" s="212">
        <f t="shared" si="44"/>
        <v>0</v>
      </c>
      <c r="L672" s="212">
        <f t="shared" si="44"/>
        <v>0</v>
      </c>
      <c r="M672" s="212">
        <f t="shared" si="44"/>
        <v>0</v>
      </c>
      <c r="N672" s="212">
        <f t="shared" si="44"/>
        <v>11090.01</v>
      </c>
    </row>
    <row r="673" spans="1:14" s="407" customFormat="1" ht="12.75" x14ac:dyDescent="0.2">
      <c r="A673" s="152"/>
      <c r="B673" s="51"/>
      <c r="C673" s="51" t="s">
        <v>1663</v>
      </c>
      <c r="D673" s="220"/>
      <c r="E673" s="89"/>
      <c r="F673" s="89"/>
      <c r="G673" s="89"/>
      <c r="H673" s="89"/>
      <c r="I673" s="89"/>
      <c r="J673" s="89"/>
      <c r="K673" s="212"/>
      <c r="L673" s="212"/>
      <c r="M673" s="212"/>
      <c r="N673" s="212">
        <f t="shared" si="44"/>
        <v>0</v>
      </c>
    </row>
    <row r="674" spans="1:14" s="407" customFormat="1" ht="12.75" x14ac:dyDescent="0.2">
      <c r="A674" s="152"/>
      <c r="B674" s="51"/>
      <c r="C674" s="51" t="s">
        <v>1661</v>
      </c>
      <c r="D674" s="220"/>
      <c r="E674" s="89"/>
      <c r="F674" s="89"/>
      <c r="G674" s="89"/>
      <c r="H674" s="89"/>
      <c r="I674" s="89"/>
      <c r="J674" s="89"/>
      <c r="K674" s="212"/>
      <c r="L674" s="212"/>
      <c r="M674" s="212"/>
      <c r="N674" s="212">
        <f t="shared" si="44"/>
        <v>18288</v>
      </c>
    </row>
    <row r="675" spans="1:14" s="235" customFormat="1" ht="12.75" x14ac:dyDescent="0.2">
      <c r="A675" s="152"/>
      <c r="B675" s="51"/>
      <c r="C675" s="51" t="s">
        <v>953</v>
      </c>
      <c r="D675" s="220"/>
      <c r="E675" s="89"/>
      <c r="F675" s="89"/>
      <c r="G675" s="89"/>
      <c r="H675" s="89"/>
      <c r="I675" s="89"/>
      <c r="J675" s="89"/>
      <c r="K675" s="212">
        <f t="shared" si="44"/>
        <v>0</v>
      </c>
      <c r="L675" s="212">
        <f t="shared" si="44"/>
        <v>0</v>
      </c>
      <c r="M675" s="212">
        <f t="shared" si="44"/>
        <v>0</v>
      </c>
      <c r="N675" s="212">
        <f t="shared" si="44"/>
        <v>0</v>
      </c>
    </row>
    <row r="676" spans="1:14" s="235" customFormat="1" ht="12.75" x14ac:dyDescent="0.2">
      <c r="A676" s="152"/>
      <c r="B676" s="51"/>
      <c r="C676" s="51" t="s">
        <v>924</v>
      </c>
      <c r="D676" s="220"/>
      <c r="E676" s="89"/>
      <c r="F676" s="89"/>
      <c r="G676" s="89"/>
      <c r="H676" s="89"/>
      <c r="I676" s="89"/>
      <c r="J676" s="89"/>
      <c r="K676" s="212">
        <f t="shared" si="44"/>
        <v>0</v>
      </c>
      <c r="L676" s="212">
        <f t="shared" si="44"/>
        <v>0</v>
      </c>
      <c r="M676" s="212">
        <f t="shared" si="44"/>
        <v>0</v>
      </c>
      <c r="N676" s="212">
        <f t="shared" si="44"/>
        <v>0</v>
      </c>
    </row>
    <row r="677" spans="1:14" s="235" customFormat="1" ht="12.75" x14ac:dyDescent="0.2">
      <c r="A677" s="152"/>
      <c r="B677" s="51"/>
      <c r="C677" s="51" t="s">
        <v>927</v>
      </c>
      <c r="D677" s="220"/>
      <c r="E677" s="89"/>
      <c r="F677" s="89"/>
      <c r="G677" s="89"/>
      <c r="H677" s="89"/>
      <c r="I677" s="89"/>
      <c r="J677" s="89"/>
      <c r="K677" s="212">
        <f t="shared" ref="K677:N697" si="45">SUMIF($C$26:$C$212,$C677,K$26:K$212)</f>
        <v>0</v>
      </c>
      <c r="L677" s="212">
        <f t="shared" si="45"/>
        <v>0</v>
      </c>
      <c r="M677" s="212">
        <f t="shared" si="45"/>
        <v>0</v>
      </c>
      <c r="N677" s="212">
        <f t="shared" si="45"/>
        <v>0</v>
      </c>
    </row>
    <row r="678" spans="1:14" s="235" customFormat="1" ht="12.75" x14ac:dyDescent="0.2">
      <c r="A678" s="152"/>
      <c r="B678" s="51"/>
      <c r="C678" s="51" t="s">
        <v>951</v>
      </c>
      <c r="D678" s="220"/>
      <c r="E678" s="89"/>
      <c r="F678" s="89"/>
      <c r="G678" s="89"/>
      <c r="H678" s="89"/>
      <c r="I678" s="89"/>
      <c r="J678" s="89"/>
      <c r="K678" s="212">
        <f t="shared" si="45"/>
        <v>0</v>
      </c>
      <c r="L678" s="212">
        <f t="shared" si="45"/>
        <v>0</v>
      </c>
      <c r="M678" s="212">
        <f t="shared" si="45"/>
        <v>0</v>
      </c>
      <c r="N678" s="212">
        <f t="shared" si="45"/>
        <v>618</v>
      </c>
    </row>
    <row r="679" spans="1:14" s="235" customFormat="1" ht="12.75" x14ac:dyDescent="0.2">
      <c r="A679" s="152"/>
      <c r="B679" s="51"/>
      <c r="C679" s="51" t="s">
        <v>1055</v>
      </c>
      <c r="D679" s="220"/>
      <c r="E679" s="89"/>
      <c r="F679" s="89"/>
      <c r="G679" s="89"/>
      <c r="H679" s="89"/>
      <c r="I679" s="89"/>
      <c r="J679" s="89"/>
      <c r="K679" s="212">
        <f t="shared" si="45"/>
        <v>0</v>
      </c>
      <c r="L679" s="212">
        <f t="shared" si="45"/>
        <v>0</v>
      </c>
      <c r="M679" s="212">
        <f t="shared" si="45"/>
        <v>0</v>
      </c>
      <c r="N679" s="212">
        <f t="shared" si="45"/>
        <v>0</v>
      </c>
    </row>
    <row r="680" spans="1:14" s="407" customFormat="1" ht="12.75" x14ac:dyDescent="0.2">
      <c r="A680" s="152"/>
      <c r="B680" s="51"/>
      <c r="C680" s="51" t="s">
        <v>1474</v>
      </c>
      <c r="D680" s="220"/>
      <c r="E680" s="89"/>
      <c r="F680" s="89"/>
      <c r="G680" s="89"/>
      <c r="H680" s="89"/>
      <c r="I680" s="89"/>
      <c r="J680" s="89"/>
      <c r="K680" s="212"/>
      <c r="L680" s="212"/>
      <c r="M680" s="212"/>
      <c r="N680" s="212">
        <f t="shared" si="45"/>
        <v>0</v>
      </c>
    </row>
    <row r="681" spans="1:14" s="284" customFormat="1" ht="12.75" x14ac:dyDescent="0.2">
      <c r="A681" s="152"/>
      <c r="B681" s="51"/>
      <c r="C681" s="51" t="s">
        <v>940</v>
      </c>
      <c r="D681" s="220"/>
      <c r="E681" s="89"/>
      <c r="F681" s="89"/>
      <c r="G681" s="89"/>
      <c r="H681" s="89"/>
      <c r="I681" s="89"/>
      <c r="J681" s="89"/>
      <c r="K681" s="212">
        <f t="shared" si="45"/>
        <v>0</v>
      </c>
      <c r="L681" s="212">
        <f t="shared" si="45"/>
        <v>0</v>
      </c>
      <c r="M681" s="212">
        <f t="shared" si="45"/>
        <v>0</v>
      </c>
      <c r="N681" s="212">
        <f t="shared" si="45"/>
        <v>0</v>
      </c>
    </row>
    <row r="682" spans="1:14" s="235" customFormat="1" ht="12.75" x14ac:dyDescent="0.2">
      <c r="A682" s="152"/>
      <c r="B682" s="51"/>
      <c r="C682" s="51" t="s">
        <v>941</v>
      </c>
      <c r="D682" s="220"/>
      <c r="E682" s="89"/>
      <c r="F682" s="89"/>
      <c r="G682" s="89"/>
      <c r="H682" s="89"/>
      <c r="I682" s="89"/>
      <c r="J682" s="89"/>
      <c r="K682" s="212">
        <f t="shared" si="45"/>
        <v>0</v>
      </c>
      <c r="L682" s="212">
        <f t="shared" si="45"/>
        <v>0</v>
      </c>
      <c r="M682" s="212">
        <f t="shared" si="45"/>
        <v>0</v>
      </c>
      <c r="N682" s="212">
        <f t="shared" si="45"/>
        <v>4000</v>
      </c>
    </row>
    <row r="683" spans="1:14" s="235" customFormat="1" ht="12.75" x14ac:dyDescent="0.2">
      <c r="A683" s="152"/>
      <c r="B683" s="51"/>
      <c r="C683" s="51" t="s">
        <v>936</v>
      </c>
      <c r="D683" s="220"/>
      <c r="E683" s="89"/>
      <c r="F683" s="89"/>
      <c r="G683" s="89"/>
      <c r="H683" s="89"/>
      <c r="I683" s="89"/>
      <c r="J683" s="89"/>
      <c r="K683" s="212">
        <f t="shared" si="45"/>
        <v>0</v>
      </c>
      <c r="L683" s="212">
        <f t="shared" si="45"/>
        <v>0</v>
      </c>
      <c r="M683" s="212">
        <f t="shared" si="45"/>
        <v>0</v>
      </c>
      <c r="N683" s="212">
        <f t="shared" si="45"/>
        <v>0</v>
      </c>
    </row>
    <row r="684" spans="1:14" s="235" customFormat="1" ht="12.75" x14ac:dyDescent="0.2">
      <c r="A684" s="152"/>
      <c r="B684" s="51"/>
      <c r="C684" s="51" t="s">
        <v>1603</v>
      </c>
      <c r="D684" s="220"/>
      <c r="E684" s="89"/>
      <c r="F684" s="89"/>
      <c r="G684" s="89"/>
      <c r="H684" s="89"/>
      <c r="I684" s="89"/>
      <c r="J684" s="89"/>
      <c r="K684" s="212">
        <f t="shared" si="45"/>
        <v>0</v>
      </c>
      <c r="L684" s="212">
        <f t="shared" si="45"/>
        <v>0</v>
      </c>
      <c r="M684" s="212">
        <f t="shared" si="45"/>
        <v>0</v>
      </c>
      <c r="N684" s="212">
        <f t="shared" si="45"/>
        <v>450</v>
      </c>
    </row>
    <row r="685" spans="1:14" s="235" customFormat="1" ht="12.75" x14ac:dyDescent="0.2">
      <c r="A685" s="152"/>
      <c r="B685" s="51"/>
      <c r="C685" s="51" t="s">
        <v>932</v>
      </c>
      <c r="D685" s="220"/>
      <c r="E685" s="89"/>
      <c r="F685" s="89"/>
      <c r="G685" s="89"/>
      <c r="H685" s="89"/>
      <c r="I685" s="89"/>
      <c r="J685" s="89"/>
      <c r="K685" s="212">
        <f t="shared" si="45"/>
        <v>0</v>
      </c>
      <c r="L685" s="212">
        <f t="shared" si="45"/>
        <v>0</v>
      </c>
      <c r="M685" s="212">
        <f t="shared" si="45"/>
        <v>0</v>
      </c>
      <c r="N685" s="212">
        <f t="shared" si="45"/>
        <v>0</v>
      </c>
    </row>
    <row r="686" spans="1:14" s="235" customFormat="1" ht="12.75" x14ac:dyDescent="0.2">
      <c r="A686" s="152"/>
      <c r="B686" s="51"/>
      <c r="C686" s="51" t="s">
        <v>933</v>
      </c>
      <c r="D686" s="220"/>
      <c r="E686" s="89"/>
      <c r="F686" s="89"/>
      <c r="G686" s="89"/>
      <c r="H686" s="89"/>
      <c r="I686" s="89"/>
      <c r="J686" s="89"/>
      <c r="K686" s="212">
        <f t="shared" si="45"/>
        <v>0</v>
      </c>
      <c r="L686" s="212">
        <f t="shared" si="45"/>
        <v>0</v>
      </c>
      <c r="M686" s="212">
        <f t="shared" si="45"/>
        <v>0</v>
      </c>
      <c r="N686" s="212">
        <f t="shared" si="45"/>
        <v>13090.01</v>
      </c>
    </row>
    <row r="687" spans="1:14" s="235" customFormat="1" ht="12.75" x14ac:dyDescent="0.2">
      <c r="A687" s="152"/>
      <c r="B687" s="51"/>
      <c r="C687" s="51" t="s">
        <v>952</v>
      </c>
      <c r="D687" s="220"/>
      <c r="E687" s="89"/>
      <c r="F687" s="89"/>
      <c r="G687" s="89"/>
      <c r="H687" s="89"/>
      <c r="I687" s="89"/>
      <c r="J687" s="89"/>
      <c r="K687" s="212">
        <f t="shared" si="45"/>
        <v>0</v>
      </c>
      <c r="L687" s="212">
        <f t="shared" si="45"/>
        <v>0</v>
      </c>
      <c r="M687" s="212">
        <f t="shared" si="45"/>
        <v>0</v>
      </c>
      <c r="N687" s="212">
        <f t="shared" si="45"/>
        <v>0</v>
      </c>
    </row>
    <row r="688" spans="1:14" s="284" customFormat="1" ht="12.75" x14ac:dyDescent="0.2">
      <c r="A688" s="152"/>
      <c r="B688" s="51"/>
      <c r="C688" s="51" t="s">
        <v>923</v>
      </c>
      <c r="D688" s="220"/>
      <c r="E688" s="89"/>
      <c r="F688" s="89"/>
      <c r="G688" s="89"/>
      <c r="H688" s="89"/>
      <c r="I688" s="89"/>
      <c r="J688" s="89"/>
      <c r="K688" s="212">
        <f t="shared" si="45"/>
        <v>0</v>
      </c>
      <c r="L688" s="212">
        <f t="shared" si="45"/>
        <v>0</v>
      </c>
      <c r="M688" s="212">
        <f t="shared" si="45"/>
        <v>0</v>
      </c>
      <c r="N688" s="212">
        <f t="shared" si="45"/>
        <v>0</v>
      </c>
    </row>
    <row r="689" spans="1:14" s="235" customFormat="1" ht="12.75" x14ac:dyDescent="0.2">
      <c r="A689" s="152"/>
      <c r="B689" s="51"/>
      <c r="C689" s="51" t="s">
        <v>925</v>
      </c>
      <c r="D689" s="220"/>
      <c r="E689" s="89"/>
      <c r="F689" s="89"/>
      <c r="G689" s="89"/>
      <c r="H689" s="89"/>
      <c r="I689" s="89"/>
      <c r="J689" s="89"/>
      <c r="K689" s="212">
        <f t="shared" si="45"/>
        <v>0</v>
      </c>
      <c r="L689" s="212">
        <f t="shared" si="45"/>
        <v>0</v>
      </c>
      <c r="M689" s="212">
        <f t="shared" si="45"/>
        <v>0</v>
      </c>
      <c r="N689" s="212">
        <f t="shared" si="45"/>
        <v>0</v>
      </c>
    </row>
    <row r="690" spans="1:14" s="235" customFormat="1" ht="12.75" x14ac:dyDescent="0.2">
      <c r="A690" s="152"/>
      <c r="B690" s="51"/>
      <c r="C690" s="51" t="s">
        <v>950</v>
      </c>
      <c r="D690" s="220"/>
      <c r="E690" s="89"/>
      <c r="F690" s="89"/>
      <c r="G690" s="89"/>
      <c r="H690" s="89"/>
      <c r="I690" s="89"/>
      <c r="J690" s="89"/>
      <c r="K690" s="212">
        <f t="shared" si="45"/>
        <v>0</v>
      </c>
      <c r="L690" s="212">
        <f t="shared" si="45"/>
        <v>0</v>
      </c>
      <c r="M690" s="212">
        <f t="shared" si="45"/>
        <v>0</v>
      </c>
      <c r="N690" s="212">
        <f t="shared" si="45"/>
        <v>0</v>
      </c>
    </row>
    <row r="691" spans="1:14" s="235" customFormat="1" ht="12.75" x14ac:dyDescent="0.2">
      <c r="A691" s="152"/>
      <c r="B691" s="51"/>
      <c r="C691" s="51" t="s">
        <v>1054</v>
      </c>
      <c r="D691" s="220"/>
      <c r="E691" s="89"/>
      <c r="F691" s="89"/>
      <c r="G691" s="89"/>
      <c r="H691" s="89"/>
      <c r="I691" s="89"/>
      <c r="J691" s="89"/>
      <c r="K691" s="212">
        <f t="shared" si="45"/>
        <v>0</v>
      </c>
      <c r="L691" s="212">
        <f t="shared" si="45"/>
        <v>0</v>
      </c>
      <c r="M691" s="212">
        <f t="shared" si="45"/>
        <v>0</v>
      </c>
      <c r="N691" s="212">
        <f t="shared" si="45"/>
        <v>0</v>
      </c>
    </row>
    <row r="692" spans="1:14" s="235" customFormat="1" ht="12.75" x14ac:dyDescent="0.2">
      <c r="A692" s="152"/>
      <c r="B692" s="51"/>
      <c r="C692" s="51" t="s">
        <v>921</v>
      </c>
      <c r="D692" s="220"/>
      <c r="E692" s="89"/>
      <c r="F692" s="89"/>
      <c r="G692" s="89"/>
      <c r="H692" s="89"/>
      <c r="I692" s="89"/>
      <c r="J692" s="89"/>
      <c r="K692" s="212">
        <f t="shared" si="45"/>
        <v>0</v>
      </c>
      <c r="L692" s="212">
        <f t="shared" si="45"/>
        <v>0</v>
      </c>
      <c r="M692" s="212">
        <f t="shared" si="45"/>
        <v>0</v>
      </c>
      <c r="N692" s="212">
        <f t="shared" si="45"/>
        <v>0</v>
      </c>
    </row>
    <row r="693" spans="1:14" s="235" customFormat="1" ht="12.75" x14ac:dyDescent="0.2">
      <c r="A693" s="152"/>
      <c r="B693" s="51"/>
      <c r="C693" s="51" t="s">
        <v>1022</v>
      </c>
      <c r="D693" s="220"/>
      <c r="E693" s="89"/>
      <c r="F693" s="89"/>
      <c r="G693" s="89"/>
      <c r="H693" s="89"/>
      <c r="I693" s="89"/>
      <c r="J693" s="89"/>
      <c r="K693" s="212">
        <f t="shared" si="45"/>
        <v>0</v>
      </c>
      <c r="L693" s="212">
        <f t="shared" si="45"/>
        <v>0</v>
      </c>
      <c r="M693" s="212">
        <f t="shared" si="45"/>
        <v>0</v>
      </c>
      <c r="N693" s="212">
        <f t="shared" si="45"/>
        <v>0</v>
      </c>
    </row>
    <row r="694" spans="1:14" s="235" customFormat="1" ht="12.75" x14ac:dyDescent="0.2">
      <c r="A694" s="152"/>
      <c r="B694" s="51"/>
      <c r="C694" s="51" t="s">
        <v>1023</v>
      </c>
      <c r="D694" s="220"/>
      <c r="E694" s="89"/>
      <c r="F694" s="89"/>
      <c r="G694" s="89"/>
      <c r="H694" s="89"/>
      <c r="I694" s="89"/>
      <c r="J694" s="89"/>
      <c r="K694" s="212">
        <f t="shared" si="45"/>
        <v>0</v>
      </c>
      <c r="L694" s="212">
        <f t="shared" si="45"/>
        <v>0</v>
      </c>
      <c r="M694" s="212">
        <f t="shared" si="45"/>
        <v>0</v>
      </c>
      <c r="N694" s="212">
        <f t="shared" si="45"/>
        <v>0</v>
      </c>
    </row>
    <row r="695" spans="1:14" s="235" customFormat="1" ht="12.75" x14ac:dyDescent="0.2">
      <c r="A695" s="152"/>
      <c r="B695" s="51"/>
      <c r="C695" s="51" t="s">
        <v>137</v>
      </c>
      <c r="D695" s="220"/>
      <c r="E695" s="89"/>
      <c r="F695" s="89"/>
      <c r="G695" s="89"/>
      <c r="H695" s="89"/>
      <c r="I695" s="89"/>
      <c r="J695" s="89"/>
      <c r="K695" s="212">
        <f t="shared" si="45"/>
        <v>0</v>
      </c>
      <c r="L695" s="212">
        <f t="shared" si="45"/>
        <v>0</v>
      </c>
      <c r="M695" s="212">
        <f t="shared" si="45"/>
        <v>0</v>
      </c>
      <c r="N695" s="212">
        <f t="shared" si="45"/>
        <v>0</v>
      </c>
    </row>
    <row r="696" spans="1:14" s="235" customFormat="1" ht="12.75" x14ac:dyDescent="0.2">
      <c r="A696" s="152"/>
      <c r="B696" s="51"/>
      <c r="C696" s="51" t="s">
        <v>956</v>
      </c>
      <c r="D696" s="220"/>
      <c r="E696" s="89"/>
      <c r="F696" s="89"/>
      <c r="G696" s="89"/>
      <c r="H696" s="89"/>
      <c r="I696" s="89"/>
      <c r="J696" s="89"/>
      <c r="K696" s="212">
        <f t="shared" si="45"/>
        <v>0</v>
      </c>
      <c r="L696" s="212">
        <f t="shared" si="45"/>
        <v>0</v>
      </c>
      <c r="M696" s="212">
        <f t="shared" si="45"/>
        <v>0</v>
      </c>
      <c r="N696" s="212">
        <f t="shared" si="45"/>
        <v>0</v>
      </c>
    </row>
    <row r="697" spans="1:14" s="235" customFormat="1" ht="12.75" x14ac:dyDescent="0.2">
      <c r="A697" s="152"/>
      <c r="B697" s="51"/>
      <c r="C697" s="51" t="s">
        <v>1045</v>
      </c>
      <c r="D697" s="220"/>
      <c r="E697" s="89"/>
      <c r="F697" s="89"/>
      <c r="G697" s="89"/>
      <c r="H697" s="89"/>
      <c r="I697" s="89"/>
      <c r="J697" s="89"/>
      <c r="K697" s="212">
        <f t="shared" si="45"/>
        <v>0</v>
      </c>
      <c r="L697" s="212">
        <f t="shared" si="45"/>
        <v>0</v>
      </c>
      <c r="M697" s="212">
        <f t="shared" si="45"/>
        <v>0</v>
      </c>
      <c r="N697" s="212">
        <f t="shared" si="45"/>
        <v>0</v>
      </c>
    </row>
    <row r="698" spans="1:14" s="235" customFormat="1" ht="12.75" x14ac:dyDescent="0.2">
      <c r="A698" s="152"/>
      <c r="B698" s="51"/>
      <c r="C698" s="51" t="s">
        <v>1046</v>
      </c>
      <c r="D698" s="220"/>
      <c r="E698" s="89"/>
      <c r="F698" s="89"/>
      <c r="G698" s="89"/>
      <c r="H698" s="89"/>
      <c r="I698" s="89"/>
      <c r="J698" s="89"/>
      <c r="K698" s="212">
        <f t="shared" ref="K698:N717" si="46">SUMIF($C$26:$C$212,$C698,K$26:K$212)</f>
        <v>0</v>
      </c>
      <c r="L698" s="212">
        <f t="shared" si="46"/>
        <v>0</v>
      </c>
      <c r="M698" s="212">
        <f t="shared" si="46"/>
        <v>0</v>
      </c>
      <c r="N698" s="212">
        <f t="shared" si="46"/>
        <v>0</v>
      </c>
    </row>
    <row r="699" spans="1:14" s="235" customFormat="1" ht="12.75" x14ac:dyDescent="0.2">
      <c r="A699" s="152"/>
      <c r="B699" s="51"/>
      <c r="C699" s="51" t="s">
        <v>1036</v>
      </c>
      <c r="D699" s="220"/>
      <c r="E699" s="89"/>
      <c r="F699" s="89"/>
      <c r="G699" s="89"/>
      <c r="H699" s="89"/>
      <c r="I699" s="89"/>
      <c r="J699" s="89"/>
      <c r="K699" s="212">
        <f t="shared" si="46"/>
        <v>0</v>
      </c>
      <c r="L699" s="212">
        <f t="shared" si="46"/>
        <v>0</v>
      </c>
      <c r="M699" s="212">
        <f t="shared" si="46"/>
        <v>0</v>
      </c>
      <c r="N699" s="212">
        <f t="shared" si="46"/>
        <v>0</v>
      </c>
    </row>
    <row r="700" spans="1:14" s="235" customFormat="1" ht="12.75" x14ac:dyDescent="0.2">
      <c r="A700" s="152"/>
      <c r="B700" s="51"/>
      <c r="C700" s="51" t="s">
        <v>1037</v>
      </c>
      <c r="D700" s="220"/>
      <c r="E700" s="89"/>
      <c r="F700" s="89"/>
      <c r="G700" s="89"/>
      <c r="H700" s="89"/>
      <c r="I700" s="89"/>
      <c r="J700" s="89"/>
      <c r="K700" s="212">
        <f t="shared" si="46"/>
        <v>0</v>
      </c>
      <c r="L700" s="212">
        <f t="shared" si="46"/>
        <v>0</v>
      </c>
      <c r="M700" s="212">
        <f t="shared" si="46"/>
        <v>0</v>
      </c>
      <c r="N700" s="212">
        <f t="shared" si="46"/>
        <v>0</v>
      </c>
    </row>
    <row r="701" spans="1:14" s="407" customFormat="1" ht="12.75" x14ac:dyDescent="0.2">
      <c r="A701" s="152"/>
      <c r="B701" s="51"/>
      <c r="C701" s="51" t="s">
        <v>990</v>
      </c>
      <c r="D701" s="220"/>
      <c r="E701" s="89"/>
      <c r="F701" s="89"/>
      <c r="G701" s="89"/>
      <c r="H701" s="89"/>
      <c r="I701" s="89"/>
      <c r="J701" s="89"/>
      <c r="K701" s="212">
        <f t="shared" si="46"/>
        <v>0</v>
      </c>
      <c r="L701" s="212">
        <f t="shared" si="46"/>
        <v>0</v>
      </c>
      <c r="M701" s="212">
        <f t="shared" si="46"/>
        <v>0</v>
      </c>
      <c r="N701" s="212">
        <f t="shared" si="46"/>
        <v>0</v>
      </c>
    </row>
    <row r="702" spans="1:14" s="407" customFormat="1" ht="12.75" x14ac:dyDescent="0.2">
      <c r="A702" s="152"/>
      <c r="B702" s="51"/>
      <c r="C702" s="51" t="s">
        <v>1040</v>
      </c>
      <c r="D702" s="220"/>
      <c r="E702" s="89"/>
      <c r="F702" s="89"/>
      <c r="G702" s="89"/>
      <c r="H702" s="89"/>
      <c r="I702" s="89"/>
      <c r="J702" s="89"/>
      <c r="K702" s="212">
        <f t="shared" si="46"/>
        <v>0</v>
      </c>
      <c r="L702" s="212">
        <f t="shared" si="46"/>
        <v>0</v>
      </c>
      <c r="M702" s="212">
        <f t="shared" si="46"/>
        <v>0</v>
      </c>
      <c r="N702" s="212">
        <f t="shared" si="46"/>
        <v>0</v>
      </c>
    </row>
    <row r="703" spans="1:14" s="407" customFormat="1" ht="12.75" x14ac:dyDescent="0.2">
      <c r="A703" s="152"/>
      <c r="B703" s="51"/>
      <c r="C703" s="51" t="s">
        <v>991</v>
      </c>
      <c r="D703" s="220"/>
      <c r="E703" s="89"/>
      <c r="F703" s="89"/>
      <c r="G703" s="89"/>
      <c r="H703" s="89"/>
      <c r="I703" s="89"/>
      <c r="J703" s="89"/>
      <c r="K703" s="212">
        <f t="shared" si="46"/>
        <v>0</v>
      </c>
      <c r="L703" s="212">
        <f t="shared" si="46"/>
        <v>0</v>
      </c>
      <c r="M703" s="212">
        <f t="shared" si="46"/>
        <v>0</v>
      </c>
      <c r="N703" s="212">
        <f t="shared" si="46"/>
        <v>0</v>
      </c>
    </row>
    <row r="704" spans="1:14" s="407" customFormat="1" ht="12.75" x14ac:dyDescent="0.2">
      <c r="A704" s="152"/>
      <c r="B704" s="51"/>
      <c r="C704" s="51" t="s">
        <v>959</v>
      </c>
      <c r="D704" s="220"/>
      <c r="E704" s="89"/>
      <c r="F704" s="89"/>
      <c r="G704" s="89"/>
      <c r="H704" s="89"/>
      <c r="I704" s="89"/>
      <c r="J704" s="89"/>
      <c r="K704" s="212">
        <f t="shared" si="46"/>
        <v>0</v>
      </c>
      <c r="L704" s="212">
        <f t="shared" si="46"/>
        <v>0</v>
      </c>
      <c r="M704" s="212">
        <f t="shared" si="46"/>
        <v>0</v>
      </c>
      <c r="N704" s="212">
        <f t="shared" si="46"/>
        <v>0</v>
      </c>
    </row>
    <row r="705" spans="1:14" s="407" customFormat="1" ht="12.75" x14ac:dyDescent="0.2">
      <c r="A705" s="152"/>
      <c r="B705" s="51"/>
      <c r="C705" s="51" t="s">
        <v>964</v>
      </c>
      <c r="D705" s="220"/>
      <c r="E705" s="89"/>
      <c r="F705" s="89"/>
      <c r="G705" s="89"/>
      <c r="H705" s="89"/>
      <c r="I705" s="89"/>
      <c r="J705" s="89"/>
      <c r="K705" s="212">
        <f t="shared" si="46"/>
        <v>0</v>
      </c>
      <c r="L705" s="212">
        <f t="shared" si="46"/>
        <v>0</v>
      </c>
      <c r="M705" s="212">
        <f t="shared" si="46"/>
        <v>0</v>
      </c>
      <c r="N705" s="212">
        <f t="shared" si="46"/>
        <v>0</v>
      </c>
    </row>
    <row r="706" spans="1:14" s="407" customFormat="1" ht="12.75" x14ac:dyDescent="0.2">
      <c r="A706" s="152"/>
      <c r="B706" s="51"/>
      <c r="C706" s="51" t="s">
        <v>1003</v>
      </c>
      <c r="D706" s="220"/>
      <c r="E706" s="89"/>
      <c r="F706" s="89"/>
      <c r="G706" s="89"/>
      <c r="H706" s="89"/>
      <c r="I706" s="89"/>
      <c r="J706" s="89"/>
      <c r="K706" s="212">
        <f t="shared" si="46"/>
        <v>0</v>
      </c>
      <c r="L706" s="212">
        <f t="shared" si="46"/>
        <v>0</v>
      </c>
      <c r="M706" s="212">
        <f t="shared" si="46"/>
        <v>0</v>
      </c>
      <c r="N706" s="212">
        <f t="shared" si="46"/>
        <v>0</v>
      </c>
    </row>
    <row r="707" spans="1:14" s="407" customFormat="1" ht="12.75" x14ac:dyDescent="0.2">
      <c r="A707" s="152"/>
      <c r="B707" s="51"/>
      <c r="C707" s="51" t="s">
        <v>992</v>
      </c>
      <c r="D707" s="220"/>
      <c r="E707" s="89"/>
      <c r="F707" s="89"/>
      <c r="G707" s="89"/>
      <c r="H707" s="89"/>
      <c r="I707" s="89"/>
      <c r="J707" s="89"/>
      <c r="K707" s="212">
        <f t="shared" si="46"/>
        <v>0</v>
      </c>
      <c r="L707" s="212">
        <f t="shared" si="46"/>
        <v>0</v>
      </c>
      <c r="M707" s="212">
        <f t="shared" si="46"/>
        <v>0</v>
      </c>
      <c r="N707" s="212">
        <f t="shared" si="46"/>
        <v>0</v>
      </c>
    </row>
    <row r="708" spans="1:14" s="407" customFormat="1" ht="12.75" x14ac:dyDescent="0.2">
      <c r="A708" s="152"/>
      <c r="B708" s="51"/>
      <c r="C708" s="51" t="s">
        <v>994</v>
      </c>
      <c r="D708" s="220"/>
      <c r="E708" s="89"/>
      <c r="F708" s="89"/>
      <c r="G708" s="89"/>
      <c r="H708" s="89"/>
      <c r="I708" s="89"/>
      <c r="J708" s="89"/>
      <c r="K708" s="212">
        <f t="shared" si="46"/>
        <v>0</v>
      </c>
      <c r="L708" s="212">
        <f t="shared" si="46"/>
        <v>0</v>
      </c>
      <c r="M708" s="212">
        <f t="shared" si="46"/>
        <v>0</v>
      </c>
      <c r="N708" s="212">
        <f t="shared" si="46"/>
        <v>0</v>
      </c>
    </row>
    <row r="709" spans="1:14" s="407" customFormat="1" ht="12.75" x14ac:dyDescent="0.2">
      <c r="A709" s="152"/>
      <c r="B709" s="51"/>
      <c r="C709" s="51" t="s">
        <v>993</v>
      </c>
      <c r="D709" s="220"/>
      <c r="E709" s="89"/>
      <c r="F709" s="89"/>
      <c r="G709" s="89"/>
      <c r="H709" s="89"/>
      <c r="I709" s="89"/>
      <c r="J709" s="89"/>
      <c r="K709" s="212">
        <f t="shared" si="46"/>
        <v>0</v>
      </c>
      <c r="L709" s="212">
        <f t="shared" si="46"/>
        <v>0</v>
      </c>
      <c r="M709" s="212">
        <f t="shared" si="46"/>
        <v>0</v>
      </c>
      <c r="N709" s="212">
        <f t="shared" si="46"/>
        <v>0</v>
      </c>
    </row>
    <row r="710" spans="1:14" s="407" customFormat="1" ht="12.75" x14ac:dyDescent="0.2">
      <c r="A710" s="152"/>
      <c r="B710" s="51"/>
      <c r="C710" s="51" t="s">
        <v>995</v>
      </c>
      <c r="D710" s="220"/>
      <c r="E710" s="89"/>
      <c r="F710" s="89"/>
      <c r="G710" s="89"/>
      <c r="H710" s="89"/>
      <c r="I710" s="89"/>
      <c r="J710" s="89"/>
      <c r="K710" s="212">
        <f t="shared" si="46"/>
        <v>0</v>
      </c>
      <c r="L710" s="212">
        <f t="shared" si="46"/>
        <v>0</v>
      </c>
      <c r="M710" s="212">
        <f t="shared" si="46"/>
        <v>0</v>
      </c>
      <c r="N710" s="212">
        <f t="shared" si="46"/>
        <v>0</v>
      </c>
    </row>
    <row r="711" spans="1:14" s="407" customFormat="1" ht="12.75" x14ac:dyDescent="0.2">
      <c r="A711" s="152"/>
      <c r="B711" s="51"/>
      <c r="C711" s="51" t="s">
        <v>1001</v>
      </c>
      <c r="D711" s="220"/>
      <c r="E711" s="89"/>
      <c r="F711" s="89"/>
      <c r="G711" s="89"/>
      <c r="H711" s="89"/>
      <c r="I711" s="89"/>
      <c r="J711" s="89"/>
      <c r="K711" s="212">
        <f t="shared" si="46"/>
        <v>0</v>
      </c>
      <c r="L711" s="212">
        <f t="shared" si="46"/>
        <v>0</v>
      </c>
      <c r="M711" s="212">
        <f t="shared" si="46"/>
        <v>0</v>
      </c>
      <c r="N711" s="212">
        <f t="shared" si="46"/>
        <v>0</v>
      </c>
    </row>
    <row r="712" spans="1:14" s="407" customFormat="1" ht="12.75" x14ac:dyDescent="0.2">
      <c r="A712" s="152"/>
      <c r="B712" s="51"/>
      <c r="C712" s="51" t="s">
        <v>978</v>
      </c>
      <c r="D712" s="220"/>
      <c r="E712" s="89"/>
      <c r="F712" s="89"/>
      <c r="G712" s="89"/>
      <c r="H712" s="89"/>
      <c r="I712" s="89"/>
      <c r="J712" s="89"/>
      <c r="K712" s="212">
        <f t="shared" si="46"/>
        <v>0</v>
      </c>
      <c r="L712" s="212">
        <f t="shared" si="46"/>
        <v>0</v>
      </c>
      <c r="M712" s="212">
        <f t="shared" si="46"/>
        <v>0</v>
      </c>
      <c r="N712" s="212">
        <f t="shared" si="46"/>
        <v>23185</v>
      </c>
    </row>
    <row r="713" spans="1:14" s="407" customFormat="1" ht="12.75" x14ac:dyDescent="0.2">
      <c r="A713" s="152"/>
      <c r="B713" s="51"/>
      <c r="C713" s="51" t="s">
        <v>494</v>
      </c>
      <c r="D713" s="220"/>
      <c r="E713" s="89"/>
      <c r="F713" s="89"/>
      <c r="G713" s="89"/>
      <c r="H713" s="89"/>
      <c r="I713" s="89"/>
      <c r="J713" s="89"/>
      <c r="K713" s="212">
        <f t="shared" si="46"/>
        <v>0</v>
      </c>
      <c r="L713" s="212">
        <f t="shared" si="46"/>
        <v>0</v>
      </c>
      <c r="M713" s="212">
        <f t="shared" si="46"/>
        <v>0</v>
      </c>
      <c r="N713" s="212">
        <f t="shared" si="46"/>
        <v>0</v>
      </c>
    </row>
    <row r="714" spans="1:14" s="407" customFormat="1" ht="12.75" x14ac:dyDescent="0.2">
      <c r="A714" s="152"/>
      <c r="B714" s="51"/>
      <c r="C714" s="51" t="s">
        <v>976</v>
      </c>
      <c r="D714" s="220"/>
      <c r="E714" s="89"/>
      <c r="F714" s="89"/>
      <c r="G714" s="89"/>
      <c r="H714" s="89"/>
      <c r="I714" s="89"/>
      <c r="J714" s="89"/>
      <c r="K714" s="212">
        <f t="shared" si="46"/>
        <v>0</v>
      </c>
      <c r="L714" s="212">
        <f t="shared" si="46"/>
        <v>0</v>
      </c>
      <c r="M714" s="212">
        <f t="shared" si="46"/>
        <v>0</v>
      </c>
      <c r="N714" s="212">
        <f t="shared" si="46"/>
        <v>14018</v>
      </c>
    </row>
    <row r="715" spans="1:14" s="407" customFormat="1" ht="12.75" x14ac:dyDescent="0.2">
      <c r="A715" s="152"/>
      <c r="B715" s="51"/>
      <c r="C715" s="51" t="s">
        <v>1002</v>
      </c>
      <c r="D715" s="220"/>
      <c r="E715" s="89"/>
      <c r="F715" s="89"/>
      <c r="G715" s="89"/>
      <c r="H715" s="89"/>
      <c r="I715" s="89"/>
      <c r="J715" s="89"/>
      <c r="K715" s="212">
        <f t="shared" si="46"/>
        <v>0</v>
      </c>
      <c r="L715" s="212">
        <f t="shared" si="46"/>
        <v>0</v>
      </c>
      <c r="M715" s="212">
        <f t="shared" si="46"/>
        <v>0</v>
      </c>
      <c r="N715" s="212">
        <f t="shared" si="46"/>
        <v>0</v>
      </c>
    </row>
    <row r="716" spans="1:14" s="407" customFormat="1" ht="12.75" x14ac:dyDescent="0.2">
      <c r="A716" s="152"/>
      <c r="B716" s="51"/>
      <c r="C716" s="51" t="s">
        <v>1014</v>
      </c>
      <c r="D716" s="220"/>
      <c r="E716" s="89"/>
      <c r="F716" s="89"/>
      <c r="G716" s="89"/>
      <c r="H716" s="89"/>
      <c r="I716" s="89"/>
      <c r="J716" s="89"/>
      <c r="K716" s="212">
        <f t="shared" si="46"/>
        <v>0</v>
      </c>
      <c r="L716" s="212">
        <f t="shared" si="46"/>
        <v>0</v>
      </c>
      <c r="M716" s="212">
        <f t="shared" si="46"/>
        <v>0</v>
      </c>
      <c r="N716" s="212">
        <f t="shared" si="46"/>
        <v>0</v>
      </c>
    </row>
    <row r="717" spans="1:14" s="407" customFormat="1" ht="12.75" x14ac:dyDescent="0.2">
      <c r="A717" s="152"/>
      <c r="B717" s="51"/>
      <c r="C717" s="51" t="s">
        <v>998</v>
      </c>
      <c r="D717" s="220"/>
      <c r="E717" s="89"/>
      <c r="F717" s="89"/>
      <c r="G717" s="89"/>
      <c r="H717" s="89"/>
      <c r="I717" s="89"/>
      <c r="J717" s="89"/>
      <c r="K717" s="212">
        <f t="shared" si="46"/>
        <v>0</v>
      </c>
      <c r="L717" s="212">
        <f t="shared" si="46"/>
        <v>0</v>
      </c>
      <c r="M717" s="212">
        <f t="shared" si="46"/>
        <v>0</v>
      </c>
      <c r="N717" s="212">
        <f t="shared" si="46"/>
        <v>0</v>
      </c>
    </row>
    <row r="718" spans="1:14" s="407" customFormat="1" ht="12.75" x14ac:dyDescent="0.2">
      <c r="A718" s="152"/>
      <c r="B718" s="51"/>
      <c r="C718" s="51" t="s">
        <v>996</v>
      </c>
      <c r="D718" s="220"/>
      <c r="E718" s="89"/>
      <c r="F718" s="89"/>
      <c r="G718" s="89"/>
      <c r="H718" s="89"/>
      <c r="I718" s="89"/>
      <c r="J718" s="89"/>
      <c r="K718" s="212">
        <f t="shared" ref="K718:N735" si="47">SUMIF($C$26:$C$212,$C718,K$26:K$212)</f>
        <v>0</v>
      </c>
      <c r="L718" s="212">
        <f t="shared" si="47"/>
        <v>0</v>
      </c>
      <c r="M718" s="212">
        <f t="shared" si="47"/>
        <v>0</v>
      </c>
      <c r="N718" s="212">
        <f t="shared" si="47"/>
        <v>0</v>
      </c>
    </row>
    <row r="719" spans="1:14" s="407" customFormat="1" ht="12.75" x14ac:dyDescent="0.2">
      <c r="A719" s="152"/>
      <c r="B719" s="51"/>
      <c r="C719" s="51" t="s">
        <v>1043</v>
      </c>
      <c r="D719" s="220"/>
      <c r="E719" s="89"/>
      <c r="F719" s="89"/>
      <c r="G719" s="89"/>
      <c r="H719" s="89"/>
      <c r="I719" s="89"/>
      <c r="J719" s="89"/>
      <c r="K719" s="212">
        <f t="shared" si="47"/>
        <v>0</v>
      </c>
      <c r="L719" s="212">
        <f t="shared" si="47"/>
        <v>0</v>
      </c>
      <c r="M719" s="212">
        <f t="shared" si="47"/>
        <v>0</v>
      </c>
      <c r="N719" s="212">
        <f t="shared" si="47"/>
        <v>0</v>
      </c>
    </row>
    <row r="720" spans="1:14" s="407" customFormat="1" ht="12.75" x14ac:dyDescent="0.2">
      <c r="A720" s="152"/>
      <c r="B720" s="51"/>
      <c r="C720" s="51" t="s">
        <v>1044</v>
      </c>
      <c r="D720" s="220"/>
      <c r="E720" s="89"/>
      <c r="F720" s="89"/>
      <c r="G720" s="89"/>
      <c r="H720" s="89"/>
      <c r="I720" s="89"/>
      <c r="J720" s="89"/>
      <c r="K720" s="212">
        <f t="shared" si="47"/>
        <v>0</v>
      </c>
      <c r="L720" s="212">
        <f t="shared" si="47"/>
        <v>0</v>
      </c>
      <c r="M720" s="212">
        <f t="shared" si="47"/>
        <v>0</v>
      </c>
      <c r="N720" s="212">
        <f>SUMIF($C$26:$C$212,$C720,N$26:N$212)</f>
        <v>4346.68</v>
      </c>
    </row>
    <row r="721" spans="1:14" s="407" customFormat="1" ht="12.75" x14ac:dyDescent="0.2">
      <c r="A721" s="152"/>
      <c r="B721" s="51"/>
      <c r="C721" s="51" t="s">
        <v>1039</v>
      </c>
      <c r="D721" s="220"/>
      <c r="E721" s="89"/>
      <c r="F721" s="89"/>
      <c r="G721" s="89"/>
      <c r="H721" s="89"/>
      <c r="I721" s="89"/>
      <c r="J721" s="89"/>
      <c r="K721" s="212">
        <f t="shared" si="47"/>
        <v>0</v>
      </c>
      <c r="L721" s="212">
        <f t="shared" si="47"/>
        <v>0</v>
      </c>
      <c r="M721" s="212">
        <f t="shared" si="47"/>
        <v>0</v>
      </c>
      <c r="N721" s="212">
        <f t="shared" si="47"/>
        <v>0</v>
      </c>
    </row>
    <row r="722" spans="1:14" s="407" customFormat="1" ht="12.75" x14ac:dyDescent="0.2">
      <c r="A722" s="152"/>
      <c r="B722" s="51"/>
      <c r="C722" s="51" t="s">
        <v>113</v>
      </c>
      <c r="D722" s="220"/>
      <c r="E722" s="89"/>
      <c r="F722" s="89"/>
      <c r="G722" s="89"/>
      <c r="H722" s="89"/>
      <c r="I722" s="89"/>
      <c r="J722" s="89"/>
      <c r="K722" s="212">
        <f t="shared" si="47"/>
        <v>0</v>
      </c>
      <c r="L722" s="212">
        <f t="shared" si="47"/>
        <v>0</v>
      </c>
      <c r="M722" s="212">
        <f t="shared" si="47"/>
        <v>0</v>
      </c>
      <c r="N722" s="212">
        <f t="shared" si="47"/>
        <v>0</v>
      </c>
    </row>
    <row r="723" spans="1:14" s="407" customFormat="1" ht="12.75" x14ac:dyDescent="0.2">
      <c r="A723" s="152"/>
      <c r="B723" s="51"/>
      <c r="C723" s="51" t="s">
        <v>1038</v>
      </c>
      <c r="D723" s="220"/>
      <c r="E723" s="89"/>
      <c r="F723" s="89"/>
      <c r="G723" s="89"/>
      <c r="H723" s="89"/>
      <c r="I723" s="89"/>
      <c r="J723" s="89"/>
      <c r="K723" s="212">
        <f t="shared" si="47"/>
        <v>0</v>
      </c>
      <c r="L723" s="212">
        <f t="shared" si="47"/>
        <v>0</v>
      </c>
      <c r="M723" s="212">
        <f t="shared" si="47"/>
        <v>0</v>
      </c>
      <c r="N723" s="212">
        <f t="shared" si="47"/>
        <v>0</v>
      </c>
    </row>
    <row r="724" spans="1:14" s="407" customFormat="1" ht="12.75" x14ac:dyDescent="0.2">
      <c r="A724" s="152"/>
      <c r="B724" s="51"/>
      <c r="C724" s="51" t="s">
        <v>1033</v>
      </c>
      <c r="D724" s="220"/>
      <c r="E724" s="89"/>
      <c r="F724" s="89"/>
      <c r="G724" s="89"/>
      <c r="H724" s="89"/>
      <c r="I724" s="89"/>
      <c r="J724" s="89"/>
      <c r="K724" s="212">
        <f t="shared" si="47"/>
        <v>0</v>
      </c>
      <c r="L724" s="212">
        <f t="shared" si="47"/>
        <v>0</v>
      </c>
      <c r="M724" s="212">
        <f t="shared" si="47"/>
        <v>0</v>
      </c>
      <c r="N724" s="212">
        <f t="shared" si="47"/>
        <v>0</v>
      </c>
    </row>
    <row r="725" spans="1:14" s="407" customFormat="1" ht="12.75" x14ac:dyDescent="0.2">
      <c r="A725" s="152"/>
      <c r="B725" s="51"/>
      <c r="C725" s="51" t="s">
        <v>1007</v>
      </c>
      <c r="D725" s="220"/>
      <c r="E725" s="89"/>
      <c r="F725" s="89"/>
      <c r="G725" s="89"/>
      <c r="H725" s="89"/>
      <c r="I725" s="89"/>
      <c r="J725" s="89"/>
      <c r="K725" s="212">
        <f t="shared" si="47"/>
        <v>0</v>
      </c>
      <c r="L725" s="212">
        <f t="shared" si="47"/>
        <v>0</v>
      </c>
      <c r="M725" s="212">
        <f t="shared" si="47"/>
        <v>0</v>
      </c>
      <c r="N725" s="212">
        <f t="shared" si="47"/>
        <v>0</v>
      </c>
    </row>
    <row r="726" spans="1:14" s="407" customFormat="1" ht="12.75" x14ac:dyDescent="0.2">
      <c r="A726" s="152"/>
      <c r="B726" s="51"/>
      <c r="C726" s="51" t="s">
        <v>969</v>
      </c>
      <c r="D726" s="220"/>
      <c r="E726" s="89"/>
      <c r="F726" s="89"/>
      <c r="G726" s="89"/>
      <c r="H726" s="89"/>
      <c r="I726" s="89"/>
      <c r="J726" s="89"/>
      <c r="K726" s="212">
        <f t="shared" si="47"/>
        <v>0</v>
      </c>
      <c r="L726" s="212">
        <f t="shared" si="47"/>
        <v>0</v>
      </c>
      <c r="M726" s="212">
        <f t="shared" si="47"/>
        <v>0</v>
      </c>
      <c r="N726" s="212">
        <f t="shared" si="47"/>
        <v>0</v>
      </c>
    </row>
    <row r="727" spans="1:14" s="407" customFormat="1" ht="12.75" x14ac:dyDescent="0.2">
      <c r="A727" s="152"/>
      <c r="B727" s="51"/>
      <c r="C727" s="51" t="s">
        <v>987</v>
      </c>
      <c r="D727" s="220"/>
      <c r="E727" s="89"/>
      <c r="F727" s="89"/>
      <c r="G727" s="89"/>
      <c r="H727" s="89"/>
      <c r="I727" s="89"/>
      <c r="J727" s="89"/>
      <c r="K727" s="212">
        <f t="shared" si="47"/>
        <v>0</v>
      </c>
      <c r="L727" s="212">
        <f t="shared" si="47"/>
        <v>0</v>
      </c>
      <c r="M727" s="212">
        <f t="shared" si="47"/>
        <v>0</v>
      </c>
      <c r="N727" s="212">
        <f t="shared" si="47"/>
        <v>0</v>
      </c>
    </row>
    <row r="728" spans="1:14" s="407" customFormat="1" ht="12.75" x14ac:dyDescent="0.2">
      <c r="A728" s="152"/>
      <c r="B728" s="51"/>
      <c r="C728" s="51" t="s">
        <v>1000</v>
      </c>
      <c r="D728" s="220"/>
      <c r="E728" s="89"/>
      <c r="F728" s="89"/>
      <c r="G728" s="89"/>
      <c r="H728" s="89"/>
      <c r="I728" s="89"/>
      <c r="J728" s="89"/>
      <c r="K728" s="212">
        <f t="shared" si="47"/>
        <v>0</v>
      </c>
      <c r="L728" s="212">
        <f t="shared" si="47"/>
        <v>0</v>
      </c>
      <c r="M728" s="212">
        <f t="shared" si="47"/>
        <v>0</v>
      </c>
      <c r="N728" s="212">
        <f t="shared" si="47"/>
        <v>0</v>
      </c>
    </row>
    <row r="729" spans="1:14" s="407" customFormat="1" ht="12.75" x14ac:dyDescent="0.2">
      <c r="A729" s="152"/>
      <c r="B729" s="51"/>
      <c r="C729" s="51" t="s">
        <v>116</v>
      </c>
      <c r="D729" s="220"/>
      <c r="E729" s="89"/>
      <c r="F729" s="89"/>
      <c r="G729" s="89"/>
      <c r="H729" s="89"/>
      <c r="I729" s="89"/>
      <c r="J729" s="89"/>
      <c r="K729" s="212">
        <f t="shared" si="47"/>
        <v>0</v>
      </c>
      <c r="L729" s="212">
        <f t="shared" si="47"/>
        <v>0</v>
      </c>
      <c r="M729" s="212">
        <f t="shared" si="47"/>
        <v>0</v>
      </c>
      <c r="N729" s="212">
        <f t="shared" si="47"/>
        <v>0</v>
      </c>
    </row>
    <row r="730" spans="1:14" s="407" customFormat="1" ht="12.75" x14ac:dyDescent="0.2">
      <c r="A730" s="152"/>
      <c r="B730" s="51"/>
      <c r="C730" s="51" t="s">
        <v>114</v>
      </c>
      <c r="D730" s="220"/>
      <c r="E730" s="89"/>
      <c r="F730" s="89"/>
      <c r="G730" s="89"/>
      <c r="H730" s="89"/>
      <c r="I730" s="89"/>
      <c r="J730" s="89"/>
      <c r="K730" s="212">
        <f t="shared" si="47"/>
        <v>0</v>
      </c>
      <c r="L730" s="212">
        <f t="shared" si="47"/>
        <v>0</v>
      </c>
      <c r="M730" s="212">
        <f t="shared" si="47"/>
        <v>0</v>
      </c>
      <c r="N730" s="212">
        <f t="shared" si="47"/>
        <v>0</v>
      </c>
    </row>
    <row r="731" spans="1:14" s="407" customFormat="1" ht="12.75" x14ac:dyDescent="0.2">
      <c r="A731" s="152"/>
      <c r="B731" s="51"/>
      <c r="C731" s="51" t="s">
        <v>111</v>
      </c>
      <c r="D731" s="220"/>
      <c r="E731" s="89"/>
      <c r="F731" s="89"/>
      <c r="G731" s="89"/>
      <c r="H731" s="89"/>
      <c r="I731" s="89"/>
      <c r="J731" s="89"/>
      <c r="K731" s="212">
        <f t="shared" si="47"/>
        <v>0</v>
      </c>
      <c r="L731" s="212">
        <f t="shared" si="47"/>
        <v>0</v>
      </c>
      <c r="M731" s="212">
        <f t="shared" si="47"/>
        <v>0</v>
      </c>
      <c r="N731" s="212">
        <f t="shared" si="47"/>
        <v>0</v>
      </c>
    </row>
    <row r="732" spans="1:14" s="407" customFormat="1" ht="12.75" x14ac:dyDescent="0.2">
      <c r="A732" s="152"/>
      <c r="B732" s="51"/>
      <c r="C732" s="51" t="s">
        <v>117</v>
      </c>
      <c r="D732" s="220"/>
      <c r="E732" s="89"/>
      <c r="F732" s="89"/>
      <c r="G732" s="89"/>
      <c r="H732" s="89"/>
      <c r="I732" s="89"/>
      <c r="J732" s="89"/>
      <c r="K732" s="212">
        <f t="shared" si="47"/>
        <v>0</v>
      </c>
      <c r="L732" s="212">
        <f t="shared" si="47"/>
        <v>0</v>
      </c>
      <c r="M732" s="212">
        <f t="shared" si="47"/>
        <v>0</v>
      </c>
      <c r="N732" s="212">
        <f t="shared" si="47"/>
        <v>0</v>
      </c>
    </row>
    <row r="733" spans="1:14" s="407" customFormat="1" ht="12.75" x14ac:dyDescent="0.2">
      <c r="A733" s="152"/>
      <c r="B733" s="51"/>
      <c r="C733" s="51" t="s">
        <v>112</v>
      </c>
      <c r="D733" s="220"/>
      <c r="E733" s="89"/>
      <c r="F733" s="89"/>
      <c r="G733" s="89"/>
      <c r="H733" s="89"/>
      <c r="I733" s="89"/>
      <c r="J733" s="89"/>
      <c r="K733" s="212">
        <f t="shared" si="47"/>
        <v>0</v>
      </c>
      <c r="L733" s="212">
        <f t="shared" si="47"/>
        <v>0</v>
      </c>
      <c r="M733" s="212">
        <f t="shared" si="47"/>
        <v>0</v>
      </c>
      <c r="N733" s="212">
        <f t="shared" si="47"/>
        <v>0</v>
      </c>
    </row>
    <row r="734" spans="1:14" s="407" customFormat="1" ht="12.75" x14ac:dyDescent="0.2">
      <c r="A734" s="152"/>
      <c r="B734" s="51"/>
      <c r="C734" s="51" t="s">
        <v>136</v>
      </c>
      <c r="D734" s="220"/>
      <c r="E734" s="89"/>
      <c r="F734" s="89"/>
      <c r="G734" s="89"/>
      <c r="H734" s="89"/>
      <c r="I734" s="89"/>
      <c r="J734" s="89"/>
      <c r="K734" s="212">
        <f t="shared" si="47"/>
        <v>0</v>
      </c>
      <c r="L734" s="212">
        <f t="shared" si="47"/>
        <v>0</v>
      </c>
      <c r="M734" s="212">
        <f t="shared" si="47"/>
        <v>0</v>
      </c>
      <c r="N734" s="212">
        <f t="shared" si="47"/>
        <v>0</v>
      </c>
    </row>
    <row r="735" spans="1:14" s="407" customFormat="1" ht="12.75" x14ac:dyDescent="0.2">
      <c r="A735" s="152"/>
      <c r="B735" s="51"/>
      <c r="C735" s="51" t="s">
        <v>962</v>
      </c>
      <c r="D735" s="220"/>
      <c r="E735" s="89"/>
      <c r="F735" s="89"/>
      <c r="G735" s="89"/>
      <c r="H735" s="89"/>
      <c r="I735" s="89"/>
      <c r="J735" s="89"/>
      <c r="K735" s="212">
        <f t="shared" si="47"/>
        <v>0</v>
      </c>
      <c r="L735" s="212">
        <f t="shared" si="47"/>
        <v>0</v>
      </c>
      <c r="M735" s="212">
        <f t="shared" si="47"/>
        <v>0</v>
      </c>
      <c r="N735" s="212">
        <f t="shared" si="47"/>
        <v>0</v>
      </c>
    </row>
    <row r="736" spans="1:14" s="407" customFormat="1" ht="12.75" x14ac:dyDescent="0.2">
      <c r="A736" s="152"/>
      <c r="B736" s="51"/>
      <c r="C736" s="51" t="s">
        <v>115</v>
      </c>
      <c r="D736" s="220"/>
      <c r="E736" s="89"/>
      <c r="F736" s="89"/>
      <c r="G736" s="89"/>
      <c r="H736" s="89"/>
      <c r="I736" s="89"/>
      <c r="J736" s="89"/>
      <c r="K736" s="212">
        <f t="shared" ref="K736:N754" si="48">SUMIF($C$26:$C$212,$C736,K$26:K$212)</f>
        <v>0</v>
      </c>
      <c r="L736" s="212">
        <f t="shared" si="48"/>
        <v>0</v>
      </c>
      <c r="M736" s="212">
        <f t="shared" si="48"/>
        <v>0</v>
      </c>
      <c r="N736" s="212">
        <f t="shared" si="48"/>
        <v>0</v>
      </c>
    </row>
    <row r="737" spans="1:14" s="407" customFormat="1" ht="12.75" x14ac:dyDescent="0.2">
      <c r="A737" s="152"/>
      <c r="B737" s="51"/>
      <c r="C737" s="51" t="s">
        <v>997</v>
      </c>
      <c r="D737" s="220"/>
      <c r="E737" s="89"/>
      <c r="F737" s="89"/>
      <c r="G737" s="89"/>
      <c r="H737" s="89"/>
      <c r="I737" s="89"/>
      <c r="J737" s="89"/>
      <c r="K737" s="212">
        <f t="shared" si="48"/>
        <v>0</v>
      </c>
      <c r="L737" s="212">
        <f t="shared" si="48"/>
        <v>0</v>
      </c>
      <c r="M737" s="212">
        <f t="shared" si="48"/>
        <v>0</v>
      </c>
      <c r="N737" s="212">
        <f t="shared" si="48"/>
        <v>0</v>
      </c>
    </row>
    <row r="738" spans="1:14" s="407" customFormat="1" ht="12.75" x14ac:dyDescent="0.2">
      <c r="A738" s="152"/>
      <c r="B738" s="51"/>
      <c r="C738" s="51" t="s">
        <v>999</v>
      </c>
      <c r="D738" s="220"/>
      <c r="E738" s="89"/>
      <c r="F738" s="89"/>
      <c r="G738" s="89"/>
      <c r="H738" s="89"/>
      <c r="I738" s="89"/>
      <c r="J738" s="89"/>
      <c r="K738" s="212">
        <f t="shared" si="48"/>
        <v>0</v>
      </c>
      <c r="L738" s="212">
        <f t="shared" si="48"/>
        <v>0</v>
      </c>
      <c r="M738" s="212">
        <f t="shared" si="48"/>
        <v>0</v>
      </c>
      <c r="N738" s="212">
        <f t="shared" si="48"/>
        <v>0</v>
      </c>
    </row>
    <row r="739" spans="1:14" s="407" customFormat="1" ht="12.75" x14ac:dyDescent="0.2">
      <c r="A739" s="152"/>
      <c r="B739" s="51"/>
      <c r="C739" s="51" t="s">
        <v>1049</v>
      </c>
      <c r="D739" s="220"/>
      <c r="E739" s="89"/>
      <c r="F739" s="89"/>
      <c r="G739" s="89"/>
      <c r="H739" s="89"/>
      <c r="I739" s="89"/>
      <c r="J739" s="89"/>
      <c r="K739" s="212">
        <f t="shared" si="48"/>
        <v>0</v>
      </c>
      <c r="L739" s="212">
        <f t="shared" si="48"/>
        <v>0</v>
      </c>
      <c r="M739" s="212">
        <f t="shared" si="48"/>
        <v>0</v>
      </c>
      <c r="N739" s="212">
        <f t="shared" si="48"/>
        <v>3708.01</v>
      </c>
    </row>
    <row r="740" spans="1:14" s="407" customFormat="1" ht="12.75" x14ac:dyDescent="0.2">
      <c r="A740" s="152"/>
      <c r="B740" s="51"/>
      <c r="C740" s="51" t="s">
        <v>96</v>
      </c>
      <c r="D740" s="220"/>
      <c r="E740" s="89"/>
      <c r="F740" s="89"/>
      <c r="G740" s="89"/>
      <c r="H740" s="89"/>
      <c r="I740" s="89"/>
      <c r="J740" s="89"/>
      <c r="K740" s="212">
        <f t="shared" si="48"/>
        <v>0</v>
      </c>
      <c r="L740" s="212">
        <f t="shared" si="48"/>
        <v>0</v>
      </c>
      <c r="M740" s="212">
        <f t="shared" si="48"/>
        <v>0</v>
      </c>
      <c r="N740" s="212">
        <f t="shared" si="48"/>
        <v>39126.009999999995</v>
      </c>
    </row>
    <row r="741" spans="1:14" s="407" customFormat="1" ht="12.75" x14ac:dyDescent="0.2">
      <c r="A741" s="152"/>
      <c r="B741" s="51"/>
      <c r="C741" s="51" t="s">
        <v>983</v>
      </c>
      <c r="D741" s="220"/>
      <c r="E741" s="89"/>
      <c r="F741" s="89"/>
      <c r="G741" s="89"/>
      <c r="H741" s="89"/>
      <c r="I741" s="89"/>
      <c r="J741" s="89"/>
      <c r="K741" s="212">
        <f t="shared" si="48"/>
        <v>0</v>
      </c>
      <c r="L741" s="212">
        <f t="shared" si="48"/>
        <v>0</v>
      </c>
      <c r="M741" s="212">
        <f t="shared" si="48"/>
        <v>0</v>
      </c>
      <c r="N741" s="212">
        <f t="shared" si="48"/>
        <v>595</v>
      </c>
    </row>
    <row r="742" spans="1:14" s="407" customFormat="1" ht="12.75" x14ac:dyDescent="0.2">
      <c r="A742" s="152"/>
      <c r="B742" s="51"/>
      <c r="C742" s="51" t="s">
        <v>1042</v>
      </c>
      <c r="D742" s="220"/>
      <c r="E742" s="89"/>
      <c r="F742" s="89"/>
      <c r="G742" s="89"/>
      <c r="H742" s="89"/>
      <c r="I742" s="89"/>
      <c r="J742" s="89"/>
      <c r="K742" s="212">
        <f t="shared" si="48"/>
        <v>0</v>
      </c>
      <c r="L742" s="212">
        <f t="shared" si="48"/>
        <v>0</v>
      </c>
      <c r="M742" s="212">
        <f t="shared" si="48"/>
        <v>0</v>
      </c>
      <c r="N742" s="212">
        <f t="shared" si="48"/>
        <v>0</v>
      </c>
    </row>
    <row r="743" spans="1:14" s="407" customFormat="1" ht="12.75" x14ac:dyDescent="0.2">
      <c r="A743" s="152"/>
      <c r="B743" s="51"/>
      <c r="C743" s="51" t="s">
        <v>979</v>
      </c>
      <c r="D743" s="220"/>
      <c r="E743" s="89"/>
      <c r="F743" s="89"/>
      <c r="G743" s="89"/>
      <c r="H743" s="89"/>
      <c r="I743" s="89"/>
      <c r="J743" s="89"/>
      <c r="K743" s="212">
        <f t="shared" si="48"/>
        <v>0</v>
      </c>
      <c r="L743" s="212">
        <f t="shared" si="48"/>
        <v>0</v>
      </c>
      <c r="M743" s="212">
        <f t="shared" si="48"/>
        <v>0</v>
      </c>
      <c r="N743" s="212">
        <f t="shared" si="48"/>
        <v>0</v>
      </c>
    </row>
    <row r="744" spans="1:14" s="407" customFormat="1" ht="12.75" x14ac:dyDescent="0.2">
      <c r="A744" s="152"/>
      <c r="B744" s="51"/>
      <c r="C744" s="51" t="s">
        <v>47</v>
      </c>
      <c r="D744" s="220"/>
      <c r="E744" s="89"/>
      <c r="F744" s="89"/>
      <c r="G744" s="89"/>
      <c r="H744" s="89"/>
      <c r="I744" s="89"/>
      <c r="J744" s="89"/>
      <c r="K744" s="212">
        <f t="shared" si="48"/>
        <v>0</v>
      </c>
      <c r="L744" s="212">
        <f t="shared" si="48"/>
        <v>0</v>
      </c>
      <c r="M744" s="212">
        <f t="shared" si="48"/>
        <v>0</v>
      </c>
      <c r="N744" s="212">
        <f t="shared" si="48"/>
        <v>0</v>
      </c>
    </row>
    <row r="745" spans="1:14" s="407" customFormat="1" ht="12.75" x14ac:dyDescent="0.2">
      <c r="A745" s="152"/>
      <c r="B745" s="51"/>
      <c r="C745" s="51" t="s">
        <v>48</v>
      </c>
      <c r="D745" s="220"/>
      <c r="E745" s="89"/>
      <c r="F745" s="89"/>
      <c r="G745" s="89"/>
      <c r="H745" s="89"/>
      <c r="I745" s="89"/>
      <c r="J745" s="89"/>
      <c r="K745" s="212">
        <f t="shared" si="48"/>
        <v>0</v>
      </c>
      <c r="L745" s="212">
        <f t="shared" si="48"/>
        <v>0</v>
      </c>
      <c r="M745" s="212">
        <f t="shared" si="48"/>
        <v>0</v>
      </c>
      <c r="N745" s="212">
        <f t="shared" si="48"/>
        <v>0</v>
      </c>
    </row>
    <row r="746" spans="1:14" s="407" customFormat="1" ht="12.75" x14ac:dyDescent="0.2">
      <c r="A746" s="152"/>
      <c r="B746" s="51"/>
      <c r="C746" s="51" t="s">
        <v>1051</v>
      </c>
      <c r="D746" s="220"/>
      <c r="E746" s="89"/>
      <c r="F746" s="89"/>
      <c r="G746" s="89"/>
      <c r="H746" s="89"/>
      <c r="I746" s="89"/>
      <c r="J746" s="89"/>
      <c r="K746" s="212">
        <f t="shared" si="48"/>
        <v>0</v>
      </c>
      <c r="L746" s="212">
        <f t="shared" si="48"/>
        <v>0</v>
      </c>
      <c r="M746" s="212">
        <f t="shared" si="48"/>
        <v>0</v>
      </c>
      <c r="N746" s="212">
        <f t="shared" si="48"/>
        <v>0</v>
      </c>
    </row>
    <row r="747" spans="1:14" s="407" customFormat="1" ht="12.75" x14ac:dyDescent="0.2">
      <c r="A747" s="152"/>
      <c r="B747" s="51"/>
      <c r="C747" s="51" t="s">
        <v>970</v>
      </c>
      <c r="D747" s="220"/>
      <c r="E747" s="89"/>
      <c r="F747" s="89"/>
      <c r="G747" s="89"/>
      <c r="H747" s="89"/>
      <c r="I747" s="89"/>
      <c r="J747" s="89"/>
      <c r="K747" s="212">
        <f t="shared" si="48"/>
        <v>0</v>
      </c>
      <c r="L747" s="212">
        <f t="shared" si="48"/>
        <v>0</v>
      </c>
      <c r="M747" s="212">
        <f t="shared" si="48"/>
        <v>0</v>
      </c>
      <c r="N747" s="212">
        <f t="shared" si="48"/>
        <v>0</v>
      </c>
    </row>
    <row r="748" spans="1:14" s="407" customFormat="1" ht="12.75" x14ac:dyDescent="0.2">
      <c r="A748" s="152"/>
      <c r="B748" s="51"/>
      <c r="C748" s="51" t="s">
        <v>122</v>
      </c>
      <c r="D748" s="220"/>
      <c r="E748" s="89"/>
      <c r="F748" s="89"/>
      <c r="G748" s="89"/>
      <c r="H748" s="89"/>
      <c r="I748" s="89"/>
      <c r="J748" s="89"/>
      <c r="K748" s="212">
        <f t="shared" si="48"/>
        <v>0</v>
      </c>
      <c r="L748" s="212">
        <f t="shared" si="48"/>
        <v>0</v>
      </c>
      <c r="M748" s="212">
        <f t="shared" si="48"/>
        <v>0</v>
      </c>
      <c r="N748" s="212">
        <f t="shared" si="48"/>
        <v>0</v>
      </c>
    </row>
    <row r="749" spans="1:14" s="407" customFormat="1" ht="12.75" x14ac:dyDescent="0.2">
      <c r="A749" s="152"/>
      <c r="B749" s="51"/>
      <c r="C749" s="51" t="s">
        <v>135</v>
      </c>
      <c r="D749" s="220"/>
      <c r="E749" s="89"/>
      <c r="F749" s="89"/>
      <c r="G749" s="89"/>
      <c r="H749" s="89"/>
      <c r="I749" s="89"/>
      <c r="J749" s="89"/>
      <c r="K749" s="212">
        <f t="shared" si="48"/>
        <v>0</v>
      </c>
      <c r="L749" s="212">
        <f t="shared" si="48"/>
        <v>0</v>
      </c>
      <c r="M749" s="212">
        <f t="shared" si="48"/>
        <v>0</v>
      </c>
      <c r="N749" s="212">
        <f t="shared" si="48"/>
        <v>0</v>
      </c>
    </row>
    <row r="750" spans="1:14" s="407" customFormat="1" ht="12.75" x14ac:dyDescent="0.2">
      <c r="A750" s="152"/>
      <c r="B750" s="51"/>
      <c r="C750" s="51" t="s">
        <v>123</v>
      </c>
      <c r="D750" s="220"/>
      <c r="E750" s="89"/>
      <c r="F750" s="89"/>
      <c r="G750" s="89"/>
      <c r="H750" s="89"/>
      <c r="I750" s="89"/>
      <c r="J750" s="89"/>
      <c r="K750" s="212">
        <f t="shared" si="48"/>
        <v>0</v>
      </c>
      <c r="L750" s="212">
        <f t="shared" si="48"/>
        <v>0</v>
      </c>
      <c r="M750" s="212">
        <f t="shared" si="48"/>
        <v>0</v>
      </c>
      <c r="N750" s="212">
        <f t="shared" si="48"/>
        <v>0</v>
      </c>
    </row>
    <row r="751" spans="1:14" s="407" customFormat="1" ht="12.75" x14ac:dyDescent="0.2">
      <c r="A751" s="152"/>
      <c r="B751" s="51"/>
      <c r="C751" s="51" t="s">
        <v>974</v>
      </c>
      <c r="D751" s="220"/>
      <c r="E751" s="89"/>
      <c r="F751" s="89"/>
      <c r="G751" s="89"/>
      <c r="H751" s="89"/>
      <c r="I751" s="89"/>
      <c r="J751" s="89"/>
      <c r="K751" s="212">
        <f t="shared" si="48"/>
        <v>0</v>
      </c>
      <c r="L751" s="212">
        <f t="shared" si="48"/>
        <v>0</v>
      </c>
      <c r="M751" s="212">
        <f t="shared" si="48"/>
        <v>0</v>
      </c>
      <c r="N751" s="212">
        <f t="shared" si="48"/>
        <v>0</v>
      </c>
    </row>
    <row r="752" spans="1:14" s="407" customFormat="1" ht="12.75" x14ac:dyDescent="0.2">
      <c r="A752" s="152"/>
      <c r="B752" s="51"/>
      <c r="C752" s="51" t="s">
        <v>975</v>
      </c>
      <c r="D752" s="220"/>
      <c r="E752" s="89"/>
      <c r="F752" s="89"/>
      <c r="G752" s="89"/>
      <c r="H752" s="89"/>
      <c r="I752" s="89"/>
      <c r="J752" s="89"/>
      <c r="K752" s="212">
        <f t="shared" si="48"/>
        <v>0</v>
      </c>
      <c r="L752" s="212">
        <f t="shared" si="48"/>
        <v>0</v>
      </c>
      <c r="M752" s="212">
        <f t="shared" si="48"/>
        <v>0</v>
      </c>
      <c r="N752" s="212">
        <f t="shared" si="48"/>
        <v>0</v>
      </c>
    </row>
    <row r="753" spans="1:14" s="407" customFormat="1" ht="12.75" x14ac:dyDescent="0.2">
      <c r="A753" s="152"/>
      <c r="B753" s="51"/>
      <c r="C753" s="51" t="s">
        <v>126</v>
      </c>
      <c r="D753" s="220"/>
      <c r="E753" s="89"/>
      <c r="F753" s="89"/>
      <c r="G753" s="89"/>
      <c r="H753" s="89"/>
      <c r="I753" s="89"/>
      <c r="J753" s="89"/>
      <c r="K753" s="212">
        <f t="shared" si="48"/>
        <v>0</v>
      </c>
      <c r="L753" s="212">
        <f t="shared" si="48"/>
        <v>0</v>
      </c>
      <c r="M753" s="212">
        <f t="shared" si="48"/>
        <v>0</v>
      </c>
      <c r="N753" s="212">
        <f t="shared" si="48"/>
        <v>0</v>
      </c>
    </row>
    <row r="754" spans="1:14" s="407" customFormat="1" ht="12.75" x14ac:dyDescent="0.2">
      <c r="A754" s="152"/>
      <c r="B754" s="51"/>
      <c r="C754" s="51" t="s">
        <v>127</v>
      </c>
      <c r="D754" s="220"/>
      <c r="E754" s="89"/>
      <c r="F754" s="89"/>
      <c r="G754" s="89"/>
      <c r="H754" s="89"/>
      <c r="I754" s="89"/>
      <c r="J754" s="89"/>
      <c r="K754" s="212">
        <f t="shared" si="48"/>
        <v>0</v>
      </c>
      <c r="L754" s="212">
        <f t="shared" si="48"/>
        <v>0</v>
      </c>
      <c r="M754" s="212">
        <f t="shared" si="48"/>
        <v>0</v>
      </c>
      <c r="N754" s="212">
        <f t="shared" si="48"/>
        <v>0</v>
      </c>
    </row>
    <row r="755" spans="1:14" s="407" customFormat="1" ht="12.75" x14ac:dyDescent="0.2">
      <c r="A755" s="152"/>
      <c r="B755" s="51"/>
      <c r="C755" s="51" t="s">
        <v>130</v>
      </c>
      <c r="D755" s="220"/>
      <c r="E755" s="89"/>
      <c r="F755" s="89"/>
      <c r="G755" s="89"/>
      <c r="H755" s="89"/>
      <c r="I755" s="89"/>
      <c r="J755" s="89"/>
      <c r="K755" s="212">
        <f t="shared" ref="K755:N774" si="49">SUMIF($C$26:$C$212,$C755,K$26:K$212)</f>
        <v>0</v>
      </c>
      <c r="L755" s="212">
        <f t="shared" si="49"/>
        <v>0</v>
      </c>
      <c r="M755" s="212">
        <f t="shared" si="49"/>
        <v>0</v>
      </c>
      <c r="N755" s="212">
        <f t="shared" si="49"/>
        <v>0</v>
      </c>
    </row>
    <row r="756" spans="1:14" s="407" customFormat="1" ht="12.75" x14ac:dyDescent="0.2">
      <c r="A756" s="152"/>
      <c r="B756" s="51"/>
      <c r="C756" s="51" t="s">
        <v>125</v>
      </c>
      <c r="D756" s="220"/>
      <c r="E756" s="89"/>
      <c r="F756" s="89"/>
      <c r="G756" s="89"/>
      <c r="H756" s="89"/>
      <c r="I756" s="89"/>
      <c r="J756" s="89"/>
      <c r="K756" s="212">
        <f t="shared" si="49"/>
        <v>0</v>
      </c>
      <c r="L756" s="212">
        <f t="shared" si="49"/>
        <v>0</v>
      </c>
      <c r="M756" s="212">
        <f t="shared" si="49"/>
        <v>0</v>
      </c>
      <c r="N756" s="212">
        <f t="shared" si="49"/>
        <v>0</v>
      </c>
    </row>
    <row r="757" spans="1:14" s="407" customFormat="1" ht="12.75" x14ac:dyDescent="0.2">
      <c r="A757" s="152"/>
      <c r="B757" s="51"/>
      <c r="C757" s="51" t="s">
        <v>128</v>
      </c>
      <c r="D757" s="220"/>
      <c r="E757" s="89"/>
      <c r="F757" s="89"/>
      <c r="G757" s="89"/>
      <c r="H757" s="89"/>
      <c r="I757" s="89"/>
      <c r="J757" s="89"/>
      <c r="K757" s="212">
        <f t="shared" si="49"/>
        <v>0</v>
      </c>
      <c r="L757" s="212">
        <f t="shared" si="49"/>
        <v>0</v>
      </c>
      <c r="M757" s="212">
        <f t="shared" si="49"/>
        <v>0</v>
      </c>
      <c r="N757" s="212">
        <f t="shared" si="49"/>
        <v>0</v>
      </c>
    </row>
    <row r="758" spans="1:14" s="407" customFormat="1" ht="12.75" x14ac:dyDescent="0.2">
      <c r="A758" s="152"/>
      <c r="B758" s="51"/>
      <c r="C758" s="51" t="s">
        <v>1016</v>
      </c>
      <c r="D758" s="220"/>
      <c r="E758" s="89"/>
      <c r="F758" s="89"/>
      <c r="G758" s="89"/>
      <c r="H758" s="89"/>
      <c r="I758" s="89"/>
      <c r="J758" s="89"/>
      <c r="K758" s="212">
        <f t="shared" si="49"/>
        <v>0</v>
      </c>
      <c r="L758" s="212">
        <f t="shared" si="49"/>
        <v>0</v>
      </c>
      <c r="M758" s="212">
        <f t="shared" si="49"/>
        <v>0</v>
      </c>
      <c r="N758" s="212">
        <f t="shared" si="49"/>
        <v>0</v>
      </c>
    </row>
    <row r="759" spans="1:14" s="407" customFormat="1" ht="12.75" x14ac:dyDescent="0.2">
      <c r="A759" s="152"/>
      <c r="B759" s="51"/>
      <c r="C759" s="51" t="s">
        <v>1015</v>
      </c>
      <c r="D759" s="220"/>
      <c r="E759" s="89"/>
      <c r="F759" s="89"/>
      <c r="G759" s="89"/>
      <c r="H759" s="89"/>
      <c r="I759" s="89"/>
      <c r="J759" s="89"/>
      <c r="K759" s="212">
        <f t="shared" si="49"/>
        <v>0</v>
      </c>
      <c r="L759" s="212">
        <f t="shared" si="49"/>
        <v>0</v>
      </c>
      <c r="M759" s="212">
        <f t="shared" si="49"/>
        <v>0</v>
      </c>
      <c r="N759" s="212">
        <f t="shared" si="49"/>
        <v>0</v>
      </c>
    </row>
    <row r="760" spans="1:14" s="407" customFormat="1" ht="12.75" x14ac:dyDescent="0.2">
      <c r="A760" s="152"/>
      <c r="B760" s="51"/>
      <c r="C760" s="51" t="s">
        <v>930</v>
      </c>
      <c r="D760" s="220"/>
      <c r="E760" s="89"/>
      <c r="F760" s="89"/>
      <c r="G760" s="89"/>
      <c r="H760" s="89"/>
      <c r="I760" s="89"/>
      <c r="J760" s="89"/>
      <c r="K760" s="212">
        <f t="shared" si="49"/>
        <v>0</v>
      </c>
      <c r="L760" s="212">
        <f t="shared" si="49"/>
        <v>0</v>
      </c>
      <c r="M760" s="212">
        <f t="shared" si="49"/>
        <v>0</v>
      </c>
      <c r="N760" s="212">
        <f t="shared" si="49"/>
        <v>0</v>
      </c>
    </row>
    <row r="761" spans="1:14" s="407" customFormat="1" ht="12.75" x14ac:dyDescent="0.2">
      <c r="A761" s="152"/>
      <c r="B761" s="51"/>
      <c r="C761" s="51" t="s">
        <v>931</v>
      </c>
      <c r="D761" s="220"/>
      <c r="E761" s="89"/>
      <c r="F761" s="89"/>
      <c r="G761" s="89"/>
      <c r="H761" s="89"/>
      <c r="I761" s="89"/>
      <c r="J761" s="89"/>
      <c r="K761" s="212">
        <f t="shared" si="49"/>
        <v>0</v>
      </c>
      <c r="L761" s="212">
        <f t="shared" si="49"/>
        <v>0</v>
      </c>
      <c r="M761" s="212">
        <f t="shared" si="49"/>
        <v>0</v>
      </c>
      <c r="N761" s="212">
        <f t="shared" si="49"/>
        <v>0</v>
      </c>
    </row>
    <row r="762" spans="1:14" s="407" customFormat="1" ht="12.75" x14ac:dyDescent="0.2">
      <c r="A762" s="152"/>
      <c r="B762" s="51"/>
      <c r="C762" s="51" t="s">
        <v>926</v>
      </c>
      <c r="D762" s="220"/>
      <c r="E762" s="89"/>
      <c r="F762" s="89"/>
      <c r="G762" s="89"/>
      <c r="H762" s="89"/>
      <c r="I762" s="89"/>
      <c r="J762" s="89"/>
      <c r="K762" s="212">
        <f t="shared" si="49"/>
        <v>0</v>
      </c>
      <c r="L762" s="212">
        <f t="shared" si="49"/>
        <v>0</v>
      </c>
      <c r="M762" s="212">
        <f t="shared" si="49"/>
        <v>0</v>
      </c>
      <c r="N762" s="212">
        <f t="shared" si="49"/>
        <v>0</v>
      </c>
    </row>
    <row r="763" spans="1:14" s="407" customFormat="1" ht="12.75" x14ac:dyDescent="0.2">
      <c r="A763" s="152"/>
      <c r="B763" s="51"/>
      <c r="C763" s="51" t="s">
        <v>110</v>
      </c>
      <c r="D763" s="220"/>
      <c r="E763" s="89"/>
      <c r="F763" s="89"/>
      <c r="G763" s="89"/>
      <c r="H763" s="89"/>
      <c r="I763" s="89"/>
      <c r="J763" s="89"/>
      <c r="K763" s="212">
        <f t="shared" si="49"/>
        <v>0</v>
      </c>
      <c r="L763" s="212">
        <f t="shared" si="49"/>
        <v>0</v>
      </c>
      <c r="M763" s="212">
        <f t="shared" si="49"/>
        <v>0</v>
      </c>
      <c r="N763" s="212">
        <f t="shared" si="49"/>
        <v>0</v>
      </c>
    </row>
    <row r="764" spans="1:14" s="407" customFormat="1" ht="12.75" x14ac:dyDescent="0.2">
      <c r="A764" s="152"/>
      <c r="B764" s="51"/>
      <c r="C764" s="51" t="s">
        <v>133</v>
      </c>
      <c r="D764" s="220"/>
      <c r="E764" s="89"/>
      <c r="F764" s="89"/>
      <c r="G764" s="89"/>
      <c r="H764" s="89"/>
      <c r="I764" s="89"/>
      <c r="J764" s="89"/>
      <c r="K764" s="212">
        <f t="shared" si="49"/>
        <v>0</v>
      </c>
      <c r="L764" s="212">
        <f t="shared" si="49"/>
        <v>0</v>
      </c>
      <c r="M764" s="212">
        <f t="shared" si="49"/>
        <v>0</v>
      </c>
      <c r="N764" s="212">
        <f t="shared" si="49"/>
        <v>0</v>
      </c>
    </row>
    <row r="765" spans="1:14" s="407" customFormat="1" ht="12.75" x14ac:dyDescent="0.2">
      <c r="A765" s="152"/>
      <c r="B765" s="51"/>
      <c r="C765" s="51" t="s">
        <v>134</v>
      </c>
      <c r="D765" s="220"/>
      <c r="E765" s="89"/>
      <c r="F765" s="89"/>
      <c r="G765" s="89"/>
      <c r="H765" s="89"/>
      <c r="I765" s="89"/>
      <c r="J765" s="89"/>
      <c r="K765" s="212">
        <f t="shared" si="49"/>
        <v>0</v>
      </c>
      <c r="L765" s="212">
        <f t="shared" si="49"/>
        <v>0</v>
      </c>
      <c r="M765" s="212">
        <f t="shared" si="49"/>
        <v>0</v>
      </c>
      <c r="N765" s="212">
        <f t="shared" si="49"/>
        <v>0</v>
      </c>
    </row>
    <row r="766" spans="1:14" s="407" customFormat="1" ht="12.75" x14ac:dyDescent="0.2">
      <c r="A766" s="152"/>
      <c r="B766" s="51"/>
      <c r="C766" s="51" t="s">
        <v>138</v>
      </c>
      <c r="D766" s="220"/>
      <c r="E766" s="89"/>
      <c r="F766" s="89"/>
      <c r="G766" s="89"/>
      <c r="H766" s="89"/>
      <c r="I766" s="89"/>
      <c r="J766" s="89"/>
      <c r="K766" s="212">
        <f t="shared" si="49"/>
        <v>0</v>
      </c>
      <c r="L766" s="212">
        <f t="shared" si="49"/>
        <v>0</v>
      </c>
      <c r="M766" s="212">
        <f t="shared" si="49"/>
        <v>0</v>
      </c>
      <c r="N766" s="212">
        <f t="shared" si="49"/>
        <v>0</v>
      </c>
    </row>
    <row r="767" spans="1:14" s="407" customFormat="1" ht="12.75" x14ac:dyDescent="0.2">
      <c r="A767" s="152"/>
      <c r="B767" s="51"/>
      <c r="C767" s="51" t="s">
        <v>106</v>
      </c>
      <c r="D767" s="220"/>
      <c r="E767" s="89"/>
      <c r="F767" s="89"/>
      <c r="G767" s="89"/>
      <c r="H767" s="89"/>
      <c r="I767" s="89"/>
      <c r="J767" s="89"/>
      <c r="K767" s="212">
        <f t="shared" si="49"/>
        <v>0</v>
      </c>
      <c r="L767" s="212">
        <f t="shared" si="49"/>
        <v>0</v>
      </c>
      <c r="M767" s="212">
        <f t="shared" si="49"/>
        <v>0</v>
      </c>
      <c r="N767" s="212">
        <f t="shared" si="49"/>
        <v>0</v>
      </c>
    </row>
    <row r="768" spans="1:14" s="407" customFormat="1" ht="12.75" x14ac:dyDescent="0.2">
      <c r="A768" s="152"/>
      <c r="B768" s="51"/>
      <c r="C768" s="51" t="s">
        <v>1024</v>
      </c>
      <c r="D768" s="220"/>
      <c r="E768" s="89"/>
      <c r="F768" s="89"/>
      <c r="G768" s="89"/>
      <c r="H768" s="89"/>
      <c r="I768" s="89"/>
      <c r="J768" s="89"/>
      <c r="K768" s="212">
        <f t="shared" si="49"/>
        <v>0</v>
      </c>
      <c r="L768" s="212">
        <f t="shared" si="49"/>
        <v>0</v>
      </c>
      <c r="M768" s="212">
        <f t="shared" si="49"/>
        <v>0</v>
      </c>
      <c r="N768" s="212">
        <f t="shared" si="49"/>
        <v>0</v>
      </c>
    </row>
    <row r="769" spans="1:14" s="407" customFormat="1" ht="12.75" x14ac:dyDescent="0.2">
      <c r="A769" s="152"/>
      <c r="B769" s="51"/>
      <c r="C769" s="51" t="s">
        <v>1025</v>
      </c>
      <c r="D769" s="220"/>
      <c r="E769" s="89"/>
      <c r="F769" s="89"/>
      <c r="G769" s="89"/>
      <c r="H769" s="89"/>
      <c r="I769" s="89"/>
      <c r="J769" s="89"/>
      <c r="K769" s="212">
        <f t="shared" si="49"/>
        <v>0</v>
      </c>
      <c r="L769" s="212">
        <f t="shared" si="49"/>
        <v>0</v>
      </c>
      <c r="M769" s="212">
        <f t="shared" si="49"/>
        <v>0</v>
      </c>
      <c r="N769" s="212">
        <f t="shared" si="49"/>
        <v>0</v>
      </c>
    </row>
    <row r="770" spans="1:14" s="407" customFormat="1" ht="12.75" x14ac:dyDescent="0.2">
      <c r="A770" s="152"/>
      <c r="B770" s="51"/>
      <c r="C770" s="51" t="s">
        <v>960</v>
      </c>
      <c r="D770" s="220"/>
      <c r="E770" s="89"/>
      <c r="F770" s="89"/>
      <c r="G770" s="89"/>
      <c r="H770" s="89"/>
      <c r="I770" s="89"/>
      <c r="J770" s="89"/>
      <c r="K770" s="212">
        <f t="shared" si="49"/>
        <v>0</v>
      </c>
      <c r="L770" s="212">
        <f t="shared" si="49"/>
        <v>0</v>
      </c>
      <c r="M770" s="212">
        <f t="shared" si="49"/>
        <v>0</v>
      </c>
      <c r="N770" s="212">
        <f t="shared" si="49"/>
        <v>0</v>
      </c>
    </row>
    <row r="771" spans="1:14" s="407" customFormat="1" ht="12.75" x14ac:dyDescent="0.2">
      <c r="A771" s="152"/>
      <c r="B771" s="51"/>
      <c r="C771" s="51" t="s">
        <v>961</v>
      </c>
      <c r="D771" s="220"/>
      <c r="E771" s="89"/>
      <c r="F771" s="89"/>
      <c r="G771" s="89"/>
      <c r="H771" s="89"/>
      <c r="I771" s="89"/>
      <c r="J771" s="89"/>
      <c r="K771" s="212">
        <f t="shared" si="49"/>
        <v>0</v>
      </c>
      <c r="L771" s="212">
        <f t="shared" si="49"/>
        <v>0</v>
      </c>
      <c r="M771" s="212">
        <f t="shared" si="49"/>
        <v>0</v>
      </c>
      <c r="N771" s="212">
        <f t="shared" si="49"/>
        <v>0</v>
      </c>
    </row>
    <row r="772" spans="1:14" s="407" customFormat="1" ht="12.75" x14ac:dyDescent="0.2">
      <c r="A772" s="152"/>
      <c r="B772" s="51"/>
      <c r="C772" s="51" t="s">
        <v>948</v>
      </c>
      <c r="D772" s="220"/>
      <c r="E772" s="89"/>
      <c r="F772" s="89"/>
      <c r="G772" s="89"/>
      <c r="H772" s="89"/>
      <c r="I772" s="89"/>
      <c r="J772" s="89"/>
      <c r="K772" s="212">
        <f t="shared" si="49"/>
        <v>0</v>
      </c>
      <c r="L772" s="212">
        <f t="shared" si="49"/>
        <v>0</v>
      </c>
      <c r="M772" s="212">
        <f t="shared" si="49"/>
        <v>0</v>
      </c>
      <c r="N772" s="212">
        <f t="shared" si="49"/>
        <v>0</v>
      </c>
    </row>
    <row r="773" spans="1:14" s="407" customFormat="1" ht="12.75" x14ac:dyDescent="0.2">
      <c r="A773" s="152"/>
      <c r="B773" s="51"/>
      <c r="C773" s="51" t="s">
        <v>949</v>
      </c>
      <c r="D773" s="220"/>
      <c r="E773" s="89"/>
      <c r="F773" s="89"/>
      <c r="G773" s="89"/>
      <c r="H773" s="89"/>
      <c r="I773" s="89"/>
      <c r="J773" s="89"/>
      <c r="K773" s="212">
        <f t="shared" si="49"/>
        <v>0</v>
      </c>
      <c r="L773" s="212">
        <f t="shared" si="49"/>
        <v>0</v>
      </c>
      <c r="M773" s="212">
        <f t="shared" si="49"/>
        <v>0</v>
      </c>
      <c r="N773" s="212">
        <f t="shared" si="49"/>
        <v>0</v>
      </c>
    </row>
    <row r="774" spans="1:14" s="407" customFormat="1" ht="12.75" x14ac:dyDescent="0.2">
      <c r="A774" s="152"/>
      <c r="B774" s="51"/>
      <c r="C774" s="51" t="s">
        <v>132</v>
      </c>
      <c r="D774" s="220"/>
      <c r="E774" s="89"/>
      <c r="F774" s="89"/>
      <c r="G774" s="89"/>
      <c r="H774" s="89"/>
      <c r="I774" s="89"/>
      <c r="J774" s="89"/>
      <c r="K774" s="212">
        <f t="shared" si="49"/>
        <v>0</v>
      </c>
      <c r="L774" s="212">
        <f t="shared" si="49"/>
        <v>0</v>
      </c>
      <c r="M774" s="212">
        <f t="shared" si="49"/>
        <v>0</v>
      </c>
      <c r="N774" s="212">
        <f t="shared" si="49"/>
        <v>0</v>
      </c>
    </row>
    <row r="775" spans="1:14" s="407" customFormat="1" ht="12.75" x14ac:dyDescent="0.2">
      <c r="A775" s="152"/>
      <c r="B775" s="51"/>
      <c r="C775" s="51" t="s">
        <v>121</v>
      </c>
      <c r="D775" s="220"/>
      <c r="E775" s="89"/>
      <c r="F775" s="89"/>
      <c r="G775" s="89"/>
      <c r="H775" s="89"/>
      <c r="I775" s="89"/>
      <c r="J775" s="89"/>
      <c r="K775" s="212">
        <f t="shared" ref="K775:N794" si="50">SUMIF($C$26:$C$212,$C775,K$26:K$212)</f>
        <v>0</v>
      </c>
      <c r="L775" s="212">
        <f t="shared" si="50"/>
        <v>0</v>
      </c>
      <c r="M775" s="212">
        <f t="shared" si="50"/>
        <v>0</v>
      </c>
      <c r="N775" s="212">
        <f t="shared" si="50"/>
        <v>0</v>
      </c>
    </row>
    <row r="776" spans="1:14" s="407" customFormat="1" ht="12.75" x14ac:dyDescent="0.2">
      <c r="A776" s="152"/>
      <c r="B776" s="51"/>
      <c r="C776" s="51" t="s">
        <v>131</v>
      </c>
      <c r="D776" s="220"/>
      <c r="E776" s="89"/>
      <c r="F776" s="89"/>
      <c r="G776" s="89"/>
      <c r="H776" s="89"/>
      <c r="I776" s="89"/>
      <c r="J776" s="89"/>
      <c r="K776" s="212">
        <f t="shared" si="50"/>
        <v>0</v>
      </c>
      <c r="L776" s="212">
        <f t="shared" si="50"/>
        <v>0</v>
      </c>
      <c r="M776" s="212">
        <f t="shared" si="50"/>
        <v>0</v>
      </c>
      <c r="N776" s="212">
        <f t="shared" si="50"/>
        <v>0</v>
      </c>
    </row>
    <row r="777" spans="1:14" s="407" customFormat="1" ht="12.75" x14ac:dyDescent="0.2">
      <c r="A777" s="152"/>
      <c r="B777" s="51"/>
      <c r="C777" s="51" t="s">
        <v>967</v>
      </c>
      <c r="D777" s="220"/>
      <c r="E777" s="89"/>
      <c r="F777" s="89"/>
      <c r="G777" s="89"/>
      <c r="H777" s="89"/>
      <c r="I777" s="89"/>
      <c r="J777" s="89"/>
      <c r="K777" s="212">
        <f t="shared" si="50"/>
        <v>0</v>
      </c>
      <c r="L777" s="212">
        <f t="shared" si="50"/>
        <v>0</v>
      </c>
      <c r="M777" s="212">
        <f t="shared" si="50"/>
        <v>0</v>
      </c>
      <c r="N777" s="212">
        <f t="shared" si="50"/>
        <v>0</v>
      </c>
    </row>
    <row r="778" spans="1:14" s="407" customFormat="1" ht="12.75" x14ac:dyDescent="0.2">
      <c r="A778" s="152"/>
      <c r="B778" s="51"/>
      <c r="C778" s="51" t="s">
        <v>118</v>
      </c>
      <c r="D778" s="220"/>
      <c r="E778" s="89"/>
      <c r="F778" s="89"/>
      <c r="G778" s="89"/>
      <c r="H778" s="89"/>
      <c r="I778" s="89"/>
      <c r="J778" s="89"/>
      <c r="K778" s="212">
        <f t="shared" si="50"/>
        <v>0</v>
      </c>
      <c r="L778" s="212">
        <f t="shared" si="50"/>
        <v>0</v>
      </c>
      <c r="M778" s="212">
        <f t="shared" si="50"/>
        <v>0</v>
      </c>
      <c r="N778" s="212">
        <f t="shared" si="50"/>
        <v>0</v>
      </c>
    </row>
    <row r="779" spans="1:14" s="407" customFormat="1" ht="12.75" x14ac:dyDescent="0.2">
      <c r="A779" s="152"/>
      <c r="B779" s="51"/>
      <c r="C779" s="51" t="s">
        <v>971</v>
      </c>
      <c r="D779" s="220"/>
      <c r="E779" s="89"/>
      <c r="F779" s="89"/>
      <c r="G779" s="89"/>
      <c r="H779" s="89"/>
      <c r="I779" s="89"/>
      <c r="J779" s="89"/>
      <c r="K779" s="212">
        <f t="shared" si="50"/>
        <v>0</v>
      </c>
      <c r="L779" s="212">
        <f t="shared" si="50"/>
        <v>0</v>
      </c>
      <c r="M779" s="212">
        <f t="shared" si="50"/>
        <v>0</v>
      </c>
      <c r="N779" s="212">
        <f t="shared" si="50"/>
        <v>0</v>
      </c>
    </row>
    <row r="780" spans="1:14" s="407" customFormat="1" ht="12.75" x14ac:dyDescent="0.2">
      <c r="A780" s="152"/>
      <c r="B780" s="51"/>
      <c r="C780" s="51" t="s">
        <v>957</v>
      </c>
      <c r="D780" s="220"/>
      <c r="E780" s="89"/>
      <c r="F780" s="89"/>
      <c r="G780" s="89"/>
      <c r="H780" s="89"/>
      <c r="I780" s="89"/>
      <c r="J780" s="89"/>
      <c r="K780" s="212">
        <f t="shared" si="50"/>
        <v>0</v>
      </c>
      <c r="L780" s="212">
        <f t="shared" si="50"/>
        <v>0</v>
      </c>
      <c r="M780" s="212">
        <f t="shared" si="50"/>
        <v>0</v>
      </c>
      <c r="N780" s="212">
        <f t="shared" si="50"/>
        <v>0</v>
      </c>
    </row>
    <row r="781" spans="1:14" s="407" customFormat="1" ht="12.75" x14ac:dyDescent="0.2">
      <c r="A781" s="152"/>
      <c r="B781" s="51"/>
      <c r="C781" s="51" t="s">
        <v>97</v>
      </c>
      <c r="D781" s="220"/>
      <c r="E781" s="89"/>
      <c r="F781" s="89"/>
      <c r="G781" s="89"/>
      <c r="H781" s="89"/>
      <c r="I781" s="89"/>
      <c r="J781" s="89"/>
      <c r="K781" s="212">
        <f t="shared" si="50"/>
        <v>0</v>
      </c>
      <c r="L781" s="212">
        <f t="shared" si="50"/>
        <v>0</v>
      </c>
      <c r="M781" s="212">
        <f t="shared" si="50"/>
        <v>0</v>
      </c>
      <c r="N781" s="212">
        <f t="shared" si="50"/>
        <v>0</v>
      </c>
    </row>
    <row r="782" spans="1:14" s="407" customFormat="1" ht="12.75" x14ac:dyDescent="0.2">
      <c r="A782" s="152"/>
      <c r="B782" s="51"/>
      <c r="C782" s="51" t="s">
        <v>49</v>
      </c>
      <c r="D782" s="220"/>
      <c r="E782" s="89"/>
      <c r="F782" s="89"/>
      <c r="G782" s="89"/>
      <c r="H782" s="89"/>
      <c r="I782" s="89"/>
      <c r="J782" s="89"/>
      <c r="K782" s="212">
        <f t="shared" si="50"/>
        <v>0</v>
      </c>
      <c r="L782" s="212">
        <f t="shared" si="50"/>
        <v>0</v>
      </c>
      <c r="M782" s="212">
        <f t="shared" si="50"/>
        <v>0</v>
      </c>
      <c r="N782" s="212">
        <f t="shared" si="50"/>
        <v>0</v>
      </c>
    </row>
    <row r="783" spans="1:14" s="407" customFormat="1" ht="12.75" x14ac:dyDescent="0.2">
      <c r="A783" s="152"/>
      <c r="B783" s="51"/>
      <c r="C783" s="51" t="s">
        <v>1017</v>
      </c>
      <c r="D783" s="220"/>
      <c r="E783" s="89"/>
      <c r="F783" s="89"/>
      <c r="G783" s="89"/>
      <c r="H783" s="89"/>
      <c r="I783" s="89"/>
      <c r="J783" s="89"/>
      <c r="K783" s="212">
        <f t="shared" si="50"/>
        <v>0</v>
      </c>
      <c r="L783" s="212">
        <f t="shared" si="50"/>
        <v>0</v>
      </c>
      <c r="M783" s="212">
        <f t="shared" si="50"/>
        <v>0</v>
      </c>
      <c r="N783" s="212">
        <f t="shared" si="50"/>
        <v>0</v>
      </c>
    </row>
    <row r="784" spans="1:14" s="407" customFormat="1" ht="12.75" x14ac:dyDescent="0.2">
      <c r="A784" s="152"/>
      <c r="B784" s="51"/>
      <c r="C784" s="51" t="s">
        <v>1018</v>
      </c>
      <c r="D784" s="220"/>
      <c r="E784" s="89"/>
      <c r="F784" s="89"/>
      <c r="G784" s="89"/>
      <c r="H784" s="89"/>
      <c r="I784" s="89"/>
      <c r="J784" s="89"/>
      <c r="K784" s="212">
        <f t="shared" si="50"/>
        <v>0</v>
      </c>
      <c r="L784" s="212">
        <f t="shared" si="50"/>
        <v>0</v>
      </c>
      <c r="M784" s="212">
        <f t="shared" si="50"/>
        <v>0</v>
      </c>
      <c r="N784" s="212">
        <f t="shared" si="50"/>
        <v>0</v>
      </c>
    </row>
    <row r="785" spans="1:14" s="407" customFormat="1" ht="12.75" x14ac:dyDescent="0.2">
      <c r="A785" s="152"/>
      <c r="B785" s="51"/>
      <c r="C785" s="51" t="s">
        <v>928</v>
      </c>
      <c r="D785" s="220"/>
      <c r="E785" s="89"/>
      <c r="F785" s="89"/>
      <c r="G785" s="89"/>
      <c r="H785" s="89"/>
      <c r="I785" s="89"/>
      <c r="J785" s="89"/>
      <c r="K785" s="212">
        <f t="shared" si="50"/>
        <v>0</v>
      </c>
      <c r="L785" s="212">
        <f t="shared" si="50"/>
        <v>0</v>
      </c>
      <c r="M785" s="212">
        <f t="shared" si="50"/>
        <v>0</v>
      </c>
      <c r="N785" s="212">
        <f t="shared" si="50"/>
        <v>0</v>
      </c>
    </row>
    <row r="786" spans="1:14" s="407" customFormat="1" ht="12.75" x14ac:dyDescent="0.2">
      <c r="A786" s="152"/>
      <c r="B786" s="51"/>
      <c r="C786" s="51" t="s">
        <v>946</v>
      </c>
      <c r="D786" s="220"/>
      <c r="E786" s="89"/>
      <c r="F786" s="89"/>
      <c r="G786" s="89"/>
      <c r="H786" s="89"/>
      <c r="I786" s="89"/>
      <c r="J786" s="89"/>
      <c r="K786" s="212">
        <f t="shared" si="50"/>
        <v>0</v>
      </c>
      <c r="L786" s="212">
        <f t="shared" si="50"/>
        <v>0</v>
      </c>
      <c r="M786" s="212">
        <f t="shared" si="50"/>
        <v>0</v>
      </c>
      <c r="N786" s="212">
        <f t="shared" si="50"/>
        <v>0</v>
      </c>
    </row>
    <row r="787" spans="1:14" s="407" customFormat="1" ht="12.75" x14ac:dyDescent="0.2">
      <c r="A787" s="152"/>
      <c r="B787" s="51"/>
      <c r="C787" s="51" t="s">
        <v>947</v>
      </c>
      <c r="D787" s="220"/>
      <c r="E787" s="89"/>
      <c r="F787" s="89"/>
      <c r="G787" s="89"/>
      <c r="H787" s="89"/>
      <c r="I787" s="89"/>
      <c r="J787" s="89"/>
      <c r="K787" s="212">
        <f t="shared" si="50"/>
        <v>0</v>
      </c>
      <c r="L787" s="212">
        <f t="shared" si="50"/>
        <v>0</v>
      </c>
      <c r="M787" s="212">
        <f t="shared" si="50"/>
        <v>0</v>
      </c>
      <c r="N787" s="212">
        <f t="shared" si="50"/>
        <v>0</v>
      </c>
    </row>
    <row r="788" spans="1:14" s="407" customFormat="1" ht="12.75" x14ac:dyDescent="0.2">
      <c r="A788" s="152"/>
      <c r="B788" s="51"/>
      <c r="C788" s="51" t="s">
        <v>1020</v>
      </c>
      <c r="D788" s="220"/>
      <c r="E788" s="89"/>
      <c r="F788" s="89"/>
      <c r="G788" s="89"/>
      <c r="H788" s="89"/>
      <c r="I788" s="89"/>
      <c r="J788" s="89"/>
      <c r="K788" s="212">
        <f t="shared" si="50"/>
        <v>0</v>
      </c>
      <c r="L788" s="212">
        <f t="shared" si="50"/>
        <v>0</v>
      </c>
      <c r="M788" s="212">
        <f t="shared" si="50"/>
        <v>0</v>
      </c>
      <c r="N788" s="212">
        <f t="shared" si="50"/>
        <v>0</v>
      </c>
    </row>
    <row r="789" spans="1:14" s="407" customFormat="1" ht="12.75" x14ac:dyDescent="0.2">
      <c r="A789" s="152"/>
      <c r="B789" s="51"/>
      <c r="C789" s="51" t="s">
        <v>1021</v>
      </c>
      <c r="D789" s="220"/>
      <c r="E789" s="89"/>
      <c r="F789" s="89"/>
      <c r="G789" s="89"/>
      <c r="H789" s="89"/>
      <c r="I789" s="89"/>
      <c r="J789" s="89"/>
      <c r="K789" s="212">
        <f t="shared" si="50"/>
        <v>0</v>
      </c>
      <c r="L789" s="212">
        <f t="shared" si="50"/>
        <v>0</v>
      </c>
      <c r="M789" s="212">
        <f t="shared" si="50"/>
        <v>0</v>
      </c>
      <c r="N789" s="212">
        <f t="shared" si="50"/>
        <v>0</v>
      </c>
    </row>
    <row r="790" spans="1:14" s="407" customFormat="1" ht="12.75" x14ac:dyDescent="0.2">
      <c r="A790" s="152"/>
      <c r="B790" s="51"/>
      <c r="C790" s="51" t="s">
        <v>489</v>
      </c>
      <c r="D790" s="220"/>
      <c r="E790" s="89"/>
      <c r="F790" s="89"/>
      <c r="G790" s="89"/>
      <c r="H790" s="89"/>
      <c r="I790" s="89"/>
      <c r="J790" s="89"/>
      <c r="K790" s="212">
        <f t="shared" si="50"/>
        <v>0</v>
      </c>
      <c r="L790" s="212">
        <f t="shared" si="50"/>
        <v>0</v>
      </c>
      <c r="M790" s="212">
        <f t="shared" si="50"/>
        <v>0</v>
      </c>
      <c r="N790" s="212">
        <f t="shared" si="50"/>
        <v>0</v>
      </c>
    </row>
    <row r="791" spans="1:14" s="407" customFormat="1" ht="12.75" x14ac:dyDescent="0.2">
      <c r="A791" s="152"/>
      <c r="B791" s="51"/>
      <c r="C791" s="51" t="s">
        <v>968</v>
      </c>
      <c r="D791" s="220"/>
      <c r="E791" s="89"/>
      <c r="F791" s="89"/>
      <c r="G791" s="89"/>
      <c r="H791" s="89"/>
      <c r="I791" s="89"/>
      <c r="J791" s="89"/>
      <c r="K791" s="212">
        <f t="shared" si="50"/>
        <v>0</v>
      </c>
      <c r="L791" s="212">
        <f t="shared" si="50"/>
        <v>0</v>
      </c>
      <c r="M791" s="212">
        <f t="shared" si="50"/>
        <v>0</v>
      </c>
      <c r="N791" s="212">
        <f t="shared" si="50"/>
        <v>0</v>
      </c>
    </row>
    <row r="792" spans="1:14" s="407" customFormat="1" ht="12.75" x14ac:dyDescent="0.2">
      <c r="A792" s="152"/>
      <c r="B792" s="51"/>
      <c r="C792" s="51" t="s">
        <v>98</v>
      </c>
      <c r="D792" s="220"/>
      <c r="E792" s="89"/>
      <c r="F792" s="89"/>
      <c r="G792" s="89"/>
      <c r="H792" s="89"/>
      <c r="I792" s="89"/>
      <c r="J792" s="89"/>
      <c r="K792" s="212">
        <f t="shared" si="50"/>
        <v>0</v>
      </c>
      <c r="L792" s="212">
        <f t="shared" si="50"/>
        <v>0</v>
      </c>
      <c r="M792" s="212">
        <f t="shared" si="50"/>
        <v>0</v>
      </c>
      <c r="N792" s="212">
        <f t="shared" si="50"/>
        <v>92301</v>
      </c>
    </row>
    <row r="793" spans="1:14" s="407" customFormat="1" ht="12.75" x14ac:dyDescent="0.2">
      <c r="A793" s="152"/>
      <c r="B793" s="51"/>
      <c r="C793" s="51" t="s">
        <v>1048</v>
      </c>
      <c r="D793" s="220"/>
      <c r="E793" s="89"/>
      <c r="F793" s="89"/>
      <c r="G793" s="89"/>
      <c r="H793" s="89"/>
      <c r="I793" s="89"/>
      <c r="J793" s="89"/>
      <c r="K793" s="212">
        <f t="shared" si="50"/>
        <v>0</v>
      </c>
      <c r="L793" s="212">
        <f t="shared" si="50"/>
        <v>0</v>
      </c>
      <c r="M793" s="212">
        <f t="shared" si="50"/>
        <v>0</v>
      </c>
      <c r="N793" s="212">
        <f t="shared" si="50"/>
        <v>0</v>
      </c>
    </row>
    <row r="794" spans="1:14" s="407" customFormat="1" ht="12.75" x14ac:dyDescent="0.2">
      <c r="A794" s="152"/>
      <c r="B794" s="51"/>
      <c r="C794" s="51" t="s">
        <v>1030</v>
      </c>
      <c r="D794" s="220"/>
      <c r="E794" s="89"/>
      <c r="F794" s="89"/>
      <c r="G794" s="89"/>
      <c r="H794" s="89"/>
      <c r="I794" s="89"/>
      <c r="J794" s="89"/>
      <c r="K794" s="212">
        <f t="shared" si="50"/>
        <v>0</v>
      </c>
      <c r="L794" s="212">
        <f t="shared" si="50"/>
        <v>0</v>
      </c>
      <c r="M794" s="212">
        <f t="shared" si="50"/>
        <v>0</v>
      </c>
      <c r="N794" s="212">
        <f t="shared" si="50"/>
        <v>0</v>
      </c>
    </row>
    <row r="795" spans="1:14" s="407" customFormat="1" ht="12.75" x14ac:dyDescent="0.2">
      <c r="A795" s="152"/>
      <c r="B795" s="51"/>
      <c r="C795" s="51" t="s">
        <v>977</v>
      </c>
      <c r="D795" s="220"/>
      <c r="E795" s="89"/>
      <c r="F795" s="89"/>
      <c r="G795" s="89"/>
      <c r="H795" s="89"/>
      <c r="I795" s="89"/>
      <c r="J795" s="89"/>
      <c r="K795" s="212">
        <f t="shared" ref="K795:N812" si="51">SUMIF($C$26:$C$212,$C795,K$26:K$212)</f>
        <v>0</v>
      </c>
      <c r="L795" s="212">
        <f t="shared" si="51"/>
        <v>0</v>
      </c>
      <c r="M795" s="212">
        <f t="shared" si="51"/>
        <v>0</v>
      </c>
      <c r="N795" s="212">
        <f t="shared" si="51"/>
        <v>0</v>
      </c>
    </row>
    <row r="796" spans="1:14" s="407" customFormat="1" ht="12.75" x14ac:dyDescent="0.2">
      <c r="A796" s="152"/>
      <c r="B796" s="51"/>
      <c r="C796" s="51" t="s">
        <v>99</v>
      </c>
      <c r="D796" s="220"/>
      <c r="E796" s="89"/>
      <c r="F796" s="89"/>
      <c r="G796" s="89"/>
      <c r="H796" s="89"/>
      <c r="I796" s="89"/>
      <c r="J796" s="89"/>
      <c r="K796" s="212">
        <f t="shared" si="51"/>
        <v>0</v>
      </c>
      <c r="L796" s="212">
        <f t="shared" si="51"/>
        <v>0</v>
      </c>
      <c r="M796" s="212">
        <f t="shared" si="51"/>
        <v>0</v>
      </c>
      <c r="N796" s="212">
        <f t="shared" si="51"/>
        <v>120418.18</v>
      </c>
    </row>
    <row r="797" spans="1:14" s="407" customFormat="1" ht="12.75" x14ac:dyDescent="0.2">
      <c r="A797" s="152"/>
      <c r="B797" s="51"/>
      <c r="C797" s="51" t="s">
        <v>1047</v>
      </c>
      <c r="D797" s="220"/>
      <c r="E797" s="89"/>
      <c r="F797" s="89"/>
      <c r="G797" s="89"/>
      <c r="H797" s="89"/>
      <c r="I797" s="89"/>
      <c r="J797" s="89"/>
      <c r="K797" s="212">
        <f t="shared" si="51"/>
        <v>0</v>
      </c>
      <c r="L797" s="212">
        <f t="shared" si="51"/>
        <v>0</v>
      </c>
      <c r="M797" s="212">
        <f t="shared" si="51"/>
        <v>0</v>
      </c>
      <c r="N797" s="212">
        <f t="shared" si="51"/>
        <v>0</v>
      </c>
    </row>
    <row r="798" spans="1:14" s="407" customFormat="1" ht="12.75" x14ac:dyDescent="0.2">
      <c r="A798" s="152"/>
      <c r="B798" s="51"/>
      <c r="C798" s="51" t="s">
        <v>1041</v>
      </c>
      <c r="D798" s="220"/>
      <c r="E798" s="89"/>
      <c r="F798" s="89"/>
      <c r="G798" s="89"/>
      <c r="H798" s="89"/>
      <c r="I798" s="89"/>
      <c r="J798" s="89"/>
      <c r="K798" s="212">
        <f t="shared" si="51"/>
        <v>0</v>
      </c>
      <c r="L798" s="212">
        <f t="shared" si="51"/>
        <v>0</v>
      </c>
      <c r="M798" s="212">
        <f t="shared" si="51"/>
        <v>0</v>
      </c>
      <c r="N798" s="212">
        <f t="shared" si="51"/>
        <v>0</v>
      </c>
    </row>
    <row r="799" spans="1:14" s="407" customFormat="1" ht="12.75" x14ac:dyDescent="0.2">
      <c r="A799" s="152"/>
      <c r="B799" s="51"/>
      <c r="C799" s="51" t="s">
        <v>102</v>
      </c>
      <c r="D799" s="220"/>
      <c r="E799" s="89"/>
      <c r="F799" s="89"/>
      <c r="G799" s="89"/>
      <c r="H799" s="89"/>
      <c r="I799" s="89"/>
      <c r="J799" s="89"/>
      <c r="K799" s="212">
        <f t="shared" si="51"/>
        <v>0</v>
      </c>
      <c r="L799" s="212">
        <f t="shared" si="51"/>
        <v>0</v>
      </c>
      <c r="M799" s="212">
        <f t="shared" si="51"/>
        <v>0</v>
      </c>
      <c r="N799" s="212">
        <f t="shared" si="51"/>
        <v>0</v>
      </c>
    </row>
    <row r="800" spans="1:14" s="407" customFormat="1" ht="12.75" x14ac:dyDescent="0.2">
      <c r="A800" s="152"/>
      <c r="B800" s="51"/>
      <c r="C800" s="51" t="s">
        <v>124</v>
      </c>
      <c r="D800" s="220"/>
      <c r="E800" s="89"/>
      <c r="F800" s="89"/>
      <c r="G800" s="89"/>
      <c r="H800" s="89"/>
      <c r="I800" s="89"/>
      <c r="J800" s="89"/>
      <c r="K800" s="212">
        <f t="shared" si="51"/>
        <v>0</v>
      </c>
      <c r="L800" s="212">
        <f t="shared" si="51"/>
        <v>0</v>
      </c>
      <c r="M800" s="212">
        <f t="shared" si="51"/>
        <v>0</v>
      </c>
      <c r="N800" s="212">
        <f t="shared" si="51"/>
        <v>0</v>
      </c>
    </row>
    <row r="801" spans="1:14" s="407" customFormat="1" ht="12.75" x14ac:dyDescent="0.2">
      <c r="A801" s="152"/>
      <c r="B801" s="51"/>
      <c r="C801" s="51" t="s">
        <v>103</v>
      </c>
      <c r="D801" s="220"/>
      <c r="E801" s="89"/>
      <c r="F801" s="89"/>
      <c r="G801" s="89"/>
      <c r="H801" s="89"/>
      <c r="I801" s="89"/>
      <c r="J801" s="89"/>
      <c r="K801" s="212">
        <f t="shared" si="51"/>
        <v>0</v>
      </c>
      <c r="L801" s="212">
        <f t="shared" si="51"/>
        <v>0</v>
      </c>
      <c r="M801" s="212">
        <f t="shared" si="51"/>
        <v>0</v>
      </c>
      <c r="N801" s="212">
        <f t="shared" si="51"/>
        <v>128243.81</v>
      </c>
    </row>
    <row r="802" spans="1:14" s="407" customFormat="1" ht="12.75" x14ac:dyDescent="0.2">
      <c r="A802" s="152"/>
      <c r="B802" s="51"/>
      <c r="C802" s="51" t="s">
        <v>104</v>
      </c>
      <c r="D802" s="220"/>
      <c r="E802" s="89"/>
      <c r="F802" s="89"/>
      <c r="G802" s="89"/>
      <c r="H802" s="89"/>
      <c r="I802" s="89"/>
      <c r="J802" s="89"/>
      <c r="K802" s="212">
        <f t="shared" si="51"/>
        <v>0</v>
      </c>
      <c r="L802" s="212">
        <f t="shared" si="51"/>
        <v>0</v>
      </c>
      <c r="M802" s="212">
        <f t="shared" si="51"/>
        <v>0</v>
      </c>
      <c r="N802" s="212">
        <f t="shared" si="51"/>
        <v>0</v>
      </c>
    </row>
    <row r="803" spans="1:14" s="407" customFormat="1" ht="12.75" x14ac:dyDescent="0.2">
      <c r="A803" s="152"/>
      <c r="B803" s="51"/>
      <c r="C803" s="51" t="s">
        <v>491</v>
      </c>
      <c r="D803" s="220"/>
      <c r="E803" s="89"/>
      <c r="F803" s="89"/>
      <c r="G803" s="89"/>
      <c r="H803" s="89"/>
      <c r="I803" s="89"/>
      <c r="J803" s="89"/>
      <c r="K803" s="212">
        <f t="shared" si="51"/>
        <v>0</v>
      </c>
      <c r="L803" s="212">
        <f t="shared" si="51"/>
        <v>0</v>
      </c>
      <c r="M803" s="212">
        <f t="shared" si="51"/>
        <v>0</v>
      </c>
      <c r="N803" s="212">
        <f t="shared" si="51"/>
        <v>288</v>
      </c>
    </row>
    <row r="804" spans="1:14" s="407" customFormat="1" ht="12.75" x14ac:dyDescent="0.2">
      <c r="A804" s="152"/>
      <c r="B804" s="51"/>
      <c r="C804" s="51" t="s">
        <v>105</v>
      </c>
      <c r="D804" s="220"/>
      <c r="E804" s="89"/>
      <c r="F804" s="89"/>
      <c r="G804" s="89"/>
      <c r="H804" s="89"/>
      <c r="I804" s="89"/>
      <c r="J804" s="89"/>
      <c r="K804" s="212">
        <f t="shared" si="51"/>
        <v>0</v>
      </c>
      <c r="L804" s="212">
        <f t="shared" si="51"/>
        <v>0</v>
      </c>
      <c r="M804" s="212">
        <f t="shared" si="51"/>
        <v>0</v>
      </c>
      <c r="N804" s="212">
        <f t="shared" si="51"/>
        <v>0</v>
      </c>
    </row>
    <row r="805" spans="1:14" s="407" customFormat="1" ht="12.75" x14ac:dyDescent="0.2">
      <c r="A805" s="152"/>
      <c r="B805" s="51"/>
      <c r="C805" s="51" t="s">
        <v>129</v>
      </c>
      <c r="D805" s="220"/>
      <c r="E805" s="89"/>
      <c r="F805" s="89"/>
      <c r="G805" s="89"/>
      <c r="H805" s="89"/>
      <c r="I805" s="89"/>
      <c r="J805" s="89"/>
      <c r="K805" s="212">
        <f t="shared" si="51"/>
        <v>0</v>
      </c>
      <c r="L805" s="212">
        <f t="shared" si="51"/>
        <v>0</v>
      </c>
      <c r="M805" s="212">
        <f t="shared" si="51"/>
        <v>0</v>
      </c>
      <c r="N805" s="212">
        <f t="shared" si="51"/>
        <v>0</v>
      </c>
    </row>
    <row r="806" spans="1:14" s="407" customFormat="1" ht="12.75" x14ac:dyDescent="0.2">
      <c r="A806" s="152"/>
      <c r="B806" s="51"/>
      <c r="C806" s="73" t="s">
        <v>108</v>
      </c>
      <c r="D806" s="220"/>
      <c r="E806" s="89"/>
      <c r="F806" s="89"/>
      <c r="G806" s="89"/>
      <c r="H806" s="89"/>
      <c r="I806" s="89"/>
      <c r="J806" s="89"/>
      <c r="K806" s="212">
        <f t="shared" si="51"/>
        <v>0</v>
      </c>
      <c r="L806" s="212">
        <f t="shared" si="51"/>
        <v>0</v>
      </c>
      <c r="M806" s="212">
        <f t="shared" si="51"/>
        <v>0</v>
      </c>
      <c r="N806" s="212">
        <f t="shared" si="51"/>
        <v>57811.96</v>
      </c>
    </row>
    <row r="807" spans="1:14" s="407" customFormat="1" ht="12.75" x14ac:dyDescent="0.2">
      <c r="A807" s="152"/>
      <c r="B807" s="51"/>
      <c r="C807" s="51" t="s">
        <v>119</v>
      </c>
      <c r="D807" s="220"/>
      <c r="E807" s="89"/>
      <c r="F807" s="89"/>
      <c r="G807" s="89"/>
      <c r="H807" s="89"/>
      <c r="I807" s="89"/>
      <c r="J807" s="89"/>
      <c r="K807" s="212">
        <f t="shared" si="51"/>
        <v>0</v>
      </c>
      <c r="L807" s="212">
        <f t="shared" si="51"/>
        <v>0</v>
      </c>
      <c r="M807" s="212">
        <f t="shared" si="51"/>
        <v>0</v>
      </c>
      <c r="N807" s="212">
        <f t="shared" si="51"/>
        <v>0</v>
      </c>
    </row>
    <row r="808" spans="1:14" s="407" customFormat="1" ht="12.75" x14ac:dyDescent="0.2">
      <c r="A808" s="152"/>
      <c r="B808" s="51"/>
      <c r="C808" s="51" t="s">
        <v>954</v>
      </c>
      <c r="D808" s="220"/>
      <c r="E808" s="89"/>
      <c r="F808" s="89"/>
      <c r="G808" s="89"/>
      <c r="H808" s="89"/>
      <c r="I808" s="89"/>
      <c r="J808" s="89"/>
      <c r="K808" s="212">
        <f t="shared" si="51"/>
        <v>0</v>
      </c>
      <c r="L808" s="212">
        <f t="shared" si="51"/>
        <v>0</v>
      </c>
      <c r="M808" s="212">
        <f t="shared" si="51"/>
        <v>0</v>
      </c>
      <c r="N808" s="212">
        <f t="shared" si="51"/>
        <v>45806.16</v>
      </c>
    </row>
    <row r="809" spans="1:14" s="407" customFormat="1" ht="12.75" x14ac:dyDescent="0.2">
      <c r="A809" s="152"/>
      <c r="B809" s="51"/>
      <c r="C809" s="51" t="s">
        <v>1031</v>
      </c>
      <c r="D809" s="220"/>
      <c r="E809" s="89"/>
      <c r="F809" s="89"/>
      <c r="G809" s="89"/>
      <c r="H809" s="89"/>
      <c r="I809" s="89"/>
      <c r="J809" s="89"/>
      <c r="K809" s="212">
        <f t="shared" si="51"/>
        <v>0</v>
      </c>
      <c r="L809" s="212">
        <f t="shared" si="51"/>
        <v>0</v>
      </c>
      <c r="M809" s="212">
        <f t="shared" si="51"/>
        <v>0</v>
      </c>
      <c r="N809" s="212">
        <f t="shared" si="51"/>
        <v>0</v>
      </c>
    </row>
    <row r="810" spans="1:14" s="407" customFormat="1" ht="12.75" x14ac:dyDescent="0.2">
      <c r="A810" s="152"/>
      <c r="B810" s="51"/>
      <c r="C810" s="51" t="s">
        <v>1009</v>
      </c>
      <c r="D810" s="220"/>
      <c r="E810" s="89"/>
      <c r="F810" s="89"/>
      <c r="G810" s="89"/>
      <c r="H810" s="89"/>
      <c r="I810" s="89"/>
      <c r="J810" s="89"/>
      <c r="K810" s="212">
        <f t="shared" si="51"/>
        <v>0</v>
      </c>
      <c r="L810" s="212">
        <f t="shared" si="51"/>
        <v>0</v>
      </c>
      <c r="M810" s="212">
        <f t="shared" si="51"/>
        <v>0</v>
      </c>
      <c r="N810" s="212">
        <f t="shared" si="51"/>
        <v>0</v>
      </c>
    </row>
    <row r="811" spans="1:14" s="407" customFormat="1" ht="12.75" x14ac:dyDescent="0.2">
      <c r="A811" s="152"/>
      <c r="B811" s="51"/>
      <c r="C811" s="51" t="s">
        <v>107</v>
      </c>
      <c r="D811" s="220"/>
      <c r="E811" s="89"/>
      <c r="F811" s="89"/>
      <c r="G811" s="89"/>
      <c r="H811" s="89"/>
      <c r="I811" s="89"/>
      <c r="J811" s="89"/>
      <c r="K811" s="212">
        <f t="shared" si="51"/>
        <v>0</v>
      </c>
      <c r="L811" s="212">
        <f t="shared" si="51"/>
        <v>0</v>
      </c>
      <c r="M811" s="212">
        <f t="shared" si="51"/>
        <v>0</v>
      </c>
      <c r="N811" s="212">
        <f t="shared" si="51"/>
        <v>0</v>
      </c>
    </row>
    <row r="812" spans="1:14" s="407" customFormat="1" ht="12.75" x14ac:dyDescent="0.2">
      <c r="A812" s="152"/>
      <c r="B812" s="51"/>
      <c r="C812" s="51" t="s">
        <v>955</v>
      </c>
      <c r="D812" s="220"/>
      <c r="E812" s="89"/>
      <c r="F812" s="89"/>
      <c r="G812" s="89"/>
      <c r="H812" s="89"/>
      <c r="I812" s="89"/>
      <c r="J812" s="89"/>
      <c r="K812" s="212">
        <f t="shared" si="51"/>
        <v>0</v>
      </c>
      <c r="L812" s="212">
        <f t="shared" si="51"/>
        <v>0</v>
      </c>
      <c r="M812" s="212">
        <f t="shared" si="51"/>
        <v>0</v>
      </c>
      <c r="N812" s="212">
        <f t="shared" si="51"/>
        <v>0</v>
      </c>
    </row>
    <row r="813" spans="1:14" s="407" customFormat="1" ht="12.75" x14ac:dyDescent="0.2">
      <c r="A813" s="152"/>
      <c r="B813" s="51"/>
      <c r="C813" s="51" t="s">
        <v>958</v>
      </c>
      <c r="D813" s="220"/>
      <c r="E813" s="89"/>
      <c r="F813" s="89"/>
      <c r="G813" s="89"/>
      <c r="H813" s="89"/>
      <c r="I813" s="89"/>
      <c r="J813" s="89"/>
      <c r="K813" s="212">
        <f t="shared" ref="K813:N823" si="52">SUMIF($C$26:$C$212,$C813,K$26:K$212)</f>
        <v>0</v>
      </c>
      <c r="L813" s="212">
        <f t="shared" si="52"/>
        <v>0</v>
      </c>
      <c r="M813" s="212">
        <f t="shared" si="52"/>
        <v>0</v>
      </c>
      <c r="N813" s="212">
        <f t="shared" si="52"/>
        <v>7245.28</v>
      </c>
    </row>
    <row r="814" spans="1:14" s="407" customFormat="1" ht="12.75" x14ac:dyDescent="0.2">
      <c r="A814" s="152"/>
      <c r="B814" s="51"/>
      <c r="C814" s="51" t="s">
        <v>1032</v>
      </c>
      <c r="D814" s="220"/>
      <c r="E814" s="89"/>
      <c r="F814" s="89"/>
      <c r="G814" s="89"/>
      <c r="H814" s="89"/>
      <c r="I814" s="89"/>
      <c r="J814" s="89"/>
      <c r="K814" s="212">
        <f t="shared" si="52"/>
        <v>0</v>
      </c>
      <c r="L814" s="212">
        <f t="shared" si="52"/>
        <v>0</v>
      </c>
      <c r="M814" s="212">
        <f t="shared" si="52"/>
        <v>0</v>
      </c>
      <c r="N814" s="212">
        <f t="shared" si="52"/>
        <v>0</v>
      </c>
    </row>
    <row r="815" spans="1:14" s="407" customFormat="1" ht="12.75" x14ac:dyDescent="0.2">
      <c r="A815" s="152"/>
      <c r="B815" s="51"/>
      <c r="C815" s="51" t="s">
        <v>109</v>
      </c>
      <c r="D815" s="220"/>
      <c r="E815" s="89"/>
      <c r="F815" s="89"/>
      <c r="G815" s="89"/>
      <c r="H815" s="89"/>
      <c r="I815" s="89"/>
      <c r="J815" s="89"/>
      <c r="K815" s="212">
        <f t="shared" si="52"/>
        <v>0</v>
      </c>
      <c r="L815" s="212">
        <f t="shared" si="52"/>
        <v>0</v>
      </c>
      <c r="M815" s="212">
        <f t="shared" si="52"/>
        <v>0</v>
      </c>
      <c r="N815" s="212">
        <f t="shared" si="52"/>
        <v>947</v>
      </c>
    </row>
    <row r="816" spans="1:14" s="407" customFormat="1" ht="12.75" x14ac:dyDescent="0.2">
      <c r="A816" s="152"/>
      <c r="B816" s="51"/>
      <c r="C816" s="51" t="s">
        <v>966</v>
      </c>
      <c r="D816" s="220"/>
      <c r="E816" s="89"/>
      <c r="F816" s="89"/>
      <c r="G816" s="89"/>
      <c r="H816" s="89"/>
      <c r="I816" s="89"/>
      <c r="J816" s="89"/>
      <c r="K816" s="212">
        <f t="shared" si="52"/>
        <v>0</v>
      </c>
      <c r="L816" s="212">
        <f t="shared" si="52"/>
        <v>0</v>
      </c>
      <c r="M816" s="212">
        <f t="shared" si="52"/>
        <v>0</v>
      </c>
      <c r="N816" s="212">
        <f t="shared" si="52"/>
        <v>0</v>
      </c>
    </row>
    <row r="817" spans="1:15" s="407" customFormat="1" ht="12.75" x14ac:dyDescent="0.2">
      <c r="A817" s="152"/>
      <c r="B817" s="51"/>
      <c r="C817" s="51" t="s">
        <v>981</v>
      </c>
      <c r="D817" s="220"/>
      <c r="E817" s="89"/>
      <c r="F817" s="89"/>
      <c r="G817" s="89"/>
      <c r="H817" s="89"/>
      <c r="I817" s="89"/>
      <c r="J817" s="89"/>
      <c r="K817" s="212">
        <f t="shared" si="52"/>
        <v>0</v>
      </c>
      <c r="L817" s="212">
        <f t="shared" si="52"/>
        <v>0</v>
      </c>
      <c r="M817" s="212">
        <f t="shared" si="52"/>
        <v>0</v>
      </c>
      <c r="N817" s="212">
        <f t="shared" si="52"/>
        <v>0</v>
      </c>
    </row>
    <row r="818" spans="1:15" s="407" customFormat="1" ht="12.75" x14ac:dyDescent="0.2">
      <c r="A818" s="152"/>
      <c r="B818" s="51"/>
      <c r="C818" s="51" t="s">
        <v>963</v>
      </c>
      <c r="D818" s="220"/>
      <c r="E818" s="89"/>
      <c r="F818" s="89"/>
      <c r="G818" s="89"/>
      <c r="H818" s="89"/>
      <c r="I818" s="89"/>
      <c r="J818" s="89"/>
      <c r="K818" s="212">
        <f t="shared" si="52"/>
        <v>0</v>
      </c>
      <c r="L818" s="212">
        <f t="shared" si="52"/>
        <v>0</v>
      </c>
      <c r="M818" s="212">
        <f t="shared" si="52"/>
        <v>0</v>
      </c>
      <c r="N818" s="212">
        <f t="shared" si="52"/>
        <v>0</v>
      </c>
    </row>
    <row r="819" spans="1:15" s="407" customFormat="1" ht="12.75" x14ac:dyDescent="0.2">
      <c r="A819" s="152"/>
      <c r="B819" s="51"/>
      <c r="C819" s="51" t="s">
        <v>120</v>
      </c>
      <c r="D819" s="220"/>
      <c r="E819" s="89"/>
      <c r="F819" s="89"/>
      <c r="G819" s="89"/>
      <c r="H819" s="89"/>
      <c r="I819" s="89"/>
      <c r="J819" s="89"/>
      <c r="K819" s="212">
        <f t="shared" si="52"/>
        <v>0</v>
      </c>
      <c r="L819" s="212">
        <f t="shared" si="52"/>
        <v>0</v>
      </c>
      <c r="M819" s="212">
        <f t="shared" si="52"/>
        <v>0</v>
      </c>
      <c r="N819" s="212">
        <f t="shared" si="52"/>
        <v>613</v>
      </c>
    </row>
    <row r="820" spans="1:15" s="407" customFormat="1" ht="12.75" x14ac:dyDescent="0.2">
      <c r="A820" s="152"/>
      <c r="B820" s="51"/>
      <c r="C820" s="51" t="s">
        <v>989</v>
      </c>
      <c r="D820" s="220"/>
      <c r="E820" s="89"/>
      <c r="F820" s="89"/>
      <c r="G820" s="89"/>
      <c r="H820" s="89"/>
      <c r="I820" s="89"/>
      <c r="J820" s="89"/>
      <c r="K820" s="212">
        <f t="shared" si="52"/>
        <v>0</v>
      </c>
      <c r="L820" s="212">
        <f t="shared" si="52"/>
        <v>0</v>
      </c>
      <c r="M820" s="212">
        <f t="shared" si="52"/>
        <v>0</v>
      </c>
      <c r="N820" s="212">
        <f t="shared" si="52"/>
        <v>0</v>
      </c>
    </row>
    <row r="821" spans="1:15" s="407" customFormat="1" ht="12.75" x14ac:dyDescent="0.2">
      <c r="A821" s="152"/>
      <c r="B821" s="51"/>
      <c r="C821" s="51"/>
      <c r="D821" s="220"/>
      <c r="E821" s="89"/>
      <c r="F821" s="89"/>
      <c r="G821" s="89"/>
      <c r="H821" s="89"/>
      <c r="I821" s="89"/>
      <c r="J821" s="89"/>
      <c r="K821" s="212">
        <f t="shared" si="52"/>
        <v>0</v>
      </c>
      <c r="L821" s="212">
        <f t="shared" si="52"/>
        <v>0</v>
      </c>
      <c r="M821" s="212">
        <f t="shared" si="52"/>
        <v>0</v>
      </c>
      <c r="N821" s="212">
        <f t="shared" si="52"/>
        <v>0</v>
      </c>
    </row>
    <row r="822" spans="1:15" s="407" customFormat="1" ht="12.75" x14ac:dyDescent="0.2">
      <c r="A822" s="152"/>
      <c r="B822" s="51"/>
      <c r="C822" s="51"/>
      <c r="D822" s="220"/>
      <c r="E822" s="89"/>
      <c r="F822" s="89"/>
      <c r="G822" s="89"/>
      <c r="H822" s="89"/>
      <c r="I822" s="89"/>
      <c r="J822" s="89"/>
      <c r="K822" s="212">
        <f t="shared" si="52"/>
        <v>0</v>
      </c>
      <c r="L822" s="212">
        <f t="shared" si="52"/>
        <v>0</v>
      </c>
      <c r="M822" s="212">
        <f t="shared" si="52"/>
        <v>0</v>
      </c>
      <c r="N822" s="212">
        <f t="shared" si="52"/>
        <v>0</v>
      </c>
    </row>
    <row r="823" spans="1:15" s="407" customFormat="1" ht="12.75" x14ac:dyDescent="0.2">
      <c r="A823" s="152"/>
      <c r="B823" s="51"/>
      <c r="C823" s="51"/>
      <c r="D823" s="220"/>
      <c r="E823" s="89"/>
      <c r="F823" s="89"/>
      <c r="G823" s="89"/>
      <c r="H823" s="89"/>
      <c r="I823" s="89"/>
      <c r="J823" s="89"/>
      <c r="K823" s="212">
        <f t="shared" si="52"/>
        <v>0</v>
      </c>
      <c r="L823" s="212">
        <f t="shared" si="52"/>
        <v>0</v>
      </c>
      <c r="M823" s="212">
        <f t="shared" si="52"/>
        <v>0</v>
      </c>
      <c r="N823" s="212">
        <f t="shared" si="52"/>
        <v>0</v>
      </c>
    </row>
    <row r="824" spans="1:15" s="235" customFormat="1" ht="15.75" thickBot="1" x14ac:dyDescent="0.3">
      <c r="A824" s="204"/>
      <c r="B824" s="242"/>
      <c r="C824" s="146"/>
      <c r="D824" s="243"/>
      <c r="E824" s="147"/>
      <c r="F824" s="147"/>
      <c r="G824" s="147"/>
      <c r="H824" s="147"/>
      <c r="I824" s="147"/>
      <c r="J824" s="147"/>
      <c r="K824" s="206"/>
      <c r="L824" s="206"/>
      <c r="M824" s="206"/>
      <c r="N824" s="206"/>
    </row>
    <row r="825" spans="1:15" s="246" customFormat="1" ht="15.75" thickBot="1" x14ac:dyDescent="0.3">
      <c r="A825" s="244"/>
      <c r="B825" s="245"/>
      <c r="C825" s="219"/>
      <c r="D825" s="221"/>
      <c r="E825" s="218"/>
      <c r="F825" s="218"/>
      <c r="G825" s="218"/>
      <c r="H825" s="218"/>
      <c r="I825" s="218"/>
      <c r="J825" s="218"/>
      <c r="K825" s="217">
        <f>K213-SUM(K635:K823)</f>
        <v>0</v>
      </c>
      <c r="L825" s="217">
        <f>L213-SUM(L635:L823)</f>
        <v>0</v>
      </c>
      <c r="M825" s="217">
        <f>M213-SUM(M635:M823)</f>
        <v>0</v>
      </c>
      <c r="N825" s="217">
        <f>N213-SUM(N635:N823)</f>
        <v>0</v>
      </c>
    </row>
    <row r="827" spans="1:15" s="407" customFormat="1" x14ac:dyDescent="0.25">
      <c r="B827" s="3"/>
      <c r="C827" s="3"/>
    </row>
    <row r="828" spans="1:15" s="407" customFormat="1" x14ac:dyDescent="0.25">
      <c r="B828" s="3"/>
      <c r="C828" s="3"/>
    </row>
    <row r="829" spans="1:15" s="407" customFormat="1" x14ac:dyDescent="0.25">
      <c r="B829" s="3"/>
      <c r="C829" s="3"/>
    </row>
    <row r="830" spans="1:15" s="407" customFormat="1" x14ac:dyDescent="0.25">
      <c r="B830" s="3"/>
      <c r="C830" s="3"/>
    </row>
    <row r="831" spans="1:15" s="407" customFormat="1" x14ac:dyDescent="0.25">
      <c r="B831" s="3"/>
      <c r="C831" s="3"/>
    </row>
    <row r="832" spans="1:15" ht="12.75" x14ac:dyDescent="0.2">
      <c r="A832" s="152">
        <v>6330000</v>
      </c>
      <c r="B832" s="51"/>
      <c r="C832" s="51" t="s">
        <v>986</v>
      </c>
      <c r="D832" s="220">
        <f>COUNTIFS($A$26:$A$212,$A832,$B$26:$B$212,$B832)</f>
        <v>0</v>
      </c>
      <c r="E832" s="89"/>
      <c r="F832" s="89"/>
      <c r="G832" s="89"/>
      <c r="H832" s="89"/>
      <c r="I832" s="89"/>
      <c r="J832" s="89"/>
      <c r="K832" s="212">
        <f t="shared" ref="K832:M851" si="53">SUMIF($C$26:$C$212,$C832,K$26:K$212)</f>
        <v>0</v>
      </c>
      <c r="L832" s="212">
        <f t="shared" si="53"/>
        <v>0</v>
      </c>
      <c r="M832" s="212">
        <f t="shared" si="53"/>
        <v>0</v>
      </c>
      <c r="N832" s="212">
        <f t="shared" ref="N832:N895" si="54">SUMIFS(N$26:N$212,$A$26:$A$212,$A832,$C$26:$C$212,$C832)</f>
        <v>0</v>
      </c>
      <c r="O832" s="407"/>
    </row>
    <row r="833" spans="1:15" ht="12.75" x14ac:dyDescent="0.2">
      <c r="A833" s="152">
        <v>6330000</v>
      </c>
      <c r="B833" s="51"/>
      <c r="C833" s="51" t="s">
        <v>988</v>
      </c>
      <c r="D833" s="220"/>
      <c r="E833" s="89"/>
      <c r="F833" s="89"/>
      <c r="G833" s="89"/>
      <c r="H833" s="89"/>
      <c r="I833" s="89"/>
      <c r="J833" s="89"/>
      <c r="K833" s="212">
        <f t="shared" si="53"/>
        <v>0</v>
      </c>
      <c r="L833" s="212">
        <f t="shared" si="53"/>
        <v>0</v>
      </c>
      <c r="M833" s="212">
        <f t="shared" si="53"/>
        <v>0</v>
      </c>
      <c r="N833" s="212">
        <f t="shared" si="54"/>
        <v>0</v>
      </c>
      <c r="O833" s="407"/>
    </row>
    <row r="834" spans="1:15" ht="12.75" x14ac:dyDescent="0.2">
      <c r="A834" s="152">
        <v>6330000</v>
      </c>
      <c r="B834" s="51"/>
      <c r="C834" s="51" t="s">
        <v>1058</v>
      </c>
      <c r="D834" s="220"/>
      <c r="E834" s="89"/>
      <c r="F834" s="89"/>
      <c r="G834" s="89"/>
      <c r="H834" s="89"/>
      <c r="I834" s="89"/>
      <c r="J834" s="89"/>
      <c r="K834" s="212">
        <f t="shared" si="53"/>
        <v>0</v>
      </c>
      <c r="L834" s="212">
        <f t="shared" si="53"/>
        <v>0</v>
      </c>
      <c r="M834" s="212">
        <f t="shared" si="53"/>
        <v>0</v>
      </c>
      <c r="N834" s="212">
        <f t="shared" si="54"/>
        <v>0</v>
      </c>
      <c r="O834" s="407"/>
    </row>
    <row r="835" spans="1:15" ht="12.75" x14ac:dyDescent="0.2">
      <c r="A835" s="152">
        <v>6330000</v>
      </c>
      <c r="B835" s="51"/>
      <c r="C835" s="51" t="s">
        <v>972</v>
      </c>
      <c r="D835" s="220"/>
      <c r="E835" s="89"/>
      <c r="F835" s="89"/>
      <c r="G835" s="89"/>
      <c r="H835" s="89"/>
      <c r="I835" s="89"/>
      <c r="J835" s="89"/>
      <c r="K835" s="212">
        <f t="shared" si="53"/>
        <v>0</v>
      </c>
      <c r="L835" s="212">
        <f t="shared" si="53"/>
        <v>0</v>
      </c>
      <c r="M835" s="212">
        <f t="shared" si="53"/>
        <v>0</v>
      </c>
      <c r="N835" s="212">
        <f t="shared" si="54"/>
        <v>0</v>
      </c>
      <c r="O835" s="407"/>
    </row>
    <row r="836" spans="1:15" ht="12.75" x14ac:dyDescent="0.2">
      <c r="A836" s="152">
        <v>6330000</v>
      </c>
      <c r="B836" s="51"/>
      <c r="C836" s="51" t="s">
        <v>973</v>
      </c>
      <c r="D836" s="220"/>
      <c r="E836" s="89"/>
      <c r="F836" s="89"/>
      <c r="G836" s="89"/>
      <c r="H836" s="89"/>
      <c r="I836" s="89"/>
      <c r="J836" s="89"/>
      <c r="K836" s="212">
        <f t="shared" si="53"/>
        <v>0</v>
      </c>
      <c r="L836" s="212">
        <f t="shared" si="53"/>
        <v>0</v>
      </c>
      <c r="M836" s="212">
        <f t="shared" si="53"/>
        <v>0</v>
      </c>
      <c r="N836" s="212">
        <f t="shared" si="54"/>
        <v>0</v>
      </c>
      <c r="O836" s="407"/>
    </row>
    <row r="837" spans="1:15" ht="12.75" x14ac:dyDescent="0.2">
      <c r="A837" s="152">
        <v>6330000</v>
      </c>
      <c r="B837" s="51"/>
      <c r="C837" s="51" t="s">
        <v>980</v>
      </c>
      <c r="D837" s="220"/>
      <c r="E837" s="89"/>
      <c r="F837" s="89"/>
      <c r="G837" s="89"/>
      <c r="H837" s="89"/>
      <c r="I837" s="89"/>
      <c r="J837" s="89"/>
      <c r="K837" s="212">
        <f t="shared" si="53"/>
        <v>0</v>
      </c>
      <c r="L837" s="212">
        <f t="shared" si="53"/>
        <v>0</v>
      </c>
      <c r="M837" s="212">
        <f t="shared" si="53"/>
        <v>0</v>
      </c>
      <c r="N837" s="212">
        <f t="shared" si="54"/>
        <v>0</v>
      </c>
      <c r="O837" s="407"/>
    </row>
    <row r="838" spans="1:15" ht="12.75" x14ac:dyDescent="0.2">
      <c r="A838" s="152">
        <v>6330000</v>
      </c>
      <c r="B838" s="51"/>
      <c r="C838" s="51" t="s">
        <v>982</v>
      </c>
      <c r="D838" s="220"/>
      <c r="E838" s="89"/>
      <c r="F838" s="89"/>
      <c r="G838" s="89"/>
      <c r="H838" s="89"/>
      <c r="I838" s="89"/>
      <c r="J838" s="89"/>
      <c r="K838" s="212">
        <f t="shared" si="53"/>
        <v>0</v>
      </c>
      <c r="L838" s="212">
        <f t="shared" si="53"/>
        <v>0</v>
      </c>
      <c r="M838" s="212">
        <f t="shared" si="53"/>
        <v>0</v>
      </c>
      <c r="N838" s="212">
        <f t="shared" si="54"/>
        <v>0</v>
      </c>
      <c r="O838" s="407"/>
    </row>
    <row r="839" spans="1:15" ht="12.75" x14ac:dyDescent="0.2">
      <c r="A839" s="152">
        <v>6330000</v>
      </c>
      <c r="B839" s="51"/>
      <c r="C839" s="51" t="s">
        <v>46</v>
      </c>
      <c r="D839" s="220"/>
      <c r="E839" s="89"/>
      <c r="F839" s="89"/>
      <c r="G839" s="89"/>
      <c r="H839" s="89"/>
      <c r="I839" s="89"/>
      <c r="J839" s="89"/>
      <c r="K839" s="212">
        <f t="shared" si="53"/>
        <v>0</v>
      </c>
      <c r="L839" s="212">
        <f t="shared" si="53"/>
        <v>0</v>
      </c>
      <c r="M839" s="212">
        <f t="shared" si="53"/>
        <v>0</v>
      </c>
      <c r="N839" s="212">
        <f t="shared" si="54"/>
        <v>0</v>
      </c>
      <c r="O839" s="407"/>
    </row>
    <row r="840" spans="1:15" ht="12.75" x14ac:dyDescent="0.2">
      <c r="A840" s="152">
        <v>6330000</v>
      </c>
      <c r="B840" s="51"/>
      <c r="C840" s="51" t="s">
        <v>1019</v>
      </c>
      <c r="D840" s="220"/>
      <c r="E840" s="89"/>
      <c r="F840" s="89"/>
      <c r="G840" s="89"/>
      <c r="H840" s="89"/>
      <c r="I840" s="89"/>
      <c r="J840" s="89"/>
      <c r="K840" s="212">
        <f t="shared" si="53"/>
        <v>0</v>
      </c>
      <c r="L840" s="212">
        <f t="shared" si="53"/>
        <v>0</v>
      </c>
      <c r="M840" s="212">
        <f t="shared" si="53"/>
        <v>0</v>
      </c>
      <c r="N840" s="212">
        <f t="shared" si="54"/>
        <v>3000</v>
      </c>
      <c r="O840" s="407"/>
    </row>
    <row r="841" spans="1:15" ht="12.75" x14ac:dyDescent="0.2">
      <c r="A841" s="152">
        <v>6330000</v>
      </c>
      <c r="B841" s="51"/>
      <c r="C841" s="51" t="s">
        <v>1050</v>
      </c>
      <c r="D841" s="220"/>
      <c r="E841" s="89"/>
      <c r="F841" s="89"/>
      <c r="G841" s="89"/>
      <c r="H841" s="89"/>
      <c r="I841" s="89"/>
      <c r="J841" s="89"/>
      <c r="K841" s="212">
        <f t="shared" si="53"/>
        <v>0</v>
      </c>
      <c r="L841" s="212">
        <f t="shared" si="53"/>
        <v>0</v>
      </c>
      <c r="M841" s="212">
        <f t="shared" si="53"/>
        <v>0</v>
      </c>
      <c r="N841" s="212">
        <f t="shared" si="54"/>
        <v>0</v>
      </c>
      <c r="O841" s="407"/>
    </row>
    <row r="842" spans="1:15" ht="12.75" x14ac:dyDescent="0.2">
      <c r="A842" s="152">
        <v>6330000</v>
      </c>
      <c r="B842" s="51"/>
      <c r="C842" s="51" t="s">
        <v>100</v>
      </c>
      <c r="D842" s="220"/>
      <c r="E842" s="89"/>
      <c r="F842" s="89"/>
      <c r="G842" s="89"/>
      <c r="H842" s="89"/>
      <c r="I842" s="89"/>
      <c r="J842" s="89"/>
      <c r="K842" s="212">
        <f t="shared" si="53"/>
        <v>0</v>
      </c>
      <c r="L842" s="212">
        <f t="shared" si="53"/>
        <v>0</v>
      </c>
      <c r="M842" s="212">
        <f t="shared" si="53"/>
        <v>0</v>
      </c>
      <c r="N842" s="212">
        <f t="shared" si="54"/>
        <v>0</v>
      </c>
      <c r="O842" s="407"/>
    </row>
    <row r="843" spans="1:15" ht="12.75" x14ac:dyDescent="0.2">
      <c r="A843" s="152">
        <v>6330000</v>
      </c>
      <c r="B843" s="51"/>
      <c r="C843" s="51" t="s">
        <v>101</v>
      </c>
      <c r="D843" s="220"/>
      <c r="E843" s="89"/>
      <c r="F843" s="89"/>
      <c r="G843" s="89"/>
      <c r="H843" s="89"/>
      <c r="I843" s="89"/>
      <c r="J843" s="89"/>
      <c r="K843" s="212">
        <f t="shared" si="53"/>
        <v>0</v>
      </c>
      <c r="L843" s="212">
        <f t="shared" si="53"/>
        <v>0</v>
      </c>
      <c r="M843" s="212">
        <f t="shared" si="53"/>
        <v>0</v>
      </c>
      <c r="N843" s="212">
        <f t="shared" si="54"/>
        <v>0</v>
      </c>
      <c r="O843" s="407"/>
    </row>
    <row r="844" spans="1:15" ht="12.75" x14ac:dyDescent="0.2">
      <c r="A844" s="152">
        <v>6330000</v>
      </c>
      <c r="B844" s="51"/>
      <c r="C844" s="51" t="s">
        <v>1056</v>
      </c>
      <c r="D844" s="220"/>
      <c r="E844" s="89"/>
      <c r="F844" s="89"/>
      <c r="G844" s="89"/>
      <c r="H844" s="89"/>
      <c r="I844" s="89"/>
      <c r="J844" s="89"/>
      <c r="K844" s="212">
        <f t="shared" si="53"/>
        <v>0</v>
      </c>
      <c r="L844" s="212">
        <f t="shared" si="53"/>
        <v>0</v>
      </c>
      <c r="M844" s="212">
        <f t="shared" si="53"/>
        <v>0</v>
      </c>
      <c r="N844" s="212">
        <f t="shared" si="54"/>
        <v>0</v>
      </c>
      <c r="O844" s="407"/>
    </row>
    <row r="845" spans="1:15" ht="12.75" x14ac:dyDescent="0.2">
      <c r="A845" s="152">
        <v>6330000</v>
      </c>
      <c r="B845" s="51"/>
      <c r="C845" s="51" t="s">
        <v>1057</v>
      </c>
      <c r="D845" s="220"/>
      <c r="E845" s="89"/>
      <c r="F845" s="89"/>
      <c r="G845" s="89"/>
      <c r="H845" s="89"/>
      <c r="I845" s="89"/>
      <c r="J845" s="89"/>
      <c r="K845" s="212">
        <f t="shared" si="53"/>
        <v>0</v>
      </c>
      <c r="L845" s="212">
        <f t="shared" si="53"/>
        <v>0</v>
      </c>
      <c r="M845" s="212">
        <f t="shared" si="53"/>
        <v>0</v>
      </c>
      <c r="N845" s="212">
        <f t="shared" si="54"/>
        <v>0</v>
      </c>
      <c r="O845" s="407"/>
    </row>
    <row r="846" spans="1:15" ht="12.75" x14ac:dyDescent="0.2">
      <c r="A846" s="152">
        <v>6330000</v>
      </c>
      <c r="B846" s="51"/>
      <c r="C846" s="51" t="s">
        <v>1631</v>
      </c>
      <c r="D846" s="220"/>
      <c r="E846" s="89"/>
      <c r="F846" s="89"/>
      <c r="G846" s="89"/>
      <c r="H846" s="89"/>
      <c r="I846" s="89"/>
      <c r="J846" s="89"/>
      <c r="K846" s="212">
        <f t="shared" si="53"/>
        <v>0</v>
      </c>
      <c r="L846" s="212">
        <f t="shared" si="53"/>
        <v>0</v>
      </c>
      <c r="M846" s="212">
        <f t="shared" si="53"/>
        <v>0</v>
      </c>
      <c r="N846" s="212">
        <f t="shared" si="54"/>
        <v>0</v>
      </c>
      <c r="O846" s="407"/>
    </row>
    <row r="847" spans="1:15" ht="12.75" x14ac:dyDescent="0.2">
      <c r="A847" s="152">
        <v>6330000</v>
      </c>
      <c r="B847" s="51"/>
      <c r="C847" s="51" t="s">
        <v>1632</v>
      </c>
      <c r="D847" s="220"/>
      <c r="E847" s="89"/>
      <c r="F847" s="89"/>
      <c r="G847" s="89"/>
      <c r="H847" s="89"/>
      <c r="I847" s="89"/>
      <c r="J847" s="89"/>
      <c r="K847" s="212">
        <f t="shared" si="53"/>
        <v>0</v>
      </c>
      <c r="L847" s="212">
        <f t="shared" si="53"/>
        <v>0</v>
      </c>
      <c r="M847" s="212">
        <f t="shared" si="53"/>
        <v>0</v>
      </c>
      <c r="N847" s="212">
        <f t="shared" si="54"/>
        <v>0</v>
      </c>
      <c r="O847" s="407"/>
    </row>
    <row r="848" spans="1:15" ht="12.75" x14ac:dyDescent="0.2">
      <c r="A848" s="152">
        <v>6330000</v>
      </c>
      <c r="B848" s="51"/>
      <c r="C848" s="51" t="s">
        <v>965</v>
      </c>
      <c r="D848" s="220"/>
      <c r="E848" s="89"/>
      <c r="F848" s="89"/>
      <c r="G848" s="89"/>
      <c r="H848" s="89"/>
      <c r="I848" s="89"/>
      <c r="J848" s="89"/>
      <c r="K848" s="212">
        <f t="shared" si="53"/>
        <v>0</v>
      </c>
      <c r="L848" s="212">
        <f t="shared" si="53"/>
        <v>0</v>
      </c>
      <c r="M848" s="212">
        <f t="shared" si="53"/>
        <v>0</v>
      </c>
      <c r="N848" s="212">
        <f t="shared" si="54"/>
        <v>0</v>
      </c>
      <c r="O848" s="407"/>
    </row>
    <row r="849" spans="1:15" ht="12.75" x14ac:dyDescent="0.2">
      <c r="A849" s="152">
        <v>6330000</v>
      </c>
      <c r="B849" s="51"/>
      <c r="C849" s="51" t="s">
        <v>1011</v>
      </c>
      <c r="D849" s="220"/>
      <c r="E849" s="89"/>
      <c r="F849" s="89"/>
      <c r="G849" s="89"/>
      <c r="H849" s="89"/>
      <c r="I849" s="89"/>
      <c r="J849" s="89"/>
      <c r="K849" s="212">
        <f t="shared" si="53"/>
        <v>0</v>
      </c>
      <c r="L849" s="212">
        <f t="shared" si="53"/>
        <v>0</v>
      </c>
      <c r="M849" s="212">
        <f t="shared" si="53"/>
        <v>0</v>
      </c>
      <c r="N849" s="212">
        <f t="shared" si="54"/>
        <v>0</v>
      </c>
      <c r="O849" s="407"/>
    </row>
    <row r="850" spans="1:15" ht="12.75" x14ac:dyDescent="0.2">
      <c r="A850" s="152">
        <v>6330000</v>
      </c>
      <c r="B850" s="51"/>
      <c r="C850" s="51" t="s">
        <v>1010</v>
      </c>
      <c r="D850" s="220"/>
      <c r="E850" s="89"/>
      <c r="F850" s="89"/>
      <c r="G850" s="89"/>
      <c r="H850" s="89"/>
      <c r="I850" s="89"/>
      <c r="J850" s="89"/>
      <c r="K850" s="212">
        <f t="shared" si="53"/>
        <v>0</v>
      </c>
      <c r="L850" s="212">
        <f t="shared" si="53"/>
        <v>0</v>
      </c>
      <c r="M850" s="212">
        <f t="shared" si="53"/>
        <v>0</v>
      </c>
      <c r="N850" s="212">
        <f t="shared" si="54"/>
        <v>0</v>
      </c>
      <c r="O850" s="407"/>
    </row>
    <row r="851" spans="1:15" ht="12.75" x14ac:dyDescent="0.2">
      <c r="A851" s="152">
        <v>6330000</v>
      </c>
      <c r="B851" s="51"/>
      <c r="C851" s="51" t="s">
        <v>1013</v>
      </c>
      <c r="D851" s="220"/>
      <c r="E851" s="89"/>
      <c r="F851" s="89"/>
      <c r="G851" s="89"/>
      <c r="H851" s="89"/>
      <c r="I851" s="89"/>
      <c r="J851" s="89"/>
      <c r="K851" s="212">
        <f t="shared" si="53"/>
        <v>0</v>
      </c>
      <c r="L851" s="212">
        <f t="shared" si="53"/>
        <v>0</v>
      </c>
      <c r="M851" s="212">
        <f t="shared" si="53"/>
        <v>0</v>
      </c>
      <c r="N851" s="212">
        <f t="shared" si="54"/>
        <v>0</v>
      </c>
      <c r="O851" s="407"/>
    </row>
    <row r="852" spans="1:15" ht="12.75" x14ac:dyDescent="0.2">
      <c r="A852" s="152">
        <v>6330000</v>
      </c>
      <c r="B852" s="51"/>
      <c r="C852" s="51" t="s">
        <v>1012</v>
      </c>
      <c r="D852" s="220"/>
      <c r="E852" s="89"/>
      <c r="F852" s="89"/>
      <c r="G852" s="89"/>
      <c r="H852" s="89"/>
      <c r="I852" s="89"/>
      <c r="J852" s="89"/>
      <c r="K852" s="212">
        <f t="shared" ref="K852:M871" si="55">SUMIF($C$26:$C$212,$C852,K$26:K$212)</f>
        <v>0</v>
      </c>
      <c r="L852" s="212">
        <f t="shared" si="55"/>
        <v>0</v>
      </c>
      <c r="M852" s="212">
        <f t="shared" si="55"/>
        <v>0</v>
      </c>
      <c r="N852" s="212">
        <f t="shared" si="54"/>
        <v>0</v>
      </c>
      <c r="O852" s="407"/>
    </row>
    <row r="853" spans="1:15" ht="12.75" x14ac:dyDescent="0.2">
      <c r="A853" s="152">
        <v>6330000</v>
      </c>
      <c r="B853" s="51"/>
      <c r="C853" s="51" t="s">
        <v>1052</v>
      </c>
      <c r="D853" s="220"/>
      <c r="E853" s="89"/>
      <c r="F853" s="89"/>
      <c r="G853" s="89"/>
      <c r="H853" s="89"/>
      <c r="I853" s="89"/>
      <c r="J853" s="89"/>
      <c r="K853" s="212">
        <f t="shared" si="55"/>
        <v>0</v>
      </c>
      <c r="L853" s="212">
        <f t="shared" si="55"/>
        <v>0</v>
      </c>
      <c r="M853" s="212">
        <f t="shared" si="55"/>
        <v>0</v>
      </c>
      <c r="N853" s="212">
        <f t="shared" si="54"/>
        <v>0</v>
      </c>
      <c r="O853" s="407"/>
    </row>
    <row r="854" spans="1:15" ht="12.75" x14ac:dyDescent="0.2">
      <c r="A854" s="152">
        <v>6330000</v>
      </c>
      <c r="B854" s="51"/>
      <c r="C854" s="51" t="s">
        <v>1053</v>
      </c>
      <c r="D854" s="220"/>
      <c r="E854" s="89"/>
      <c r="F854" s="89"/>
      <c r="G854" s="89"/>
      <c r="H854" s="89"/>
      <c r="I854" s="89"/>
      <c r="J854" s="89"/>
      <c r="K854" s="212">
        <f t="shared" si="55"/>
        <v>0</v>
      </c>
      <c r="L854" s="212">
        <f t="shared" si="55"/>
        <v>0</v>
      </c>
      <c r="M854" s="212">
        <f t="shared" si="55"/>
        <v>0</v>
      </c>
      <c r="N854" s="212">
        <f t="shared" si="54"/>
        <v>0</v>
      </c>
      <c r="O854" s="407"/>
    </row>
    <row r="855" spans="1:15" ht="12.75" x14ac:dyDescent="0.2">
      <c r="A855" s="152">
        <v>6330000</v>
      </c>
      <c r="B855" s="51"/>
      <c r="C855" s="51" t="s">
        <v>984</v>
      </c>
      <c r="D855" s="220"/>
      <c r="E855" s="89"/>
      <c r="F855" s="89"/>
      <c r="G855" s="89"/>
      <c r="H855" s="89"/>
      <c r="I855" s="89"/>
      <c r="J855" s="89"/>
      <c r="K855" s="212">
        <f t="shared" si="55"/>
        <v>0</v>
      </c>
      <c r="L855" s="212">
        <f t="shared" si="55"/>
        <v>0</v>
      </c>
      <c r="M855" s="212">
        <f t="shared" si="55"/>
        <v>0</v>
      </c>
      <c r="N855" s="212">
        <f t="shared" si="54"/>
        <v>0</v>
      </c>
      <c r="O855" s="407"/>
    </row>
    <row r="856" spans="1:15" ht="12.75" x14ac:dyDescent="0.2">
      <c r="A856" s="152">
        <v>6330000</v>
      </c>
      <c r="B856" s="51"/>
      <c r="C856" s="51" t="s">
        <v>985</v>
      </c>
      <c r="D856" s="220"/>
      <c r="E856" s="89"/>
      <c r="F856" s="89"/>
      <c r="G856" s="89"/>
      <c r="H856" s="89"/>
      <c r="I856" s="89"/>
      <c r="J856" s="89"/>
      <c r="K856" s="212">
        <f t="shared" si="55"/>
        <v>0</v>
      </c>
      <c r="L856" s="212">
        <f t="shared" si="55"/>
        <v>0</v>
      </c>
      <c r="M856" s="212">
        <f t="shared" si="55"/>
        <v>0</v>
      </c>
      <c r="N856" s="212">
        <f t="shared" si="54"/>
        <v>0</v>
      </c>
      <c r="O856" s="407"/>
    </row>
    <row r="857" spans="1:15" ht="12.75" x14ac:dyDescent="0.2">
      <c r="A857" s="152">
        <v>6330000</v>
      </c>
      <c r="B857" s="51"/>
      <c r="C857" s="51" t="s">
        <v>1005</v>
      </c>
      <c r="D857" s="220"/>
      <c r="E857" s="89"/>
      <c r="F857" s="89"/>
      <c r="G857" s="89"/>
      <c r="H857" s="89"/>
      <c r="I857" s="89"/>
      <c r="J857" s="89"/>
      <c r="K857" s="212">
        <f t="shared" si="55"/>
        <v>0</v>
      </c>
      <c r="L857" s="212">
        <f t="shared" si="55"/>
        <v>0</v>
      </c>
      <c r="M857" s="212">
        <f t="shared" si="55"/>
        <v>0</v>
      </c>
      <c r="N857" s="212">
        <f t="shared" si="54"/>
        <v>0</v>
      </c>
      <c r="O857" s="407"/>
    </row>
    <row r="858" spans="1:15" ht="12.75" x14ac:dyDescent="0.2">
      <c r="A858" s="152">
        <v>6330000</v>
      </c>
      <c r="B858" s="51"/>
      <c r="C858" s="51" t="s">
        <v>1004</v>
      </c>
      <c r="D858" s="220"/>
      <c r="E858" s="89"/>
      <c r="F858" s="89"/>
      <c r="G858" s="89"/>
      <c r="H858" s="89"/>
      <c r="I858" s="89"/>
      <c r="J858" s="89"/>
      <c r="K858" s="212">
        <f t="shared" si="55"/>
        <v>0</v>
      </c>
      <c r="L858" s="212">
        <f t="shared" si="55"/>
        <v>0</v>
      </c>
      <c r="M858" s="212">
        <f t="shared" si="55"/>
        <v>0</v>
      </c>
      <c r="N858" s="212">
        <f t="shared" si="54"/>
        <v>0</v>
      </c>
      <c r="O858" s="407"/>
    </row>
    <row r="859" spans="1:15" ht="12.75" x14ac:dyDescent="0.2">
      <c r="A859" s="152">
        <v>6330000</v>
      </c>
      <c r="B859" s="51"/>
      <c r="C859" s="51" t="s">
        <v>1008</v>
      </c>
      <c r="D859" s="220"/>
      <c r="E859" s="89"/>
      <c r="F859" s="89"/>
      <c r="G859" s="89"/>
      <c r="H859" s="89"/>
      <c r="I859" s="89"/>
      <c r="J859" s="89"/>
      <c r="K859" s="212">
        <f t="shared" si="55"/>
        <v>0</v>
      </c>
      <c r="L859" s="212">
        <f t="shared" si="55"/>
        <v>0</v>
      </c>
      <c r="M859" s="212">
        <f t="shared" si="55"/>
        <v>0</v>
      </c>
      <c r="N859" s="212">
        <f t="shared" si="54"/>
        <v>0</v>
      </c>
      <c r="O859" s="407"/>
    </row>
    <row r="860" spans="1:15" ht="12.75" x14ac:dyDescent="0.2">
      <c r="A860" s="152">
        <v>6330000</v>
      </c>
      <c r="B860" s="51"/>
      <c r="C860" s="51" t="s">
        <v>1006</v>
      </c>
      <c r="D860" s="220"/>
      <c r="E860" s="89"/>
      <c r="F860" s="89"/>
      <c r="G860" s="89"/>
      <c r="H860" s="89"/>
      <c r="I860" s="89"/>
      <c r="J860" s="89"/>
      <c r="K860" s="212">
        <f t="shared" si="55"/>
        <v>0</v>
      </c>
      <c r="L860" s="212">
        <f t="shared" si="55"/>
        <v>0</v>
      </c>
      <c r="M860" s="212">
        <f t="shared" si="55"/>
        <v>0</v>
      </c>
      <c r="N860" s="212">
        <f t="shared" si="54"/>
        <v>0</v>
      </c>
      <c r="O860" s="407"/>
    </row>
    <row r="861" spans="1:15" ht="12.75" x14ac:dyDescent="0.2">
      <c r="A861" s="152">
        <v>6330000</v>
      </c>
      <c r="B861" s="51"/>
      <c r="C861" s="51" t="s">
        <v>1034</v>
      </c>
      <c r="D861" s="220"/>
      <c r="E861" s="89"/>
      <c r="F861" s="89"/>
      <c r="G861" s="89"/>
      <c r="H861" s="89"/>
      <c r="I861" s="89"/>
      <c r="J861" s="89"/>
      <c r="K861" s="212">
        <f t="shared" si="55"/>
        <v>0</v>
      </c>
      <c r="L861" s="212">
        <f t="shared" si="55"/>
        <v>0</v>
      </c>
      <c r="M861" s="212">
        <f t="shared" si="55"/>
        <v>0</v>
      </c>
      <c r="N861" s="212">
        <f t="shared" si="54"/>
        <v>0</v>
      </c>
      <c r="O861" s="407"/>
    </row>
    <row r="862" spans="1:15" ht="12.75" x14ac:dyDescent="0.2">
      <c r="A862" s="152">
        <v>6330000</v>
      </c>
      <c r="B862" s="51"/>
      <c r="C862" s="51" t="s">
        <v>1035</v>
      </c>
      <c r="D862" s="220"/>
      <c r="E862" s="89"/>
      <c r="F862" s="89"/>
      <c r="G862" s="89"/>
      <c r="H862" s="89"/>
      <c r="I862" s="89"/>
      <c r="J862" s="89"/>
      <c r="K862" s="212">
        <f t="shared" si="55"/>
        <v>0</v>
      </c>
      <c r="L862" s="212">
        <f t="shared" si="55"/>
        <v>0</v>
      </c>
      <c r="M862" s="212">
        <f t="shared" si="55"/>
        <v>0</v>
      </c>
      <c r="N862" s="212">
        <f t="shared" si="54"/>
        <v>0</v>
      </c>
      <c r="O862" s="407"/>
    </row>
    <row r="863" spans="1:15" ht="12.75" x14ac:dyDescent="0.2">
      <c r="A863" s="152">
        <v>6330000</v>
      </c>
      <c r="B863" s="51"/>
      <c r="C863" s="51" t="s">
        <v>922</v>
      </c>
      <c r="D863" s="220"/>
      <c r="E863" s="89"/>
      <c r="F863" s="89"/>
      <c r="G863" s="89"/>
      <c r="H863" s="89"/>
      <c r="I863" s="89"/>
      <c r="J863" s="89"/>
      <c r="K863" s="212">
        <f t="shared" si="55"/>
        <v>0</v>
      </c>
      <c r="L863" s="212">
        <f t="shared" si="55"/>
        <v>0</v>
      </c>
      <c r="M863" s="212">
        <f t="shared" si="55"/>
        <v>0</v>
      </c>
      <c r="N863" s="212">
        <f t="shared" si="54"/>
        <v>0</v>
      </c>
      <c r="O863" s="407"/>
    </row>
    <row r="864" spans="1:15" ht="12.75" x14ac:dyDescent="0.2">
      <c r="A864" s="152">
        <v>6330000</v>
      </c>
      <c r="B864" s="51"/>
      <c r="C864" s="51" t="s">
        <v>942</v>
      </c>
      <c r="D864" s="220"/>
      <c r="E864" s="89"/>
      <c r="F864" s="89"/>
      <c r="G864" s="89"/>
      <c r="H864" s="89"/>
      <c r="I864" s="89"/>
      <c r="J864" s="89"/>
      <c r="K864" s="212">
        <f t="shared" si="55"/>
        <v>0</v>
      </c>
      <c r="L864" s="212">
        <f t="shared" si="55"/>
        <v>0</v>
      </c>
      <c r="M864" s="212">
        <f t="shared" si="55"/>
        <v>0</v>
      </c>
      <c r="N864" s="212">
        <f t="shared" si="54"/>
        <v>0</v>
      </c>
      <c r="O864" s="407"/>
    </row>
    <row r="865" spans="1:15" ht="12.75" x14ac:dyDescent="0.2">
      <c r="A865" s="152">
        <v>6330000</v>
      </c>
      <c r="B865" s="51"/>
      <c r="C865" s="51" t="s">
        <v>943</v>
      </c>
      <c r="D865" s="220"/>
      <c r="E865" s="89"/>
      <c r="F865" s="89"/>
      <c r="G865" s="89"/>
      <c r="H865" s="89"/>
      <c r="I865" s="89"/>
      <c r="J865" s="89"/>
      <c r="K865" s="212">
        <f t="shared" si="55"/>
        <v>0</v>
      </c>
      <c r="L865" s="212">
        <f t="shared" si="55"/>
        <v>0</v>
      </c>
      <c r="M865" s="212">
        <f t="shared" si="55"/>
        <v>0</v>
      </c>
      <c r="N865" s="212">
        <f t="shared" si="54"/>
        <v>0</v>
      </c>
      <c r="O865" s="407"/>
    </row>
    <row r="866" spans="1:15" ht="12.75" x14ac:dyDescent="0.2">
      <c r="A866" s="152">
        <v>6330000</v>
      </c>
      <c r="B866" s="51"/>
      <c r="C866" s="51" t="s">
        <v>938</v>
      </c>
      <c r="D866" s="220"/>
      <c r="E866" s="89"/>
      <c r="F866" s="89"/>
      <c r="G866" s="89"/>
      <c r="H866" s="89"/>
      <c r="I866" s="89"/>
      <c r="J866" s="89"/>
      <c r="K866" s="212">
        <f t="shared" si="55"/>
        <v>0</v>
      </c>
      <c r="L866" s="212">
        <f t="shared" si="55"/>
        <v>0</v>
      </c>
      <c r="M866" s="212">
        <f t="shared" si="55"/>
        <v>0</v>
      </c>
      <c r="N866" s="212">
        <f t="shared" si="54"/>
        <v>0</v>
      </c>
      <c r="O866" s="407"/>
    </row>
    <row r="867" spans="1:15" ht="12.75" x14ac:dyDescent="0.2">
      <c r="A867" s="152">
        <v>6330000</v>
      </c>
      <c r="B867" s="51"/>
      <c r="C867" s="51" t="s">
        <v>939</v>
      </c>
      <c r="D867" s="220"/>
      <c r="E867" s="89"/>
      <c r="F867" s="89"/>
      <c r="G867" s="89"/>
      <c r="H867" s="89"/>
      <c r="I867" s="89"/>
      <c r="J867" s="89"/>
      <c r="K867" s="212">
        <f t="shared" si="55"/>
        <v>0</v>
      </c>
      <c r="L867" s="212">
        <f t="shared" si="55"/>
        <v>0</v>
      </c>
      <c r="M867" s="212">
        <f t="shared" si="55"/>
        <v>0</v>
      </c>
      <c r="N867" s="212">
        <f t="shared" si="54"/>
        <v>0</v>
      </c>
      <c r="O867" s="407"/>
    </row>
    <row r="868" spans="1:15" ht="12.75" x14ac:dyDescent="0.2">
      <c r="A868" s="152">
        <v>6330000</v>
      </c>
      <c r="B868" s="51"/>
      <c r="C868" s="51" t="s">
        <v>934</v>
      </c>
      <c r="D868" s="220"/>
      <c r="E868" s="89"/>
      <c r="F868" s="89"/>
      <c r="G868" s="89"/>
      <c r="H868" s="89"/>
      <c r="I868" s="89"/>
      <c r="J868" s="89"/>
      <c r="K868" s="212">
        <f t="shared" si="55"/>
        <v>0</v>
      </c>
      <c r="L868" s="212">
        <f t="shared" si="55"/>
        <v>0</v>
      </c>
      <c r="M868" s="212">
        <f t="shared" si="55"/>
        <v>0</v>
      </c>
      <c r="N868" s="212">
        <f t="shared" si="54"/>
        <v>0</v>
      </c>
      <c r="O868" s="407"/>
    </row>
    <row r="869" spans="1:15" ht="12.75" x14ac:dyDescent="0.2">
      <c r="A869" s="152">
        <v>6330000</v>
      </c>
      <c r="B869" s="51"/>
      <c r="C869" s="51" t="s">
        <v>935</v>
      </c>
      <c r="D869" s="220"/>
      <c r="E869" s="89"/>
      <c r="F869" s="89"/>
      <c r="G869" s="89"/>
      <c r="H869" s="89"/>
      <c r="I869" s="89"/>
      <c r="J869" s="89"/>
      <c r="K869" s="212">
        <f t="shared" si="55"/>
        <v>0</v>
      </c>
      <c r="L869" s="212">
        <f t="shared" si="55"/>
        <v>0</v>
      </c>
      <c r="M869" s="212">
        <f t="shared" si="55"/>
        <v>0</v>
      </c>
      <c r="N869" s="212">
        <f t="shared" si="54"/>
        <v>0</v>
      </c>
      <c r="O869" s="407"/>
    </row>
    <row r="870" spans="1:15" ht="12.75" x14ac:dyDescent="0.2">
      <c r="A870" s="152">
        <v>6330000</v>
      </c>
      <c r="B870" s="51"/>
      <c r="C870" s="51" t="s">
        <v>953</v>
      </c>
      <c r="D870" s="220"/>
      <c r="E870" s="89"/>
      <c r="F870" s="89"/>
      <c r="G870" s="89"/>
      <c r="H870" s="89"/>
      <c r="I870" s="89"/>
      <c r="J870" s="89"/>
      <c r="K870" s="212">
        <f t="shared" si="55"/>
        <v>0</v>
      </c>
      <c r="L870" s="212">
        <f t="shared" si="55"/>
        <v>0</v>
      </c>
      <c r="M870" s="212">
        <f t="shared" si="55"/>
        <v>0</v>
      </c>
      <c r="N870" s="212">
        <f t="shared" si="54"/>
        <v>0</v>
      </c>
      <c r="O870" s="407"/>
    </row>
    <row r="871" spans="1:15" ht="12.75" x14ac:dyDescent="0.2">
      <c r="A871" s="152">
        <v>6330000</v>
      </c>
      <c r="B871" s="51"/>
      <c r="C871" s="51" t="s">
        <v>924</v>
      </c>
      <c r="D871" s="220"/>
      <c r="E871" s="89"/>
      <c r="F871" s="89"/>
      <c r="G871" s="89"/>
      <c r="H871" s="89"/>
      <c r="I871" s="89"/>
      <c r="J871" s="89"/>
      <c r="K871" s="212">
        <f t="shared" si="55"/>
        <v>0</v>
      </c>
      <c r="L871" s="212">
        <f t="shared" si="55"/>
        <v>0</v>
      </c>
      <c r="M871" s="212">
        <f t="shared" si="55"/>
        <v>0</v>
      </c>
      <c r="N871" s="212">
        <f t="shared" si="54"/>
        <v>0</v>
      </c>
      <c r="O871" s="407"/>
    </row>
    <row r="872" spans="1:15" ht="12.75" x14ac:dyDescent="0.2">
      <c r="A872" s="152">
        <v>6330000</v>
      </c>
      <c r="B872" s="51"/>
      <c r="C872" s="51" t="s">
        <v>927</v>
      </c>
      <c r="D872" s="220"/>
      <c r="E872" s="89"/>
      <c r="F872" s="89"/>
      <c r="G872" s="89"/>
      <c r="H872" s="89"/>
      <c r="I872" s="89"/>
      <c r="J872" s="89"/>
      <c r="K872" s="212">
        <f t="shared" ref="K872:M891" si="56">SUMIF($C$26:$C$212,$C872,K$26:K$212)</f>
        <v>0</v>
      </c>
      <c r="L872" s="212">
        <f t="shared" si="56"/>
        <v>0</v>
      </c>
      <c r="M872" s="212">
        <f t="shared" si="56"/>
        <v>0</v>
      </c>
      <c r="N872" s="212">
        <f t="shared" si="54"/>
        <v>0</v>
      </c>
      <c r="O872" s="407"/>
    </row>
    <row r="873" spans="1:15" ht="12.75" x14ac:dyDescent="0.2">
      <c r="A873" s="152">
        <v>6330000</v>
      </c>
      <c r="B873" s="51"/>
      <c r="C873" s="51" t="s">
        <v>951</v>
      </c>
      <c r="D873" s="220"/>
      <c r="E873" s="89"/>
      <c r="F873" s="89"/>
      <c r="G873" s="89"/>
      <c r="H873" s="89"/>
      <c r="I873" s="89"/>
      <c r="J873" s="89"/>
      <c r="K873" s="212">
        <f t="shared" si="56"/>
        <v>0</v>
      </c>
      <c r="L873" s="212">
        <f t="shared" si="56"/>
        <v>0</v>
      </c>
      <c r="M873" s="212">
        <f t="shared" si="56"/>
        <v>0</v>
      </c>
      <c r="N873" s="212">
        <f t="shared" si="54"/>
        <v>0</v>
      </c>
      <c r="O873" s="407"/>
    </row>
    <row r="874" spans="1:15" ht="12.75" x14ac:dyDescent="0.2">
      <c r="A874" s="152">
        <v>6330000</v>
      </c>
      <c r="B874" s="51"/>
      <c r="C874" s="51" t="s">
        <v>1055</v>
      </c>
      <c r="D874" s="220"/>
      <c r="E874" s="89"/>
      <c r="F874" s="89"/>
      <c r="G874" s="89"/>
      <c r="H874" s="89"/>
      <c r="I874" s="89"/>
      <c r="J874" s="89"/>
      <c r="K874" s="212">
        <f t="shared" si="56"/>
        <v>0</v>
      </c>
      <c r="L874" s="212">
        <f t="shared" si="56"/>
        <v>0</v>
      </c>
      <c r="M874" s="212">
        <f t="shared" si="56"/>
        <v>0</v>
      </c>
      <c r="N874" s="212">
        <f t="shared" si="54"/>
        <v>0</v>
      </c>
      <c r="O874" s="407"/>
    </row>
    <row r="875" spans="1:15" ht="12.75" x14ac:dyDescent="0.2">
      <c r="A875" s="152">
        <v>6330000</v>
      </c>
      <c r="B875" s="51"/>
      <c r="C875" s="51" t="s">
        <v>940</v>
      </c>
      <c r="D875" s="220"/>
      <c r="E875" s="89"/>
      <c r="F875" s="89"/>
      <c r="G875" s="89"/>
      <c r="H875" s="89"/>
      <c r="I875" s="89"/>
      <c r="J875" s="89"/>
      <c r="K875" s="212">
        <f t="shared" si="56"/>
        <v>0</v>
      </c>
      <c r="L875" s="212">
        <f t="shared" si="56"/>
        <v>0</v>
      </c>
      <c r="M875" s="212">
        <f t="shared" si="56"/>
        <v>0</v>
      </c>
      <c r="N875" s="212">
        <f t="shared" si="54"/>
        <v>0</v>
      </c>
      <c r="O875" s="407"/>
    </row>
    <row r="876" spans="1:15" ht="12.75" x14ac:dyDescent="0.2">
      <c r="A876" s="152">
        <v>6330000</v>
      </c>
      <c r="B876" s="51"/>
      <c r="C876" s="51" t="s">
        <v>941</v>
      </c>
      <c r="D876" s="220"/>
      <c r="E876" s="89"/>
      <c r="F876" s="89"/>
      <c r="G876" s="89"/>
      <c r="H876" s="89"/>
      <c r="I876" s="89"/>
      <c r="J876" s="89"/>
      <c r="K876" s="212">
        <f t="shared" si="56"/>
        <v>0</v>
      </c>
      <c r="L876" s="212">
        <f t="shared" si="56"/>
        <v>0</v>
      </c>
      <c r="M876" s="212">
        <f t="shared" si="56"/>
        <v>0</v>
      </c>
      <c r="N876" s="212">
        <f t="shared" si="54"/>
        <v>0</v>
      </c>
      <c r="O876" s="407"/>
    </row>
    <row r="877" spans="1:15" ht="12.75" x14ac:dyDescent="0.2">
      <c r="A877" s="152">
        <v>6330000</v>
      </c>
      <c r="B877" s="51"/>
      <c r="C877" s="51" t="s">
        <v>936</v>
      </c>
      <c r="D877" s="220"/>
      <c r="E877" s="89"/>
      <c r="F877" s="89"/>
      <c r="G877" s="89"/>
      <c r="H877" s="89"/>
      <c r="I877" s="89"/>
      <c r="J877" s="89"/>
      <c r="K877" s="212">
        <f t="shared" si="56"/>
        <v>0</v>
      </c>
      <c r="L877" s="212">
        <f t="shared" si="56"/>
        <v>0</v>
      </c>
      <c r="M877" s="212">
        <f t="shared" si="56"/>
        <v>0</v>
      </c>
      <c r="N877" s="212">
        <f t="shared" si="54"/>
        <v>0</v>
      </c>
      <c r="O877" s="407"/>
    </row>
    <row r="878" spans="1:15" ht="12.75" x14ac:dyDescent="0.2">
      <c r="A878" s="152">
        <v>6330000</v>
      </c>
      <c r="B878" s="51"/>
      <c r="C878" s="51" t="s">
        <v>937</v>
      </c>
      <c r="D878" s="220"/>
      <c r="E878" s="89"/>
      <c r="F878" s="89"/>
      <c r="G878" s="89"/>
      <c r="H878" s="89"/>
      <c r="I878" s="89"/>
      <c r="J878" s="89"/>
      <c r="K878" s="212">
        <f t="shared" si="56"/>
        <v>0</v>
      </c>
      <c r="L878" s="212">
        <f t="shared" si="56"/>
        <v>0</v>
      </c>
      <c r="M878" s="212">
        <f t="shared" si="56"/>
        <v>0</v>
      </c>
      <c r="N878" s="212">
        <f t="shared" si="54"/>
        <v>0</v>
      </c>
      <c r="O878" s="407"/>
    </row>
    <row r="879" spans="1:15" ht="12.75" x14ac:dyDescent="0.2">
      <c r="A879" s="152">
        <v>6330000</v>
      </c>
      <c r="B879" s="51"/>
      <c r="C879" s="51" t="s">
        <v>932</v>
      </c>
      <c r="D879" s="220"/>
      <c r="E879" s="89"/>
      <c r="F879" s="89"/>
      <c r="G879" s="89"/>
      <c r="H879" s="89"/>
      <c r="I879" s="89"/>
      <c r="J879" s="89"/>
      <c r="K879" s="212">
        <f t="shared" si="56"/>
        <v>0</v>
      </c>
      <c r="L879" s="212">
        <f t="shared" si="56"/>
        <v>0</v>
      </c>
      <c r="M879" s="212">
        <f t="shared" si="56"/>
        <v>0</v>
      </c>
      <c r="N879" s="212">
        <f t="shared" si="54"/>
        <v>0</v>
      </c>
      <c r="O879" s="407"/>
    </row>
    <row r="880" spans="1:15" ht="12.75" x14ac:dyDescent="0.2">
      <c r="A880" s="152">
        <v>6330000</v>
      </c>
      <c r="B880" s="51"/>
      <c r="C880" s="51" t="s">
        <v>933</v>
      </c>
      <c r="D880" s="220"/>
      <c r="E880" s="89"/>
      <c r="F880" s="89"/>
      <c r="G880" s="89"/>
      <c r="H880" s="89"/>
      <c r="I880" s="89"/>
      <c r="J880" s="89"/>
      <c r="K880" s="212">
        <f t="shared" si="56"/>
        <v>0</v>
      </c>
      <c r="L880" s="212">
        <f t="shared" si="56"/>
        <v>0</v>
      </c>
      <c r="M880" s="212">
        <f t="shared" si="56"/>
        <v>0</v>
      </c>
      <c r="N880" s="212">
        <f t="shared" si="54"/>
        <v>0</v>
      </c>
      <c r="O880" s="407"/>
    </row>
    <row r="881" spans="1:15" ht="12.75" x14ac:dyDescent="0.2">
      <c r="A881" s="152">
        <v>6330000</v>
      </c>
      <c r="B881" s="51"/>
      <c r="C881" s="51" t="s">
        <v>952</v>
      </c>
      <c r="D881" s="220"/>
      <c r="E881" s="89"/>
      <c r="F881" s="89"/>
      <c r="G881" s="89"/>
      <c r="H881" s="89"/>
      <c r="I881" s="89"/>
      <c r="J881" s="89"/>
      <c r="K881" s="212">
        <f t="shared" si="56"/>
        <v>0</v>
      </c>
      <c r="L881" s="212">
        <f t="shared" si="56"/>
        <v>0</v>
      </c>
      <c r="M881" s="212">
        <f t="shared" si="56"/>
        <v>0</v>
      </c>
      <c r="N881" s="212">
        <f t="shared" si="54"/>
        <v>0</v>
      </c>
      <c r="O881" s="407"/>
    </row>
    <row r="882" spans="1:15" ht="12.75" x14ac:dyDescent="0.2">
      <c r="A882" s="152">
        <v>6330000</v>
      </c>
      <c r="B882" s="51"/>
      <c r="C882" s="51" t="s">
        <v>923</v>
      </c>
      <c r="D882" s="220"/>
      <c r="E882" s="89"/>
      <c r="F882" s="89"/>
      <c r="G882" s="89"/>
      <c r="H882" s="89"/>
      <c r="I882" s="89"/>
      <c r="J882" s="89"/>
      <c r="K882" s="212">
        <f t="shared" si="56"/>
        <v>0</v>
      </c>
      <c r="L882" s="212">
        <f t="shared" si="56"/>
        <v>0</v>
      </c>
      <c r="M882" s="212">
        <f t="shared" si="56"/>
        <v>0</v>
      </c>
      <c r="N882" s="212">
        <f t="shared" si="54"/>
        <v>0</v>
      </c>
      <c r="O882" s="407"/>
    </row>
    <row r="883" spans="1:15" ht="12.75" x14ac:dyDescent="0.2">
      <c r="A883" s="152">
        <v>6330000</v>
      </c>
      <c r="B883" s="51"/>
      <c r="C883" s="51" t="s">
        <v>925</v>
      </c>
      <c r="D883" s="220"/>
      <c r="E883" s="89"/>
      <c r="F883" s="89"/>
      <c r="G883" s="89"/>
      <c r="H883" s="89"/>
      <c r="I883" s="89"/>
      <c r="J883" s="89"/>
      <c r="K883" s="212">
        <f t="shared" si="56"/>
        <v>0</v>
      </c>
      <c r="L883" s="212">
        <f t="shared" si="56"/>
        <v>0</v>
      </c>
      <c r="M883" s="212">
        <f t="shared" si="56"/>
        <v>0</v>
      </c>
      <c r="N883" s="212">
        <f t="shared" si="54"/>
        <v>0</v>
      </c>
      <c r="O883" s="407"/>
    </row>
    <row r="884" spans="1:15" ht="12.75" x14ac:dyDescent="0.2">
      <c r="A884" s="152">
        <v>6330000</v>
      </c>
      <c r="B884" s="51"/>
      <c r="C884" s="51" t="s">
        <v>950</v>
      </c>
      <c r="D884" s="220"/>
      <c r="E884" s="89"/>
      <c r="F884" s="89"/>
      <c r="G884" s="89"/>
      <c r="H884" s="89"/>
      <c r="I884" s="89"/>
      <c r="J884" s="89"/>
      <c r="K884" s="212">
        <f t="shared" si="56"/>
        <v>0</v>
      </c>
      <c r="L884" s="212">
        <f t="shared" si="56"/>
        <v>0</v>
      </c>
      <c r="M884" s="212">
        <f t="shared" si="56"/>
        <v>0</v>
      </c>
      <c r="N884" s="212">
        <f t="shared" si="54"/>
        <v>0</v>
      </c>
      <c r="O884" s="407"/>
    </row>
    <row r="885" spans="1:15" ht="12.75" x14ac:dyDescent="0.2">
      <c r="A885" s="152">
        <v>6330000</v>
      </c>
      <c r="B885" s="51"/>
      <c r="C885" s="51" t="s">
        <v>1054</v>
      </c>
      <c r="D885" s="220"/>
      <c r="E885" s="89"/>
      <c r="F885" s="89"/>
      <c r="G885" s="89"/>
      <c r="H885" s="89"/>
      <c r="I885" s="89"/>
      <c r="J885" s="89"/>
      <c r="K885" s="212">
        <f t="shared" si="56"/>
        <v>0</v>
      </c>
      <c r="L885" s="212">
        <f t="shared" si="56"/>
        <v>0</v>
      </c>
      <c r="M885" s="212">
        <f t="shared" si="56"/>
        <v>0</v>
      </c>
      <c r="N885" s="212">
        <f t="shared" si="54"/>
        <v>0</v>
      </c>
      <c r="O885" s="407"/>
    </row>
    <row r="886" spans="1:15" ht="12.75" x14ac:dyDescent="0.2">
      <c r="A886" s="152">
        <v>6330000</v>
      </c>
      <c r="B886" s="51"/>
      <c r="C886" s="51" t="s">
        <v>921</v>
      </c>
      <c r="D886" s="220"/>
      <c r="E886" s="89"/>
      <c r="F886" s="89"/>
      <c r="G886" s="89"/>
      <c r="H886" s="89"/>
      <c r="I886" s="89"/>
      <c r="J886" s="89"/>
      <c r="K886" s="212">
        <f t="shared" si="56"/>
        <v>0</v>
      </c>
      <c r="L886" s="212">
        <f t="shared" si="56"/>
        <v>0</v>
      </c>
      <c r="M886" s="212">
        <f t="shared" si="56"/>
        <v>0</v>
      </c>
      <c r="N886" s="212">
        <f t="shared" si="54"/>
        <v>0</v>
      </c>
      <c r="O886" s="407"/>
    </row>
    <row r="887" spans="1:15" ht="12.75" x14ac:dyDescent="0.2">
      <c r="A887" s="152">
        <v>6330000</v>
      </c>
      <c r="B887" s="51"/>
      <c r="C887" s="51" t="s">
        <v>1022</v>
      </c>
      <c r="D887" s="220"/>
      <c r="E887" s="89"/>
      <c r="F887" s="89"/>
      <c r="G887" s="89"/>
      <c r="H887" s="89"/>
      <c r="I887" s="89"/>
      <c r="J887" s="89"/>
      <c r="K887" s="212">
        <f t="shared" si="56"/>
        <v>0</v>
      </c>
      <c r="L887" s="212">
        <f t="shared" si="56"/>
        <v>0</v>
      </c>
      <c r="M887" s="212">
        <f t="shared" si="56"/>
        <v>0</v>
      </c>
      <c r="N887" s="212">
        <f t="shared" si="54"/>
        <v>0</v>
      </c>
      <c r="O887" s="407"/>
    </row>
    <row r="888" spans="1:15" ht="12.75" x14ac:dyDescent="0.2">
      <c r="A888" s="152">
        <v>6330000</v>
      </c>
      <c r="B888" s="51"/>
      <c r="C888" s="51" t="s">
        <v>1023</v>
      </c>
      <c r="D888" s="220"/>
      <c r="E888" s="89"/>
      <c r="F888" s="89"/>
      <c r="G888" s="89"/>
      <c r="H888" s="89"/>
      <c r="I888" s="89"/>
      <c r="J888" s="89"/>
      <c r="K888" s="212">
        <f t="shared" si="56"/>
        <v>0</v>
      </c>
      <c r="L888" s="212">
        <f t="shared" si="56"/>
        <v>0</v>
      </c>
      <c r="M888" s="212">
        <f t="shared" si="56"/>
        <v>0</v>
      </c>
      <c r="N888" s="212">
        <f t="shared" si="54"/>
        <v>0</v>
      </c>
      <c r="O888" s="407"/>
    </row>
    <row r="889" spans="1:15" ht="12.75" x14ac:dyDescent="0.2">
      <c r="A889" s="152">
        <v>6330000</v>
      </c>
      <c r="B889" s="51"/>
      <c r="C889" s="51" t="s">
        <v>137</v>
      </c>
      <c r="D889" s="220"/>
      <c r="E889" s="89"/>
      <c r="F889" s="89"/>
      <c r="G889" s="89"/>
      <c r="H889" s="89"/>
      <c r="I889" s="89"/>
      <c r="J889" s="89"/>
      <c r="K889" s="212">
        <f t="shared" si="56"/>
        <v>0</v>
      </c>
      <c r="L889" s="212">
        <f t="shared" si="56"/>
        <v>0</v>
      </c>
      <c r="M889" s="212">
        <f t="shared" si="56"/>
        <v>0</v>
      </c>
      <c r="N889" s="212">
        <f t="shared" si="54"/>
        <v>0</v>
      </c>
      <c r="O889" s="407"/>
    </row>
    <row r="890" spans="1:15" ht="12.75" x14ac:dyDescent="0.2">
      <c r="A890" s="152">
        <v>6330000</v>
      </c>
      <c r="B890" s="51"/>
      <c r="C890" s="51" t="s">
        <v>956</v>
      </c>
      <c r="D890" s="220"/>
      <c r="E890" s="89"/>
      <c r="F890" s="89"/>
      <c r="G890" s="89"/>
      <c r="H890" s="89"/>
      <c r="I890" s="89"/>
      <c r="J890" s="89"/>
      <c r="K890" s="212">
        <f t="shared" si="56"/>
        <v>0</v>
      </c>
      <c r="L890" s="212">
        <f t="shared" si="56"/>
        <v>0</v>
      </c>
      <c r="M890" s="212">
        <f t="shared" si="56"/>
        <v>0</v>
      </c>
      <c r="N890" s="212">
        <f t="shared" si="54"/>
        <v>0</v>
      </c>
      <c r="O890" s="407"/>
    </row>
    <row r="891" spans="1:15" ht="12.75" x14ac:dyDescent="0.2">
      <c r="A891" s="152">
        <v>6330000</v>
      </c>
      <c r="B891" s="51"/>
      <c r="C891" s="51" t="s">
        <v>1045</v>
      </c>
      <c r="D891" s="220"/>
      <c r="E891" s="89"/>
      <c r="F891" s="89"/>
      <c r="G891" s="89"/>
      <c r="H891" s="89"/>
      <c r="I891" s="89"/>
      <c r="J891" s="89"/>
      <c r="K891" s="212">
        <f t="shared" si="56"/>
        <v>0</v>
      </c>
      <c r="L891" s="212">
        <f t="shared" si="56"/>
        <v>0</v>
      </c>
      <c r="M891" s="212">
        <f t="shared" si="56"/>
        <v>0</v>
      </c>
      <c r="N891" s="212">
        <f t="shared" si="54"/>
        <v>0</v>
      </c>
      <c r="O891" s="407"/>
    </row>
    <row r="892" spans="1:15" ht="12.75" x14ac:dyDescent="0.2">
      <c r="A892" s="152">
        <v>6330000</v>
      </c>
      <c r="B892" s="51"/>
      <c r="C892" s="51" t="s">
        <v>1046</v>
      </c>
      <c r="D892" s="220"/>
      <c r="E892" s="89"/>
      <c r="F892" s="89"/>
      <c r="G892" s="89"/>
      <c r="H892" s="89"/>
      <c r="I892" s="89"/>
      <c r="J892" s="89"/>
      <c r="K892" s="212">
        <f t="shared" ref="K892:M911" si="57">SUMIF($C$26:$C$212,$C892,K$26:K$212)</f>
        <v>0</v>
      </c>
      <c r="L892" s="212">
        <f t="shared" si="57"/>
        <v>0</v>
      </c>
      <c r="M892" s="212">
        <f t="shared" si="57"/>
        <v>0</v>
      </c>
      <c r="N892" s="212">
        <f t="shared" si="54"/>
        <v>0</v>
      </c>
      <c r="O892" s="407"/>
    </row>
    <row r="893" spans="1:15" ht="12.75" x14ac:dyDescent="0.2">
      <c r="A893" s="152">
        <v>6330000</v>
      </c>
      <c r="B893" s="51"/>
      <c r="C893" s="51" t="s">
        <v>1036</v>
      </c>
      <c r="D893" s="220"/>
      <c r="E893" s="89"/>
      <c r="F893" s="89"/>
      <c r="G893" s="89"/>
      <c r="H893" s="89"/>
      <c r="I893" s="89"/>
      <c r="J893" s="89"/>
      <c r="K893" s="212">
        <f t="shared" si="57"/>
        <v>0</v>
      </c>
      <c r="L893" s="212">
        <f t="shared" si="57"/>
        <v>0</v>
      </c>
      <c r="M893" s="212">
        <f t="shared" si="57"/>
        <v>0</v>
      </c>
      <c r="N893" s="212">
        <f t="shared" si="54"/>
        <v>0</v>
      </c>
      <c r="O893" s="407"/>
    </row>
    <row r="894" spans="1:15" ht="12.75" x14ac:dyDescent="0.2">
      <c r="A894" s="152">
        <v>6330000</v>
      </c>
      <c r="B894" s="51"/>
      <c r="C894" s="51" t="s">
        <v>1037</v>
      </c>
      <c r="D894" s="220"/>
      <c r="E894" s="89"/>
      <c r="F894" s="89"/>
      <c r="G894" s="89"/>
      <c r="H894" s="89"/>
      <c r="I894" s="89"/>
      <c r="J894" s="89"/>
      <c r="K894" s="212">
        <f t="shared" si="57"/>
        <v>0</v>
      </c>
      <c r="L894" s="212">
        <f t="shared" si="57"/>
        <v>0</v>
      </c>
      <c r="M894" s="212">
        <f t="shared" si="57"/>
        <v>0</v>
      </c>
      <c r="N894" s="212">
        <f t="shared" si="54"/>
        <v>0</v>
      </c>
      <c r="O894" s="407"/>
    </row>
    <row r="895" spans="1:15" ht="12.75" x14ac:dyDescent="0.2">
      <c r="A895" s="152">
        <v>6330000</v>
      </c>
      <c r="B895" s="51"/>
      <c r="C895" s="51" t="s">
        <v>990</v>
      </c>
      <c r="D895" s="220"/>
      <c r="E895" s="89"/>
      <c r="F895" s="89"/>
      <c r="G895" s="89"/>
      <c r="H895" s="89"/>
      <c r="I895" s="89"/>
      <c r="J895" s="89"/>
      <c r="K895" s="212">
        <f t="shared" si="57"/>
        <v>0</v>
      </c>
      <c r="L895" s="212">
        <f t="shared" si="57"/>
        <v>0</v>
      </c>
      <c r="M895" s="212">
        <f t="shared" si="57"/>
        <v>0</v>
      </c>
      <c r="N895" s="212">
        <f t="shared" si="54"/>
        <v>0</v>
      </c>
      <c r="O895" s="407"/>
    </row>
    <row r="896" spans="1:15" ht="12.75" x14ac:dyDescent="0.2">
      <c r="A896" s="152">
        <v>6330000</v>
      </c>
      <c r="B896" s="51"/>
      <c r="C896" s="51" t="s">
        <v>1040</v>
      </c>
      <c r="D896" s="220"/>
      <c r="E896" s="89"/>
      <c r="F896" s="89"/>
      <c r="G896" s="89"/>
      <c r="H896" s="89"/>
      <c r="I896" s="89"/>
      <c r="J896" s="89"/>
      <c r="K896" s="212">
        <f t="shared" si="57"/>
        <v>0</v>
      </c>
      <c r="L896" s="212">
        <f t="shared" si="57"/>
        <v>0</v>
      </c>
      <c r="M896" s="212">
        <f t="shared" si="57"/>
        <v>0</v>
      </c>
      <c r="N896" s="212">
        <f t="shared" ref="N896:N959" si="58">SUMIFS(N$26:N$212,$A$26:$A$212,$A896,$C$26:$C$212,$C896)</f>
        <v>0</v>
      </c>
      <c r="O896" s="407"/>
    </row>
    <row r="897" spans="1:15" ht="12.75" x14ac:dyDescent="0.2">
      <c r="A897" s="152">
        <v>6330000</v>
      </c>
      <c r="B897" s="51"/>
      <c r="C897" s="51" t="s">
        <v>991</v>
      </c>
      <c r="D897" s="220"/>
      <c r="E897" s="89"/>
      <c r="F897" s="89"/>
      <c r="G897" s="89"/>
      <c r="H897" s="89"/>
      <c r="I897" s="89"/>
      <c r="J897" s="89"/>
      <c r="K897" s="212">
        <f t="shared" si="57"/>
        <v>0</v>
      </c>
      <c r="L897" s="212">
        <f t="shared" si="57"/>
        <v>0</v>
      </c>
      <c r="M897" s="212">
        <f t="shared" si="57"/>
        <v>0</v>
      </c>
      <c r="N897" s="212">
        <f t="shared" si="58"/>
        <v>0</v>
      </c>
      <c r="O897" s="407"/>
    </row>
    <row r="898" spans="1:15" ht="12.75" x14ac:dyDescent="0.2">
      <c r="A898" s="152">
        <v>6330000</v>
      </c>
      <c r="B898" s="51"/>
      <c r="C898" s="51" t="s">
        <v>959</v>
      </c>
      <c r="D898" s="220"/>
      <c r="E898" s="89"/>
      <c r="F898" s="89"/>
      <c r="G898" s="89"/>
      <c r="H898" s="89"/>
      <c r="I898" s="89"/>
      <c r="J898" s="89"/>
      <c r="K898" s="212">
        <f t="shared" si="57"/>
        <v>0</v>
      </c>
      <c r="L898" s="212">
        <f t="shared" si="57"/>
        <v>0</v>
      </c>
      <c r="M898" s="212">
        <f t="shared" si="57"/>
        <v>0</v>
      </c>
      <c r="N898" s="212">
        <f t="shared" si="58"/>
        <v>0</v>
      </c>
      <c r="O898" s="407"/>
    </row>
    <row r="899" spans="1:15" ht="12.75" x14ac:dyDescent="0.2">
      <c r="A899" s="152">
        <v>6330000</v>
      </c>
      <c r="B899" s="51"/>
      <c r="C899" s="51" t="s">
        <v>964</v>
      </c>
      <c r="D899" s="220"/>
      <c r="E899" s="89"/>
      <c r="F899" s="89"/>
      <c r="G899" s="89"/>
      <c r="H899" s="89"/>
      <c r="I899" s="89"/>
      <c r="J899" s="89"/>
      <c r="K899" s="212">
        <f t="shared" si="57"/>
        <v>0</v>
      </c>
      <c r="L899" s="212">
        <f t="shared" si="57"/>
        <v>0</v>
      </c>
      <c r="M899" s="212">
        <f t="shared" si="57"/>
        <v>0</v>
      </c>
      <c r="N899" s="212">
        <f t="shared" si="58"/>
        <v>0</v>
      </c>
      <c r="O899" s="407"/>
    </row>
    <row r="900" spans="1:15" ht="12.75" x14ac:dyDescent="0.2">
      <c r="A900" s="152">
        <v>6330000</v>
      </c>
      <c r="B900" s="51"/>
      <c r="C900" s="51" t="s">
        <v>1003</v>
      </c>
      <c r="D900" s="220"/>
      <c r="E900" s="89"/>
      <c r="F900" s="89"/>
      <c r="G900" s="89"/>
      <c r="H900" s="89"/>
      <c r="I900" s="89"/>
      <c r="J900" s="89"/>
      <c r="K900" s="212">
        <f t="shared" si="57"/>
        <v>0</v>
      </c>
      <c r="L900" s="212">
        <f t="shared" si="57"/>
        <v>0</v>
      </c>
      <c r="M900" s="212">
        <f t="shared" si="57"/>
        <v>0</v>
      </c>
      <c r="N900" s="212">
        <f t="shared" si="58"/>
        <v>0</v>
      </c>
      <c r="O900" s="407"/>
    </row>
    <row r="901" spans="1:15" ht="12.75" x14ac:dyDescent="0.2">
      <c r="A901" s="152">
        <v>6330000</v>
      </c>
      <c r="B901" s="51"/>
      <c r="C901" s="51" t="s">
        <v>992</v>
      </c>
      <c r="D901" s="220"/>
      <c r="E901" s="89"/>
      <c r="F901" s="89"/>
      <c r="G901" s="89"/>
      <c r="H901" s="89"/>
      <c r="I901" s="89"/>
      <c r="J901" s="89"/>
      <c r="K901" s="212">
        <f t="shared" si="57"/>
        <v>0</v>
      </c>
      <c r="L901" s="212">
        <f t="shared" si="57"/>
        <v>0</v>
      </c>
      <c r="M901" s="212">
        <f t="shared" si="57"/>
        <v>0</v>
      </c>
      <c r="N901" s="212">
        <f t="shared" si="58"/>
        <v>0</v>
      </c>
      <c r="O901" s="407"/>
    </row>
    <row r="902" spans="1:15" ht="12.75" x14ac:dyDescent="0.2">
      <c r="A902" s="152">
        <v>6330000</v>
      </c>
      <c r="B902" s="51"/>
      <c r="C902" s="51" t="s">
        <v>994</v>
      </c>
      <c r="D902" s="220"/>
      <c r="E902" s="89"/>
      <c r="F902" s="89"/>
      <c r="G902" s="89"/>
      <c r="H902" s="89"/>
      <c r="I902" s="89"/>
      <c r="J902" s="89"/>
      <c r="K902" s="212">
        <f t="shared" si="57"/>
        <v>0</v>
      </c>
      <c r="L902" s="212">
        <f t="shared" si="57"/>
        <v>0</v>
      </c>
      <c r="M902" s="212">
        <f t="shared" si="57"/>
        <v>0</v>
      </c>
      <c r="N902" s="212">
        <f t="shared" si="58"/>
        <v>0</v>
      </c>
      <c r="O902" s="407"/>
    </row>
    <row r="903" spans="1:15" ht="12.75" x14ac:dyDescent="0.2">
      <c r="A903" s="152">
        <v>6330000</v>
      </c>
      <c r="B903" s="51"/>
      <c r="C903" s="51" t="s">
        <v>993</v>
      </c>
      <c r="D903" s="220"/>
      <c r="E903" s="89"/>
      <c r="F903" s="89"/>
      <c r="G903" s="89"/>
      <c r="H903" s="89"/>
      <c r="I903" s="89"/>
      <c r="J903" s="89"/>
      <c r="K903" s="212">
        <f t="shared" si="57"/>
        <v>0</v>
      </c>
      <c r="L903" s="212">
        <f t="shared" si="57"/>
        <v>0</v>
      </c>
      <c r="M903" s="212">
        <f t="shared" si="57"/>
        <v>0</v>
      </c>
      <c r="N903" s="212">
        <f t="shared" si="58"/>
        <v>0</v>
      </c>
      <c r="O903" s="407"/>
    </row>
    <row r="904" spans="1:15" ht="12.75" x14ac:dyDescent="0.2">
      <c r="A904" s="152">
        <v>6330000</v>
      </c>
      <c r="B904" s="51"/>
      <c r="C904" s="51" t="s">
        <v>995</v>
      </c>
      <c r="D904" s="220"/>
      <c r="E904" s="89"/>
      <c r="F904" s="89"/>
      <c r="G904" s="89"/>
      <c r="H904" s="89"/>
      <c r="I904" s="89"/>
      <c r="J904" s="89"/>
      <c r="K904" s="212">
        <f t="shared" si="57"/>
        <v>0</v>
      </c>
      <c r="L904" s="212">
        <f t="shared" si="57"/>
        <v>0</v>
      </c>
      <c r="M904" s="212">
        <f t="shared" si="57"/>
        <v>0</v>
      </c>
      <c r="N904" s="212">
        <f t="shared" si="58"/>
        <v>0</v>
      </c>
      <c r="O904" s="407"/>
    </row>
    <row r="905" spans="1:15" ht="12.75" x14ac:dyDescent="0.2">
      <c r="A905" s="152">
        <v>6330000</v>
      </c>
      <c r="B905" s="51"/>
      <c r="C905" s="51" t="s">
        <v>1001</v>
      </c>
      <c r="D905" s="220"/>
      <c r="E905" s="89"/>
      <c r="F905" s="89"/>
      <c r="G905" s="89"/>
      <c r="H905" s="89"/>
      <c r="I905" s="89"/>
      <c r="J905" s="89"/>
      <c r="K905" s="212">
        <f t="shared" si="57"/>
        <v>0</v>
      </c>
      <c r="L905" s="212">
        <f t="shared" si="57"/>
        <v>0</v>
      </c>
      <c r="M905" s="212">
        <f t="shared" si="57"/>
        <v>0</v>
      </c>
      <c r="N905" s="212">
        <f t="shared" si="58"/>
        <v>0</v>
      </c>
      <c r="O905" s="407"/>
    </row>
    <row r="906" spans="1:15" ht="12.75" x14ac:dyDescent="0.2">
      <c r="A906" s="152">
        <v>6330000</v>
      </c>
      <c r="B906" s="51"/>
      <c r="C906" s="51" t="s">
        <v>978</v>
      </c>
      <c r="D906" s="220"/>
      <c r="E906" s="89"/>
      <c r="F906" s="89"/>
      <c r="G906" s="89"/>
      <c r="H906" s="89"/>
      <c r="I906" s="89"/>
      <c r="J906" s="89"/>
      <c r="K906" s="212">
        <f t="shared" si="57"/>
        <v>0</v>
      </c>
      <c r="L906" s="212">
        <f t="shared" si="57"/>
        <v>0</v>
      </c>
      <c r="M906" s="212">
        <f t="shared" si="57"/>
        <v>0</v>
      </c>
      <c r="N906" s="212">
        <f t="shared" si="58"/>
        <v>0</v>
      </c>
      <c r="O906" s="407"/>
    </row>
    <row r="907" spans="1:15" ht="12.75" x14ac:dyDescent="0.2">
      <c r="A907" s="152">
        <v>6330000</v>
      </c>
      <c r="B907" s="51"/>
      <c r="C907" s="51" t="s">
        <v>494</v>
      </c>
      <c r="D907" s="220"/>
      <c r="E907" s="89"/>
      <c r="F907" s="89"/>
      <c r="G907" s="89"/>
      <c r="H907" s="89"/>
      <c r="I907" s="89"/>
      <c r="J907" s="89"/>
      <c r="K907" s="212">
        <f t="shared" si="57"/>
        <v>0</v>
      </c>
      <c r="L907" s="212">
        <f t="shared" si="57"/>
        <v>0</v>
      </c>
      <c r="M907" s="212">
        <f t="shared" si="57"/>
        <v>0</v>
      </c>
      <c r="N907" s="212">
        <f t="shared" si="58"/>
        <v>0</v>
      </c>
      <c r="O907" s="407"/>
    </row>
    <row r="908" spans="1:15" ht="12.75" x14ac:dyDescent="0.2">
      <c r="A908" s="152">
        <v>6330000</v>
      </c>
      <c r="B908" s="51"/>
      <c r="C908" s="51" t="s">
        <v>976</v>
      </c>
      <c r="D908" s="220"/>
      <c r="E908" s="89"/>
      <c r="F908" s="89"/>
      <c r="G908" s="89"/>
      <c r="H908" s="89"/>
      <c r="I908" s="89"/>
      <c r="J908" s="89"/>
      <c r="K908" s="212">
        <f t="shared" si="57"/>
        <v>0</v>
      </c>
      <c r="L908" s="212">
        <f t="shared" si="57"/>
        <v>0</v>
      </c>
      <c r="M908" s="212">
        <f t="shared" si="57"/>
        <v>0</v>
      </c>
      <c r="N908" s="212">
        <f t="shared" si="58"/>
        <v>0</v>
      </c>
      <c r="O908" s="407"/>
    </row>
    <row r="909" spans="1:15" ht="12.75" x14ac:dyDescent="0.2">
      <c r="A909" s="152">
        <v>6330000</v>
      </c>
      <c r="B909" s="51"/>
      <c r="C909" s="51" t="s">
        <v>1002</v>
      </c>
      <c r="D909" s="220"/>
      <c r="E909" s="89"/>
      <c r="F909" s="89"/>
      <c r="G909" s="89"/>
      <c r="H909" s="89"/>
      <c r="I909" s="89"/>
      <c r="J909" s="89"/>
      <c r="K909" s="212">
        <f t="shared" si="57"/>
        <v>0</v>
      </c>
      <c r="L909" s="212">
        <f t="shared" si="57"/>
        <v>0</v>
      </c>
      <c r="M909" s="212">
        <f t="shared" si="57"/>
        <v>0</v>
      </c>
      <c r="N909" s="212">
        <f t="shared" si="58"/>
        <v>0</v>
      </c>
      <c r="O909" s="407"/>
    </row>
    <row r="910" spans="1:15" ht="12.75" x14ac:dyDescent="0.2">
      <c r="A910" s="152">
        <v>6330000</v>
      </c>
      <c r="B910" s="51"/>
      <c r="C910" s="51" t="s">
        <v>1014</v>
      </c>
      <c r="D910" s="220"/>
      <c r="E910" s="89"/>
      <c r="F910" s="89"/>
      <c r="G910" s="89"/>
      <c r="H910" s="89"/>
      <c r="I910" s="89"/>
      <c r="J910" s="89"/>
      <c r="K910" s="212">
        <f t="shared" si="57"/>
        <v>0</v>
      </c>
      <c r="L910" s="212">
        <f t="shared" si="57"/>
        <v>0</v>
      </c>
      <c r="M910" s="212">
        <f t="shared" si="57"/>
        <v>0</v>
      </c>
      <c r="N910" s="212">
        <f t="shared" si="58"/>
        <v>0</v>
      </c>
      <c r="O910" s="407"/>
    </row>
    <row r="911" spans="1:15" ht="12.75" x14ac:dyDescent="0.2">
      <c r="A911" s="152">
        <v>6330000</v>
      </c>
      <c r="B911" s="51"/>
      <c r="C911" s="51" t="s">
        <v>998</v>
      </c>
      <c r="D911" s="220"/>
      <c r="E911" s="89"/>
      <c r="F911" s="89"/>
      <c r="G911" s="89"/>
      <c r="H911" s="89"/>
      <c r="I911" s="89"/>
      <c r="J911" s="89"/>
      <c r="K911" s="212">
        <f t="shared" si="57"/>
        <v>0</v>
      </c>
      <c r="L911" s="212">
        <f t="shared" si="57"/>
        <v>0</v>
      </c>
      <c r="M911" s="212">
        <f t="shared" si="57"/>
        <v>0</v>
      </c>
      <c r="N911" s="212">
        <f t="shared" si="58"/>
        <v>0</v>
      </c>
      <c r="O911" s="407"/>
    </row>
    <row r="912" spans="1:15" ht="12.75" x14ac:dyDescent="0.2">
      <c r="A912" s="152">
        <v>6330000</v>
      </c>
      <c r="B912" s="51"/>
      <c r="C912" s="51" t="s">
        <v>996</v>
      </c>
      <c r="D912" s="220"/>
      <c r="E912" s="89"/>
      <c r="F912" s="89"/>
      <c r="G912" s="89"/>
      <c r="H912" s="89"/>
      <c r="I912" s="89"/>
      <c r="J912" s="89"/>
      <c r="K912" s="212">
        <f t="shared" ref="K912:M931" si="59">SUMIF($C$26:$C$212,$C912,K$26:K$212)</f>
        <v>0</v>
      </c>
      <c r="L912" s="212">
        <f t="shared" si="59"/>
        <v>0</v>
      </c>
      <c r="M912" s="212">
        <f t="shared" si="59"/>
        <v>0</v>
      </c>
      <c r="N912" s="212">
        <f t="shared" si="58"/>
        <v>0</v>
      </c>
      <c r="O912" s="407"/>
    </row>
    <row r="913" spans="1:15" ht="12.75" x14ac:dyDescent="0.2">
      <c r="A913" s="152">
        <v>6330000</v>
      </c>
      <c r="B913" s="51"/>
      <c r="C913" s="51" t="s">
        <v>1043</v>
      </c>
      <c r="D913" s="220"/>
      <c r="E913" s="89"/>
      <c r="F913" s="89"/>
      <c r="G913" s="89"/>
      <c r="H913" s="89"/>
      <c r="I913" s="89"/>
      <c r="J913" s="89"/>
      <c r="K913" s="212">
        <f t="shared" si="59"/>
        <v>0</v>
      </c>
      <c r="L913" s="212">
        <f t="shared" si="59"/>
        <v>0</v>
      </c>
      <c r="M913" s="212">
        <f t="shared" si="59"/>
        <v>0</v>
      </c>
      <c r="N913" s="212">
        <f t="shared" si="58"/>
        <v>0</v>
      </c>
      <c r="O913" s="407"/>
    </row>
    <row r="914" spans="1:15" ht="12.75" x14ac:dyDescent="0.2">
      <c r="A914" s="152">
        <v>6330000</v>
      </c>
      <c r="B914" s="51"/>
      <c r="C914" s="51" t="s">
        <v>1044</v>
      </c>
      <c r="D914" s="220"/>
      <c r="E914" s="89"/>
      <c r="F914" s="89"/>
      <c r="G914" s="89"/>
      <c r="H914" s="89"/>
      <c r="I914" s="89"/>
      <c r="J914" s="89"/>
      <c r="K914" s="212">
        <f t="shared" si="59"/>
        <v>0</v>
      </c>
      <c r="L914" s="212">
        <f t="shared" si="59"/>
        <v>0</v>
      </c>
      <c r="M914" s="212">
        <f t="shared" si="59"/>
        <v>0</v>
      </c>
      <c r="N914" s="212">
        <f t="shared" si="58"/>
        <v>0</v>
      </c>
      <c r="O914" s="407"/>
    </row>
    <row r="915" spans="1:15" ht="12.75" x14ac:dyDescent="0.2">
      <c r="A915" s="152">
        <v>6330000</v>
      </c>
      <c r="B915" s="51"/>
      <c r="C915" s="51" t="s">
        <v>1039</v>
      </c>
      <c r="D915" s="220"/>
      <c r="E915" s="89"/>
      <c r="F915" s="89"/>
      <c r="G915" s="89"/>
      <c r="H915" s="89"/>
      <c r="I915" s="89"/>
      <c r="J915" s="89"/>
      <c r="K915" s="212">
        <f t="shared" si="59"/>
        <v>0</v>
      </c>
      <c r="L915" s="212">
        <f t="shared" si="59"/>
        <v>0</v>
      </c>
      <c r="M915" s="212">
        <f t="shared" si="59"/>
        <v>0</v>
      </c>
      <c r="N915" s="212">
        <f t="shared" si="58"/>
        <v>0</v>
      </c>
      <c r="O915" s="407"/>
    </row>
    <row r="916" spans="1:15" ht="12.75" x14ac:dyDescent="0.2">
      <c r="A916" s="152">
        <v>6330000</v>
      </c>
      <c r="B916" s="51"/>
      <c r="C916" s="51" t="s">
        <v>1028</v>
      </c>
      <c r="D916" s="220"/>
      <c r="E916" s="89"/>
      <c r="F916" s="89"/>
      <c r="G916" s="89"/>
      <c r="H916" s="89"/>
      <c r="I916" s="89"/>
      <c r="J916" s="89"/>
      <c r="K916" s="212">
        <f t="shared" si="59"/>
        <v>0</v>
      </c>
      <c r="L916" s="212">
        <f t="shared" si="59"/>
        <v>0</v>
      </c>
      <c r="M916" s="212">
        <f t="shared" si="59"/>
        <v>0</v>
      </c>
      <c r="N916" s="212">
        <f t="shared" si="58"/>
        <v>0</v>
      </c>
      <c r="O916" s="407"/>
    </row>
    <row r="917" spans="1:15" ht="12.75" x14ac:dyDescent="0.2">
      <c r="A917" s="152">
        <v>6330000</v>
      </c>
      <c r="B917" s="51"/>
      <c r="C917" s="51" t="s">
        <v>1029</v>
      </c>
      <c r="D917" s="220"/>
      <c r="E917" s="89"/>
      <c r="F917" s="89"/>
      <c r="G917" s="89"/>
      <c r="H917" s="89"/>
      <c r="I917" s="89"/>
      <c r="J917" s="89"/>
      <c r="K917" s="212">
        <f t="shared" si="59"/>
        <v>0</v>
      </c>
      <c r="L917" s="212">
        <f t="shared" si="59"/>
        <v>0</v>
      </c>
      <c r="M917" s="212">
        <f t="shared" si="59"/>
        <v>0</v>
      </c>
      <c r="N917" s="212">
        <f t="shared" si="58"/>
        <v>0</v>
      </c>
      <c r="O917" s="407"/>
    </row>
    <row r="918" spans="1:15" ht="12.75" x14ac:dyDescent="0.2">
      <c r="A918" s="152">
        <v>6330000</v>
      </c>
      <c r="B918" s="51"/>
      <c r="C918" s="51" t="s">
        <v>113</v>
      </c>
      <c r="D918" s="220"/>
      <c r="E918" s="89"/>
      <c r="F918" s="89"/>
      <c r="G918" s="89"/>
      <c r="H918" s="89"/>
      <c r="I918" s="89"/>
      <c r="J918" s="89"/>
      <c r="K918" s="212">
        <f t="shared" si="59"/>
        <v>0</v>
      </c>
      <c r="L918" s="212">
        <f t="shared" si="59"/>
        <v>0</v>
      </c>
      <c r="M918" s="212">
        <f t="shared" si="59"/>
        <v>0</v>
      </c>
      <c r="N918" s="212">
        <f t="shared" si="58"/>
        <v>0</v>
      </c>
      <c r="O918" s="407"/>
    </row>
    <row r="919" spans="1:15" ht="12.75" x14ac:dyDescent="0.2">
      <c r="A919" s="152">
        <v>6330000</v>
      </c>
      <c r="B919" s="51"/>
      <c r="C919" s="51" t="s">
        <v>1038</v>
      </c>
      <c r="D919" s="220"/>
      <c r="E919" s="89"/>
      <c r="F919" s="89"/>
      <c r="G919" s="89"/>
      <c r="H919" s="89"/>
      <c r="I919" s="89"/>
      <c r="J919" s="89"/>
      <c r="K919" s="212">
        <f t="shared" si="59"/>
        <v>0</v>
      </c>
      <c r="L919" s="212">
        <f t="shared" si="59"/>
        <v>0</v>
      </c>
      <c r="M919" s="212">
        <f t="shared" si="59"/>
        <v>0</v>
      </c>
      <c r="N919" s="212">
        <f t="shared" si="58"/>
        <v>0</v>
      </c>
      <c r="O919" s="407"/>
    </row>
    <row r="920" spans="1:15" ht="12.75" x14ac:dyDescent="0.2">
      <c r="A920" s="152">
        <v>6330000</v>
      </c>
      <c r="B920" s="51"/>
      <c r="C920" s="51" t="s">
        <v>1033</v>
      </c>
      <c r="D920" s="220"/>
      <c r="E920" s="89"/>
      <c r="F920" s="89"/>
      <c r="G920" s="89"/>
      <c r="H920" s="89"/>
      <c r="I920" s="89"/>
      <c r="J920" s="89"/>
      <c r="K920" s="212">
        <f t="shared" si="59"/>
        <v>0</v>
      </c>
      <c r="L920" s="212">
        <f t="shared" si="59"/>
        <v>0</v>
      </c>
      <c r="M920" s="212">
        <f t="shared" si="59"/>
        <v>0</v>
      </c>
      <c r="N920" s="212">
        <f t="shared" si="58"/>
        <v>0</v>
      </c>
      <c r="O920" s="407"/>
    </row>
    <row r="921" spans="1:15" ht="12.75" x14ac:dyDescent="0.2">
      <c r="A921" s="152">
        <v>6330000</v>
      </c>
      <c r="B921" s="51"/>
      <c r="C921" s="51" t="s">
        <v>1007</v>
      </c>
      <c r="D921" s="220"/>
      <c r="E921" s="89"/>
      <c r="F921" s="89"/>
      <c r="G921" s="89"/>
      <c r="H921" s="89"/>
      <c r="I921" s="89"/>
      <c r="J921" s="89"/>
      <c r="K921" s="212">
        <f t="shared" si="59"/>
        <v>0</v>
      </c>
      <c r="L921" s="212">
        <f t="shared" si="59"/>
        <v>0</v>
      </c>
      <c r="M921" s="212">
        <f t="shared" si="59"/>
        <v>0</v>
      </c>
      <c r="N921" s="212">
        <f t="shared" si="58"/>
        <v>0</v>
      </c>
      <c r="O921" s="407"/>
    </row>
    <row r="922" spans="1:15" ht="12.75" x14ac:dyDescent="0.2">
      <c r="A922" s="152">
        <v>6330000</v>
      </c>
      <c r="B922" s="51"/>
      <c r="C922" s="51" t="s">
        <v>969</v>
      </c>
      <c r="D922" s="220"/>
      <c r="E922" s="89"/>
      <c r="F922" s="89"/>
      <c r="G922" s="89"/>
      <c r="H922" s="89"/>
      <c r="I922" s="89"/>
      <c r="J922" s="89"/>
      <c r="K922" s="212">
        <f t="shared" si="59"/>
        <v>0</v>
      </c>
      <c r="L922" s="212">
        <f t="shared" si="59"/>
        <v>0</v>
      </c>
      <c r="M922" s="212">
        <f t="shared" si="59"/>
        <v>0</v>
      </c>
      <c r="N922" s="212">
        <f t="shared" si="58"/>
        <v>0</v>
      </c>
      <c r="O922" s="407"/>
    </row>
    <row r="923" spans="1:15" ht="12.75" x14ac:dyDescent="0.2">
      <c r="A923" s="152">
        <v>6330000</v>
      </c>
      <c r="B923" s="51"/>
      <c r="C923" s="51" t="s">
        <v>987</v>
      </c>
      <c r="D923" s="220"/>
      <c r="E923" s="89"/>
      <c r="F923" s="89"/>
      <c r="G923" s="89"/>
      <c r="H923" s="89"/>
      <c r="I923" s="89"/>
      <c r="J923" s="89"/>
      <c r="K923" s="212">
        <f t="shared" si="59"/>
        <v>0</v>
      </c>
      <c r="L923" s="212">
        <f t="shared" si="59"/>
        <v>0</v>
      </c>
      <c r="M923" s="212">
        <f t="shared" si="59"/>
        <v>0</v>
      </c>
      <c r="N923" s="212">
        <f t="shared" si="58"/>
        <v>0</v>
      </c>
      <c r="O923" s="407"/>
    </row>
    <row r="924" spans="1:15" ht="12.75" x14ac:dyDescent="0.2">
      <c r="A924" s="152">
        <v>6330000</v>
      </c>
      <c r="B924" s="51"/>
      <c r="C924" s="51" t="s">
        <v>1000</v>
      </c>
      <c r="D924" s="220"/>
      <c r="E924" s="89"/>
      <c r="F924" s="89"/>
      <c r="G924" s="89"/>
      <c r="H924" s="89"/>
      <c r="I924" s="89"/>
      <c r="J924" s="89"/>
      <c r="K924" s="212">
        <f t="shared" si="59"/>
        <v>0</v>
      </c>
      <c r="L924" s="212">
        <f t="shared" si="59"/>
        <v>0</v>
      </c>
      <c r="M924" s="212">
        <f t="shared" si="59"/>
        <v>0</v>
      </c>
      <c r="N924" s="212">
        <f t="shared" si="58"/>
        <v>0</v>
      </c>
      <c r="O924" s="407"/>
    </row>
    <row r="925" spans="1:15" ht="12.75" x14ac:dyDescent="0.2">
      <c r="A925" s="152">
        <v>6330000</v>
      </c>
      <c r="B925" s="51"/>
      <c r="C925" s="51" t="s">
        <v>116</v>
      </c>
      <c r="D925" s="220"/>
      <c r="E925" s="89"/>
      <c r="F925" s="89"/>
      <c r="G925" s="89"/>
      <c r="H925" s="89"/>
      <c r="I925" s="89"/>
      <c r="J925" s="89"/>
      <c r="K925" s="212">
        <f t="shared" si="59"/>
        <v>0</v>
      </c>
      <c r="L925" s="212">
        <f t="shared" si="59"/>
        <v>0</v>
      </c>
      <c r="M925" s="212">
        <f t="shared" si="59"/>
        <v>0</v>
      </c>
      <c r="N925" s="212">
        <f t="shared" si="58"/>
        <v>0</v>
      </c>
      <c r="O925" s="407"/>
    </row>
    <row r="926" spans="1:15" ht="12.75" x14ac:dyDescent="0.2">
      <c r="A926" s="152">
        <v>6330000</v>
      </c>
      <c r="B926" s="51"/>
      <c r="C926" s="51" t="s">
        <v>114</v>
      </c>
      <c r="D926" s="220"/>
      <c r="E926" s="89"/>
      <c r="F926" s="89"/>
      <c r="G926" s="89"/>
      <c r="H926" s="89"/>
      <c r="I926" s="89"/>
      <c r="J926" s="89"/>
      <c r="K926" s="212">
        <f t="shared" si="59"/>
        <v>0</v>
      </c>
      <c r="L926" s="212">
        <f t="shared" si="59"/>
        <v>0</v>
      </c>
      <c r="M926" s="212">
        <f t="shared" si="59"/>
        <v>0</v>
      </c>
      <c r="N926" s="212">
        <f t="shared" si="58"/>
        <v>0</v>
      </c>
      <c r="O926" s="407"/>
    </row>
    <row r="927" spans="1:15" ht="12.75" x14ac:dyDescent="0.2">
      <c r="A927" s="152">
        <v>6330000</v>
      </c>
      <c r="B927" s="51"/>
      <c r="C927" s="51" t="s">
        <v>111</v>
      </c>
      <c r="D927" s="220"/>
      <c r="E927" s="89"/>
      <c r="F927" s="89"/>
      <c r="G927" s="89"/>
      <c r="H927" s="89"/>
      <c r="I927" s="89"/>
      <c r="J927" s="89"/>
      <c r="K927" s="212">
        <f t="shared" si="59"/>
        <v>0</v>
      </c>
      <c r="L927" s="212">
        <f t="shared" si="59"/>
        <v>0</v>
      </c>
      <c r="M927" s="212">
        <f t="shared" si="59"/>
        <v>0</v>
      </c>
      <c r="N927" s="212">
        <f t="shared" si="58"/>
        <v>0</v>
      </c>
      <c r="O927" s="407"/>
    </row>
    <row r="928" spans="1:15" ht="12.75" x14ac:dyDescent="0.2">
      <c r="A928" s="152">
        <v>6330000</v>
      </c>
      <c r="B928" s="51"/>
      <c r="C928" s="51" t="s">
        <v>117</v>
      </c>
      <c r="D928" s="220"/>
      <c r="E928" s="89"/>
      <c r="F928" s="89"/>
      <c r="G928" s="89"/>
      <c r="H928" s="89"/>
      <c r="I928" s="89"/>
      <c r="J928" s="89"/>
      <c r="K928" s="212">
        <f t="shared" si="59"/>
        <v>0</v>
      </c>
      <c r="L928" s="212">
        <f t="shared" si="59"/>
        <v>0</v>
      </c>
      <c r="M928" s="212">
        <f t="shared" si="59"/>
        <v>0</v>
      </c>
      <c r="N928" s="212">
        <f t="shared" si="58"/>
        <v>0</v>
      </c>
      <c r="O928" s="407"/>
    </row>
    <row r="929" spans="1:15" ht="12.75" x14ac:dyDescent="0.2">
      <c r="A929" s="152">
        <v>6330000</v>
      </c>
      <c r="B929" s="51"/>
      <c r="C929" s="51" t="s">
        <v>112</v>
      </c>
      <c r="D929" s="220"/>
      <c r="E929" s="89"/>
      <c r="F929" s="89"/>
      <c r="G929" s="89"/>
      <c r="H929" s="89"/>
      <c r="I929" s="89"/>
      <c r="J929" s="89"/>
      <c r="K929" s="212">
        <f t="shared" si="59"/>
        <v>0</v>
      </c>
      <c r="L929" s="212">
        <f t="shared" si="59"/>
        <v>0</v>
      </c>
      <c r="M929" s="212">
        <f t="shared" si="59"/>
        <v>0</v>
      </c>
      <c r="N929" s="212">
        <f t="shared" si="58"/>
        <v>0</v>
      </c>
      <c r="O929" s="407"/>
    </row>
    <row r="930" spans="1:15" ht="12.75" x14ac:dyDescent="0.2">
      <c r="A930" s="152">
        <v>6330000</v>
      </c>
      <c r="B930" s="51"/>
      <c r="C930" s="51" t="s">
        <v>136</v>
      </c>
      <c r="D930" s="220"/>
      <c r="E930" s="89"/>
      <c r="F930" s="89"/>
      <c r="G930" s="89"/>
      <c r="H930" s="89"/>
      <c r="I930" s="89"/>
      <c r="J930" s="89"/>
      <c r="K930" s="212">
        <f t="shared" si="59"/>
        <v>0</v>
      </c>
      <c r="L930" s="212">
        <f t="shared" si="59"/>
        <v>0</v>
      </c>
      <c r="M930" s="212">
        <f t="shared" si="59"/>
        <v>0</v>
      </c>
      <c r="N930" s="212">
        <f t="shared" si="58"/>
        <v>0</v>
      </c>
      <c r="O930" s="407"/>
    </row>
    <row r="931" spans="1:15" ht="12.75" x14ac:dyDescent="0.2">
      <c r="A931" s="152">
        <v>6330000</v>
      </c>
      <c r="B931" s="51"/>
      <c r="C931" s="51" t="s">
        <v>962</v>
      </c>
      <c r="D931" s="220"/>
      <c r="E931" s="89"/>
      <c r="F931" s="89"/>
      <c r="G931" s="89"/>
      <c r="H931" s="89"/>
      <c r="I931" s="89"/>
      <c r="J931" s="89"/>
      <c r="K931" s="212">
        <f t="shared" si="59"/>
        <v>0</v>
      </c>
      <c r="L931" s="212">
        <f t="shared" si="59"/>
        <v>0</v>
      </c>
      <c r="M931" s="212">
        <f t="shared" si="59"/>
        <v>0</v>
      </c>
      <c r="N931" s="212">
        <f t="shared" si="58"/>
        <v>0</v>
      </c>
      <c r="O931" s="407"/>
    </row>
    <row r="932" spans="1:15" ht="12.75" x14ac:dyDescent="0.2">
      <c r="A932" s="152">
        <v>6330000</v>
      </c>
      <c r="B932" s="51"/>
      <c r="C932" s="51" t="s">
        <v>115</v>
      </c>
      <c r="D932" s="220"/>
      <c r="E932" s="89"/>
      <c r="F932" s="89"/>
      <c r="G932" s="89"/>
      <c r="H932" s="89"/>
      <c r="I932" s="89"/>
      <c r="J932" s="89"/>
      <c r="K932" s="212">
        <f t="shared" ref="K932:M951" si="60">SUMIF($C$26:$C$212,$C932,K$26:K$212)</f>
        <v>0</v>
      </c>
      <c r="L932" s="212">
        <f t="shared" si="60"/>
        <v>0</v>
      </c>
      <c r="M932" s="212">
        <f t="shared" si="60"/>
        <v>0</v>
      </c>
      <c r="N932" s="212">
        <f t="shared" si="58"/>
        <v>0</v>
      </c>
      <c r="O932" s="407"/>
    </row>
    <row r="933" spans="1:15" ht="12.75" x14ac:dyDescent="0.2">
      <c r="A933" s="152">
        <v>6330000</v>
      </c>
      <c r="B933" s="51"/>
      <c r="C933" s="51" t="s">
        <v>997</v>
      </c>
      <c r="D933" s="220"/>
      <c r="E933" s="89"/>
      <c r="F933" s="89"/>
      <c r="G933" s="89"/>
      <c r="H933" s="89"/>
      <c r="I933" s="89"/>
      <c r="J933" s="89"/>
      <c r="K933" s="212">
        <f t="shared" si="60"/>
        <v>0</v>
      </c>
      <c r="L933" s="212">
        <f t="shared" si="60"/>
        <v>0</v>
      </c>
      <c r="M933" s="212">
        <f t="shared" si="60"/>
        <v>0</v>
      </c>
      <c r="N933" s="212">
        <f t="shared" si="58"/>
        <v>0</v>
      </c>
      <c r="O933" s="407"/>
    </row>
    <row r="934" spans="1:15" ht="12.75" x14ac:dyDescent="0.2">
      <c r="A934" s="152">
        <v>6330000</v>
      </c>
      <c r="B934" s="51"/>
      <c r="C934" s="51" t="s">
        <v>999</v>
      </c>
      <c r="D934" s="220"/>
      <c r="E934" s="89"/>
      <c r="F934" s="89"/>
      <c r="G934" s="89"/>
      <c r="H934" s="89"/>
      <c r="I934" s="89"/>
      <c r="J934" s="89"/>
      <c r="K934" s="212">
        <f t="shared" si="60"/>
        <v>0</v>
      </c>
      <c r="L934" s="212">
        <f t="shared" si="60"/>
        <v>0</v>
      </c>
      <c r="M934" s="212">
        <f t="shared" si="60"/>
        <v>0</v>
      </c>
      <c r="N934" s="212">
        <f t="shared" si="58"/>
        <v>0</v>
      </c>
      <c r="O934" s="407"/>
    </row>
    <row r="935" spans="1:15" ht="12.75" x14ac:dyDescent="0.2">
      <c r="A935" s="152">
        <v>6330000</v>
      </c>
      <c r="B935" s="51"/>
      <c r="C935" s="51" t="s">
        <v>1049</v>
      </c>
      <c r="D935" s="220"/>
      <c r="E935" s="89"/>
      <c r="F935" s="89"/>
      <c r="G935" s="89"/>
      <c r="H935" s="89"/>
      <c r="I935" s="89"/>
      <c r="J935" s="89"/>
      <c r="K935" s="212">
        <f t="shared" si="60"/>
        <v>0</v>
      </c>
      <c r="L935" s="212">
        <f t="shared" si="60"/>
        <v>0</v>
      </c>
      <c r="M935" s="212">
        <f t="shared" si="60"/>
        <v>0</v>
      </c>
      <c r="N935" s="212">
        <f t="shared" si="58"/>
        <v>0</v>
      </c>
      <c r="O935" s="407"/>
    </row>
    <row r="936" spans="1:15" ht="12.75" x14ac:dyDescent="0.2">
      <c r="A936" s="152">
        <v>6330000</v>
      </c>
      <c r="B936" s="51"/>
      <c r="C936" s="51" t="s">
        <v>96</v>
      </c>
      <c r="D936" s="220"/>
      <c r="E936" s="89"/>
      <c r="F936" s="89"/>
      <c r="G936" s="89"/>
      <c r="H936" s="89"/>
      <c r="I936" s="89"/>
      <c r="J936" s="89"/>
      <c r="K936" s="212">
        <f t="shared" si="60"/>
        <v>0</v>
      </c>
      <c r="L936" s="212">
        <f t="shared" si="60"/>
        <v>0</v>
      </c>
      <c r="M936" s="212">
        <f t="shared" si="60"/>
        <v>0</v>
      </c>
      <c r="N936" s="212">
        <f t="shared" si="58"/>
        <v>0</v>
      </c>
      <c r="O936" s="407"/>
    </row>
    <row r="937" spans="1:15" ht="12.75" x14ac:dyDescent="0.2">
      <c r="A937" s="152">
        <v>6330000</v>
      </c>
      <c r="B937" s="51"/>
      <c r="C937" s="51" t="s">
        <v>983</v>
      </c>
      <c r="D937" s="220"/>
      <c r="E937" s="89"/>
      <c r="F937" s="89"/>
      <c r="G937" s="89"/>
      <c r="H937" s="89"/>
      <c r="I937" s="89"/>
      <c r="J937" s="89"/>
      <c r="K937" s="212">
        <f t="shared" si="60"/>
        <v>0</v>
      </c>
      <c r="L937" s="212">
        <f t="shared" si="60"/>
        <v>0</v>
      </c>
      <c r="M937" s="212">
        <f t="shared" si="60"/>
        <v>0</v>
      </c>
      <c r="N937" s="212">
        <f t="shared" si="58"/>
        <v>0</v>
      </c>
      <c r="O937" s="407"/>
    </row>
    <row r="938" spans="1:15" ht="12.75" x14ac:dyDescent="0.2">
      <c r="A938" s="152">
        <v>6330000</v>
      </c>
      <c r="B938" s="51"/>
      <c r="C938" s="51" t="s">
        <v>1042</v>
      </c>
      <c r="D938" s="220"/>
      <c r="E938" s="89"/>
      <c r="F938" s="89"/>
      <c r="G938" s="89"/>
      <c r="H938" s="89"/>
      <c r="I938" s="89"/>
      <c r="J938" s="89"/>
      <c r="K938" s="212">
        <f t="shared" si="60"/>
        <v>0</v>
      </c>
      <c r="L938" s="212">
        <f t="shared" si="60"/>
        <v>0</v>
      </c>
      <c r="M938" s="212">
        <f t="shared" si="60"/>
        <v>0</v>
      </c>
      <c r="N938" s="212">
        <f t="shared" si="58"/>
        <v>0</v>
      </c>
      <c r="O938" s="407"/>
    </row>
    <row r="939" spans="1:15" ht="12.75" x14ac:dyDescent="0.2">
      <c r="A939" s="152">
        <v>6330000</v>
      </c>
      <c r="B939" s="51"/>
      <c r="C939" s="51" t="s">
        <v>979</v>
      </c>
      <c r="D939" s="220"/>
      <c r="E939" s="89"/>
      <c r="F939" s="89"/>
      <c r="G939" s="89"/>
      <c r="H939" s="89"/>
      <c r="I939" s="89"/>
      <c r="J939" s="89"/>
      <c r="K939" s="212">
        <f t="shared" si="60"/>
        <v>0</v>
      </c>
      <c r="L939" s="212">
        <f t="shared" si="60"/>
        <v>0</v>
      </c>
      <c r="M939" s="212">
        <f t="shared" si="60"/>
        <v>0</v>
      </c>
      <c r="N939" s="212">
        <f t="shared" si="58"/>
        <v>0</v>
      </c>
      <c r="O939" s="407"/>
    </row>
    <row r="940" spans="1:15" ht="12.75" x14ac:dyDescent="0.2">
      <c r="A940" s="152">
        <v>6330000</v>
      </c>
      <c r="B940" s="51"/>
      <c r="C940" s="51" t="s">
        <v>47</v>
      </c>
      <c r="D940" s="220"/>
      <c r="E940" s="89"/>
      <c r="F940" s="89"/>
      <c r="G940" s="89"/>
      <c r="H940" s="89"/>
      <c r="I940" s="89"/>
      <c r="J940" s="89"/>
      <c r="K940" s="212">
        <f t="shared" si="60"/>
        <v>0</v>
      </c>
      <c r="L940" s="212">
        <f t="shared" si="60"/>
        <v>0</v>
      </c>
      <c r="M940" s="212">
        <f t="shared" si="60"/>
        <v>0</v>
      </c>
      <c r="N940" s="212">
        <f t="shared" si="58"/>
        <v>0</v>
      </c>
      <c r="O940" s="407"/>
    </row>
    <row r="941" spans="1:15" ht="12.75" x14ac:dyDescent="0.2">
      <c r="A941" s="152">
        <v>6330000</v>
      </c>
      <c r="B941" s="51"/>
      <c r="C941" s="51" t="s">
        <v>48</v>
      </c>
      <c r="D941" s="220"/>
      <c r="E941" s="89"/>
      <c r="F941" s="89"/>
      <c r="G941" s="89"/>
      <c r="H941" s="89"/>
      <c r="I941" s="89"/>
      <c r="J941" s="89"/>
      <c r="K941" s="212">
        <f t="shared" si="60"/>
        <v>0</v>
      </c>
      <c r="L941" s="212">
        <f t="shared" si="60"/>
        <v>0</v>
      </c>
      <c r="M941" s="212">
        <f t="shared" si="60"/>
        <v>0</v>
      </c>
      <c r="N941" s="212">
        <f t="shared" si="58"/>
        <v>0</v>
      </c>
      <c r="O941" s="407"/>
    </row>
    <row r="942" spans="1:15" ht="12.75" x14ac:dyDescent="0.2">
      <c r="A942" s="152">
        <v>6330000</v>
      </c>
      <c r="B942" s="51"/>
      <c r="C942" s="51" t="s">
        <v>1051</v>
      </c>
      <c r="D942" s="220"/>
      <c r="E942" s="89"/>
      <c r="F942" s="89"/>
      <c r="G942" s="89"/>
      <c r="H942" s="89"/>
      <c r="I942" s="89"/>
      <c r="J942" s="89"/>
      <c r="K942" s="212">
        <f t="shared" si="60"/>
        <v>0</v>
      </c>
      <c r="L942" s="212">
        <f t="shared" si="60"/>
        <v>0</v>
      </c>
      <c r="M942" s="212">
        <f t="shared" si="60"/>
        <v>0</v>
      </c>
      <c r="N942" s="212">
        <f t="shared" si="58"/>
        <v>0</v>
      </c>
      <c r="O942" s="407"/>
    </row>
    <row r="943" spans="1:15" ht="12.75" x14ac:dyDescent="0.2">
      <c r="A943" s="152">
        <v>6330000</v>
      </c>
      <c r="B943" s="51"/>
      <c r="C943" s="51" t="s">
        <v>929</v>
      </c>
      <c r="D943" s="220"/>
      <c r="E943" s="89"/>
      <c r="F943" s="89"/>
      <c r="G943" s="89"/>
      <c r="H943" s="89"/>
      <c r="I943" s="89"/>
      <c r="J943" s="89"/>
      <c r="K943" s="212">
        <f t="shared" si="60"/>
        <v>0</v>
      </c>
      <c r="L943" s="212">
        <f t="shared" si="60"/>
        <v>0</v>
      </c>
      <c r="M943" s="212">
        <f t="shared" si="60"/>
        <v>0</v>
      </c>
      <c r="N943" s="212">
        <f t="shared" si="58"/>
        <v>0</v>
      </c>
      <c r="O943" s="407"/>
    </row>
    <row r="944" spans="1:15" ht="12.75" x14ac:dyDescent="0.2">
      <c r="A944" s="152">
        <v>6330000</v>
      </c>
      <c r="B944" s="51"/>
      <c r="C944" s="51" t="s">
        <v>970</v>
      </c>
      <c r="D944" s="220"/>
      <c r="E944" s="89"/>
      <c r="F944" s="89"/>
      <c r="G944" s="89"/>
      <c r="H944" s="89"/>
      <c r="I944" s="89"/>
      <c r="J944" s="89"/>
      <c r="K944" s="212">
        <f t="shared" si="60"/>
        <v>0</v>
      </c>
      <c r="L944" s="212">
        <f t="shared" si="60"/>
        <v>0</v>
      </c>
      <c r="M944" s="212">
        <f t="shared" si="60"/>
        <v>0</v>
      </c>
      <c r="N944" s="212">
        <f t="shared" si="58"/>
        <v>0</v>
      </c>
      <c r="O944" s="407"/>
    </row>
    <row r="945" spans="1:15" ht="12.75" x14ac:dyDescent="0.2">
      <c r="A945" s="152">
        <v>6330000</v>
      </c>
      <c r="B945" s="51"/>
      <c r="C945" s="51" t="s">
        <v>122</v>
      </c>
      <c r="D945" s="220"/>
      <c r="E945" s="89"/>
      <c r="F945" s="89"/>
      <c r="G945" s="89"/>
      <c r="H945" s="89"/>
      <c r="I945" s="89"/>
      <c r="J945" s="89"/>
      <c r="K945" s="212">
        <f t="shared" si="60"/>
        <v>0</v>
      </c>
      <c r="L945" s="212">
        <f t="shared" si="60"/>
        <v>0</v>
      </c>
      <c r="M945" s="212">
        <f t="shared" si="60"/>
        <v>0</v>
      </c>
      <c r="N945" s="212">
        <f t="shared" si="58"/>
        <v>0</v>
      </c>
      <c r="O945" s="407"/>
    </row>
    <row r="946" spans="1:15" ht="12.75" x14ac:dyDescent="0.2">
      <c r="A946" s="152">
        <v>6330000</v>
      </c>
      <c r="B946" s="51"/>
      <c r="C946" s="51" t="s">
        <v>135</v>
      </c>
      <c r="D946" s="220"/>
      <c r="E946" s="89"/>
      <c r="F946" s="89"/>
      <c r="G946" s="89"/>
      <c r="H946" s="89"/>
      <c r="I946" s="89"/>
      <c r="J946" s="89"/>
      <c r="K946" s="212">
        <f t="shared" si="60"/>
        <v>0</v>
      </c>
      <c r="L946" s="212">
        <f t="shared" si="60"/>
        <v>0</v>
      </c>
      <c r="M946" s="212">
        <f t="shared" si="60"/>
        <v>0</v>
      </c>
      <c r="N946" s="212">
        <f t="shared" si="58"/>
        <v>0</v>
      </c>
      <c r="O946" s="407"/>
    </row>
    <row r="947" spans="1:15" ht="12.75" x14ac:dyDescent="0.2">
      <c r="A947" s="152">
        <v>6330000</v>
      </c>
      <c r="B947" s="51"/>
      <c r="C947" s="51" t="s">
        <v>123</v>
      </c>
      <c r="D947" s="220"/>
      <c r="E947" s="89"/>
      <c r="F947" s="89"/>
      <c r="G947" s="89"/>
      <c r="H947" s="89"/>
      <c r="I947" s="89"/>
      <c r="J947" s="89"/>
      <c r="K947" s="212">
        <f t="shared" si="60"/>
        <v>0</v>
      </c>
      <c r="L947" s="212">
        <f t="shared" si="60"/>
        <v>0</v>
      </c>
      <c r="M947" s="212">
        <f t="shared" si="60"/>
        <v>0</v>
      </c>
      <c r="N947" s="212">
        <f t="shared" si="58"/>
        <v>0</v>
      </c>
      <c r="O947" s="407"/>
    </row>
    <row r="948" spans="1:15" ht="12.75" x14ac:dyDescent="0.2">
      <c r="A948" s="152">
        <v>6330000</v>
      </c>
      <c r="B948" s="51"/>
      <c r="C948" s="51" t="s">
        <v>974</v>
      </c>
      <c r="D948" s="220"/>
      <c r="E948" s="89"/>
      <c r="F948" s="89"/>
      <c r="G948" s="89"/>
      <c r="H948" s="89"/>
      <c r="I948" s="89"/>
      <c r="J948" s="89"/>
      <c r="K948" s="212">
        <f t="shared" si="60"/>
        <v>0</v>
      </c>
      <c r="L948" s="212">
        <f t="shared" si="60"/>
        <v>0</v>
      </c>
      <c r="M948" s="212">
        <f t="shared" si="60"/>
        <v>0</v>
      </c>
      <c r="N948" s="212">
        <f t="shared" si="58"/>
        <v>0</v>
      </c>
      <c r="O948" s="407"/>
    </row>
    <row r="949" spans="1:15" ht="12.75" x14ac:dyDescent="0.2">
      <c r="A949" s="152">
        <v>6330000</v>
      </c>
      <c r="B949" s="51"/>
      <c r="C949" s="51" t="s">
        <v>975</v>
      </c>
      <c r="D949" s="220"/>
      <c r="E949" s="89"/>
      <c r="F949" s="89"/>
      <c r="G949" s="89"/>
      <c r="H949" s="89"/>
      <c r="I949" s="89"/>
      <c r="J949" s="89"/>
      <c r="K949" s="212">
        <f t="shared" si="60"/>
        <v>0</v>
      </c>
      <c r="L949" s="212">
        <f t="shared" si="60"/>
        <v>0</v>
      </c>
      <c r="M949" s="212">
        <f t="shared" si="60"/>
        <v>0</v>
      </c>
      <c r="N949" s="212">
        <f t="shared" si="58"/>
        <v>0</v>
      </c>
      <c r="O949" s="407"/>
    </row>
    <row r="950" spans="1:15" ht="12.75" x14ac:dyDescent="0.2">
      <c r="A950" s="152">
        <v>6330000</v>
      </c>
      <c r="B950" s="51"/>
      <c r="C950" s="51" t="s">
        <v>126</v>
      </c>
      <c r="D950" s="220"/>
      <c r="E950" s="89"/>
      <c r="F950" s="89"/>
      <c r="G950" s="89"/>
      <c r="H950" s="89"/>
      <c r="I950" s="89"/>
      <c r="J950" s="89"/>
      <c r="K950" s="212">
        <f t="shared" si="60"/>
        <v>0</v>
      </c>
      <c r="L950" s="212">
        <f t="shared" si="60"/>
        <v>0</v>
      </c>
      <c r="M950" s="212">
        <f t="shared" si="60"/>
        <v>0</v>
      </c>
      <c r="N950" s="212">
        <f t="shared" si="58"/>
        <v>0</v>
      </c>
      <c r="O950" s="407"/>
    </row>
    <row r="951" spans="1:15" ht="12.75" x14ac:dyDescent="0.2">
      <c r="A951" s="152">
        <v>6330000</v>
      </c>
      <c r="B951" s="51"/>
      <c r="C951" s="51" t="s">
        <v>127</v>
      </c>
      <c r="D951" s="220"/>
      <c r="E951" s="89"/>
      <c r="F951" s="89"/>
      <c r="G951" s="89"/>
      <c r="H951" s="89"/>
      <c r="I951" s="89"/>
      <c r="J951" s="89"/>
      <c r="K951" s="212">
        <f t="shared" si="60"/>
        <v>0</v>
      </c>
      <c r="L951" s="212">
        <f t="shared" si="60"/>
        <v>0</v>
      </c>
      <c r="M951" s="212">
        <f t="shared" si="60"/>
        <v>0</v>
      </c>
      <c r="N951" s="212">
        <f t="shared" si="58"/>
        <v>0</v>
      </c>
      <c r="O951" s="407"/>
    </row>
    <row r="952" spans="1:15" ht="12.75" x14ac:dyDescent="0.2">
      <c r="A952" s="152">
        <v>6330000</v>
      </c>
      <c r="B952" s="51"/>
      <c r="C952" s="51" t="s">
        <v>130</v>
      </c>
      <c r="D952" s="220"/>
      <c r="E952" s="89"/>
      <c r="F952" s="89"/>
      <c r="G952" s="89"/>
      <c r="H952" s="89"/>
      <c r="I952" s="89"/>
      <c r="J952" s="89"/>
      <c r="K952" s="212">
        <f t="shared" ref="K952:M971" si="61">SUMIF($C$26:$C$212,$C952,K$26:K$212)</f>
        <v>0</v>
      </c>
      <c r="L952" s="212">
        <f t="shared" si="61"/>
        <v>0</v>
      </c>
      <c r="M952" s="212">
        <f t="shared" si="61"/>
        <v>0</v>
      </c>
      <c r="N952" s="212">
        <f t="shared" si="58"/>
        <v>0</v>
      </c>
      <c r="O952" s="407"/>
    </row>
    <row r="953" spans="1:15" ht="12.75" x14ac:dyDescent="0.2">
      <c r="A953" s="152">
        <v>6330000</v>
      </c>
      <c r="B953" s="51"/>
      <c r="C953" s="51" t="s">
        <v>125</v>
      </c>
      <c r="D953" s="220"/>
      <c r="E953" s="89"/>
      <c r="F953" s="89"/>
      <c r="G953" s="89"/>
      <c r="H953" s="89"/>
      <c r="I953" s="89"/>
      <c r="J953" s="89"/>
      <c r="K953" s="212">
        <f t="shared" si="61"/>
        <v>0</v>
      </c>
      <c r="L953" s="212">
        <f t="shared" si="61"/>
        <v>0</v>
      </c>
      <c r="M953" s="212">
        <f t="shared" si="61"/>
        <v>0</v>
      </c>
      <c r="N953" s="212">
        <f t="shared" si="58"/>
        <v>0</v>
      </c>
      <c r="O953" s="407"/>
    </row>
    <row r="954" spans="1:15" ht="12.75" x14ac:dyDescent="0.2">
      <c r="A954" s="152">
        <v>6330000</v>
      </c>
      <c r="B954" s="51"/>
      <c r="C954" s="51" t="s">
        <v>128</v>
      </c>
      <c r="D954" s="220"/>
      <c r="E954" s="89"/>
      <c r="F954" s="89"/>
      <c r="G954" s="89"/>
      <c r="H954" s="89"/>
      <c r="I954" s="89"/>
      <c r="J954" s="89"/>
      <c r="K954" s="212">
        <f t="shared" si="61"/>
        <v>0</v>
      </c>
      <c r="L954" s="212">
        <f t="shared" si="61"/>
        <v>0</v>
      </c>
      <c r="M954" s="212">
        <f t="shared" si="61"/>
        <v>0</v>
      </c>
      <c r="N954" s="212">
        <f t="shared" si="58"/>
        <v>0</v>
      </c>
      <c r="O954" s="407"/>
    </row>
    <row r="955" spans="1:15" ht="12.75" x14ac:dyDescent="0.2">
      <c r="A955" s="152">
        <v>6330000</v>
      </c>
      <c r="B955" s="51"/>
      <c r="C955" s="51" t="s">
        <v>1016</v>
      </c>
      <c r="D955" s="220"/>
      <c r="E955" s="89"/>
      <c r="F955" s="89"/>
      <c r="G955" s="89"/>
      <c r="H955" s="89"/>
      <c r="I955" s="89"/>
      <c r="J955" s="89"/>
      <c r="K955" s="212">
        <f t="shared" si="61"/>
        <v>0</v>
      </c>
      <c r="L955" s="212">
        <f t="shared" si="61"/>
        <v>0</v>
      </c>
      <c r="M955" s="212">
        <f t="shared" si="61"/>
        <v>0</v>
      </c>
      <c r="N955" s="212">
        <f t="shared" si="58"/>
        <v>0</v>
      </c>
      <c r="O955" s="407"/>
    </row>
    <row r="956" spans="1:15" ht="12.75" x14ac:dyDescent="0.2">
      <c r="A956" s="152">
        <v>6330000</v>
      </c>
      <c r="B956" s="51"/>
      <c r="C956" s="51" t="s">
        <v>1015</v>
      </c>
      <c r="D956" s="220"/>
      <c r="E956" s="89"/>
      <c r="F956" s="89"/>
      <c r="G956" s="89"/>
      <c r="H956" s="89"/>
      <c r="I956" s="89"/>
      <c r="J956" s="89"/>
      <c r="K956" s="212">
        <f t="shared" si="61"/>
        <v>0</v>
      </c>
      <c r="L956" s="212">
        <f t="shared" si="61"/>
        <v>0</v>
      </c>
      <c r="M956" s="212">
        <f t="shared" si="61"/>
        <v>0</v>
      </c>
      <c r="N956" s="212">
        <f t="shared" si="58"/>
        <v>0</v>
      </c>
      <c r="O956" s="407"/>
    </row>
    <row r="957" spans="1:15" ht="12.75" x14ac:dyDescent="0.2">
      <c r="A957" s="152">
        <v>6330000</v>
      </c>
      <c r="B957" s="51"/>
      <c r="C957" s="51" t="s">
        <v>930</v>
      </c>
      <c r="D957" s="220"/>
      <c r="E957" s="89"/>
      <c r="F957" s="89"/>
      <c r="G957" s="89"/>
      <c r="H957" s="89"/>
      <c r="I957" s="89"/>
      <c r="J957" s="89"/>
      <c r="K957" s="212">
        <f t="shared" si="61"/>
        <v>0</v>
      </c>
      <c r="L957" s="212">
        <f t="shared" si="61"/>
        <v>0</v>
      </c>
      <c r="M957" s="212">
        <f t="shared" si="61"/>
        <v>0</v>
      </c>
      <c r="N957" s="212">
        <f t="shared" si="58"/>
        <v>0</v>
      </c>
      <c r="O957" s="407"/>
    </row>
    <row r="958" spans="1:15" ht="12.75" x14ac:dyDescent="0.2">
      <c r="A958" s="152">
        <v>6330000</v>
      </c>
      <c r="B958" s="51"/>
      <c r="C958" s="51" t="s">
        <v>931</v>
      </c>
      <c r="D958" s="220"/>
      <c r="E958" s="89"/>
      <c r="F958" s="89"/>
      <c r="G958" s="89"/>
      <c r="H958" s="89"/>
      <c r="I958" s="89"/>
      <c r="J958" s="89"/>
      <c r="K958" s="212">
        <f t="shared" si="61"/>
        <v>0</v>
      </c>
      <c r="L958" s="212">
        <f t="shared" si="61"/>
        <v>0</v>
      </c>
      <c r="M958" s="212">
        <f t="shared" si="61"/>
        <v>0</v>
      </c>
      <c r="N958" s="212">
        <f t="shared" si="58"/>
        <v>0</v>
      </c>
      <c r="O958" s="407"/>
    </row>
    <row r="959" spans="1:15" ht="12.75" x14ac:dyDescent="0.2">
      <c r="A959" s="152">
        <v>6330000</v>
      </c>
      <c r="B959" s="51"/>
      <c r="C959" s="51" t="s">
        <v>926</v>
      </c>
      <c r="D959" s="220"/>
      <c r="E959" s="89"/>
      <c r="F959" s="89"/>
      <c r="G959" s="89"/>
      <c r="H959" s="89"/>
      <c r="I959" s="89"/>
      <c r="J959" s="89"/>
      <c r="K959" s="212">
        <f t="shared" si="61"/>
        <v>0</v>
      </c>
      <c r="L959" s="212">
        <f t="shared" si="61"/>
        <v>0</v>
      </c>
      <c r="M959" s="212">
        <f t="shared" si="61"/>
        <v>0</v>
      </c>
      <c r="N959" s="212">
        <f t="shared" si="58"/>
        <v>0</v>
      </c>
      <c r="O959" s="407"/>
    </row>
    <row r="960" spans="1:15" ht="12.75" x14ac:dyDescent="0.2">
      <c r="A960" s="152">
        <v>6330000</v>
      </c>
      <c r="B960" s="51"/>
      <c r="C960" s="51" t="s">
        <v>110</v>
      </c>
      <c r="D960" s="220"/>
      <c r="E960" s="89"/>
      <c r="F960" s="89"/>
      <c r="G960" s="89"/>
      <c r="H960" s="89"/>
      <c r="I960" s="89"/>
      <c r="J960" s="89"/>
      <c r="K960" s="212">
        <f t="shared" si="61"/>
        <v>0</v>
      </c>
      <c r="L960" s="212">
        <f t="shared" si="61"/>
        <v>0</v>
      </c>
      <c r="M960" s="212">
        <f t="shared" si="61"/>
        <v>0</v>
      </c>
      <c r="N960" s="212">
        <f t="shared" ref="N960:N1023" si="62">SUMIFS(N$26:N$212,$A$26:$A$212,$A960,$C$26:$C$212,$C960)</f>
        <v>0</v>
      </c>
      <c r="O960" s="407"/>
    </row>
    <row r="961" spans="1:15" ht="12.75" x14ac:dyDescent="0.2">
      <c r="A961" s="152">
        <v>6330000</v>
      </c>
      <c r="B961" s="51"/>
      <c r="C961" s="51" t="s">
        <v>133</v>
      </c>
      <c r="D961" s="220"/>
      <c r="E961" s="89"/>
      <c r="F961" s="89"/>
      <c r="G961" s="89"/>
      <c r="H961" s="89"/>
      <c r="I961" s="89"/>
      <c r="J961" s="89"/>
      <c r="K961" s="212">
        <f t="shared" si="61"/>
        <v>0</v>
      </c>
      <c r="L961" s="212">
        <f t="shared" si="61"/>
        <v>0</v>
      </c>
      <c r="M961" s="212">
        <f t="shared" si="61"/>
        <v>0</v>
      </c>
      <c r="N961" s="212">
        <f t="shared" si="62"/>
        <v>0</v>
      </c>
      <c r="O961" s="407"/>
    </row>
    <row r="962" spans="1:15" ht="12.75" x14ac:dyDescent="0.2">
      <c r="A962" s="152">
        <v>6330000</v>
      </c>
      <c r="B962" s="51"/>
      <c r="C962" s="51" t="s">
        <v>134</v>
      </c>
      <c r="D962" s="220"/>
      <c r="E962" s="89"/>
      <c r="F962" s="89"/>
      <c r="G962" s="89"/>
      <c r="H962" s="89"/>
      <c r="I962" s="89"/>
      <c r="J962" s="89"/>
      <c r="K962" s="212">
        <f t="shared" si="61"/>
        <v>0</v>
      </c>
      <c r="L962" s="212">
        <f t="shared" si="61"/>
        <v>0</v>
      </c>
      <c r="M962" s="212">
        <f t="shared" si="61"/>
        <v>0</v>
      </c>
      <c r="N962" s="212">
        <f t="shared" si="62"/>
        <v>0</v>
      </c>
      <c r="O962" s="407"/>
    </row>
    <row r="963" spans="1:15" ht="12.75" x14ac:dyDescent="0.2">
      <c r="A963" s="152">
        <v>6330000</v>
      </c>
      <c r="B963" s="51"/>
      <c r="C963" s="51" t="s">
        <v>138</v>
      </c>
      <c r="D963" s="220"/>
      <c r="E963" s="89"/>
      <c r="F963" s="89"/>
      <c r="G963" s="89"/>
      <c r="H963" s="89"/>
      <c r="I963" s="89"/>
      <c r="J963" s="89"/>
      <c r="K963" s="212">
        <f t="shared" si="61"/>
        <v>0</v>
      </c>
      <c r="L963" s="212">
        <f t="shared" si="61"/>
        <v>0</v>
      </c>
      <c r="M963" s="212">
        <f t="shared" si="61"/>
        <v>0</v>
      </c>
      <c r="N963" s="212">
        <f t="shared" si="62"/>
        <v>0</v>
      </c>
      <c r="O963" s="407"/>
    </row>
    <row r="964" spans="1:15" ht="12.75" x14ac:dyDescent="0.2">
      <c r="A964" s="152">
        <v>6330000</v>
      </c>
      <c r="B964" s="51"/>
      <c r="C964" s="51" t="s">
        <v>106</v>
      </c>
      <c r="D964" s="220"/>
      <c r="E964" s="89"/>
      <c r="F964" s="89"/>
      <c r="G964" s="89"/>
      <c r="H964" s="89"/>
      <c r="I964" s="89"/>
      <c r="J964" s="89"/>
      <c r="K964" s="212">
        <f t="shared" si="61"/>
        <v>0</v>
      </c>
      <c r="L964" s="212">
        <f t="shared" si="61"/>
        <v>0</v>
      </c>
      <c r="M964" s="212">
        <f t="shared" si="61"/>
        <v>0</v>
      </c>
      <c r="N964" s="212">
        <f t="shared" si="62"/>
        <v>0</v>
      </c>
      <c r="O964" s="407"/>
    </row>
    <row r="965" spans="1:15" ht="12.75" x14ac:dyDescent="0.2">
      <c r="A965" s="152">
        <v>6330000</v>
      </c>
      <c r="B965" s="51"/>
      <c r="C965" s="51" t="s">
        <v>1024</v>
      </c>
      <c r="D965" s="220"/>
      <c r="E965" s="89"/>
      <c r="F965" s="89"/>
      <c r="G965" s="89"/>
      <c r="H965" s="89"/>
      <c r="I965" s="89"/>
      <c r="J965" s="89"/>
      <c r="K965" s="212">
        <f t="shared" si="61"/>
        <v>0</v>
      </c>
      <c r="L965" s="212">
        <f t="shared" si="61"/>
        <v>0</v>
      </c>
      <c r="M965" s="212">
        <f t="shared" si="61"/>
        <v>0</v>
      </c>
      <c r="N965" s="212">
        <f t="shared" si="62"/>
        <v>0</v>
      </c>
      <c r="O965" s="407"/>
    </row>
    <row r="966" spans="1:15" ht="12.75" x14ac:dyDescent="0.2">
      <c r="A966" s="152">
        <v>6330000</v>
      </c>
      <c r="B966" s="51"/>
      <c r="C966" s="51" t="s">
        <v>1025</v>
      </c>
      <c r="D966" s="220"/>
      <c r="E966" s="89"/>
      <c r="F966" s="89"/>
      <c r="G966" s="89"/>
      <c r="H966" s="89"/>
      <c r="I966" s="89"/>
      <c r="J966" s="89"/>
      <c r="K966" s="212">
        <f t="shared" si="61"/>
        <v>0</v>
      </c>
      <c r="L966" s="212">
        <f t="shared" si="61"/>
        <v>0</v>
      </c>
      <c r="M966" s="212">
        <f t="shared" si="61"/>
        <v>0</v>
      </c>
      <c r="N966" s="212">
        <f t="shared" si="62"/>
        <v>0</v>
      </c>
      <c r="O966" s="407"/>
    </row>
    <row r="967" spans="1:15" ht="12.75" x14ac:dyDescent="0.2">
      <c r="A967" s="152">
        <v>6330000</v>
      </c>
      <c r="B967" s="51"/>
      <c r="C967" s="51" t="s">
        <v>960</v>
      </c>
      <c r="D967" s="220"/>
      <c r="E967" s="89"/>
      <c r="F967" s="89"/>
      <c r="G967" s="89"/>
      <c r="H967" s="89"/>
      <c r="I967" s="89"/>
      <c r="J967" s="89"/>
      <c r="K967" s="212">
        <f t="shared" si="61"/>
        <v>0</v>
      </c>
      <c r="L967" s="212">
        <f t="shared" si="61"/>
        <v>0</v>
      </c>
      <c r="M967" s="212">
        <f t="shared" si="61"/>
        <v>0</v>
      </c>
      <c r="N967" s="212">
        <f t="shared" si="62"/>
        <v>0</v>
      </c>
      <c r="O967" s="407"/>
    </row>
    <row r="968" spans="1:15" ht="12.75" x14ac:dyDescent="0.2">
      <c r="A968" s="152">
        <v>6330000</v>
      </c>
      <c r="B968" s="51"/>
      <c r="C968" s="51" t="s">
        <v>961</v>
      </c>
      <c r="D968" s="220"/>
      <c r="E968" s="89"/>
      <c r="F968" s="89"/>
      <c r="G968" s="89"/>
      <c r="H968" s="89"/>
      <c r="I968" s="89"/>
      <c r="J968" s="89"/>
      <c r="K968" s="212">
        <f t="shared" si="61"/>
        <v>0</v>
      </c>
      <c r="L968" s="212">
        <f t="shared" si="61"/>
        <v>0</v>
      </c>
      <c r="M968" s="212">
        <f t="shared" si="61"/>
        <v>0</v>
      </c>
      <c r="N968" s="212">
        <f t="shared" si="62"/>
        <v>0</v>
      </c>
      <c r="O968" s="407"/>
    </row>
    <row r="969" spans="1:15" ht="12.75" x14ac:dyDescent="0.2">
      <c r="A969" s="152">
        <v>6330000</v>
      </c>
      <c r="B969" s="51"/>
      <c r="C969" s="51" t="s">
        <v>948</v>
      </c>
      <c r="D969" s="220"/>
      <c r="E969" s="89"/>
      <c r="F969" s="89"/>
      <c r="G969" s="89"/>
      <c r="H969" s="89"/>
      <c r="I969" s="89"/>
      <c r="J969" s="89"/>
      <c r="K969" s="212">
        <f t="shared" si="61"/>
        <v>0</v>
      </c>
      <c r="L969" s="212">
        <f t="shared" si="61"/>
        <v>0</v>
      </c>
      <c r="M969" s="212">
        <f t="shared" si="61"/>
        <v>0</v>
      </c>
      <c r="N969" s="212">
        <f t="shared" si="62"/>
        <v>0</v>
      </c>
      <c r="O969" s="407"/>
    </row>
    <row r="970" spans="1:15" ht="12.75" x14ac:dyDescent="0.2">
      <c r="A970" s="152">
        <v>6330000</v>
      </c>
      <c r="B970" s="51"/>
      <c r="C970" s="51" t="s">
        <v>949</v>
      </c>
      <c r="D970" s="220"/>
      <c r="E970" s="89"/>
      <c r="F970" s="89"/>
      <c r="G970" s="89"/>
      <c r="H970" s="89"/>
      <c r="I970" s="89"/>
      <c r="J970" s="89"/>
      <c r="K970" s="212">
        <f t="shared" si="61"/>
        <v>0</v>
      </c>
      <c r="L970" s="212">
        <f t="shared" si="61"/>
        <v>0</v>
      </c>
      <c r="M970" s="212">
        <f t="shared" si="61"/>
        <v>0</v>
      </c>
      <c r="N970" s="212">
        <f t="shared" si="62"/>
        <v>0</v>
      </c>
      <c r="O970" s="407"/>
    </row>
    <row r="971" spans="1:15" ht="12.75" x14ac:dyDescent="0.2">
      <c r="A971" s="152">
        <v>6330000</v>
      </c>
      <c r="B971" s="51"/>
      <c r="C971" s="51" t="s">
        <v>132</v>
      </c>
      <c r="D971" s="220"/>
      <c r="E971" s="89"/>
      <c r="F971" s="89"/>
      <c r="G971" s="89"/>
      <c r="H971" s="89"/>
      <c r="I971" s="89"/>
      <c r="J971" s="89"/>
      <c r="K971" s="212">
        <f t="shared" si="61"/>
        <v>0</v>
      </c>
      <c r="L971" s="212">
        <f t="shared" si="61"/>
        <v>0</v>
      </c>
      <c r="M971" s="212">
        <f t="shared" si="61"/>
        <v>0</v>
      </c>
      <c r="N971" s="212">
        <f t="shared" si="62"/>
        <v>0</v>
      </c>
      <c r="O971" s="407"/>
    </row>
    <row r="972" spans="1:15" ht="12.75" x14ac:dyDescent="0.2">
      <c r="A972" s="152">
        <v>6330000</v>
      </c>
      <c r="B972" s="51"/>
      <c r="C972" s="51" t="s">
        <v>121</v>
      </c>
      <c r="D972" s="220"/>
      <c r="E972" s="89"/>
      <c r="F972" s="89"/>
      <c r="G972" s="89"/>
      <c r="H972" s="89"/>
      <c r="I972" s="89"/>
      <c r="J972" s="89"/>
      <c r="K972" s="212">
        <f t="shared" ref="K972:M991" si="63">SUMIF($C$26:$C$212,$C972,K$26:K$212)</f>
        <v>0</v>
      </c>
      <c r="L972" s="212">
        <f t="shared" si="63"/>
        <v>0</v>
      </c>
      <c r="M972" s="212">
        <f t="shared" si="63"/>
        <v>0</v>
      </c>
      <c r="N972" s="212">
        <f t="shared" si="62"/>
        <v>0</v>
      </c>
      <c r="O972" s="407"/>
    </row>
    <row r="973" spans="1:15" ht="12.75" x14ac:dyDescent="0.2">
      <c r="A973" s="152">
        <v>6330000</v>
      </c>
      <c r="B973" s="51"/>
      <c r="C973" s="51" t="s">
        <v>131</v>
      </c>
      <c r="D973" s="220"/>
      <c r="E973" s="89"/>
      <c r="F973" s="89"/>
      <c r="G973" s="89"/>
      <c r="H973" s="89"/>
      <c r="I973" s="89"/>
      <c r="J973" s="89"/>
      <c r="K973" s="212">
        <f t="shared" si="63"/>
        <v>0</v>
      </c>
      <c r="L973" s="212">
        <f t="shared" si="63"/>
        <v>0</v>
      </c>
      <c r="M973" s="212">
        <f t="shared" si="63"/>
        <v>0</v>
      </c>
      <c r="N973" s="212">
        <f t="shared" si="62"/>
        <v>0</v>
      </c>
      <c r="O973" s="407"/>
    </row>
    <row r="974" spans="1:15" ht="12.75" x14ac:dyDescent="0.2">
      <c r="A974" s="152">
        <v>6330000</v>
      </c>
      <c r="B974" s="51"/>
      <c r="C974" s="51" t="s">
        <v>967</v>
      </c>
      <c r="D974" s="220"/>
      <c r="E974" s="89"/>
      <c r="F974" s="89"/>
      <c r="G974" s="89"/>
      <c r="H974" s="89"/>
      <c r="I974" s="89"/>
      <c r="J974" s="89"/>
      <c r="K974" s="212">
        <f t="shared" si="63"/>
        <v>0</v>
      </c>
      <c r="L974" s="212">
        <f t="shared" si="63"/>
        <v>0</v>
      </c>
      <c r="M974" s="212">
        <f t="shared" si="63"/>
        <v>0</v>
      </c>
      <c r="N974" s="212">
        <f t="shared" si="62"/>
        <v>0</v>
      </c>
      <c r="O974" s="407"/>
    </row>
    <row r="975" spans="1:15" ht="12.75" x14ac:dyDescent="0.2">
      <c r="A975" s="152">
        <v>6330000</v>
      </c>
      <c r="B975" s="51"/>
      <c r="C975" s="51" t="s">
        <v>118</v>
      </c>
      <c r="D975" s="220"/>
      <c r="E975" s="89"/>
      <c r="F975" s="89"/>
      <c r="G975" s="89"/>
      <c r="H975" s="89"/>
      <c r="I975" s="89"/>
      <c r="J975" s="89"/>
      <c r="K975" s="212">
        <f t="shared" si="63"/>
        <v>0</v>
      </c>
      <c r="L975" s="212">
        <f t="shared" si="63"/>
        <v>0</v>
      </c>
      <c r="M975" s="212">
        <f t="shared" si="63"/>
        <v>0</v>
      </c>
      <c r="N975" s="212">
        <f t="shared" si="62"/>
        <v>0</v>
      </c>
      <c r="O975" s="407"/>
    </row>
    <row r="976" spans="1:15" ht="12.75" x14ac:dyDescent="0.2">
      <c r="A976" s="152">
        <v>6330000</v>
      </c>
      <c r="B976" s="51"/>
      <c r="C976" s="51" t="s">
        <v>971</v>
      </c>
      <c r="D976" s="220"/>
      <c r="E976" s="89"/>
      <c r="F976" s="89"/>
      <c r="G976" s="89"/>
      <c r="H976" s="89"/>
      <c r="I976" s="89"/>
      <c r="J976" s="89"/>
      <c r="K976" s="212">
        <f t="shared" si="63"/>
        <v>0</v>
      </c>
      <c r="L976" s="212">
        <f t="shared" si="63"/>
        <v>0</v>
      </c>
      <c r="M976" s="212">
        <f t="shared" si="63"/>
        <v>0</v>
      </c>
      <c r="N976" s="212">
        <f t="shared" si="62"/>
        <v>0</v>
      </c>
      <c r="O976" s="407"/>
    </row>
    <row r="977" spans="1:15" ht="12.75" x14ac:dyDescent="0.2">
      <c r="A977" s="152">
        <v>6330000</v>
      </c>
      <c r="B977" s="51"/>
      <c r="C977" s="51" t="s">
        <v>957</v>
      </c>
      <c r="D977" s="220"/>
      <c r="E977" s="89"/>
      <c r="F977" s="89"/>
      <c r="G977" s="89"/>
      <c r="H977" s="89"/>
      <c r="I977" s="89"/>
      <c r="J977" s="89"/>
      <c r="K977" s="212">
        <f t="shared" si="63"/>
        <v>0</v>
      </c>
      <c r="L977" s="212">
        <f t="shared" si="63"/>
        <v>0</v>
      </c>
      <c r="M977" s="212">
        <f t="shared" si="63"/>
        <v>0</v>
      </c>
      <c r="N977" s="212">
        <f t="shared" si="62"/>
        <v>0</v>
      </c>
      <c r="O977" s="407"/>
    </row>
    <row r="978" spans="1:15" ht="12.75" x14ac:dyDescent="0.2">
      <c r="A978" s="152">
        <v>6330000</v>
      </c>
      <c r="B978" s="51"/>
      <c r="C978" s="51" t="s">
        <v>97</v>
      </c>
      <c r="D978" s="220"/>
      <c r="E978" s="89"/>
      <c r="F978" s="89"/>
      <c r="G978" s="89"/>
      <c r="H978" s="89"/>
      <c r="I978" s="89"/>
      <c r="J978" s="89"/>
      <c r="K978" s="212">
        <f t="shared" si="63"/>
        <v>0</v>
      </c>
      <c r="L978" s="212">
        <f t="shared" si="63"/>
        <v>0</v>
      </c>
      <c r="M978" s="212">
        <f t="shared" si="63"/>
        <v>0</v>
      </c>
      <c r="N978" s="212">
        <f t="shared" si="62"/>
        <v>0</v>
      </c>
      <c r="O978" s="407"/>
    </row>
    <row r="979" spans="1:15" ht="12.75" x14ac:dyDescent="0.2">
      <c r="A979" s="152">
        <v>6330000</v>
      </c>
      <c r="B979" s="51"/>
      <c r="C979" s="51" t="s">
        <v>49</v>
      </c>
      <c r="D979" s="220"/>
      <c r="E979" s="89"/>
      <c r="F979" s="89"/>
      <c r="G979" s="89"/>
      <c r="H979" s="89"/>
      <c r="I979" s="89"/>
      <c r="J979" s="89"/>
      <c r="K979" s="212">
        <f t="shared" si="63"/>
        <v>0</v>
      </c>
      <c r="L979" s="212">
        <f t="shared" si="63"/>
        <v>0</v>
      </c>
      <c r="M979" s="212">
        <f t="shared" si="63"/>
        <v>0</v>
      </c>
      <c r="N979" s="212">
        <f t="shared" si="62"/>
        <v>0</v>
      </c>
      <c r="O979" s="407"/>
    </row>
    <row r="980" spans="1:15" ht="12.75" x14ac:dyDescent="0.2">
      <c r="A980" s="152">
        <v>6330000</v>
      </c>
      <c r="B980" s="51"/>
      <c r="C980" s="51" t="s">
        <v>1017</v>
      </c>
      <c r="D980" s="220"/>
      <c r="E980" s="89"/>
      <c r="F980" s="89"/>
      <c r="G980" s="89"/>
      <c r="H980" s="89"/>
      <c r="I980" s="89"/>
      <c r="J980" s="89"/>
      <c r="K980" s="212">
        <f t="shared" si="63"/>
        <v>0</v>
      </c>
      <c r="L980" s="212">
        <f t="shared" si="63"/>
        <v>0</v>
      </c>
      <c r="M980" s="212">
        <f t="shared" si="63"/>
        <v>0</v>
      </c>
      <c r="N980" s="212">
        <f t="shared" si="62"/>
        <v>0</v>
      </c>
      <c r="O980" s="407"/>
    </row>
    <row r="981" spans="1:15" ht="12.75" x14ac:dyDescent="0.2">
      <c r="A981" s="152">
        <v>6330000</v>
      </c>
      <c r="B981" s="51"/>
      <c r="C981" s="51" t="s">
        <v>1018</v>
      </c>
      <c r="D981" s="220"/>
      <c r="E981" s="89"/>
      <c r="F981" s="89"/>
      <c r="G981" s="89"/>
      <c r="H981" s="89"/>
      <c r="I981" s="89"/>
      <c r="J981" s="89"/>
      <c r="K981" s="212">
        <f t="shared" si="63"/>
        <v>0</v>
      </c>
      <c r="L981" s="212">
        <f t="shared" si="63"/>
        <v>0</v>
      </c>
      <c r="M981" s="212">
        <f t="shared" si="63"/>
        <v>0</v>
      </c>
      <c r="N981" s="212">
        <f t="shared" si="62"/>
        <v>0</v>
      </c>
      <c r="O981" s="407"/>
    </row>
    <row r="982" spans="1:15" ht="12.75" x14ac:dyDescent="0.2">
      <c r="A982" s="152">
        <v>6330000</v>
      </c>
      <c r="B982" s="51"/>
      <c r="C982" s="51" t="s">
        <v>928</v>
      </c>
      <c r="D982" s="220"/>
      <c r="E982" s="89"/>
      <c r="F982" s="89"/>
      <c r="G982" s="89"/>
      <c r="H982" s="89"/>
      <c r="I982" s="89"/>
      <c r="J982" s="89"/>
      <c r="K982" s="212">
        <f t="shared" si="63"/>
        <v>0</v>
      </c>
      <c r="L982" s="212">
        <f t="shared" si="63"/>
        <v>0</v>
      </c>
      <c r="M982" s="212">
        <f t="shared" si="63"/>
        <v>0</v>
      </c>
      <c r="N982" s="212">
        <f t="shared" si="62"/>
        <v>0</v>
      </c>
      <c r="O982" s="407"/>
    </row>
    <row r="983" spans="1:15" ht="12.75" x14ac:dyDescent="0.2">
      <c r="A983" s="152">
        <v>6330000</v>
      </c>
      <c r="B983" s="51"/>
      <c r="C983" s="51" t="s">
        <v>946</v>
      </c>
      <c r="D983" s="220"/>
      <c r="E983" s="89"/>
      <c r="F983" s="89"/>
      <c r="G983" s="89"/>
      <c r="H983" s="89"/>
      <c r="I983" s="89"/>
      <c r="J983" s="89"/>
      <c r="K983" s="212">
        <f t="shared" si="63"/>
        <v>0</v>
      </c>
      <c r="L983" s="212">
        <f t="shared" si="63"/>
        <v>0</v>
      </c>
      <c r="M983" s="212">
        <f t="shared" si="63"/>
        <v>0</v>
      </c>
      <c r="N983" s="212">
        <f t="shared" si="62"/>
        <v>0</v>
      </c>
      <c r="O983" s="407"/>
    </row>
    <row r="984" spans="1:15" ht="12.75" x14ac:dyDescent="0.2">
      <c r="A984" s="152">
        <v>6330000</v>
      </c>
      <c r="B984" s="51"/>
      <c r="C984" s="51" t="s">
        <v>947</v>
      </c>
      <c r="D984" s="220"/>
      <c r="E984" s="89"/>
      <c r="F984" s="89"/>
      <c r="G984" s="89"/>
      <c r="H984" s="89"/>
      <c r="I984" s="89"/>
      <c r="J984" s="89"/>
      <c r="K984" s="212">
        <f t="shared" si="63"/>
        <v>0</v>
      </c>
      <c r="L984" s="212">
        <f t="shared" si="63"/>
        <v>0</v>
      </c>
      <c r="M984" s="212">
        <f t="shared" si="63"/>
        <v>0</v>
      </c>
      <c r="N984" s="212">
        <f t="shared" si="62"/>
        <v>0</v>
      </c>
      <c r="O984" s="407"/>
    </row>
    <row r="985" spans="1:15" ht="12.75" x14ac:dyDescent="0.2">
      <c r="A985" s="152">
        <v>6330000</v>
      </c>
      <c r="B985" s="51"/>
      <c r="C985" s="51" t="s">
        <v>1020</v>
      </c>
      <c r="D985" s="220"/>
      <c r="E985" s="89"/>
      <c r="F985" s="89"/>
      <c r="G985" s="89"/>
      <c r="H985" s="89"/>
      <c r="I985" s="89"/>
      <c r="J985" s="89"/>
      <c r="K985" s="212">
        <f t="shared" si="63"/>
        <v>0</v>
      </c>
      <c r="L985" s="212">
        <f t="shared" si="63"/>
        <v>0</v>
      </c>
      <c r="M985" s="212">
        <f t="shared" si="63"/>
        <v>0</v>
      </c>
      <c r="N985" s="212">
        <f t="shared" si="62"/>
        <v>0</v>
      </c>
      <c r="O985" s="407"/>
    </row>
    <row r="986" spans="1:15" ht="12.75" x14ac:dyDescent="0.2">
      <c r="A986" s="152">
        <v>6330000</v>
      </c>
      <c r="B986" s="51"/>
      <c r="C986" s="51" t="s">
        <v>1021</v>
      </c>
      <c r="D986" s="220"/>
      <c r="E986" s="89"/>
      <c r="F986" s="89"/>
      <c r="G986" s="89"/>
      <c r="H986" s="89"/>
      <c r="I986" s="89"/>
      <c r="J986" s="89"/>
      <c r="K986" s="212">
        <f t="shared" si="63"/>
        <v>0</v>
      </c>
      <c r="L986" s="212">
        <f t="shared" si="63"/>
        <v>0</v>
      </c>
      <c r="M986" s="212">
        <f t="shared" si="63"/>
        <v>0</v>
      </c>
      <c r="N986" s="212">
        <f t="shared" si="62"/>
        <v>0</v>
      </c>
      <c r="O986" s="407"/>
    </row>
    <row r="987" spans="1:15" ht="12.75" x14ac:dyDescent="0.2">
      <c r="A987" s="152">
        <v>6330000</v>
      </c>
      <c r="B987" s="51"/>
      <c r="C987" s="51" t="s">
        <v>489</v>
      </c>
      <c r="D987" s="220"/>
      <c r="E987" s="89"/>
      <c r="F987" s="89"/>
      <c r="G987" s="89"/>
      <c r="H987" s="89"/>
      <c r="I987" s="89"/>
      <c r="J987" s="89"/>
      <c r="K987" s="212">
        <f t="shared" si="63"/>
        <v>0</v>
      </c>
      <c r="L987" s="212">
        <f t="shared" si="63"/>
        <v>0</v>
      </c>
      <c r="M987" s="212">
        <f t="shared" si="63"/>
        <v>0</v>
      </c>
      <c r="N987" s="212">
        <f t="shared" si="62"/>
        <v>0</v>
      </c>
      <c r="O987" s="407"/>
    </row>
    <row r="988" spans="1:15" ht="12.75" x14ac:dyDescent="0.2">
      <c r="A988" s="152">
        <v>6330000</v>
      </c>
      <c r="B988" s="51"/>
      <c r="C988" s="51" t="s">
        <v>968</v>
      </c>
      <c r="D988" s="220"/>
      <c r="E988" s="89"/>
      <c r="F988" s="89"/>
      <c r="G988" s="89"/>
      <c r="H988" s="89"/>
      <c r="I988" s="89"/>
      <c r="J988" s="89"/>
      <c r="K988" s="212">
        <f t="shared" si="63"/>
        <v>0</v>
      </c>
      <c r="L988" s="212">
        <f t="shared" si="63"/>
        <v>0</v>
      </c>
      <c r="M988" s="212">
        <f t="shared" si="63"/>
        <v>0</v>
      </c>
      <c r="N988" s="212">
        <f t="shared" si="62"/>
        <v>0</v>
      </c>
      <c r="O988" s="407"/>
    </row>
    <row r="989" spans="1:15" ht="12.75" x14ac:dyDescent="0.2">
      <c r="A989" s="152">
        <v>6330000</v>
      </c>
      <c r="B989" s="51"/>
      <c r="C989" s="51" t="s">
        <v>98</v>
      </c>
      <c r="D989" s="220"/>
      <c r="E989" s="89"/>
      <c r="F989" s="89"/>
      <c r="G989" s="89"/>
      <c r="H989" s="89"/>
      <c r="I989" s="89"/>
      <c r="J989" s="89"/>
      <c r="K989" s="212">
        <f t="shared" si="63"/>
        <v>0</v>
      </c>
      <c r="L989" s="212">
        <f t="shared" si="63"/>
        <v>0</v>
      </c>
      <c r="M989" s="212">
        <f t="shared" si="63"/>
        <v>0</v>
      </c>
      <c r="N989" s="212">
        <f t="shared" si="62"/>
        <v>0</v>
      </c>
      <c r="O989" s="407"/>
    </row>
    <row r="990" spans="1:15" ht="12.75" x14ac:dyDescent="0.2">
      <c r="A990" s="152">
        <v>6330000</v>
      </c>
      <c r="B990" s="51"/>
      <c r="C990" s="51" t="s">
        <v>1048</v>
      </c>
      <c r="D990" s="220"/>
      <c r="E990" s="89"/>
      <c r="F990" s="89"/>
      <c r="G990" s="89"/>
      <c r="H990" s="89"/>
      <c r="I990" s="89"/>
      <c r="J990" s="89"/>
      <c r="K990" s="212">
        <f t="shared" si="63"/>
        <v>0</v>
      </c>
      <c r="L990" s="212">
        <f t="shared" si="63"/>
        <v>0</v>
      </c>
      <c r="M990" s="212">
        <f t="shared" si="63"/>
        <v>0</v>
      </c>
      <c r="N990" s="212">
        <f t="shared" si="62"/>
        <v>0</v>
      </c>
      <c r="O990" s="407"/>
    </row>
    <row r="991" spans="1:15" ht="12.75" x14ac:dyDescent="0.2">
      <c r="A991" s="152">
        <v>6330000</v>
      </c>
      <c r="B991" s="51"/>
      <c r="C991" s="51" t="s">
        <v>1030</v>
      </c>
      <c r="D991" s="220"/>
      <c r="E991" s="89"/>
      <c r="F991" s="89"/>
      <c r="G991" s="89"/>
      <c r="H991" s="89"/>
      <c r="I991" s="89"/>
      <c r="J991" s="89"/>
      <c r="K991" s="212">
        <f t="shared" si="63"/>
        <v>0</v>
      </c>
      <c r="L991" s="212">
        <f t="shared" si="63"/>
        <v>0</v>
      </c>
      <c r="M991" s="212">
        <f t="shared" si="63"/>
        <v>0</v>
      </c>
      <c r="N991" s="212">
        <f t="shared" si="62"/>
        <v>0</v>
      </c>
      <c r="O991" s="407"/>
    </row>
    <row r="992" spans="1:15" ht="12.75" x14ac:dyDescent="0.2">
      <c r="A992" s="152">
        <v>6330000</v>
      </c>
      <c r="B992" s="51"/>
      <c r="C992" s="51" t="s">
        <v>977</v>
      </c>
      <c r="D992" s="220"/>
      <c r="E992" s="89"/>
      <c r="F992" s="89"/>
      <c r="G992" s="89"/>
      <c r="H992" s="89"/>
      <c r="I992" s="89"/>
      <c r="J992" s="89"/>
      <c r="K992" s="212">
        <f t="shared" ref="K992:M1011" si="64">SUMIF($C$26:$C$212,$C992,K$26:K$212)</f>
        <v>0</v>
      </c>
      <c r="L992" s="212">
        <f t="shared" si="64"/>
        <v>0</v>
      </c>
      <c r="M992" s="212">
        <f t="shared" si="64"/>
        <v>0</v>
      </c>
      <c r="N992" s="212">
        <f t="shared" si="62"/>
        <v>0</v>
      </c>
      <c r="O992" s="407"/>
    </row>
    <row r="993" spans="1:15" ht="12.75" x14ac:dyDescent="0.2">
      <c r="A993" s="152">
        <v>6330000</v>
      </c>
      <c r="B993" s="51"/>
      <c r="C993" s="51" t="s">
        <v>99</v>
      </c>
      <c r="D993" s="220"/>
      <c r="E993" s="89"/>
      <c r="F993" s="89"/>
      <c r="G993" s="89"/>
      <c r="H993" s="89"/>
      <c r="I993" s="89"/>
      <c r="J993" s="89"/>
      <c r="K993" s="212">
        <f t="shared" si="64"/>
        <v>0</v>
      </c>
      <c r="L993" s="212">
        <f t="shared" si="64"/>
        <v>0</v>
      </c>
      <c r="M993" s="212">
        <f t="shared" si="64"/>
        <v>0</v>
      </c>
      <c r="N993" s="212">
        <f t="shared" si="62"/>
        <v>0</v>
      </c>
      <c r="O993" s="407"/>
    </row>
    <row r="994" spans="1:15" ht="12.75" x14ac:dyDescent="0.2">
      <c r="A994" s="152">
        <v>6330000</v>
      </c>
      <c r="B994" s="51"/>
      <c r="C994" s="51" t="s">
        <v>1047</v>
      </c>
      <c r="D994" s="220"/>
      <c r="E994" s="89"/>
      <c r="F994" s="89"/>
      <c r="G994" s="89"/>
      <c r="H994" s="89"/>
      <c r="I994" s="89"/>
      <c r="J994" s="89"/>
      <c r="K994" s="212">
        <f t="shared" si="64"/>
        <v>0</v>
      </c>
      <c r="L994" s="212">
        <f t="shared" si="64"/>
        <v>0</v>
      </c>
      <c r="M994" s="212">
        <f t="shared" si="64"/>
        <v>0</v>
      </c>
      <c r="N994" s="212">
        <f t="shared" si="62"/>
        <v>0</v>
      </c>
      <c r="O994" s="407"/>
    </row>
    <row r="995" spans="1:15" ht="12.75" x14ac:dyDescent="0.2">
      <c r="A995" s="152">
        <v>6330000</v>
      </c>
      <c r="B995" s="51"/>
      <c r="C995" s="51" t="s">
        <v>1041</v>
      </c>
      <c r="D995" s="220"/>
      <c r="E995" s="89"/>
      <c r="F995" s="89"/>
      <c r="G995" s="89"/>
      <c r="H995" s="89"/>
      <c r="I995" s="89"/>
      <c r="J995" s="89"/>
      <c r="K995" s="212">
        <f t="shared" si="64"/>
        <v>0</v>
      </c>
      <c r="L995" s="212">
        <f t="shared" si="64"/>
        <v>0</v>
      </c>
      <c r="M995" s="212">
        <f t="shared" si="64"/>
        <v>0</v>
      </c>
      <c r="N995" s="212">
        <f t="shared" si="62"/>
        <v>0</v>
      </c>
      <c r="O995" s="407"/>
    </row>
    <row r="996" spans="1:15" ht="12.75" x14ac:dyDescent="0.2">
      <c r="A996" s="152">
        <v>6330000</v>
      </c>
      <c r="B996" s="51"/>
      <c r="C996" s="51" t="s">
        <v>102</v>
      </c>
      <c r="D996" s="220"/>
      <c r="E996" s="89"/>
      <c r="F996" s="89"/>
      <c r="G996" s="89"/>
      <c r="H996" s="89"/>
      <c r="I996" s="89"/>
      <c r="J996" s="89"/>
      <c r="K996" s="212">
        <f t="shared" si="64"/>
        <v>0</v>
      </c>
      <c r="L996" s="212">
        <f t="shared" si="64"/>
        <v>0</v>
      </c>
      <c r="M996" s="212">
        <f t="shared" si="64"/>
        <v>0</v>
      </c>
      <c r="N996" s="212">
        <f t="shared" si="62"/>
        <v>0</v>
      </c>
      <c r="O996" s="407"/>
    </row>
    <row r="997" spans="1:15" ht="12.75" x14ac:dyDescent="0.2">
      <c r="A997" s="152">
        <v>6330000</v>
      </c>
      <c r="B997" s="51"/>
      <c r="C997" s="51" t="s">
        <v>124</v>
      </c>
      <c r="D997" s="220"/>
      <c r="E997" s="89"/>
      <c r="F997" s="89"/>
      <c r="G997" s="89"/>
      <c r="H997" s="89"/>
      <c r="I997" s="89"/>
      <c r="J997" s="89"/>
      <c r="K997" s="212">
        <f t="shared" si="64"/>
        <v>0</v>
      </c>
      <c r="L997" s="212">
        <f t="shared" si="64"/>
        <v>0</v>
      </c>
      <c r="M997" s="212">
        <f t="shared" si="64"/>
        <v>0</v>
      </c>
      <c r="N997" s="212">
        <f t="shared" si="62"/>
        <v>0</v>
      </c>
      <c r="O997" s="407"/>
    </row>
    <row r="998" spans="1:15" ht="12.75" x14ac:dyDescent="0.2">
      <c r="A998" s="152">
        <v>6330000</v>
      </c>
      <c r="B998" s="51"/>
      <c r="C998" s="51" t="s">
        <v>103</v>
      </c>
      <c r="D998" s="220"/>
      <c r="E998" s="89"/>
      <c r="F998" s="89"/>
      <c r="G998" s="89"/>
      <c r="H998" s="89"/>
      <c r="I998" s="89"/>
      <c r="J998" s="89"/>
      <c r="K998" s="212">
        <f t="shared" si="64"/>
        <v>0</v>
      </c>
      <c r="L998" s="212">
        <f t="shared" si="64"/>
        <v>0</v>
      </c>
      <c r="M998" s="212">
        <f t="shared" si="64"/>
        <v>0</v>
      </c>
      <c r="N998" s="212">
        <f t="shared" si="62"/>
        <v>0</v>
      </c>
      <c r="O998" s="407"/>
    </row>
    <row r="999" spans="1:15" ht="12.75" x14ac:dyDescent="0.2">
      <c r="A999" s="152">
        <v>6330000</v>
      </c>
      <c r="B999" s="51"/>
      <c r="C999" s="51" t="s">
        <v>104</v>
      </c>
      <c r="D999" s="220"/>
      <c r="E999" s="89"/>
      <c r="F999" s="89"/>
      <c r="G999" s="89"/>
      <c r="H999" s="89"/>
      <c r="I999" s="89"/>
      <c r="J999" s="89"/>
      <c r="K999" s="212">
        <f t="shared" si="64"/>
        <v>0</v>
      </c>
      <c r="L999" s="212">
        <f t="shared" si="64"/>
        <v>0</v>
      </c>
      <c r="M999" s="212">
        <f t="shared" si="64"/>
        <v>0</v>
      </c>
      <c r="N999" s="212">
        <f t="shared" si="62"/>
        <v>0</v>
      </c>
      <c r="O999" s="407"/>
    </row>
    <row r="1000" spans="1:15" ht="12.75" x14ac:dyDescent="0.2">
      <c r="A1000" s="152">
        <v>6330000</v>
      </c>
      <c r="B1000" s="51"/>
      <c r="C1000" s="51" t="s">
        <v>491</v>
      </c>
      <c r="D1000" s="220"/>
      <c r="E1000" s="89"/>
      <c r="F1000" s="89"/>
      <c r="G1000" s="89"/>
      <c r="H1000" s="89"/>
      <c r="I1000" s="89"/>
      <c r="J1000" s="89"/>
      <c r="K1000" s="212">
        <f t="shared" si="64"/>
        <v>0</v>
      </c>
      <c r="L1000" s="212">
        <f t="shared" si="64"/>
        <v>0</v>
      </c>
      <c r="M1000" s="212">
        <f t="shared" si="64"/>
        <v>0</v>
      </c>
      <c r="N1000" s="212">
        <f t="shared" si="62"/>
        <v>0</v>
      </c>
      <c r="O1000" s="407"/>
    </row>
    <row r="1001" spans="1:15" ht="12.75" x14ac:dyDescent="0.2">
      <c r="A1001" s="152">
        <v>6330000</v>
      </c>
      <c r="B1001" s="51"/>
      <c r="C1001" s="51" t="s">
        <v>105</v>
      </c>
      <c r="D1001" s="220"/>
      <c r="E1001" s="89"/>
      <c r="F1001" s="89"/>
      <c r="G1001" s="89"/>
      <c r="H1001" s="89"/>
      <c r="I1001" s="89"/>
      <c r="J1001" s="89"/>
      <c r="K1001" s="212">
        <f t="shared" si="64"/>
        <v>0</v>
      </c>
      <c r="L1001" s="212">
        <f t="shared" si="64"/>
        <v>0</v>
      </c>
      <c r="M1001" s="212">
        <f t="shared" si="64"/>
        <v>0</v>
      </c>
      <c r="N1001" s="212">
        <f t="shared" si="62"/>
        <v>0</v>
      </c>
      <c r="O1001" s="407"/>
    </row>
    <row r="1002" spans="1:15" ht="12.75" x14ac:dyDescent="0.2">
      <c r="A1002" s="152">
        <v>6330000</v>
      </c>
      <c r="B1002" s="51"/>
      <c r="C1002" s="51" t="s">
        <v>129</v>
      </c>
      <c r="D1002" s="220"/>
      <c r="E1002" s="89"/>
      <c r="F1002" s="89"/>
      <c r="G1002" s="89"/>
      <c r="H1002" s="89"/>
      <c r="I1002" s="89"/>
      <c r="J1002" s="89"/>
      <c r="K1002" s="212">
        <f t="shared" si="64"/>
        <v>0</v>
      </c>
      <c r="L1002" s="212">
        <f t="shared" si="64"/>
        <v>0</v>
      </c>
      <c r="M1002" s="212">
        <f t="shared" si="64"/>
        <v>0</v>
      </c>
      <c r="N1002" s="212">
        <f t="shared" si="62"/>
        <v>0</v>
      </c>
      <c r="O1002" s="407"/>
    </row>
    <row r="1003" spans="1:15" ht="12.75" x14ac:dyDescent="0.2">
      <c r="A1003" s="152">
        <v>6330000</v>
      </c>
      <c r="B1003" s="51"/>
      <c r="C1003" s="73" t="s">
        <v>108</v>
      </c>
      <c r="D1003" s="220"/>
      <c r="E1003" s="89"/>
      <c r="F1003" s="89"/>
      <c r="G1003" s="89"/>
      <c r="H1003" s="89"/>
      <c r="I1003" s="89"/>
      <c r="J1003" s="89"/>
      <c r="K1003" s="212">
        <f t="shared" si="64"/>
        <v>0</v>
      </c>
      <c r="L1003" s="212">
        <f t="shared" si="64"/>
        <v>0</v>
      </c>
      <c r="M1003" s="212">
        <f t="shared" si="64"/>
        <v>0</v>
      </c>
      <c r="N1003" s="212">
        <f t="shared" si="62"/>
        <v>0</v>
      </c>
      <c r="O1003" s="407"/>
    </row>
    <row r="1004" spans="1:15" ht="12.75" x14ac:dyDescent="0.2">
      <c r="A1004" s="152">
        <v>6330000</v>
      </c>
      <c r="B1004" s="51"/>
      <c r="C1004" s="51" t="s">
        <v>119</v>
      </c>
      <c r="D1004" s="220"/>
      <c r="E1004" s="89"/>
      <c r="F1004" s="89"/>
      <c r="G1004" s="89"/>
      <c r="H1004" s="89"/>
      <c r="I1004" s="89"/>
      <c r="J1004" s="89"/>
      <c r="K1004" s="212">
        <f t="shared" si="64"/>
        <v>0</v>
      </c>
      <c r="L1004" s="212">
        <f t="shared" si="64"/>
        <v>0</v>
      </c>
      <c r="M1004" s="212">
        <f t="shared" si="64"/>
        <v>0</v>
      </c>
      <c r="N1004" s="212">
        <f t="shared" si="62"/>
        <v>0</v>
      </c>
      <c r="O1004" s="407"/>
    </row>
    <row r="1005" spans="1:15" ht="12.75" x14ac:dyDescent="0.2">
      <c r="A1005" s="152">
        <v>6330000</v>
      </c>
      <c r="B1005" s="51"/>
      <c r="C1005" s="51" t="s">
        <v>954</v>
      </c>
      <c r="D1005" s="220"/>
      <c r="E1005" s="89"/>
      <c r="F1005" s="89"/>
      <c r="G1005" s="89"/>
      <c r="H1005" s="89"/>
      <c r="I1005" s="89"/>
      <c r="J1005" s="89"/>
      <c r="K1005" s="212">
        <f t="shared" si="64"/>
        <v>0</v>
      </c>
      <c r="L1005" s="212">
        <f t="shared" si="64"/>
        <v>0</v>
      </c>
      <c r="M1005" s="212">
        <f t="shared" si="64"/>
        <v>0</v>
      </c>
      <c r="N1005" s="212">
        <f t="shared" si="62"/>
        <v>0</v>
      </c>
      <c r="O1005" s="407"/>
    </row>
    <row r="1006" spans="1:15" ht="12.75" x14ac:dyDescent="0.2">
      <c r="A1006" s="152">
        <v>6330000</v>
      </c>
      <c r="B1006" s="51"/>
      <c r="C1006" s="51" t="s">
        <v>1031</v>
      </c>
      <c r="D1006" s="220"/>
      <c r="E1006" s="89"/>
      <c r="F1006" s="89"/>
      <c r="G1006" s="89"/>
      <c r="H1006" s="89"/>
      <c r="I1006" s="89"/>
      <c r="J1006" s="89"/>
      <c r="K1006" s="212">
        <f t="shared" si="64"/>
        <v>0</v>
      </c>
      <c r="L1006" s="212">
        <f t="shared" si="64"/>
        <v>0</v>
      </c>
      <c r="M1006" s="212">
        <f t="shared" si="64"/>
        <v>0</v>
      </c>
      <c r="N1006" s="212">
        <f t="shared" si="62"/>
        <v>0</v>
      </c>
      <c r="O1006" s="407"/>
    </row>
    <row r="1007" spans="1:15" ht="12.75" x14ac:dyDescent="0.2">
      <c r="A1007" s="152">
        <v>6330000</v>
      </c>
      <c r="B1007" s="51"/>
      <c r="C1007" s="51" t="s">
        <v>1009</v>
      </c>
      <c r="D1007" s="220"/>
      <c r="E1007" s="89"/>
      <c r="F1007" s="89"/>
      <c r="G1007" s="89"/>
      <c r="H1007" s="89"/>
      <c r="I1007" s="89"/>
      <c r="J1007" s="89"/>
      <c r="K1007" s="212">
        <f t="shared" si="64"/>
        <v>0</v>
      </c>
      <c r="L1007" s="212">
        <f t="shared" si="64"/>
        <v>0</v>
      </c>
      <c r="M1007" s="212">
        <f t="shared" si="64"/>
        <v>0</v>
      </c>
      <c r="N1007" s="212">
        <f t="shared" si="62"/>
        <v>0</v>
      </c>
      <c r="O1007" s="407"/>
    </row>
    <row r="1008" spans="1:15" ht="12.75" x14ac:dyDescent="0.2">
      <c r="A1008" s="152">
        <v>6330000</v>
      </c>
      <c r="B1008" s="51"/>
      <c r="C1008" s="51" t="s">
        <v>107</v>
      </c>
      <c r="D1008" s="220"/>
      <c r="E1008" s="89"/>
      <c r="F1008" s="89"/>
      <c r="G1008" s="89"/>
      <c r="H1008" s="89"/>
      <c r="I1008" s="89"/>
      <c r="J1008" s="89"/>
      <c r="K1008" s="212">
        <f t="shared" si="64"/>
        <v>0</v>
      </c>
      <c r="L1008" s="212">
        <f t="shared" si="64"/>
        <v>0</v>
      </c>
      <c r="M1008" s="212">
        <f t="shared" si="64"/>
        <v>0</v>
      </c>
      <c r="N1008" s="212">
        <f t="shared" si="62"/>
        <v>0</v>
      </c>
      <c r="O1008" s="407"/>
    </row>
    <row r="1009" spans="1:15" ht="12.75" x14ac:dyDescent="0.2">
      <c r="A1009" s="152">
        <v>6330000</v>
      </c>
      <c r="B1009" s="51"/>
      <c r="C1009" s="51" t="s">
        <v>1026</v>
      </c>
      <c r="D1009" s="220"/>
      <c r="E1009" s="89"/>
      <c r="F1009" s="89"/>
      <c r="G1009" s="89"/>
      <c r="H1009" s="89"/>
      <c r="I1009" s="89"/>
      <c r="J1009" s="89"/>
      <c r="K1009" s="212">
        <f t="shared" si="64"/>
        <v>0</v>
      </c>
      <c r="L1009" s="212">
        <f t="shared" si="64"/>
        <v>0</v>
      </c>
      <c r="M1009" s="212">
        <f t="shared" si="64"/>
        <v>0</v>
      </c>
      <c r="N1009" s="212">
        <f t="shared" si="62"/>
        <v>0</v>
      </c>
      <c r="O1009" s="407"/>
    </row>
    <row r="1010" spans="1:15" ht="12.75" x14ac:dyDescent="0.2">
      <c r="A1010" s="152">
        <v>6330000</v>
      </c>
      <c r="B1010" s="51"/>
      <c r="C1010" s="51" t="s">
        <v>1027</v>
      </c>
      <c r="D1010" s="220"/>
      <c r="E1010" s="89"/>
      <c r="F1010" s="89"/>
      <c r="G1010" s="89"/>
      <c r="H1010" s="89"/>
      <c r="I1010" s="89"/>
      <c r="J1010" s="89"/>
      <c r="K1010" s="212">
        <f t="shared" si="64"/>
        <v>0</v>
      </c>
      <c r="L1010" s="212">
        <f t="shared" si="64"/>
        <v>0</v>
      </c>
      <c r="M1010" s="212">
        <f t="shared" si="64"/>
        <v>0</v>
      </c>
      <c r="N1010" s="212">
        <f t="shared" si="62"/>
        <v>0</v>
      </c>
      <c r="O1010" s="407"/>
    </row>
    <row r="1011" spans="1:15" ht="12.75" x14ac:dyDescent="0.2">
      <c r="A1011" s="152">
        <v>6330000</v>
      </c>
      <c r="B1011" s="51"/>
      <c r="C1011" s="51" t="s">
        <v>955</v>
      </c>
      <c r="D1011" s="220"/>
      <c r="E1011" s="89"/>
      <c r="F1011" s="89"/>
      <c r="G1011" s="89"/>
      <c r="H1011" s="89"/>
      <c r="I1011" s="89"/>
      <c r="J1011" s="89"/>
      <c r="K1011" s="212">
        <f t="shared" si="64"/>
        <v>0</v>
      </c>
      <c r="L1011" s="212">
        <f t="shared" si="64"/>
        <v>0</v>
      </c>
      <c r="M1011" s="212">
        <f t="shared" si="64"/>
        <v>0</v>
      </c>
      <c r="N1011" s="212">
        <f t="shared" si="62"/>
        <v>0</v>
      </c>
      <c r="O1011" s="407"/>
    </row>
    <row r="1012" spans="1:15" ht="12.75" x14ac:dyDescent="0.2">
      <c r="A1012" s="152">
        <v>6330000</v>
      </c>
      <c r="B1012" s="51"/>
      <c r="C1012" s="51" t="s">
        <v>958</v>
      </c>
      <c r="D1012" s="220"/>
      <c r="E1012" s="89"/>
      <c r="F1012" s="89"/>
      <c r="G1012" s="89"/>
      <c r="H1012" s="89"/>
      <c r="I1012" s="89"/>
      <c r="J1012" s="89"/>
      <c r="K1012" s="212">
        <f t="shared" ref="K1012:M1031" si="65">SUMIF($C$26:$C$212,$C1012,K$26:K$212)</f>
        <v>0</v>
      </c>
      <c r="L1012" s="212">
        <f t="shared" si="65"/>
        <v>0</v>
      </c>
      <c r="M1012" s="212">
        <f t="shared" si="65"/>
        <v>0</v>
      </c>
      <c r="N1012" s="212">
        <f t="shared" si="62"/>
        <v>0</v>
      </c>
      <c r="O1012" s="407"/>
    </row>
    <row r="1013" spans="1:15" ht="12.75" x14ac:dyDescent="0.2">
      <c r="A1013" s="152">
        <v>6330000</v>
      </c>
      <c r="B1013" s="51"/>
      <c r="C1013" s="51" t="s">
        <v>1032</v>
      </c>
      <c r="D1013" s="220"/>
      <c r="E1013" s="89"/>
      <c r="F1013" s="89"/>
      <c r="G1013" s="89"/>
      <c r="H1013" s="89"/>
      <c r="I1013" s="89"/>
      <c r="J1013" s="89"/>
      <c r="K1013" s="212">
        <f t="shared" si="65"/>
        <v>0</v>
      </c>
      <c r="L1013" s="212">
        <f t="shared" si="65"/>
        <v>0</v>
      </c>
      <c r="M1013" s="212">
        <f t="shared" si="65"/>
        <v>0</v>
      </c>
      <c r="N1013" s="212">
        <f t="shared" si="62"/>
        <v>0</v>
      </c>
      <c r="O1013" s="407"/>
    </row>
    <row r="1014" spans="1:15" ht="12.75" x14ac:dyDescent="0.2">
      <c r="A1014" s="152">
        <v>6330000</v>
      </c>
      <c r="B1014" s="51"/>
      <c r="C1014" s="51" t="s">
        <v>109</v>
      </c>
      <c r="D1014" s="220"/>
      <c r="E1014" s="89"/>
      <c r="F1014" s="89"/>
      <c r="G1014" s="89"/>
      <c r="H1014" s="89"/>
      <c r="I1014" s="89"/>
      <c r="J1014" s="89"/>
      <c r="K1014" s="212">
        <f t="shared" si="65"/>
        <v>0</v>
      </c>
      <c r="L1014" s="212">
        <f t="shared" si="65"/>
        <v>0</v>
      </c>
      <c r="M1014" s="212">
        <f t="shared" si="65"/>
        <v>0</v>
      </c>
      <c r="N1014" s="212">
        <f t="shared" si="62"/>
        <v>0</v>
      </c>
      <c r="O1014" s="407"/>
    </row>
    <row r="1015" spans="1:15" ht="12.75" x14ac:dyDescent="0.2">
      <c r="A1015" s="152">
        <v>6330000</v>
      </c>
      <c r="B1015" s="51"/>
      <c r="C1015" s="51" t="s">
        <v>966</v>
      </c>
      <c r="D1015" s="220"/>
      <c r="E1015" s="89"/>
      <c r="F1015" s="89"/>
      <c r="G1015" s="89"/>
      <c r="H1015" s="89"/>
      <c r="I1015" s="89"/>
      <c r="J1015" s="89"/>
      <c r="K1015" s="212">
        <f t="shared" si="65"/>
        <v>0</v>
      </c>
      <c r="L1015" s="212">
        <f t="shared" si="65"/>
        <v>0</v>
      </c>
      <c r="M1015" s="212">
        <f t="shared" si="65"/>
        <v>0</v>
      </c>
      <c r="N1015" s="212">
        <f t="shared" si="62"/>
        <v>0</v>
      </c>
      <c r="O1015" s="407"/>
    </row>
    <row r="1016" spans="1:15" ht="12.75" x14ac:dyDescent="0.2">
      <c r="A1016" s="152">
        <v>6330000</v>
      </c>
      <c r="B1016" s="51"/>
      <c r="C1016" s="51" t="s">
        <v>981</v>
      </c>
      <c r="D1016" s="220"/>
      <c r="E1016" s="89"/>
      <c r="F1016" s="89"/>
      <c r="G1016" s="89"/>
      <c r="H1016" s="89"/>
      <c r="I1016" s="89"/>
      <c r="J1016" s="89"/>
      <c r="K1016" s="212">
        <f t="shared" si="65"/>
        <v>0</v>
      </c>
      <c r="L1016" s="212">
        <f t="shared" si="65"/>
        <v>0</v>
      </c>
      <c r="M1016" s="212">
        <f t="shared" si="65"/>
        <v>0</v>
      </c>
      <c r="N1016" s="212">
        <f t="shared" si="62"/>
        <v>0</v>
      </c>
      <c r="O1016" s="407"/>
    </row>
    <row r="1017" spans="1:15" ht="12.75" x14ac:dyDescent="0.2">
      <c r="A1017" s="152">
        <v>6330000</v>
      </c>
      <c r="B1017" s="51"/>
      <c r="C1017" s="51" t="s">
        <v>963</v>
      </c>
      <c r="D1017" s="220"/>
      <c r="E1017" s="89"/>
      <c r="F1017" s="89"/>
      <c r="G1017" s="89"/>
      <c r="H1017" s="89"/>
      <c r="I1017" s="89"/>
      <c r="J1017" s="89"/>
      <c r="K1017" s="212">
        <f t="shared" si="65"/>
        <v>0</v>
      </c>
      <c r="L1017" s="212">
        <f t="shared" si="65"/>
        <v>0</v>
      </c>
      <c r="M1017" s="212">
        <f t="shared" si="65"/>
        <v>0</v>
      </c>
      <c r="N1017" s="212">
        <f t="shared" si="62"/>
        <v>0</v>
      </c>
      <c r="O1017" s="407"/>
    </row>
    <row r="1018" spans="1:15" ht="12.75" x14ac:dyDescent="0.2">
      <c r="A1018" s="152">
        <v>6330000</v>
      </c>
      <c r="B1018" s="51"/>
      <c r="C1018" s="51" t="s">
        <v>120</v>
      </c>
      <c r="D1018" s="220"/>
      <c r="E1018" s="89"/>
      <c r="F1018" s="89"/>
      <c r="G1018" s="89"/>
      <c r="H1018" s="89"/>
      <c r="I1018" s="89"/>
      <c r="J1018" s="89"/>
      <c r="K1018" s="212">
        <f t="shared" si="65"/>
        <v>0</v>
      </c>
      <c r="L1018" s="212">
        <f t="shared" si="65"/>
        <v>0</v>
      </c>
      <c r="M1018" s="212">
        <f t="shared" si="65"/>
        <v>0</v>
      </c>
      <c r="N1018" s="212">
        <f t="shared" si="62"/>
        <v>0</v>
      </c>
      <c r="O1018" s="407"/>
    </row>
    <row r="1019" spans="1:15" ht="13.5" thickBot="1" x14ac:dyDescent="0.25">
      <c r="A1019" s="205">
        <v>6330000</v>
      </c>
      <c r="B1019" s="553"/>
      <c r="C1019" s="553" t="s">
        <v>989</v>
      </c>
      <c r="D1019" s="602"/>
      <c r="E1019" s="203"/>
      <c r="F1019" s="203"/>
      <c r="G1019" s="203"/>
      <c r="H1019" s="203"/>
      <c r="I1019" s="203"/>
      <c r="J1019" s="203"/>
      <c r="K1019" s="207">
        <f t="shared" si="65"/>
        <v>0</v>
      </c>
      <c r="L1019" s="207">
        <f t="shared" si="65"/>
        <v>0</v>
      </c>
      <c r="M1019" s="207">
        <f t="shared" si="65"/>
        <v>0</v>
      </c>
      <c r="N1019" s="207">
        <f t="shared" si="62"/>
        <v>0</v>
      </c>
      <c r="O1019" s="407"/>
    </row>
    <row r="1020" spans="1:15" ht="12.75" x14ac:dyDescent="0.2">
      <c r="A1020" s="152">
        <v>6335000</v>
      </c>
      <c r="B1020" s="51"/>
      <c r="C1020" s="51" t="s">
        <v>986</v>
      </c>
      <c r="D1020" s="220">
        <f>COUNTIFS($A$26:$A$212,$A1020,$B$26:$B$212,$B1020)</f>
        <v>0</v>
      </c>
      <c r="E1020" s="89"/>
      <c r="F1020" s="89"/>
      <c r="G1020" s="89"/>
      <c r="H1020" s="89"/>
      <c r="I1020" s="89"/>
      <c r="J1020" s="89"/>
      <c r="K1020" s="212">
        <f t="shared" si="65"/>
        <v>0</v>
      </c>
      <c r="L1020" s="212">
        <f t="shared" si="65"/>
        <v>0</v>
      </c>
      <c r="M1020" s="212">
        <f t="shared" si="65"/>
        <v>0</v>
      </c>
      <c r="N1020" s="212">
        <f t="shared" si="62"/>
        <v>0</v>
      </c>
      <c r="O1020" s="407"/>
    </row>
    <row r="1021" spans="1:15" ht="12.75" x14ac:dyDescent="0.2">
      <c r="A1021" s="152">
        <v>6335000</v>
      </c>
      <c r="B1021" s="51"/>
      <c r="C1021" s="51" t="s">
        <v>988</v>
      </c>
      <c r="D1021" s="220"/>
      <c r="E1021" s="89"/>
      <c r="F1021" s="89"/>
      <c r="G1021" s="89"/>
      <c r="H1021" s="89"/>
      <c r="I1021" s="89"/>
      <c r="J1021" s="89"/>
      <c r="K1021" s="212">
        <f t="shared" si="65"/>
        <v>0</v>
      </c>
      <c r="L1021" s="212">
        <f t="shared" si="65"/>
        <v>0</v>
      </c>
      <c r="M1021" s="212">
        <f t="shared" si="65"/>
        <v>0</v>
      </c>
      <c r="N1021" s="212">
        <f t="shared" si="62"/>
        <v>0</v>
      </c>
    </row>
    <row r="1022" spans="1:15" ht="12.75" x14ac:dyDescent="0.2">
      <c r="A1022" s="152">
        <v>6335000</v>
      </c>
      <c r="B1022" s="51"/>
      <c r="C1022" s="51" t="s">
        <v>1058</v>
      </c>
      <c r="D1022" s="220"/>
      <c r="E1022" s="89"/>
      <c r="F1022" s="89"/>
      <c r="G1022" s="89"/>
      <c r="H1022" s="89"/>
      <c r="I1022" s="89"/>
      <c r="J1022" s="89"/>
      <c r="K1022" s="212">
        <f t="shared" si="65"/>
        <v>0</v>
      </c>
      <c r="L1022" s="212">
        <f t="shared" si="65"/>
        <v>0</v>
      </c>
      <c r="M1022" s="212">
        <f t="shared" si="65"/>
        <v>0</v>
      </c>
      <c r="N1022" s="212">
        <f t="shared" si="62"/>
        <v>0</v>
      </c>
    </row>
    <row r="1023" spans="1:15" ht="12.75" x14ac:dyDescent="0.2">
      <c r="A1023" s="152">
        <v>6335000</v>
      </c>
      <c r="B1023" s="51"/>
      <c r="C1023" s="51" t="s">
        <v>972</v>
      </c>
      <c r="D1023" s="220"/>
      <c r="E1023" s="89"/>
      <c r="F1023" s="89"/>
      <c r="G1023" s="89"/>
      <c r="H1023" s="89"/>
      <c r="I1023" s="89"/>
      <c r="J1023" s="89"/>
      <c r="K1023" s="212">
        <f t="shared" si="65"/>
        <v>0</v>
      </c>
      <c r="L1023" s="212">
        <f t="shared" si="65"/>
        <v>0</v>
      </c>
      <c r="M1023" s="212">
        <f t="shared" si="65"/>
        <v>0</v>
      </c>
      <c r="N1023" s="212">
        <f t="shared" si="62"/>
        <v>0</v>
      </c>
    </row>
    <row r="1024" spans="1:15" ht="12.75" x14ac:dyDescent="0.2">
      <c r="A1024" s="152">
        <v>6335000</v>
      </c>
      <c r="B1024" s="51"/>
      <c r="C1024" s="51" t="s">
        <v>973</v>
      </c>
      <c r="D1024" s="220"/>
      <c r="E1024" s="89"/>
      <c r="F1024" s="89"/>
      <c r="G1024" s="89"/>
      <c r="H1024" s="89"/>
      <c r="I1024" s="89"/>
      <c r="J1024" s="89"/>
      <c r="K1024" s="212">
        <f t="shared" si="65"/>
        <v>0</v>
      </c>
      <c r="L1024" s="212">
        <f t="shared" si="65"/>
        <v>0</v>
      </c>
      <c r="M1024" s="212">
        <f t="shared" si="65"/>
        <v>0</v>
      </c>
      <c r="N1024" s="212">
        <f t="shared" ref="N1024:N1089" si="66">SUMIFS(N$26:N$212,$A$26:$A$212,$A1024,$C$26:$C$212,$C1024)</f>
        <v>0</v>
      </c>
    </row>
    <row r="1025" spans="1:14" ht="12.75" x14ac:dyDescent="0.2">
      <c r="A1025" s="152">
        <v>6335000</v>
      </c>
      <c r="B1025" s="51"/>
      <c r="C1025" s="51" t="s">
        <v>980</v>
      </c>
      <c r="D1025" s="220"/>
      <c r="E1025" s="89"/>
      <c r="F1025" s="89"/>
      <c r="G1025" s="89"/>
      <c r="H1025" s="89"/>
      <c r="I1025" s="89"/>
      <c r="J1025" s="89"/>
      <c r="K1025" s="212">
        <f t="shared" si="65"/>
        <v>0</v>
      </c>
      <c r="L1025" s="212">
        <f t="shared" si="65"/>
        <v>0</v>
      </c>
      <c r="M1025" s="212">
        <f t="shared" si="65"/>
        <v>0</v>
      </c>
      <c r="N1025" s="212">
        <f t="shared" si="66"/>
        <v>0</v>
      </c>
    </row>
    <row r="1026" spans="1:14" ht="12.75" x14ac:dyDescent="0.2">
      <c r="A1026" s="152">
        <v>6335000</v>
      </c>
      <c r="B1026" s="51"/>
      <c r="C1026" s="51" t="s">
        <v>982</v>
      </c>
      <c r="D1026" s="220"/>
      <c r="E1026" s="89"/>
      <c r="F1026" s="89"/>
      <c r="G1026" s="89"/>
      <c r="H1026" s="89"/>
      <c r="I1026" s="89"/>
      <c r="J1026" s="89"/>
      <c r="K1026" s="212">
        <f t="shared" si="65"/>
        <v>0</v>
      </c>
      <c r="L1026" s="212">
        <f t="shared" si="65"/>
        <v>0</v>
      </c>
      <c r="M1026" s="212">
        <f t="shared" si="65"/>
        <v>0</v>
      </c>
      <c r="N1026" s="212">
        <f t="shared" si="66"/>
        <v>0</v>
      </c>
    </row>
    <row r="1027" spans="1:14" ht="12.75" x14ac:dyDescent="0.2">
      <c r="A1027" s="152">
        <v>6335000</v>
      </c>
      <c r="B1027" s="51"/>
      <c r="C1027" s="51" t="s">
        <v>46</v>
      </c>
      <c r="D1027" s="220"/>
      <c r="E1027" s="89"/>
      <c r="F1027" s="89"/>
      <c r="G1027" s="89"/>
      <c r="H1027" s="89"/>
      <c r="I1027" s="89"/>
      <c r="J1027" s="89"/>
      <c r="K1027" s="212">
        <f t="shared" si="65"/>
        <v>0</v>
      </c>
      <c r="L1027" s="212">
        <f t="shared" si="65"/>
        <v>0</v>
      </c>
      <c r="M1027" s="212">
        <f t="shared" si="65"/>
        <v>0</v>
      </c>
      <c r="N1027" s="212">
        <f t="shared" si="66"/>
        <v>0</v>
      </c>
    </row>
    <row r="1028" spans="1:14" ht="12.75" x14ac:dyDescent="0.2">
      <c r="A1028" s="152">
        <v>6335000</v>
      </c>
      <c r="B1028" s="51"/>
      <c r="C1028" s="51" t="s">
        <v>1019</v>
      </c>
      <c r="D1028" s="220"/>
      <c r="E1028" s="89"/>
      <c r="F1028" s="89"/>
      <c r="G1028" s="89"/>
      <c r="H1028" s="89"/>
      <c r="I1028" s="89"/>
      <c r="J1028" s="89"/>
      <c r="K1028" s="212">
        <f t="shared" si="65"/>
        <v>0</v>
      </c>
      <c r="L1028" s="212">
        <f t="shared" si="65"/>
        <v>0</v>
      </c>
      <c r="M1028" s="212">
        <f t="shared" si="65"/>
        <v>0</v>
      </c>
      <c r="N1028" s="212">
        <f t="shared" si="66"/>
        <v>38500</v>
      </c>
    </row>
    <row r="1029" spans="1:14" ht="12.75" x14ac:dyDescent="0.2">
      <c r="A1029" s="152">
        <v>6335000</v>
      </c>
      <c r="B1029" s="51"/>
      <c r="C1029" s="51" t="s">
        <v>1050</v>
      </c>
      <c r="D1029" s="220"/>
      <c r="E1029" s="89"/>
      <c r="F1029" s="89"/>
      <c r="G1029" s="89"/>
      <c r="H1029" s="89"/>
      <c r="I1029" s="89"/>
      <c r="J1029" s="89"/>
      <c r="K1029" s="212">
        <f t="shared" si="65"/>
        <v>0</v>
      </c>
      <c r="L1029" s="212">
        <f t="shared" si="65"/>
        <v>0</v>
      </c>
      <c r="M1029" s="212">
        <f t="shared" si="65"/>
        <v>0</v>
      </c>
      <c r="N1029" s="212">
        <f t="shared" si="66"/>
        <v>0</v>
      </c>
    </row>
    <row r="1030" spans="1:14" ht="12.75" x14ac:dyDescent="0.2">
      <c r="A1030" s="152">
        <v>6335000</v>
      </c>
      <c r="B1030" s="51"/>
      <c r="C1030" s="51" t="s">
        <v>100</v>
      </c>
      <c r="D1030" s="220"/>
      <c r="E1030" s="89"/>
      <c r="F1030" s="89"/>
      <c r="G1030" s="89"/>
      <c r="H1030" s="89"/>
      <c r="I1030" s="89"/>
      <c r="J1030" s="89"/>
      <c r="K1030" s="212">
        <f t="shared" si="65"/>
        <v>0</v>
      </c>
      <c r="L1030" s="212">
        <f t="shared" si="65"/>
        <v>0</v>
      </c>
      <c r="M1030" s="212">
        <f t="shared" si="65"/>
        <v>0</v>
      </c>
      <c r="N1030" s="212">
        <f t="shared" si="66"/>
        <v>0</v>
      </c>
    </row>
    <row r="1031" spans="1:14" ht="12.75" x14ac:dyDescent="0.2">
      <c r="A1031" s="152">
        <v>6335000</v>
      </c>
      <c r="B1031" s="51"/>
      <c r="C1031" s="51" t="s">
        <v>101</v>
      </c>
      <c r="D1031" s="220"/>
      <c r="E1031" s="89"/>
      <c r="F1031" s="89"/>
      <c r="G1031" s="89"/>
      <c r="H1031" s="89"/>
      <c r="I1031" s="89"/>
      <c r="J1031" s="89"/>
      <c r="K1031" s="212">
        <f t="shared" si="65"/>
        <v>0</v>
      </c>
      <c r="L1031" s="212">
        <f t="shared" si="65"/>
        <v>0</v>
      </c>
      <c r="M1031" s="212">
        <f t="shared" si="65"/>
        <v>0</v>
      </c>
      <c r="N1031" s="212">
        <f t="shared" si="66"/>
        <v>0</v>
      </c>
    </row>
    <row r="1032" spans="1:14" ht="12.75" x14ac:dyDescent="0.2">
      <c r="A1032" s="152">
        <v>6335000</v>
      </c>
      <c r="B1032" s="51"/>
      <c r="C1032" s="51" t="s">
        <v>1056</v>
      </c>
      <c r="D1032" s="220"/>
      <c r="E1032" s="89"/>
      <c r="F1032" s="89"/>
      <c r="G1032" s="89"/>
      <c r="H1032" s="89"/>
      <c r="I1032" s="89"/>
      <c r="J1032" s="89"/>
      <c r="K1032" s="212">
        <f t="shared" ref="K1032:M1051" si="67">SUMIF($C$26:$C$212,$C1032,K$26:K$212)</f>
        <v>0</v>
      </c>
      <c r="L1032" s="212">
        <f t="shared" si="67"/>
        <v>0</v>
      </c>
      <c r="M1032" s="212">
        <f t="shared" si="67"/>
        <v>0</v>
      </c>
      <c r="N1032" s="212">
        <f t="shared" si="66"/>
        <v>0</v>
      </c>
    </row>
    <row r="1033" spans="1:14" ht="12.75" x14ac:dyDescent="0.2">
      <c r="A1033" s="152">
        <v>6335000</v>
      </c>
      <c r="B1033" s="51"/>
      <c r="C1033" s="51" t="s">
        <v>1057</v>
      </c>
      <c r="D1033" s="220"/>
      <c r="E1033" s="89"/>
      <c r="F1033" s="89"/>
      <c r="G1033" s="89"/>
      <c r="H1033" s="89"/>
      <c r="I1033" s="89"/>
      <c r="J1033" s="89"/>
      <c r="K1033" s="212">
        <f t="shared" si="67"/>
        <v>0</v>
      </c>
      <c r="L1033" s="212">
        <f t="shared" si="67"/>
        <v>0</v>
      </c>
      <c r="M1033" s="212">
        <f t="shared" si="67"/>
        <v>0</v>
      </c>
      <c r="N1033" s="212">
        <f t="shared" si="66"/>
        <v>0</v>
      </c>
    </row>
    <row r="1034" spans="1:14" ht="12.75" x14ac:dyDescent="0.2">
      <c r="A1034" s="152">
        <v>6335000</v>
      </c>
      <c r="B1034" s="51"/>
      <c r="C1034" s="51" t="s">
        <v>1631</v>
      </c>
      <c r="D1034" s="220"/>
      <c r="E1034" s="89"/>
      <c r="F1034" s="89"/>
      <c r="G1034" s="89"/>
      <c r="H1034" s="89"/>
      <c r="I1034" s="89"/>
      <c r="J1034" s="89"/>
      <c r="K1034" s="212">
        <f t="shared" si="67"/>
        <v>0</v>
      </c>
      <c r="L1034" s="212">
        <f t="shared" si="67"/>
        <v>0</v>
      </c>
      <c r="M1034" s="212">
        <f t="shared" si="67"/>
        <v>0</v>
      </c>
      <c r="N1034" s="212">
        <f t="shared" si="66"/>
        <v>0</v>
      </c>
    </row>
    <row r="1035" spans="1:14" ht="12.75" x14ac:dyDescent="0.2">
      <c r="A1035" s="152">
        <v>6335000</v>
      </c>
      <c r="B1035" s="51"/>
      <c r="C1035" s="51" t="s">
        <v>1632</v>
      </c>
      <c r="D1035" s="220"/>
      <c r="E1035" s="89"/>
      <c r="F1035" s="89"/>
      <c r="G1035" s="89"/>
      <c r="H1035" s="89"/>
      <c r="I1035" s="89"/>
      <c r="J1035" s="89"/>
      <c r="K1035" s="212">
        <f t="shared" si="67"/>
        <v>0</v>
      </c>
      <c r="L1035" s="212">
        <f t="shared" si="67"/>
        <v>0</v>
      </c>
      <c r="M1035" s="212">
        <f t="shared" si="67"/>
        <v>0</v>
      </c>
      <c r="N1035" s="212">
        <f t="shared" si="66"/>
        <v>0</v>
      </c>
    </row>
    <row r="1036" spans="1:14" ht="12.75" x14ac:dyDescent="0.2">
      <c r="A1036" s="152">
        <v>6335000</v>
      </c>
      <c r="B1036" s="51"/>
      <c r="C1036" s="51" t="s">
        <v>965</v>
      </c>
      <c r="D1036" s="220"/>
      <c r="E1036" s="89"/>
      <c r="F1036" s="89"/>
      <c r="G1036" s="89"/>
      <c r="H1036" s="89"/>
      <c r="I1036" s="89"/>
      <c r="J1036" s="89"/>
      <c r="K1036" s="212">
        <f t="shared" si="67"/>
        <v>0</v>
      </c>
      <c r="L1036" s="212">
        <f t="shared" si="67"/>
        <v>0</v>
      </c>
      <c r="M1036" s="212">
        <f t="shared" si="67"/>
        <v>0</v>
      </c>
      <c r="N1036" s="212">
        <f t="shared" si="66"/>
        <v>0</v>
      </c>
    </row>
    <row r="1037" spans="1:14" ht="12.75" x14ac:dyDescent="0.2">
      <c r="A1037" s="152">
        <v>6335000</v>
      </c>
      <c r="B1037" s="51"/>
      <c r="C1037" s="51" t="s">
        <v>1011</v>
      </c>
      <c r="D1037" s="220"/>
      <c r="E1037" s="89"/>
      <c r="F1037" s="89"/>
      <c r="G1037" s="89"/>
      <c r="H1037" s="89"/>
      <c r="I1037" s="89"/>
      <c r="J1037" s="89"/>
      <c r="K1037" s="212">
        <f t="shared" si="67"/>
        <v>0</v>
      </c>
      <c r="L1037" s="212">
        <f t="shared" si="67"/>
        <v>0</v>
      </c>
      <c r="M1037" s="212">
        <f t="shared" si="67"/>
        <v>0</v>
      </c>
      <c r="N1037" s="212">
        <f t="shared" si="66"/>
        <v>0</v>
      </c>
    </row>
    <row r="1038" spans="1:14" ht="12.75" x14ac:dyDescent="0.2">
      <c r="A1038" s="152">
        <v>6335000</v>
      </c>
      <c r="B1038" s="51"/>
      <c r="C1038" s="51" t="s">
        <v>1010</v>
      </c>
      <c r="D1038" s="220"/>
      <c r="E1038" s="89"/>
      <c r="F1038" s="89"/>
      <c r="G1038" s="89"/>
      <c r="H1038" s="89"/>
      <c r="I1038" s="89"/>
      <c r="J1038" s="89"/>
      <c r="K1038" s="212">
        <f t="shared" si="67"/>
        <v>0</v>
      </c>
      <c r="L1038" s="212">
        <f t="shared" si="67"/>
        <v>0</v>
      </c>
      <c r="M1038" s="212">
        <f t="shared" si="67"/>
        <v>0</v>
      </c>
      <c r="N1038" s="212">
        <f t="shared" si="66"/>
        <v>0</v>
      </c>
    </row>
    <row r="1039" spans="1:14" ht="12.75" x14ac:dyDescent="0.2">
      <c r="A1039" s="152">
        <v>6335000</v>
      </c>
      <c r="B1039" s="51"/>
      <c r="C1039" s="51" t="s">
        <v>1013</v>
      </c>
      <c r="D1039" s="220"/>
      <c r="E1039" s="89"/>
      <c r="F1039" s="89"/>
      <c r="G1039" s="89"/>
      <c r="H1039" s="89"/>
      <c r="I1039" s="89"/>
      <c r="J1039" s="89"/>
      <c r="K1039" s="212">
        <f t="shared" si="67"/>
        <v>0</v>
      </c>
      <c r="L1039" s="212">
        <f t="shared" si="67"/>
        <v>0</v>
      </c>
      <c r="M1039" s="212">
        <f t="shared" si="67"/>
        <v>0</v>
      </c>
      <c r="N1039" s="212">
        <f t="shared" si="66"/>
        <v>0</v>
      </c>
    </row>
    <row r="1040" spans="1:14" ht="12.75" x14ac:dyDescent="0.2">
      <c r="A1040" s="152">
        <v>6335000</v>
      </c>
      <c r="B1040" s="51"/>
      <c r="C1040" s="51" t="s">
        <v>1012</v>
      </c>
      <c r="D1040" s="220"/>
      <c r="E1040" s="89"/>
      <c r="F1040" s="89"/>
      <c r="G1040" s="89"/>
      <c r="H1040" s="89"/>
      <c r="I1040" s="89"/>
      <c r="J1040" s="89"/>
      <c r="K1040" s="212">
        <f t="shared" si="67"/>
        <v>0</v>
      </c>
      <c r="L1040" s="212">
        <f t="shared" si="67"/>
        <v>0</v>
      </c>
      <c r="M1040" s="212">
        <f t="shared" si="67"/>
        <v>0</v>
      </c>
      <c r="N1040" s="212">
        <f t="shared" si="66"/>
        <v>0</v>
      </c>
    </row>
    <row r="1041" spans="1:14" ht="12.75" x14ac:dyDescent="0.2">
      <c r="A1041" s="152">
        <v>6335000</v>
      </c>
      <c r="B1041" s="51"/>
      <c r="C1041" s="51" t="s">
        <v>1052</v>
      </c>
      <c r="D1041" s="220"/>
      <c r="E1041" s="89"/>
      <c r="F1041" s="89"/>
      <c r="G1041" s="89"/>
      <c r="H1041" s="89"/>
      <c r="I1041" s="89"/>
      <c r="J1041" s="89"/>
      <c r="K1041" s="212">
        <f t="shared" si="67"/>
        <v>0</v>
      </c>
      <c r="L1041" s="212">
        <f t="shared" si="67"/>
        <v>0</v>
      </c>
      <c r="M1041" s="212">
        <f t="shared" si="67"/>
        <v>0</v>
      </c>
      <c r="N1041" s="212">
        <f t="shared" si="66"/>
        <v>0</v>
      </c>
    </row>
    <row r="1042" spans="1:14" ht="12.75" x14ac:dyDescent="0.2">
      <c r="A1042" s="152">
        <v>6335000</v>
      </c>
      <c r="B1042" s="51"/>
      <c r="C1042" s="51" t="s">
        <v>1053</v>
      </c>
      <c r="D1042" s="220"/>
      <c r="E1042" s="89"/>
      <c r="F1042" s="89"/>
      <c r="G1042" s="89"/>
      <c r="H1042" s="89"/>
      <c r="I1042" s="89"/>
      <c r="J1042" s="89"/>
      <c r="K1042" s="212">
        <f t="shared" si="67"/>
        <v>0</v>
      </c>
      <c r="L1042" s="212">
        <f t="shared" si="67"/>
        <v>0</v>
      </c>
      <c r="M1042" s="212">
        <f t="shared" si="67"/>
        <v>0</v>
      </c>
      <c r="N1042" s="212">
        <f t="shared" si="66"/>
        <v>0</v>
      </c>
    </row>
    <row r="1043" spans="1:14" ht="12.75" x14ac:dyDescent="0.2">
      <c r="A1043" s="152">
        <v>6335000</v>
      </c>
      <c r="B1043" s="51"/>
      <c r="C1043" s="51" t="s">
        <v>984</v>
      </c>
      <c r="D1043" s="220"/>
      <c r="E1043" s="89"/>
      <c r="F1043" s="89"/>
      <c r="G1043" s="89"/>
      <c r="H1043" s="89"/>
      <c r="I1043" s="89"/>
      <c r="J1043" s="89"/>
      <c r="K1043" s="212">
        <f t="shared" si="67"/>
        <v>0</v>
      </c>
      <c r="L1043" s="212">
        <f t="shared" si="67"/>
        <v>0</v>
      </c>
      <c r="M1043" s="212">
        <f t="shared" si="67"/>
        <v>0</v>
      </c>
      <c r="N1043" s="212">
        <f t="shared" si="66"/>
        <v>0</v>
      </c>
    </row>
    <row r="1044" spans="1:14" ht="12.75" x14ac:dyDescent="0.2">
      <c r="A1044" s="152">
        <v>6335000</v>
      </c>
      <c r="B1044" s="51"/>
      <c r="C1044" s="51" t="s">
        <v>985</v>
      </c>
      <c r="D1044" s="220"/>
      <c r="E1044" s="89"/>
      <c r="F1044" s="89"/>
      <c r="G1044" s="89"/>
      <c r="H1044" s="89"/>
      <c r="I1044" s="89"/>
      <c r="J1044" s="89"/>
      <c r="K1044" s="212">
        <f t="shared" si="67"/>
        <v>0</v>
      </c>
      <c r="L1044" s="212">
        <f t="shared" si="67"/>
        <v>0</v>
      </c>
      <c r="M1044" s="212">
        <f t="shared" si="67"/>
        <v>0</v>
      </c>
      <c r="N1044" s="212">
        <f t="shared" si="66"/>
        <v>0</v>
      </c>
    </row>
    <row r="1045" spans="1:14" ht="12.75" x14ac:dyDescent="0.2">
      <c r="A1045" s="152">
        <v>6335000</v>
      </c>
      <c r="B1045" s="51"/>
      <c r="C1045" s="51" t="s">
        <v>1005</v>
      </c>
      <c r="D1045" s="220"/>
      <c r="E1045" s="89"/>
      <c r="F1045" s="89"/>
      <c r="G1045" s="89"/>
      <c r="H1045" s="89"/>
      <c r="I1045" s="89"/>
      <c r="J1045" s="89"/>
      <c r="K1045" s="212">
        <f t="shared" si="67"/>
        <v>0</v>
      </c>
      <c r="L1045" s="212">
        <f t="shared" si="67"/>
        <v>0</v>
      </c>
      <c r="M1045" s="212">
        <f t="shared" si="67"/>
        <v>0</v>
      </c>
      <c r="N1045" s="212">
        <f t="shared" si="66"/>
        <v>0</v>
      </c>
    </row>
    <row r="1046" spans="1:14" ht="12.75" x14ac:dyDescent="0.2">
      <c r="A1046" s="152">
        <v>6335000</v>
      </c>
      <c r="B1046" s="51"/>
      <c r="C1046" s="51" t="s">
        <v>1004</v>
      </c>
      <c r="D1046" s="220"/>
      <c r="E1046" s="89"/>
      <c r="F1046" s="89"/>
      <c r="G1046" s="89"/>
      <c r="H1046" s="89"/>
      <c r="I1046" s="89"/>
      <c r="J1046" s="89"/>
      <c r="K1046" s="212">
        <f t="shared" si="67"/>
        <v>0</v>
      </c>
      <c r="L1046" s="212">
        <f t="shared" si="67"/>
        <v>0</v>
      </c>
      <c r="M1046" s="212">
        <f t="shared" si="67"/>
        <v>0</v>
      </c>
      <c r="N1046" s="212">
        <f t="shared" si="66"/>
        <v>0</v>
      </c>
    </row>
    <row r="1047" spans="1:14" ht="12.75" x14ac:dyDescent="0.2">
      <c r="A1047" s="152">
        <v>6335000</v>
      </c>
      <c r="B1047" s="51"/>
      <c r="C1047" s="51" t="s">
        <v>1008</v>
      </c>
      <c r="D1047" s="220"/>
      <c r="E1047" s="89"/>
      <c r="F1047" s="89"/>
      <c r="G1047" s="89"/>
      <c r="H1047" s="89"/>
      <c r="I1047" s="89"/>
      <c r="J1047" s="89"/>
      <c r="K1047" s="212">
        <f t="shared" si="67"/>
        <v>0</v>
      </c>
      <c r="L1047" s="212">
        <f t="shared" si="67"/>
        <v>0</v>
      </c>
      <c r="M1047" s="212">
        <f t="shared" si="67"/>
        <v>0</v>
      </c>
      <c r="N1047" s="212">
        <f t="shared" si="66"/>
        <v>0</v>
      </c>
    </row>
    <row r="1048" spans="1:14" ht="12.75" x14ac:dyDescent="0.2">
      <c r="A1048" s="152">
        <v>6335000</v>
      </c>
      <c r="B1048" s="51"/>
      <c r="C1048" s="51" t="s">
        <v>1006</v>
      </c>
      <c r="D1048" s="220"/>
      <c r="E1048" s="89"/>
      <c r="F1048" s="89"/>
      <c r="G1048" s="89"/>
      <c r="H1048" s="89"/>
      <c r="I1048" s="89"/>
      <c r="J1048" s="89"/>
      <c r="K1048" s="212">
        <f t="shared" si="67"/>
        <v>0</v>
      </c>
      <c r="L1048" s="212">
        <f t="shared" si="67"/>
        <v>0</v>
      </c>
      <c r="M1048" s="212">
        <f t="shared" si="67"/>
        <v>0</v>
      </c>
      <c r="N1048" s="212">
        <f t="shared" si="66"/>
        <v>0</v>
      </c>
    </row>
    <row r="1049" spans="1:14" ht="12.75" x14ac:dyDescent="0.2">
      <c r="A1049" s="152">
        <v>6335000</v>
      </c>
      <c r="B1049" s="51"/>
      <c r="C1049" s="51" t="s">
        <v>1034</v>
      </c>
      <c r="D1049" s="220"/>
      <c r="E1049" s="89"/>
      <c r="F1049" s="89"/>
      <c r="G1049" s="89"/>
      <c r="H1049" s="89"/>
      <c r="I1049" s="89"/>
      <c r="J1049" s="89"/>
      <c r="K1049" s="212">
        <f t="shared" si="67"/>
        <v>0</v>
      </c>
      <c r="L1049" s="212">
        <f t="shared" si="67"/>
        <v>0</v>
      </c>
      <c r="M1049" s="212">
        <f t="shared" si="67"/>
        <v>0</v>
      </c>
      <c r="N1049" s="212">
        <f t="shared" si="66"/>
        <v>0</v>
      </c>
    </row>
    <row r="1050" spans="1:14" ht="12.75" x14ac:dyDescent="0.2">
      <c r="A1050" s="152">
        <v>6335000</v>
      </c>
      <c r="B1050" s="51"/>
      <c r="C1050" s="51" t="s">
        <v>1035</v>
      </c>
      <c r="D1050" s="220"/>
      <c r="E1050" s="89"/>
      <c r="F1050" s="89"/>
      <c r="G1050" s="89"/>
      <c r="H1050" s="89"/>
      <c r="I1050" s="89"/>
      <c r="J1050" s="89"/>
      <c r="K1050" s="212">
        <f t="shared" si="67"/>
        <v>0</v>
      </c>
      <c r="L1050" s="212">
        <f t="shared" si="67"/>
        <v>0</v>
      </c>
      <c r="M1050" s="212">
        <f t="shared" si="67"/>
        <v>0</v>
      </c>
      <c r="N1050" s="212">
        <f t="shared" si="66"/>
        <v>0</v>
      </c>
    </row>
    <row r="1051" spans="1:14" ht="12.75" x14ac:dyDescent="0.2">
      <c r="A1051" s="152">
        <v>6335000</v>
      </c>
      <c r="B1051" s="51"/>
      <c r="C1051" s="51" t="s">
        <v>922</v>
      </c>
      <c r="D1051" s="220"/>
      <c r="E1051" s="89"/>
      <c r="F1051" s="89"/>
      <c r="G1051" s="89"/>
      <c r="H1051" s="89"/>
      <c r="I1051" s="89"/>
      <c r="J1051" s="89"/>
      <c r="K1051" s="212">
        <f t="shared" si="67"/>
        <v>0</v>
      </c>
      <c r="L1051" s="212">
        <f t="shared" si="67"/>
        <v>0</v>
      </c>
      <c r="M1051" s="212">
        <f t="shared" si="67"/>
        <v>0</v>
      </c>
      <c r="N1051" s="212">
        <f t="shared" si="66"/>
        <v>0</v>
      </c>
    </row>
    <row r="1052" spans="1:14" ht="12.75" x14ac:dyDescent="0.2">
      <c r="A1052" s="152">
        <v>6335000</v>
      </c>
      <c r="B1052" s="51"/>
      <c r="C1052" s="51" t="s">
        <v>942</v>
      </c>
      <c r="D1052" s="220"/>
      <c r="E1052" s="89"/>
      <c r="F1052" s="89"/>
      <c r="G1052" s="89"/>
      <c r="H1052" s="89"/>
      <c r="I1052" s="89"/>
      <c r="J1052" s="89"/>
      <c r="K1052" s="212">
        <f t="shared" ref="K1052:M1073" si="68">SUMIF($C$26:$C$212,$C1052,K$26:K$212)</f>
        <v>0</v>
      </c>
      <c r="L1052" s="212">
        <f t="shared" si="68"/>
        <v>0</v>
      </c>
      <c r="M1052" s="212">
        <f t="shared" si="68"/>
        <v>0</v>
      </c>
      <c r="N1052" s="212">
        <f t="shared" si="66"/>
        <v>0</v>
      </c>
    </row>
    <row r="1053" spans="1:14" ht="12.75" x14ac:dyDescent="0.2">
      <c r="A1053" s="152">
        <v>6335000</v>
      </c>
      <c r="B1053" s="51"/>
      <c r="C1053" s="51" t="s">
        <v>943</v>
      </c>
      <c r="D1053" s="220"/>
      <c r="E1053" s="89"/>
      <c r="F1053" s="89"/>
      <c r="G1053" s="89"/>
      <c r="H1053" s="89"/>
      <c r="I1053" s="89"/>
      <c r="J1053" s="89"/>
      <c r="K1053" s="212">
        <f t="shared" si="68"/>
        <v>0</v>
      </c>
      <c r="L1053" s="212">
        <f t="shared" si="68"/>
        <v>0</v>
      </c>
      <c r="M1053" s="212">
        <f t="shared" si="68"/>
        <v>0</v>
      </c>
      <c r="N1053" s="212">
        <f t="shared" si="66"/>
        <v>0</v>
      </c>
    </row>
    <row r="1054" spans="1:14" ht="12.75" x14ac:dyDescent="0.2">
      <c r="A1054" s="152">
        <v>6335000</v>
      </c>
      <c r="B1054" s="51"/>
      <c r="C1054" s="51" t="s">
        <v>938</v>
      </c>
      <c r="D1054" s="220"/>
      <c r="E1054" s="89"/>
      <c r="F1054" s="89"/>
      <c r="G1054" s="89"/>
      <c r="H1054" s="89"/>
      <c r="I1054" s="89"/>
      <c r="J1054" s="89"/>
      <c r="K1054" s="212">
        <f t="shared" si="68"/>
        <v>0</v>
      </c>
      <c r="L1054" s="212">
        <f t="shared" si="68"/>
        <v>0</v>
      </c>
      <c r="M1054" s="212">
        <f t="shared" si="68"/>
        <v>0</v>
      </c>
      <c r="N1054" s="212">
        <f t="shared" si="66"/>
        <v>0</v>
      </c>
    </row>
    <row r="1055" spans="1:14" ht="12.75" x14ac:dyDescent="0.2">
      <c r="A1055" s="152">
        <v>6335000</v>
      </c>
      <c r="B1055" s="51"/>
      <c r="C1055" s="51" t="s">
        <v>939</v>
      </c>
      <c r="D1055" s="220"/>
      <c r="E1055" s="89"/>
      <c r="F1055" s="89"/>
      <c r="G1055" s="89"/>
      <c r="H1055" s="89"/>
      <c r="I1055" s="89"/>
      <c r="J1055" s="89"/>
      <c r="K1055" s="212">
        <f t="shared" si="68"/>
        <v>0</v>
      </c>
      <c r="L1055" s="212">
        <f t="shared" si="68"/>
        <v>0</v>
      </c>
      <c r="M1055" s="212">
        <f t="shared" si="68"/>
        <v>0</v>
      </c>
      <c r="N1055" s="212">
        <f t="shared" si="66"/>
        <v>0</v>
      </c>
    </row>
    <row r="1056" spans="1:14" ht="12.75" x14ac:dyDescent="0.2">
      <c r="A1056" s="152">
        <v>6335000</v>
      </c>
      <c r="B1056" s="51"/>
      <c r="C1056" s="51" t="s">
        <v>934</v>
      </c>
      <c r="D1056" s="220"/>
      <c r="E1056" s="89"/>
      <c r="F1056" s="89"/>
      <c r="G1056" s="89"/>
      <c r="H1056" s="89"/>
      <c r="I1056" s="89"/>
      <c r="J1056" s="89"/>
      <c r="K1056" s="212">
        <f t="shared" si="68"/>
        <v>0</v>
      </c>
      <c r="L1056" s="212">
        <f t="shared" si="68"/>
        <v>0</v>
      </c>
      <c r="M1056" s="212">
        <f t="shared" si="68"/>
        <v>0</v>
      </c>
      <c r="N1056" s="212">
        <f t="shared" si="66"/>
        <v>0</v>
      </c>
    </row>
    <row r="1057" spans="1:14" ht="12.75" x14ac:dyDescent="0.2">
      <c r="A1057" s="152">
        <v>6335000</v>
      </c>
      <c r="B1057" s="51"/>
      <c r="C1057" s="51" t="s">
        <v>935</v>
      </c>
      <c r="D1057" s="220"/>
      <c r="E1057" s="89"/>
      <c r="F1057" s="89"/>
      <c r="G1057" s="89"/>
      <c r="H1057" s="89"/>
      <c r="I1057" s="89"/>
      <c r="J1057" s="89"/>
      <c r="K1057" s="212">
        <f t="shared" si="68"/>
        <v>0</v>
      </c>
      <c r="L1057" s="212">
        <f t="shared" si="68"/>
        <v>0</v>
      </c>
      <c r="M1057" s="212">
        <f t="shared" si="68"/>
        <v>0</v>
      </c>
      <c r="N1057" s="212">
        <f t="shared" si="66"/>
        <v>0</v>
      </c>
    </row>
    <row r="1058" spans="1:14" s="407" customFormat="1" ht="12.75" x14ac:dyDescent="0.2">
      <c r="A1058" s="152">
        <v>6335000</v>
      </c>
      <c r="B1058" s="51"/>
      <c r="C1058" s="51" t="s">
        <v>1663</v>
      </c>
      <c r="D1058" s="220"/>
      <c r="E1058" s="89"/>
      <c r="F1058" s="89"/>
      <c r="G1058" s="89"/>
      <c r="H1058" s="89"/>
      <c r="I1058" s="89"/>
      <c r="J1058" s="89"/>
      <c r="K1058" s="212"/>
      <c r="L1058" s="212"/>
      <c r="M1058" s="212"/>
      <c r="N1058" s="212">
        <f t="shared" si="66"/>
        <v>0</v>
      </c>
    </row>
    <row r="1059" spans="1:14" s="407" customFormat="1" ht="12.75" x14ac:dyDescent="0.2">
      <c r="A1059" s="152">
        <v>6335000</v>
      </c>
      <c r="B1059" s="51"/>
      <c r="C1059" s="51" t="s">
        <v>1661</v>
      </c>
      <c r="D1059" s="220"/>
      <c r="E1059" s="89"/>
      <c r="F1059" s="89"/>
      <c r="G1059" s="89"/>
      <c r="H1059" s="89"/>
      <c r="I1059" s="89"/>
      <c r="J1059" s="89"/>
      <c r="K1059" s="212"/>
      <c r="L1059" s="212"/>
      <c r="M1059" s="212"/>
      <c r="N1059" s="212">
        <f t="shared" si="66"/>
        <v>0</v>
      </c>
    </row>
    <row r="1060" spans="1:14" ht="12.75" x14ac:dyDescent="0.2">
      <c r="A1060" s="152">
        <v>6335000</v>
      </c>
      <c r="B1060" s="51"/>
      <c r="C1060" s="51" t="s">
        <v>953</v>
      </c>
      <c r="D1060" s="220"/>
      <c r="E1060" s="89"/>
      <c r="F1060" s="89"/>
      <c r="G1060" s="89"/>
      <c r="H1060" s="89"/>
      <c r="I1060" s="89"/>
      <c r="J1060" s="89"/>
      <c r="K1060" s="212">
        <f t="shared" si="68"/>
        <v>0</v>
      </c>
      <c r="L1060" s="212">
        <f t="shared" si="68"/>
        <v>0</v>
      </c>
      <c r="M1060" s="212">
        <f t="shared" si="68"/>
        <v>0</v>
      </c>
      <c r="N1060" s="212">
        <f t="shared" si="66"/>
        <v>0</v>
      </c>
    </row>
    <row r="1061" spans="1:14" ht="12.75" x14ac:dyDescent="0.2">
      <c r="A1061" s="152">
        <v>6335000</v>
      </c>
      <c r="B1061" s="51"/>
      <c r="C1061" s="51" t="s">
        <v>924</v>
      </c>
      <c r="D1061" s="220"/>
      <c r="E1061" s="89"/>
      <c r="F1061" s="89"/>
      <c r="G1061" s="89"/>
      <c r="H1061" s="89"/>
      <c r="I1061" s="89"/>
      <c r="J1061" s="89"/>
      <c r="K1061" s="212">
        <f t="shared" si="68"/>
        <v>0</v>
      </c>
      <c r="L1061" s="212">
        <f t="shared" si="68"/>
        <v>0</v>
      </c>
      <c r="M1061" s="212">
        <f t="shared" si="68"/>
        <v>0</v>
      </c>
      <c r="N1061" s="212">
        <f t="shared" si="66"/>
        <v>0</v>
      </c>
    </row>
    <row r="1062" spans="1:14" ht="12.75" x14ac:dyDescent="0.2">
      <c r="A1062" s="152">
        <v>6335000</v>
      </c>
      <c r="B1062" s="51"/>
      <c r="C1062" s="51" t="s">
        <v>927</v>
      </c>
      <c r="D1062" s="220"/>
      <c r="E1062" s="89"/>
      <c r="F1062" s="89"/>
      <c r="G1062" s="89"/>
      <c r="H1062" s="89"/>
      <c r="I1062" s="89"/>
      <c r="J1062" s="89"/>
      <c r="K1062" s="212">
        <f t="shared" si="68"/>
        <v>0</v>
      </c>
      <c r="L1062" s="212">
        <f t="shared" si="68"/>
        <v>0</v>
      </c>
      <c r="M1062" s="212">
        <f t="shared" si="68"/>
        <v>0</v>
      </c>
      <c r="N1062" s="212">
        <f t="shared" si="66"/>
        <v>0</v>
      </c>
    </row>
    <row r="1063" spans="1:14" ht="12.75" x14ac:dyDescent="0.2">
      <c r="A1063" s="152">
        <v>6335000</v>
      </c>
      <c r="B1063" s="51"/>
      <c r="C1063" s="51" t="s">
        <v>951</v>
      </c>
      <c r="D1063" s="220"/>
      <c r="E1063" s="89"/>
      <c r="F1063" s="89"/>
      <c r="G1063" s="89"/>
      <c r="H1063" s="89"/>
      <c r="I1063" s="89"/>
      <c r="J1063" s="89"/>
      <c r="K1063" s="212">
        <f t="shared" si="68"/>
        <v>0</v>
      </c>
      <c r="L1063" s="212">
        <f t="shared" si="68"/>
        <v>0</v>
      </c>
      <c r="M1063" s="212">
        <f t="shared" si="68"/>
        <v>0</v>
      </c>
      <c r="N1063" s="212">
        <f t="shared" si="66"/>
        <v>0</v>
      </c>
    </row>
    <row r="1064" spans="1:14" ht="12.75" x14ac:dyDescent="0.2">
      <c r="A1064" s="152">
        <v>6335000</v>
      </c>
      <c r="B1064" s="51"/>
      <c r="C1064" s="51" t="s">
        <v>1055</v>
      </c>
      <c r="D1064" s="220"/>
      <c r="E1064" s="89"/>
      <c r="F1064" s="89"/>
      <c r="G1064" s="89"/>
      <c r="H1064" s="89"/>
      <c r="I1064" s="89"/>
      <c r="J1064" s="89"/>
      <c r="K1064" s="212">
        <f t="shared" si="68"/>
        <v>0</v>
      </c>
      <c r="L1064" s="212">
        <f t="shared" si="68"/>
        <v>0</v>
      </c>
      <c r="M1064" s="212">
        <f t="shared" si="68"/>
        <v>0</v>
      </c>
      <c r="N1064" s="212">
        <f t="shared" si="66"/>
        <v>0</v>
      </c>
    </row>
    <row r="1065" spans="1:14" ht="12.75" x14ac:dyDescent="0.2">
      <c r="A1065" s="152">
        <v>6335000</v>
      </c>
      <c r="B1065" s="51"/>
      <c r="C1065" s="51" t="s">
        <v>940</v>
      </c>
      <c r="D1065" s="220"/>
      <c r="E1065" s="89"/>
      <c r="F1065" s="89"/>
      <c r="G1065" s="89"/>
      <c r="H1065" s="89"/>
      <c r="I1065" s="89"/>
      <c r="J1065" s="89"/>
      <c r="K1065" s="212">
        <f t="shared" si="68"/>
        <v>0</v>
      </c>
      <c r="L1065" s="212">
        <f t="shared" si="68"/>
        <v>0</v>
      </c>
      <c r="M1065" s="212">
        <f t="shared" si="68"/>
        <v>0</v>
      </c>
      <c r="N1065" s="212">
        <f t="shared" si="66"/>
        <v>0</v>
      </c>
    </row>
    <row r="1066" spans="1:14" ht="12.75" x14ac:dyDescent="0.2">
      <c r="A1066" s="152">
        <v>6335000</v>
      </c>
      <c r="B1066" s="51"/>
      <c r="C1066" s="51" t="s">
        <v>941</v>
      </c>
      <c r="D1066" s="220"/>
      <c r="E1066" s="89"/>
      <c r="F1066" s="89"/>
      <c r="G1066" s="89"/>
      <c r="H1066" s="89"/>
      <c r="I1066" s="89"/>
      <c r="J1066" s="89"/>
      <c r="K1066" s="212">
        <f t="shared" si="68"/>
        <v>0</v>
      </c>
      <c r="L1066" s="212">
        <f t="shared" si="68"/>
        <v>0</v>
      </c>
      <c r="M1066" s="212">
        <f t="shared" si="68"/>
        <v>0</v>
      </c>
      <c r="N1066" s="212">
        <f t="shared" si="66"/>
        <v>0</v>
      </c>
    </row>
    <row r="1067" spans="1:14" ht="12.75" x14ac:dyDescent="0.2">
      <c r="A1067" s="152">
        <v>6335000</v>
      </c>
      <c r="B1067" s="51"/>
      <c r="C1067" s="51" t="s">
        <v>936</v>
      </c>
      <c r="D1067" s="220"/>
      <c r="E1067" s="89"/>
      <c r="F1067" s="89"/>
      <c r="G1067" s="89"/>
      <c r="H1067" s="89"/>
      <c r="I1067" s="89"/>
      <c r="J1067" s="89"/>
      <c r="K1067" s="212">
        <f t="shared" si="68"/>
        <v>0</v>
      </c>
      <c r="L1067" s="212">
        <f t="shared" si="68"/>
        <v>0</v>
      </c>
      <c r="M1067" s="212">
        <f t="shared" si="68"/>
        <v>0</v>
      </c>
      <c r="N1067" s="212">
        <f t="shared" si="66"/>
        <v>0</v>
      </c>
    </row>
    <row r="1068" spans="1:14" ht="12.75" x14ac:dyDescent="0.2">
      <c r="A1068" s="152">
        <v>6335000</v>
      </c>
      <c r="B1068" s="51"/>
      <c r="C1068" s="51" t="s">
        <v>1603</v>
      </c>
      <c r="D1068" s="220"/>
      <c r="E1068" s="89"/>
      <c r="F1068" s="89"/>
      <c r="G1068" s="89"/>
      <c r="H1068" s="89"/>
      <c r="I1068" s="89"/>
      <c r="J1068" s="89"/>
      <c r="K1068" s="212">
        <f t="shared" si="68"/>
        <v>0</v>
      </c>
      <c r="L1068" s="212">
        <f t="shared" si="68"/>
        <v>0</v>
      </c>
      <c r="M1068" s="212">
        <f t="shared" si="68"/>
        <v>0</v>
      </c>
      <c r="N1068" s="212">
        <f t="shared" si="66"/>
        <v>0</v>
      </c>
    </row>
    <row r="1069" spans="1:14" ht="12.75" x14ac:dyDescent="0.2">
      <c r="A1069" s="152">
        <v>6335000</v>
      </c>
      <c r="B1069" s="51"/>
      <c r="C1069" s="51" t="s">
        <v>932</v>
      </c>
      <c r="D1069" s="220"/>
      <c r="E1069" s="89"/>
      <c r="F1069" s="89"/>
      <c r="G1069" s="89"/>
      <c r="H1069" s="89"/>
      <c r="I1069" s="89"/>
      <c r="J1069" s="89"/>
      <c r="K1069" s="212">
        <f t="shared" si="68"/>
        <v>0</v>
      </c>
      <c r="L1069" s="212">
        <f t="shared" si="68"/>
        <v>0</v>
      </c>
      <c r="M1069" s="212">
        <f t="shared" si="68"/>
        <v>0</v>
      </c>
      <c r="N1069" s="212">
        <f t="shared" si="66"/>
        <v>0</v>
      </c>
    </row>
    <row r="1070" spans="1:14" ht="12.75" x14ac:dyDescent="0.2">
      <c r="A1070" s="152">
        <v>6335000</v>
      </c>
      <c r="B1070" s="51"/>
      <c r="C1070" s="51" t="s">
        <v>933</v>
      </c>
      <c r="D1070" s="220"/>
      <c r="E1070" s="89"/>
      <c r="F1070" s="89"/>
      <c r="G1070" s="89"/>
      <c r="H1070" s="89"/>
      <c r="I1070" s="89"/>
      <c r="J1070" s="89"/>
      <c r="K1070" s="212">
        <f t="shared" si="68"/>
        <v>0</v>
      </c>
      <c r="L1070" s="212">
        <f t="shared" si="68"/>
        <v>0</v>
      </c>
      <c r="M1070" s="212">
        <f t="shared" si="68"/>
        <v>0</v>
      </c>
      <c r="N1070" s="212">
        <f t="shared" si="66"/>
        <v>0</v>
      </c>
    </row>
    <row r="1071" spans="1:14" ht="12.75" x14ac:dyDescent="0.2">
      <c r="A1071" s="152">
        <v>6335000</v>
      </c>
      <c r="B1071" s="51"/>
      <c r="C1071" s="51" t="s">
        <v>952</v>
      </c>
      <c r="D1071" s="220"/>
      <c r="E1071" s="89"/>
      <c r="F1071" s="89"/>
      <c r="G1071" s="89"/>
      <c r="H1071" s="89"/>
      <c r="I1071" s="89"/>
      <c r="J1071" s="89"/>
      <c r="K1071" s="212">
        <f t="shared" si="68"/>
        <v>0</v>
      </c>
      <c r="L1071" s="212">
        <f t="shared" si="68"/>
        <v>0</v>
      </c>
      <c r="M1071" s="212">
        <f t="shared" si="68"/>
        <v>0</v>
      </c>
      <c r="N1071" s="212">
        <f t="shared" si="66"/>
        <v>0</v>
      </c>
    </row>
    <row r="1072" spans="1:14" ht="12.75" x14ac:dyDescent="0.2">
      <c r="A1072" s="152">
        <v>6335000</v>
      </c>
      <c r="B1072" s="51"/>
      <c r="C1072" s="51" t="s">
        <v>923</v>
      </c>
      <c r="D1072" s="220"/>
      <c r="E1072" s="89"/>
      <c r="F1072" s="89"/>
      <c r="G1072" s="89"/>
      <c r="H1072" s="89"/>
      <c r="I1072" s="89"/>
      <c r="J1072" s="89"/>
      <c r="K1072" s="212">
        <f t="shared" si="68"/>
        <v>0</v>
      </c>
      <c r="L1072" s="212">
        <f t="shared" si="68"/>
        <v>0</v>
      </c>
      <c r="M1072" s="212">
        <f t="shared" si="68"/>
        <v>0</v>
      </c>
      <c r="N1072" s="212">
        <f t="shared" si="66"/>
        <v>0</v>
      </c>
    </row>
    <row r="1073" spans="1:14" ht="12.75" x14ac:dyDescent="0.2">
      <c r="A1073" s="152">
        <v>6335000</v>
      </c>
      <c r="B1073" s="51"/>
      <c r="C1073" s="51" t="s">
        <v>925</v>
      </c>
      <c r="D1073" s="220"/>
      <c r="E1073" s="89"/>
      <c r="F1073" s="89"/>
      <c r="G1073" s="89"/>
      <c r="H1073" s="89"/>
      <c r="I1073" s="89"/>
      <c r="J1073" s="89"/>
      <c r="K1073" s="212">
        <f t="shared" si="68"/>
        <v>0</v>
      </c>
      <c r="L1073" s="212">
        <f t="shared" si="68"/>
        <v>0</v>
      </c>
      <c r="M1073" s="212">
        <f t="shared" si="68"/>
        <v>0</v>
      </c>
      <c r="N1073" s="212">
        <f t="shared" si="66"/>
        <v>0</v>
      </c>
    </row>
    <row r="1074" spans="1:14" ht="12.75" x14ac:dyDescent="0.2">
      <c r="A1074" s="152">
        <v>6335000</v>
      </c>
      <c r="B1074" s="51"/>
      <c r="C1074" s="51" t="s">
        <v>950</v>
      </c>
      <c r="D1074" s="220"/>
      <c r="E1074" s="89"/>
      <c r="F1074" s="89"/>
      <c r="G1074" s="89"/>
      <c r="H1074" s="89"/>
      <c r="I1074" s="89"/>
      <c r="J1074" s="89"/>
      <c r="K1074" s="212">
        <f t="shared" ref="K1074:M1093" si="69">SUMIF($C$26:$C$212,$C1074,K$26:K$212)</f>
        <v>0</v>
      </c>
      <c r="L1074" s="212">
        <f t="shared" si="69"/>
        <v>0</v>
      </c>
      <c r="M1074" s="212">
        <f t="shared" si="69"/>
        <v>0</v>
      </c>
      <c r="N1074" s="212">
        <f t="shared" si="66"/>
        <v>0</v>
      </c>
    </row>
    <row r="1075" spans="1:14" ht="12.75" x14ac:dyDescent="0.2">
      <c r="A1075" s="152">
        <v>6335000</v>
      </c>
      <c r="B1075" s="51"/>
      <c r="C1075" s="51" t="s">
        <v>1054</v>
      </c>
      <c r="D1075" s="220"/>
      <c r="E1075" s="89"/>
      <c r="F1075" s="89"/>
      <c r="G1075" s="89"/>
      <c r="H1075" s="89"/>
      <c r="I1075" s="89"/>
      <c r="J1075" s="89"/>
      <c r="K1075" s="212">
        <f t="shared" si="69"/>
        <v>0</v>
      </c>
      <c r="L1075" s="212">
        <f t="shared" si="69"/>
        <v>0</v>
      </c>
      <c r="M1075" s="212">
        <f t="shared" si="69"/>
        <v>0</v>
      </c>
      <c r="N1075" s="212">
        <f t="shared" si="66"/>
        <v>0</v>
      </c>
    </row>
    <row r="1076" spans="1:14" ht="12.75" x14ac:dyDescent="0.2">
      <c r="A1076" s="152">
        <v>6335000</v>
      </c>
      <c r="B1076" s="51"/>
      <c r="C1076" s="51" t="s">
        <v>921</v>
      </c>
      <c r="D1076" s="220"/>
      <c r="E1076" s="89"/>
      <c r="F1076" s="89"/>
      <c r="G1076" s="89"/>
      <c r="H1076" s="89"/>
      <c r="I1076" s="89"/>
      <c r="J1076" s="89"/>
      <c r="K1076" s="212">
        <f t="shared" si="69"/>
        <v>0</v>
      </c>
      <c r="L1076" s="212">
        <f t="shared" si="69"/>
        <v>0</v>
      </c>
      <c r="M1076" s="212">
        <f t="shared" si="69"/>
        <v>0</v>
      </c>
      <c r="N1076" s="212">
        <f t="shared" si="66"/>
        <v>0</v>
      </c>
    </row>
    <row r="1077" spans="1:14" ht="12.75" x14ac:dyDescent="0.2">
      <c r="A1077" s="152">
        <v>6335000</v>
      </c>
      <c r="B1077" s="51"/>
      <c r="C1077" s="51" t="s">
        <v>1022</v>
      </c>
      <c r="D1077" s="220"/>
      <c r="E1077" s="89"/>
      <c r="F1077" s="89"/>
      <c r="G1077" s="89"/>
      <c r="H1077" s="89"/>
      <c r="I1077" s="89"/>
      <c r="J1077" s="89"/>
      <c r="K1077" s="212">
        <f t="shared" si="69"/>
        <v>0</v>
      </c>
      <c r="L1077" s="212">
        <f t="shared" si="69"/>
        <v>0</v>
      </c>
      <c r="M1077" s="212">
        <f t="shared" si="69"/>
        <v>0</v>
      </c>
      <c r="N1077" s="212">
        <f t="shared" si="66"/>
        <v>0</v>
      </c>
    </row>
    <row r="1078" spans="1:14" ht="12.75" x14ac:dyDescent="0.2">
      <c r="A1078" s="152">
        <v>6335000</v>
      </c>
      <c r="B1078" s="51"/>
      <c r="C1078" s="51" t="s">
        <v>1023</v>
      </c>
      <c r="D1078" s="220"/>
      <c r="E1078" s="89"/>
      <c r="F1078" s="89"/>
      <c r="G1078" s="89"/>
      <c r="H1078" s="89"/>
      <c r="I1078" s="89"/>
      <c r="J1078" s="89"/>
      <c r="K1078" s="212">
        <f t="shared" si="69"/>
        <v>0</v>
      </c>
      <c r="L1078" s="212">
        <f t="shared" si="69"/>
        <v>0</v>
      </c>
      <c r="M1078" s="212">
        <f t="shared" si="69"/>
        <v>0</v>
      </c>
      <c r="N1078" s="212">
        <f t="shared" si="66"/>
        <v>0</v>
      </c>
    </row>
    <row r="1079" spans="1:14" ht="12.75" x14ac:dyDescent="0.2">
      <c r="A1079" s="152">
        <v>6335000</v>
      </c>
      <c r="B1079" s="51"/>
      <c r="C1079" s="51" t="s">
        <v>137</v>
      </c>
      <c r="D1079" s="220"/>
      <c r="E1079" s="89"/>
      <c r="F1079" s="89"/>
      <c r="G1079" s="89"/>
      <c r="H1079" s="89"/>
      <c r="I1079" s="89"/>
      <c r="J1079" s="89"/>
      <c r="K1079" s="212">
        <f t="shared" si="69"/>
        <v>0</v>
      </c>
      <c r="L1079" s="212">
        <f t="shared" si="69"/>
        <v>0</v>
      </c>
      <c r="M1079" s="212">
        <f t="shared" si="69"/>
        <v>0</v>
      </c>
      <c r="N1079" s="212">
        <f t="shared" si="66"/>
        <v>0</v>
      </c>
    </row>
    <row r="1080" spans="1:14" ht="12.75" x14ac:dyDescent="0.2">
      <c r="A1080" s="152">
        <v>6335000</v>
      </c>
      <c r="B1080" s="51"/>
      <c r="C1080" s="51" t="s">
        <v>956</v>
      </c>
      <c r="D1080" s="220"/>
      <c r="E1080" s="89"/>
      <c r="F1080" s="89"/>
      <c r="G1080" s="89"/>
      <c r="H1080" s="89"/>
      <c r="I1080" s="89"/>
      <c r="J1080" s="89"/>
      <c r="K1080" s="212">
        <f t="shared" si="69"/>
        <v>0</v>
      </c>
      <c r="L1080" s="212">
        <f t="shared" si="69"/>
        <v>0</v>
      </c>
      <c r="M1080" s="212">
        <f t="shared" si="69"/>
        <v>0</v>
      </c>
      <c r="N1080" s="212">
        <f t="shared" si="66"/>
        <v>0</v>
      </c>
    </row>
    <row r="1081" spans="1:14" ht="12.75" x14ac:dyDescent="0.2">
      <c r="A1081" s="152">
        <v>6335000</v>
      </c>
      <c r="B1081" s="51"/>
      <c r="C1081" s="51" t="s">
        <v>1045</v>
      </c>
      <c r="D1081" s="220"/>
      <c r="E1081" s="89"/>
      <c r="F1081" s="89"/>
      <c r="G1081" s="89"/>
      <c r="H1081" s="89"/>
      <c r="I1081" s="89"/>
      <c r="J1081" s="89"/>
      <c r="K1081" s="212">
        <f t="shared" si="69"/>
        <v>0</v>
      </c>
      <c r="L1081" s="212">
        <f t="shared" si="69"/>
        <v>0</v>
      </c>
      <c r="M1081" s="212">
        <f t="shared" si="69"/>
        <v>0</v>
      </c>
      <c r="N1081" s="212">
        <f t="shared" si="66"/>
        <v>0</v>
      </c>
    </row>
    <row r="1082" spans="1:14" ht="12.75" x14ac:dyDescent="0.2">
      <c r="A1082" s="152">
        <v>6335000</v>
      </c>
      <c r="B1082" s="51"/>
      <c r="C1082" s="51" t="s">
        <v>1046</v>
      </c>
      <c r="D1082" s="220"/>
      <c r="E1082" s="89"/>
      <c r="F1082" s="89"/>
      <c r="G1082" s="89"/>
      <c r="H1082" s="89"/>
      <c r="I1082" s="89"/>
      <c r="J1082" s="89"/>
      <c r="K1082" s="212">
        <f t="shared" si="69"/>
        <v>0</v>
      </c>
      <c r="L1082" s="212">
        <f t="shared" si="69"/>
        <v>0</v>
      </c>
      <c r="M1082" s="212">
        <f t="shared" si="69"/>
        <v>0</v>
      </c>
      <c r="N1082" s="212">
        <f t="shared" si="66"/>
        <v>0</v>
      </c>
    </row>
    <row r="1083" spans="1:14" ht="12.75" x14ac:dyDescent="0.2">
      <c r="A1083" s="152">
        <v>6335000</v>
      </c>
      <c r="B1083" s="51"/>
      <c r="C1083" s="51" t="s">
        <v>1036</v>
      </c>
      <c r="D1083" s="220"/>
      <c r="E1083" s="89"/>
      <c r="F1083" s="89"/>
      <c r="G1083" s="89"/>
      <c r="H1083" s="89"/>
      <c r="I1083" s="89"/>
      <c r="J1083" s="89"/>
      <c r="K1083" s="212">
        <f t="shared" si="69"/>
        <v>0</v>
      </c>
      <c r="L1083" s="212">
        <f t="shared" si="69"/>
        <v>0</v>
      </c>
      <c r="M1083" s="212">
        <f t="shared" si="69"/>
        <v>0</v>
      </c>
      <c r="N1083" s="212">
        <f t="shared" si="66"/>
        <v>0</v>
      </c>
    </row>
    <row r="1084" spans="1:14" ht="12.75" x14ac:dyDescent="0.2">
      <c r="A1084" s="152">
        <v>6335000</v>
      </c>
      <c r="B1084" s="51"/>
      <c r="C1084" s="51" t="s">
        <v>1037</v>
      </c>
      <c r="D1084" s="220"/>
      <c r="E1084" s="89"/>
      <c r="F1084" s="89"/>
      <c r="G1084" s="89"/>
      <c r="H1084" s="89"/>
      <c r="I1084" s="89"/>
      <c r="J1084" s="89"/>
      <c r="K1084" s="212">
        <f t="shared" si="69"/>
        <v>0</v>
      </c>
      <c r="L1084" s="212">
        <f t="shared" si="69"/>
        <v>0</v>
      </c>
      <c r="M1084" s="212">
        <f t="shared" si="69"/>
        <v>0</v>
      </c>
      <c r="N1084" s="212">
        <f t="shared" si="66"/>
        <v>0</v>
      </c>
    </row>
    <row r="1085" spans="1:14" ht="12.75" x14ac:dyDescent="0.2">
      <c r="A1085" s="152">
        <v>6335000</v>
      </c>
      <c r="B1085" s="51"/>
      <c r="C1085" s="51" t="s">
        <v>990</v>
      </c>
      <c r="D1085" s="220"/>
      <c r="E1085" s="89"/>
      <c r="F1085" s="89"/>
      <c r="G1085" s="89"/>
      <c r="H1085" s="89"/>
      <c r="I1085" s="89"/>
      <c r="J1085" s="89"/>
      <c r="K1085" s="212">
        <f t="shared" si="69"/>
        <v>0</v>
      </c>
      <c r="L1085" s="212">
        <f t="shared" si="69"/>
        <v>0</v>
      </c>
      <c r="M1085" s="212">
        <f t="shared" si="69"/>
        <v>0</v>
      </c>
      <c r="N1085" s="212">
        <f t="shared" si="66"/>
        <v>0</v>
      </c>
    </row>
    <row r="1086" spans="1:14" ht="12.75" x14ac:dyDescent="0.2">
      <c r="A1086" s="152">
        <v>6335000</v>
      </c>
      <c r="B1086" s="51"/>
      <c r="C1086" s="51" t="s">
        <v>1040</v>
      </c>
      <c r="D1086" s="220"/>
      <c r="E1086" s="89"/>
      <c r="F1086" s="89"/>
      <c r="G1086" s="89"/>
      <c r="H1086" s="89"/>
      <c r="I1086" s="89"/>
      <c r="J1086" s="89"/>
      <c r="K1086" s="212">
        <f t="shared" si="69"/>
        <v>0</v>
      </c>
      <c r="L1086" s="212">
        <f t="shared" si="69"/>
        <v>0</v>
      </c>
      <c r="M1086" s="212">
        <f t="shared" si="69"/>
        <v>0</v>
      </c>
      <c r="N1086" s="212">
        <f t="shared" si="66"/>
        <v>0</v>
      </c>
    </row>
    <row r="1087" spans="1:14" ht="12.75" x14ac:dyDescent="0.2">
      <c r="A1087" s="152">
        <v>6335000</v>
      </c>
      <c r="B1087" s="51"/>
      <c r="C1087" s="51" t="s">
        <v>991</v>
      </c>
      <c r="D1087" s="220"/>
      <c r="E1087" s="89"/>
      <c r="F1087" s="89"/>
      <c r="G1087" s="89"/>
      <c r="H1087" s="89"/>
      <c r="I1087" s="89"/>
      <c r="J1087" s="89"/>
      <c r="K1087" s="212">
        <f t="shared" si="69"/>
        <v>0</v>
      </c>
      <c r="L1087" s="212">
        <f t="shared" si="69"/>
        <v>0</v>
      </c>
      <c r="M1087" s="212">
        <f t="shared" si="69"/>
        <v>0</v>
      </c>
      <c r="N1087" s="212">
        <f t="shared" si="66"/>
        <v>0</v>
      </c>
    </row>
    <row r="1088" spans="1:14" ht="12.75" x14ac:dyDescent="0.2">
      <c r="A1088" s="152">
        <v>6335000</v>
      </c>
      <c r="B1088" s="51"/>
      <c r="C1088" s="51" t="s">
        <v>959</v>
      </c>
      <c r="D1088" s="220"/>
      <c r="E1088" s="89"/>
      <c r="F1088" s="89"/>
      <c r="G1088" s="89"/>
      <c r="H1088" s="89"/>
      <c r="I1088" s="89"/>
      <c r="J1088" s="89"/>
      <c r="K1088" s="212">
        <f t="shared" si="69"/>
        <v>0</v>
      </c>
      <c r="L1088" s="212">
        <f t="shared" si="69"/>
        <v>0</v>
      </c>
      <c r="M1088" s="212">
        <f t="shared" si="69"/>
        <v>0</v>
      </c>
      <c r="N1088" s="212">
        <f t="shared" si="66"/>
        <v>0</v>
      </c>
    </row>
    <row r="1089" spans="1:14" ht="12.75" x14ac:dyDescent="0.2">
      <c r="A1089" s="152">
        <v>6335000</v>
      </c>
      <c r="B1089" s="51"/>
      <c r="C1089" s="51" t="s">
        <v>964</v>
      </c>
      <c r="D1089" s="220"/>
      <c r="E1089" s="89"/>
      <c r="F1089" s="89"/>
      <c r="G1089" s="89"/>
      <c r="H1089" s="89"/>
      <c r="I1089" s="89"/>
      <c r="J1089" s="89"/>
      <c r="K1089" s="212">
        <f t="shared" si="69"/>
        <v>0</v>
      </c>
      <c r="L1089" s="212">
        <f t="shared" si="69"/>
        <v>0</v>
      </c>
      <c r="M1089" s="212">
        <f t="shared" si="69"/>
        <v>0</v>
      </c>
      <c r="N1089" s="212">
        <f t="shared" si="66"/>
        <v>0</v>
      </c>
    </row>
    <row r="1090" spans="1:14" ht="12.75" x14ac:dyDescent="0.2">
      <c r="A1090" s="152">
        <v>6335000</v>
      </c>
      <c r="B1090" s="51"/>
      <c r="C1090" s="51" t="s">
        <v>1003</v>
      </c>
      <c r="D1090" s="220"/>
      <c r="E1090" s="89"/>
      <c r="F1090" s="89"/>
      <c r="G1090" s="89"/>
      <c r="H1090" s="89"/>
      <c r="I1090" s="89"/>
      <c r="J1090" s="89"/>
      <c r="K1090" s="212">
        <f t="shared" si="69"/>
        <v>0</v>
      </c>
      <c r="L1090" s="212">
        <f t="shared" si="69"/>
        <v>0</v>
      </c>
      <c r="M1090" s="212">
        <f t="shared" si="69"/>
        <v>0</v>
      </c>
      <c r="N1090" s="212">
        <f t="shared" ref="N1090:N1152" si="70">SUMIFS(N$26:N$212,$A$26:$A$212,$A1090,$C$26:$C$212,$C1090)</f>
        <v>0</v>
      </c>
    </row>
    <row r="1091" spans="1:14" ht="12.75" x14ac:dyDescent="0.2">
      <c r="A1091" s="152">
        <v>6335000</v>
      </c>
      <c r="B1091" s="51"/>
      <c r="C1091" s="51" t="s">
        <v>992</v>
      </c>
      <c r="D1091" s="220"/>
      <c r="E1091" s="89"/>
      <c r="F1091" s="89"/>
      <c r="G1091" s="89"/>
      <c r="H1091" s="89"/>
      <c r="I1091" s="89"/>
      <c r="J1091" s="89"/>
      <c r="K1091" s="212">
        <f t="shared" si="69"/>
        <v>0</v>
      </c>
      <c r="L1091" s="212">
        <f t="shared" si="69"/>
        <v>0</v>
      </c>
      <c r="M1091" s="212">
        <f t="shared" si="69"/>
        <v>0</v>
      </c>
      <c r="N1091" s="212">
        <f t="shared" si="70"/>
        <v>0</v>
      </c>
    </row>
    <row r="1092" spans="1:14" ht="12.75" x14ac:dyDescent="0.2">
      <c r="A1092" s="152">
        <v>6335000</v>
      </c>
      <c r="B1092" s="51"/>
      <c r="C1092" s="51" t="s">
        <v>994</v>
      </c>
      <c r="D1092" s="220"/>
      <c r="E1092" s="89"/>
      <c r="F1092" s="89"/>
      <c r="G1092" s="89"/>
      <c r="H1092" s="89"/>
      <c r="I1092" s="89"/>
      <c r="J1092" s="89"/>
      <c r="K1092" s="212">
        <f t="shared" si="69"/>
        <v>0</v>
      </c>
      <c r="L1092" s="212">
        <f t="shared" si="69"/>
        <v>0</v>
      </c>
      <c r="M1092" s="212">
        <f t="shared" si="69"/>
        <v>0</v>
      </c>
      <c r="N1092" s="212">
        <f t="shared" si="70"/>
        <v>0</v>
      </c>
    </row>
    <row r="1093" spans="1:14" ht="12.75" x14ac:dyDescent="0.2">
      <c r="A1093" s="152">
        <v>6335000</v>
      </c>
      <c r="B1093" s="51"/>
      <c r="C1093" s="51" t="s">
        <v>993</v>
      </c>
      <c r="D1093" s="220"/>
      <c r="E1093" s="89"/>
      <c r="F1093" s="89"/>
      <c r="G1093" s="89"/>
      <c r="H1093" s="89"/>
      <c r="I1093" s="89"/>
      <c r="J1093" s="89"/>
      <c r="K1093" s="212">
        <f t="shared" si="69"/>
        <v>0</v>
      </c>
      <c r="L1093" s="212">
        <f t="shared" si="69"/>
        <v>0</v>
      </c>
      <c r="M1093" s="212">
        <f t="shared" si="69"/>
        <v>0</v>
      </c>
      <c r="N1093" s="212">
        <f t="shared" si="70"/>
        <v>0</v>
      </c>
    </row>
    <row r="1094" spans="1:14" ht="12.75" x14ac:dyDescent="0.2">
      <c r="A1094" s="152">
        <v>6335000</v>
      </c>
      <c r="B1094" s="51"/>
      <c r="C1094" s="51" t="s">
        <v>995</v>
      </c>
      <c r="D1094" s="220"/>
      <c r="E1094" s="89"/>
      <c r="F1094" s="89"/>
      <c r="G1094" s="89"/>
      <c r="H1094" s="89"/>
      <c r="I1094" s="89"/>
      <c r="J1094" s="89"/>
      <c r="K1094" s="212">
        <f t="shared" ref="K1094:M1113" si="71">SUMIF($C$26:$C$212,$C1094,K$26:K$212)</f>
        <v>0</v>
      </c>
      <c r="L1094" s="212">
        <f t="shared" si="71"/>
        <v>0</v>
      </c>
      <c r="M1094" s="212">
        <f t="shared" si="71"/>
        <v>0</v>
      </c>
      <c r="N1094" s="212">
        <f t="shared" si="70"/>
        <v>0</v>
      </c>
    </row>
    <row r="1095" spans="1:14" ht="12.75" x14ac:dyDescent="0.2">
      <c r="A1095" s="152">
        <v>6335000</v>
      </c>
      <c r="B1095" s="51"/>
      <c r="C1095" s="51" t="s">
        <v>1001</v>
      </c>
      <c r="D1095" s="220"/>
      <c r="E1095" s="89"/>
      <c r="F1095" s="89"/>
      <c r="G1095" s="89"/>
      <c r="H1095" s="89"/>
      <c r="I1095" s="89"/>
      <c r="J1095" s="89"/>
      <c r="K1095" s="212">
        <f t="shared" si="71"/>
        <v>0</v>
      </c>
      <c r="L1095" s="212">
        <f t="shared" si="71"/>
        <v>0</v>
      </c>
      <c r="M1095" s="212">
        <f t="shared" si="71"/>
        <v>0</v>
      </c>
      <c r="N1095" s="212">
        <f t="shared" si="70"/>
        <v>0</v>
      </c>
    </row>
    <row r="1096" spans="1:14" ht="12.75" x14ac:dyDescent="0.2">
      <c r="A1096" s="152">
        <v>6335000</v>
      </c>
      <c r="B1096" s="51"/>
      <c r="C1096" s="51" t="s">
        <v>978</v>
      </c>
      <c r="D1096" s="220"/>
      <c r="E1096" s="89"/>
      <c r="F1096" s="89"/>
      <c r="G1096" s="89"/>
      <c r="H1096" s="89"/>
      <c r="I1096" s="89"/>
      <c r="J1096" s="89"/>
      <c r="K1096" s="212">
        <f t="shared" si="71"/>
        <v>0</v>
      </c>
      <c r="L1096" s="212">
        <f t="shared" si="71"/>
        <v>0</v>
      </c>
      <c r="M1096" s="212">
        <f t="shared" si="71"/>
        <v>0</v>
      </c>
      <c r="N1096" s="212">
        <f t="shared" si="70"/>
        <v>0</v>
      </c>
    </row>
    <row r="1097" spans="1:14" ht="12.75" x14ac:dyDescent="0.2">
      <c r="A1097" s="152">
        <v>6335000</v>
      </c>
      <c r="B1097" s="51"/>
      <c r="C1097" s="51" t="s">
        <v>494</v>
      </c>
      <c r="D1097" s="220"/>
      <c r="E1097" s="89"/>
      <c r="F1097" s="89"/>
      <c r="G1097" s="89"/>
      <c r="H1097" s="89"/>
      <c r="I1097" s="89"/>
      <c r="J1097" s="89"/>
      <c r="K1097" s="212">
        <f t="shared" si="71"/>
        <v>0</v>
      </c>
      <c r="L1097" s="212">
        <f t="shared" si="71"/>
        <v>0</v>
      </c>
      <c r="M1097" s="212">
        <f t="shared" si="71"/>
        <v>0</v>
      </c>
      <c r="N1097" s="212">
        <f t="shared" si="70"/>
        <v>0</v>
      </c>
    </row>
    <row r="1098" spans="1:14" ht="12.75" x14ac:dyDescent="0.2">
      <c r="A1098" s="152">
        <v>6335000</v>
      </c>
      <c r="B1098" s="51"/>
      <c r="C1098" s="51" t="s">
        <v>976</v>
      </c>
      <c r="D1098" s="220"/>
      <c r="E1098" s="89"/>
      <c r="F1098" s="89"/>
      <c r="G1098" s="89"/>
      <c r="H1098" s="89"/>
      <c r="I1098" s="89"/>
      <c r="J1098" s="89"/>
      <c r="K1098" s="212">
        <f t="shared" si="71"/>
        <v>0</v>
      </c>
      <c r="L1098" s="212">
        <f t="shared" si="71"/>
        <v>0</v>
      </c>
      <c r="M1098" s="212">
        <f t="shared" si="71"/>
        <v>0</v>
      </c>
      <c r="N1098" s="212">
        <f t="shared" si="70"/>
        <v>0</v>
      </c>
    </row>
    <row r="1099" spans="1:14" ht="12.75" x14ac:dyDescent="0.2">
      <c r="A1099" s="152">
        <v>6335000</v>
      </c>
      <c r="B1099" s="51"/>
      <c r="C1099" s="51" t="s">
        <v>1002</v>
      </c>
      <c r="D1099" s="220"/>
      <c r="E1099" s="89"/>
      <c r="F1099" s="89"/>
      <c r="G1099" s="89"/>
      <c r="H1099" s="89"/>
      <c r="I1099" s="89"/>
      <c r="J1099" s="89"/>
      <c r="K1099" s="212">
        <f t="shared" si="71"/>
        <v>0</v>
      </c>
      <c r="L1099" s="212">
        <f t="shared" si="71"/>
        <v>0</v>
      </c>
      <c r="M1099" s="212">
        <f t="shared" si="71"/>
        <v>0</v>
      </c>
      <c r="N1099" s="212">
        <f t="shared" si="70"/>
        <v>0</v>
      </c>
    </row>
    <row r="1100" spans="1:14" ht="12.75" x14ac:dyDescent="0.2">
      <c r="A1100" s="152">
        <v>6335000</v>
      </c>
      <c r="B1100" s="51"/>
      <c r="C1100" s="51" t="s">
        <v>1014</v>
      </c>
      <c r="D1100" s="220"/>
      <c r="E1100" s="89"/>
      <c r="F1100" s="89"/>
      <c r="G1100" s="89"/>
      <c r="H1100" s="89"/>
      <c r="I1100" s="89"/>
      <c r="J1100" s="89"/>
      <c r="K1100" s="212">
        <f t="shared" si="71"/>
        <v>0</v>
      </c>
      <c r="L1100" s="212">
        <f t="shared" si="71"/>
        <v>0</v>
      </c>
      <c r="M1100" s="212">
        <f t="shared" si="71"/>
        <v>0</v>
      </c>
      <c r="N1100" s="212">
        <f t="shared" si="70"/>
        <v>0</v>
      </c>
    </row>
    <row r="1101" spans="1:14" ht="12.75" x14ac:dyDescent="0.2">
      <c r="A1101" s="152">
        <v>6335000</v>
      </c>
      <c r="B1101" s="51"/>
      <c r="C1101" s="51" t="s">
        <v>998</v>
      </c>
      <c r="D1101" s="220"/>
      <c r="E1101" s="89"/>
      <c r="F1101" s="89"/>
      <c r="G1101" s="89"/>
      <c r="H1101" s="89"/>
      <c r="I1101" s="89"/>
      <c r="J1101" s="89"/>
      <c r="K1101" s="212">
        <f t="shared" si="71"/>
        <v>0</v>
      </c>
      <c r="L1101" s="212">
        <f t="shared" si="71"/>
        <v>0</v>
      </c>
      <c r="M1101" s="212">
        <f t="shared" si="71"/>
        <v>0</v>
      </c>
      <c r="N1101" s="212">
        <f t="shared" si="70"/>
        <v>0</v>
      </c>
    </row>
    <row r="1102" spans="1:14" ht="12.75" x14ac:dyDescent="0.2">
      <c r="A1102" s="152">
        <v>6335000</v>
      </c>
      <c r="B1102" s="51"/>
      <c r="C1102" s="51" t="s">
        <v>996</v>
      </c>
      <c r="D1102" s="220"/>
      <c r="E1102" s="89"/>
      <c r="F1102" s="89"/>
      <c r="G1102" s="89"/>
      <c r="H1102" s="89"/>
      <c r="I1102" s="89"/>
      <c r="J1102" s="89"/>
      <c r="K1102" s="212">
        <f t="shared" si="71"/>
        <v>0</v>
      </c>
      <c r="L1102" s="212">
        <f t="shared" si="71"/>
        <v>0</v>
      </c>
      <c r="M1102" s="212">
        <f t="shared" si="71"/>
        <v>0</v>
      </c>
      <c r="N1102" s="212">
        <f t="shared" si="70"/>
        <v>0</v>
      </c>
    </row>
    <row r="1103" spans="1:14" ht="12.75" x14ac:dyDescent="0.2">
      <c r="A1103" s="152">
        <v>6335000</v>
      </c>
      <c r="B1103" s="51"/>
      <c r="C1103" s="51" t="s">
        <v>1043</v>
      </c>
      <c r="D1103" s="220"/>
      <c r="E1103" s="89"/>
      <c r="F1103" s="89"/>
      <c r="G1103" s="89"/>
      <c r="H1103" s="89"/>
      <c r="I1103" s="89"/>
      <c r="J1103" s="89"/>
      <c r="K1103" s="212">
        <f t="shared" si="71"/>
        <v>0</v>
      </c>
      <c r="L1103" s="212">
        <f t="shared" si="71"/>
        <v>0</v>
      </c>
      <c r="M1103" s="212">
        <f t="shared" si="71"/>
        <v>0</v>
      </c>
      <c r="N1103" s="212">
        <f t="shared" si="70"/>
        <v>0</v>
      </c>
    </row>
    <row r="1104" spans="1:14" ht="12.75" x14ac:dyDescent="0.2">
      <c r="A1104" s="152">
        <v>6335000</v>
      </c>
      <c r="B1104" s="51"/>
      <c r="C1104" s="51" t="s">
        <v>1044</v>
      </c>
      <c r="D1104" s="220"/>
      <c r="E1104" s="89"/>
      <c r="F1104" s="89"/>
      <c r="G1104" s="89"/>
      <c r="H1104" s="89"/>
      <c r="I1104" s="89"/>
      <c r="J1104" s="89"/>
      <c r="K1104" s="212">
        <f t="shared" si="71"/>
        <v>0</v>
      </c>
      <c r="L1104" s="212">
        <f t="shared" si="71"/>
        <v>0</v>
      </c>
      <c r="M1104" s="212">
        <f t="shared" si="71"/>
        <v>0</v>
      </c>
      <c r="N1104" s="212">
        <f t="shared" si="70"/>
        <v>0</v>
      </c>
    </row>
    <row r="1105" spans="1:14" ht="12.75" x14ac:dyDescent="0.2">
      <c r="A1105" s="152">
        <v>6335000</v>
      </c>
      <c r="B1105" s="51"/>
      <c r="C1105" s="51" t="s">
        <v>1039</v>
      </c>
      <c r="D1105" s="220"/>
      <c r="E1105" s="89"/>
      <c r="F1105" s="89"/>
      <c r="G1105" s="89"/>
      <c r="H1105" s="89"/>
      <c r="I1105" s="89"/>
      <c r="J1105" s="89"/>
      <c r="K1105" s="212">
        <f t="shared" si="71"/>
        <v>0</v>
      </c>
      <c r="L1105" s="212">
        <f t="shared" si="71"/>
        <v>0</v>
      </c>
      <c r="M1105" s="212">
        <f t="shared" si="71"/>
        <v>0</v>
      </c>
      <c r="N1105" s="212">
        <f t="shared" si="70"/>
        <v>0</v>
      </c>
    </row>
    <row r="1106" spans="1:14" ht="12.75" x14ac:dyDescent="0.2">
      <c r="A1106" s="152">
        <v>6335000</v>
      </c>
      <c r="B1106" s="51"/>
      <c r="C1106" s="51" t="s">
        <v>1028</v>
      </c>
      <c r="D1106" s="220"/>
      <c r="E1106" s="89"/>
      <c r="F1106" s="89"/>
      <c r="G1106" s="89"/>
      <c r="H1106" s="89"/>
      <c r="I1106" s="89"/>
      <c r="J1106" s="89"/>
      <c r="K1106" s="212">
        <f t="shared" si="71"/>
        <v>0</v>
      </c>
      <c r="L1106" s="212">
        <f t="shared" si="71"/>
        <v>0</v>
      </c>
      <c r="M1106" s="212">
        <f t="shared" si="71"/>
        <v>0</v>
      </c>
      <c r="N1106" s="212">
        <f t="shared" si="70"/>
        <v>0</v>
      </c>
    </row>
    <row r="1107" spans="1:14" ht="12.75" x14ac:dyDescent="0.2">
      <c r="A1107" s="152">
        <v>6335000</v>
      </c>
      <c r="B1107" s="51"/>
      <c r="C1107" s="51" t="s">
        <v>1029</v>
      </c>
      <c r="D1107" s="220"/>
      <c r="E1107" s="89"/>
      <c r="F1107" s="89"/>
      <c r="G1107" s="89"/>
      <c r="H1107" s="89"/>
      <c r="I1107" s="89"/>
      <c r="J1107" s="89"/>
      <c r="K1107" s="212">
        <f t="shared" si="71"/>
        <v>0</v>
      </c>
      <c r="L1107" s="212">
        <f t="shared" si="71"/>
        <v>0</v>
      </c>
      <c r="M1107" s="212">
        <f t="shared" si="71"/>
        <v>0</v>
      </c>
      <c r="N1107" s="212">
        <f t="shared" si="70"/>
        <v>0</v>
      </c>
    </row>
    <row r="1108" spans="1:14" ht="12.75" x14ac:dyDescent="0.2">
      <c r="A1108" s="152">
        <v>6335000</v>
      </c>
      <c r="B1108" s="51"/>
      <c r="C1108" s="51" t="s">
        <v>113</v>
      </c>
      <c r="D1108" s="220"/>
      <c r="E1108" s="89"/>
      <c r="F1108" s="89"/>
      <c r="G1108" s="89"/>
      <c r="H1108" s="89"/>
      <c r="I1108" s="89"/>
      <c r="J1108" s="89"/>
      <c r="K1108" s="212">
        <f t="shared" si="71"/>
        <v>0</v>
      </c>
      <c r="L1108" s="212">
        <f t="shared" si="71"/>
        <v>0</v>
      </c>
      <c r="M1108" s="212">
        <f t="shared" si="71"/>
        <v>0</v>
      </c>
      <c r="N1108" s="212">
        <f t="shared" si="70"/>
        <v>0</v>
      </c>
    </row>
    <row r="1109" spans="1:14" ht="12.75" x14ac:dyDescent="0.2">
      <c r="A1109" s="152">
        <v>6335000</v>
      </c>
      <c r="B1109" s="51"/>
      <c r="C1109" s="51" t="s">
        <v>1038</v>
      </c>
      <c r="D1109" s="220"/>
      <c r="E1109" s="89"/>
      <c r="F1109" s="89"/>
      <c r="G1109" s="89"/>
      <c r="H1109" s="89"/>
      <c r="I1109" s="89"/>
      <c r="J1109" s="89"/>
      <c r="K1109" s="212">
        <f t="shared" si="71"/>
        <v>0</v>
      </c>
      <c r="L1109" s="212">
        <f t="shared" si="71"/>
        <v>0</v>
      </c>
      <c r="M1109" s="212">
        <f t="shared" si="71"/>
        <v>0</v>
      </c>
      <c r="N1109" s="212">
        <f t="shared" si="70"/>
        <v>0</v>
      </c>
    </row>
    <row r="1110" spans="1:14" ht="12.75" x14ac:dyDescent="0.2">
      <c r="A1110" s="152">
        <v>6335000</v>
      </c>
      <c r="B1110" s="51"/>
      <c r="C1110" s="51" t="s">
        <v>1033</v>
      </c>
      <c r="D1110" s="220"/>
      <c r="E1110" s="89"/>
      <c r="F1110" s="89"/>
      <c r="G1110" s="89"/>
      <c r="H1110" s="89"/>
      <c r="I1110" s="89"/>
      <c r="J1110" s="89"/>
      <c r="K1110" s="212">
        <f t="shared" si="71"/>
        <v>0</v>
      </c>
      <c r="L1110" s="212">
        <f t="shared" si="71"/>
        <v>0</v>
      </c>
      <c r="M1110" s="212">
        <f t="shared" si="71"/>
        <v>0</v>
      </c>
      <c r="N1110" s="212">
        <f t="shared" si="70"/>
        <v>0</v>
      </c>
    </row>
    <row r="1111" spans="1:14" ht="12.75" x14ac:dyDescent="0.2">
      <c r="A1111" s="152">
        <v>6335000</v>
      </c>
      <c r="B1111" s="51"/>
      <c r="C1111" s="51" t="s">
        <v>1007</v>
      </c>
      <c r="D1111" s="220"/>
      <c r="E1111" s="89"/>
      <c r="F1111" s="89"/>
      <c r="G1111" s="89"/>
      <c r="H1111" s="89"/>
      <c r="I1111" s="89"/>
      <c r="J1111" s="89"/>
      <c r="K1111" s="212">
        <f t="shared" si="71"/>
        <v>0</v>
      </c>
      <c r="L1111" s="212">
        <f t="shared" si="71"/>
        <v>0</v>
      </c>
      <c r="M1111" s="212">
        <f t="shared" si="71"/>
        <v>0</v>
      </c>
      <c r="N1111" s="212">
        <f t="shared" si="70"/>
        <v>0</v>
      </c>
    </row>
    <row r="1112" spans="1:14" ht="12.75" x14ac:dyDescent="0.2">
      <c r="A1112" s="152">
        <v>6335000</v>
      </c>
      <c r="B1112" s="51"/>
      <c r="C1112" s="51" t="s">
        <v>969</v>
      </c>
      <c r="D1112" s="220"/>
      <c r="E1112" s="89"/>
      <c r="F1112" s="89"/>
      <c r="G1112" s="89"/>
      <c r="H1112" s="89"/>
      <c r="I1112" s="89"/>
      <c r="J1112" s="89"/>
      <c r="K1112" s="212">
        <f t="shared" si="71"/>
        <v>0</v>
      </c>
      <c r="L1112" s="212">
        <f t="shared" si="71"/>
        <v>0</v>
      </c>
      <c r="M1112" s="212">
        <f t="shared" si="71"/>
        <v>0</v>
      </c>
      <c r="N1112" s="212">
        <f t="shared" si="70"/>
        <v>0</v>
      </c>
    </row>
    <row r="1113" spans="1:14" ht="12.75" x14ac:dyDescent="0.2">
      <c r="A1113" s="152">
        <v>6335000</v>
      </c>
      <c r="B1113" s="51"/>
      <c r="C1113" s="51" t="s">
        <v>987</v>
      </c>
      <c r="D1113" s="220"/>
      <c r="E1113" s="89"/>
      <c r="F1113" s="89"/>
      <c r="G1113" s="89"/>
      <c r="H1113" s="89"/>
      <c r="I1113" s="89"/>
      <c r="J1113" s="89"/>
      <c r="K1113" s="212">
        <f t="shared" si="71"/>
        <v>0</v>
      </c>
      <c r="L1113" s="212">
        <f t="shared" si="71"/>
        <v>0</v>
      </c>
      <c r="M1113" s="212">
        <f t="shared" si="71"/>
        <v>0</v>
      </c>
      <c r="N1113" s="212">
        <f t="shared" si="70"/>
        <v>0</v>
      </c>
    </row>
    <row r="1114" spans="1:14" ht="12.75" x14ac:dyDescent="0.2">
      <c r="A1114" s="152">
        <v>6335000</v>
      </c>
      <c r="B1114" s="51"/>
      <c r="C1114" s="51" t="s">
        <v>1000</v>
      </c>
      <c r="D1114" s="220"/>
      <c r="E1114" s="89"/>
      <c r="F1114" s="89"/>
      <c r="G1114" s="89"/>
      <c r="H1114" s="89"/>
      <c r="I1114" s="89"/>
      <c r="J1114" s="89"/>
      <c r="K1114" s="212">
        <f t="shared" ref="K1114:M1132" si="72">SUMIF($C$26:$C$212,$C1114,K$26:K$212)</f>
        <v>0</v>
      </c>
      <c r="L1114" s="212">
        <f t="shared" si="72"/>
        <v>0</v>
      </c>
      <c r="M1114" s="212">
        <f t="shared" si="72"/>
        <v>0</v>
      </c>
      <c r="N1114" s="212">
        <f t="shared" si="70"/>
        <v>0</v>
      </c>
    </row>
    <row r="1115" spans="1:14" ht="12.75" x14ac:dyDescent="0.2">
      <c r="A1115" s="152">
        <v>6335000</v>
      </c>
      <c r="B1115" s="51"/>
      <c r="C1115" s="51" t="s">
        <v>116</v>
      </c>
      <c r="D1115" s="220"/>
      <c r="E1115" s="89"/>
      <c r="F1115" s="89"/>
      <c r="G1115" s="89"/>
      <c r="H1115" s="89"/>
      <c r="I1115" s="89"/>
      <c r="J1115" s="89"/>
      <c r="K1115" s="212">
        <f t="shared" si="72"/>
        <v>0</v>
      </c>
      <c r="L1115" s="212">
        <f t="shared" si="72"/>
        <v>0</v>
      </c>
      <c r="M1115" s="212">
        <f t="shared" si="72"/>
        <v>0</v>
      </c>
      <c r="N1115" s="212">
        <f t="shared" si="70"/>
        <v>0</v>
      </c>
    </row>
    <row r="1116" spans="1:14" ht="12.75" x14ac:dyDescent="0.2">
      <c r="A1116" s="152">
        <v>6335000</v>
      </c>
      <c r="B1116" s="51"/>
      <c r="C1116" s="51" t="s">
        <v>114</v>
      </c>
      <c r="D1116" s="220"/>
      <c r="E1116" s="89"/>
      <c r="F1116" s="89"/>
      <c r="G1116" s="89"/>
      <c r="H1116" s="89"/>
      <c r="I1116" s="89"/>
      <c r="J1116" s="89"/>
      <c r="K1116" s="212">
        <f t="shared" si="72"/>
        <v>0</v>
      </c>
      <c r="L1116" s="212">
        <f t="shared" si="72"/>
        <v>0</v>
      </c>
      <c r="M1116" s="212">
        <f t="shared" si="72"/>
        <v>0</v>
      </c>
      <c r="N1116" s="212">
        <f t="shared" si="70"/>
        <v>0</v>
      </c>
    </row>
    <row r="1117" spans="1:14" ht="12.75" x14ac:dyDescent="0.2">
      <c r="A1117" s="152">
        <v>6335000</v>
      </c>
      <c r="B1117" s="51"/>
      <c r="C1117" s="51" t="s">
        <v>111</v>
      </c>
      <c r="D1117" s="220"/>
      <c r="E1117" s="89"/>
      <c r="F1117" s="89"/>
      <c r="G1117" s="89"/>
      <c r="H1117" s="89"/>
      <c r="I1117" s="89"/>
      <c r="J1117" s="89"/>
      <c r="K1117" s="212">
        <f t="shared" si="72"/>
        <v>0</v>
      </c>
      <c r="L1117" s="212">
        <f t="shared" si="72"/>
        <v>0</v>
      </c>
      <c r="M1117" s="212">
        <f t="shared" si="72"/>
        <v>0</v>
      </c>
      <c r="N1117" s="212">
        <f t="shared" si="70"/>
        <v>0</v>
      </c>
    </row>
    <row r="1118" spans="1:14" ht="12.75" x14ac:dyDescent="0.2">
      <c r="A1118" s="152">
        <v>6335000</v>
      </c>
      <c r="B1118" s="51"/>
      <c r="C1118" s="51" t="s">
        <v>117</v>
      </c>
      <c r="D1118" s="220"/>
      <c r="E1118" s="89"/>
      <c r="F1118" s="89"/>
      <c r="G1118" s="89"/>
      <c r="H1118" s="89"/>
      <c r="I1118" s="89"/>
      <c r="J1118" s="89"/>
      <c r="K1118" s="212">
        <f t="shared" si="72"/>
        <v>0</v>
      </c>
      <c r="L1118" s="212">
        <f t="shared" si="72"/>
        <v>0</v>
      </c>
      <c r="M1118" s="212">
        <f t="shared" si="72"/>
        <v>0</v>
      </c>
      <c r="N1118" s="212">
        <f t="shared" si="70"/>
        <v>0</v>
      </c>
    </row>
    <row r="1119" spans="1:14" ht="12.75" x14ac:dyDescent="0.2">
      <c r="A1119" s="152">
        <v>6335000</v>
      </c>
      <c r="B1119" s="51"/>
      <c r="C1119" s="51" t="s">
        <v>112</v>
      </c>
      <c r="D1119" s="220"/>
      <c r="E1119" s="89"/>
      <c r="F1119" s="89"/>
      <c r="G1119" s="89"/>
      <c r="H1119" s="89"/>
      <c r="I1119" s="89"/>
      <c r="J1119" s="89"/>
      <c r="K1119" s="212">
        <f t="shared" si="72"/>
        <v>0</v>
      </c>
      <c r="L1119" s="212">
        <f t="shared" si="72"/>
        <v>0</v>
      </c>
      <c r="M1119" s="212">
        <f t="shared" si="72"/>
        <v>0</v>
      </c>
      <c r="N1119" s="212">
        <f t="shared" si="70"/>
        <v>0</v>
      </c>
    </row>
    <row r="1120" spans="1:14" ht="12.75" x14ac:dyDescent="0.2">
      <c r="A1120" s="152">
        <v>6335000</v>
      </c>
      <c r="B1120" s="51"/>
      <c r="C1120" s="51" t="s">
        <v>136</v>
      </c>
      <c r="D1120" s="220"/>
      <c r="E1120" s="89"/>
      <c r="F1120" s="89"/>
      <c r="G1120" s="89"/>
      <c r="H1120" s="89"/>
      <c r="I1120" s="89"/>
      <c r="J1120" s="89"/>
      <c r="K1120" s="212">
        <f t="shared" si="72"/>
        <v>0</v>
      </c>
      <c r="L1120" s="212">
        <f t="shared" si="72"/>
        <v>0</v>
      </c>
      <c r="M1120" s="212">
        <f t="shared" si="72"/>
        <v>0</v>
      </c>
      <c r="N1120" s="212">
        <f t="shared" si="70"/>
        <v>0</v>
      </c>
    </row>
    <row r="1121" spans="1:14" ht="12.75" x14ac:dyDescent="0.2">
      <c r="A1121" s="152">
        <v>6335000</v>
      </c>
      <c r="B1121" s="51"/>
      <c r="C1121" s="51" t="s">
        <v>962</v>
      </c>
      <c r="D1121" s="220"/>
      <c r="E1121" s="89"/>
      <c r="F1121" s="89"/>
      <c r="G1121" s="89"/>
      <c r="H1121" s="89"/>
      <c r="I1121" s="89"/>
      <c r="J1121" s="89"/>
      <c r="K1121" s="212">
        <f t="shared" si="72"/>
        <v>0</v>
      </c>
      <c r="L1121" s="212">
        <f t="shared" si="72"/>
        <v>0</v>
      </c>
      <c r="M1121" s="212">
        <f t="shared" si="72"/>
        <v>0</v>
      </c>
      <c r="N1121" s="212">
        <f t="shared" si="70"/>
        <v>0</v>
      </c>
    </row>
    <row r="1122" spans="1:14" ht="12.75" x14ac:dyDescent="0.2">
      <c r="A1122" s="152">
        <v>6335000</v>
      </c>
      <c r="B1122" s="51"/>
      <c r="C1122" s="51" t="s">
        <v>115</v>
      </c>
      <c r="D1122" s="220"/>
      <c r="E1122" s="89"/>
      <c r="F1122" s="89"/>
      <c r="G1122" s="89"/>
      <c r="H1122" s="89"/>
      <c r="I1122" s="89"/>
      <c r="J1122" s="89"/>
      <c r="K1122" s="212">
        <f t="shared" si="72"/>
        <v>0</v>
      </c>
      <c r="L1122" s="212">
        <f t="shared" si="72"/>
        <v>0</v>
      </c>
      <c r="M1122" s="212">
        <f t="shared" si="72"/>
        <v>0</v>
      </c>
      <c r="N1122" s="212">
        <f t="shared" si="70"/>
        <v>0</v>
      </c>
    </row>
    <row r="1123" spans="1:14" ht="12.75" x14ac:dyDescent="0.2">
      <c r="A1123" s="152">
        <v>6335000</v>
      </c>
      <c r="B1123" s="51"/>
      <c r="C1123" s="51" t="s">
        <v>997</v>
      </c>
      <c r="D1123" s="220"/>
      <c r="E1123" s="89"/>
      <c r="F1123" s="89"/>
      <c r="G1123" s="89"/>
      <c r="H1123" s="89"/>
      <c r="I1123" s="89"/>
      <c r="J1123" s="89"/>
      <c r="K1123" s="212">
        <f t="shared" si="72"/>
        <v>0</v>
      </c>
      <c r="L1123" s="212">
        <f t="shared" si="72"/>
        <v>0</v>
      </c>
      <c r="M1123" s="212">
        <f t="shared" si="72"/>
        <v>0</v>
      </c>
      <c r="N1123" s="212">
        <f t="shared" si="70"/>
        <v>0</v>
      </c>
    </row>
    <row r="1124" spans="1:14" ht="12.75" x14ac:dyDescent="0.2">
      <c r="A1124" s="152">
        <v>6335000</v>
      </c>
      <c r="B1124" s="51"/>
      <c r="C1124" s="51" t="s">
        <v>999</v>
      </c>
      <c r="D1124" s="220"/>
      <c r="E1124" s="89"/>
      <c r="F1124" s="89"/>
      <c r="G1124" s="89"/>
      <c r="H1124" s="89"/>
      <c r="I1124" s="89"/>
      <c r="J1124" s="89"/>
      <c r="K1124" s="212">
        <f t="shared" si="72"/>
        <v>0</v>
      </c>
      <c r="L1124" s="212">
        <f t="shared" si="72"/>
        <v>0</v>
      </c>
      <c r="M1124" s="212">
        <f t="shared" si="72"/>
        <v>0</v>
      </c>
      <c r="N1124" s="212">
        <f t="shared" si="70"/>
        <v>0</v>
      </c>
    </row>
    <row r="1125" spans="1:14" ht="12.75" x14ac:dyDescent="0.2">
      <c r="A1125" s="152">
        <v>6335000</v>
      </c>
      <c r="B1125" s="51"/>
      <c r="C1125" s="51" t="s">
        <v>1049</v>
      </c>
      <c r="D1125" s="220"/>
      <c r="E1125" s="89"/>
      <c r="F1125" s="89"/>
      <c r="G1125" s="89"/>
      <c r="H1125" s="89"/>
      <c r="I1125" s="89"/>
      <c r="J1125" s="89"/>
      <c r="K1125" s="212">
        <f t="shared" si="72"/>
        <v>0</v>
      </c>
      <c r="L1125" s="212">
        <f t="shared" si="72"/>
        <v>0</v>
      </c>
      <c r="M1125" s="212">
        <f t="shared" si="72"/>
        <v>0</v>
      </c>
      <c r="N1125" s="212">
        <f t="shared" si="70"/>
        <v>0</v>
      </c>
    </row>
    <row r="1126" spans="1:14" ht="12.75" x14ac:dyDescent="0.2">
      <c r="A1126" s="152">
        <v>6335000</v>
      </c>
      <c r="B1126" s="51"/>
      <c r="C1126" s="51" t="s">
        <v>96</v>
      </c>
      <c r="D1126" s="220"/>
      <c r="E1126" s="89"/>
      <c r="F1126" s="89"/>
      <c r="G1126" s="89"/>
      <c r="H1126" s="89"/>
      <c r="I1126" s="89"/>
      <c r="J1126" s="89"/>
      <c r="K1126" s="212">
        <f t="shared" si="72"/>
        <v>0</v>
      </c>
      <c r="L1126" s="212">
        <f t="shared" si="72"/>
        <v>0</v>
      </c>
      <c r="M1126" s="212">
        <f t="shared" si="72"/>
        <v>0</v>
      </c>
      <c r="N1126" s="212">
        <f t="shared" si="70"/>
        <v>0</v>
      </c>
    </row>
    <row r="1127" spans="1:14" ht="12.75" x14ac:dyDescent="0.2">
      <c r="A1127" s="152">
        <v>6335000</v>
      </c>
      <c r="B1127" s="51"/>
      <c r="C1127" s="51" t="s">
        <v>983</v>
      </c>
      <c r="D1127" s="220"/>
      <c r="E1127" s="89"/>
      <c r="F1127" s="89"/>
      <c r="G1127" s="89"/>
      <c r="H1127" s="89"/>
      <c r="I1127" s="89"/>
      <c r="J1127" s="89"/>
      <c r="K1127" s="212">
        <f t="shared" si="72"/>
        <v>0</v>
      </c>
      <c r="L1127" s="212">
        <f t="shared" si="72"/>
        <v>0</v>
      </c>
      <c r="M1127" s="212">
        <f t="shared" si="72"/>
        <v>0</v>
      </c>
      <c r="N1127" s="212">
        <f t="shared" si="70"/>
        <v>0</v>
      </c>
    </row>
    <row r="1128" spans="1:14" ht="12.75" x14ac:dyDescent="0.2">
      <c r="A1128" s="152">
        <v>6335000</v>
      </c>
      <c r="B1128" s="51"/>
      <c r="C1128" s="51" t="s">
        <v>1042</v>
      </c>
      <c r="D1128" s="220"/>
      <c r="E1128" s="89"/>
      <c r="F1128" s="89"/>
      <c r="G1128" s="89"/>
      <c r="H1128" s="89"/>
      <c r="I1128" s="89"/>
      <c r="J1128" s="89"/>
      <c r="K1128" s="212">
        <f t="shared" si="72"/>
        <v>0</v>
      </c>
      <c r="L1128" s="212">
        <f t="shared" si="72"/>
        <v>0</v>
      </c>
      <c r="M1128" s="212">
        <f t="shared" si="72"/>
        <v>0</v>
      </c>
      <c r="N1128" s="212">
        <f t="shared" si="70"/>
        <v>0</v>
      </c>
    </row>
    <row r="1129" spans="1:14" ht="12.75" x14ac:dyDescent="0.2">
      <c r="A1129" s="152">
        <v>6335000</v>
      </c>
      <c r="B1129" s="51"/>
      <c r="C1129" s="51" t="s">
        <v>979</v>
      </c>
      <c r="D1129" s="220"/>
      <c r="E1129" s="89"/>
      <c r="F1129" s="89"/>
      <c r="G1129" s="89"/>
      <c r="H1129" s="89"/>
      <c r="I1129" s="89"/>
      <c r="J1129" s="89"/>
      <c r="K1129" s="212">
        <f t="shared" si="72"/>
        <v>0</v>
      </c>
      <c r="L1129" s="212">
        <f t="shared" si="72"/>
        <v>0</v>
      </c>
      <c r="M1129" s="212">
        <f t="shared" si="72"/>
        <v>0</v>
      </c>
      <c r="N1129" s="212">
        <f t="shared" si="70"/>
        <v>0</v>
      </c>
    </row>
    <row r="1130" spans="1:14" ht="12.75" x14ac:dyDescent="0.2">
      <c r="A1130" s="152">
        <v>6335000</v>
      </c>
      <c r="B1130" s="51"/>
      <c r="C1130" s="51" t="s">
        <v>47</v>
      </c>
      <c r="D1130" s="220"/>
      <c r="E1130" s="89"/>
      <c r="F1130" s="89"/>
      <c r="G1130" s="89"/>
      <c r="H1130" s="89"/>
      <c r="I1130" s="89"/>
      <c r="J1130" s="89"/>
      <c r="K1130" s="212">
        <f t="shared" si="72"/>
        <v>0</v>
      </c>
      <c r="L1130" s="212">
        <f t="shared" si="72"/>
        <v>0</v>
      </c>
      <c r="M1130" s="212">
        <f t="shared" si="72"/>
        <v>0</v>
      </c>
      <c r="N1130" s="212">
        <f t="shared" si="70"/>
        <v>0</v>
      </c>
    </row>
    <row r="1131" spans="1:14" ht="12.75" x14ac:dyDescent="0.2">
      <c r="A1131" s="152">
        <v>6335000</v>
      </c>
      <c r="B1131" s="51"/>
      <c r="C1131" s="51" t="s">
        <v>48</v>
      </c>
      <c r="D1131" s="220"/>
      <c r="E1131" s="89"/>
      <c r="F1131" s="89"/>
      <c r="G1131" s="89"/>
      <c r="H1131" s="89"/>
      <c r="I1131" s="89"/>
      <c r="J1131" s="89"/>
      <c r="K1131" s="212">
        <f t="shared" si="72"/>
        <v>0</v>
      </c>
      <c r="L1131" s="212">
        <f t="shared" si="72"/>
        <v>0</v>
      </c>
      <c r="M1131" s="212">
        <f t="shared" si="72"/>
        <v>0</v>
      </c>
      <c r="N1131" s="212">
        <f t="shared" si="70"/>
        <v>0</v>
      </c>
    </row>
    <row r="1132" spans="1:14" ht="12.75" x14ac:dyDescent="0.2">
      <c r="A1132" s="152">
        <v>6335000</v>
      </c>
      <c r="B1132" s="51"/>
      <c r="C1132" s="51" t="s">
        <v>1051</v>
      </c>
      <c r="D1132" s="220"/>
      <c r="E1132" s="89"/>
      <c r="F1132" s="89"/>
      <c r="G1132" s="89"/>
      <c r="H1132" s="89"/>
      <c r="I1132" s="89"/>
      <c r="J1132" s="89"/>
      <c r="K1132" s="212">
        <f t="shared" si="72"/>
        <v>0</v>
      </c>
      <c r="L1132" s="212">
        <f t="shared" si="72"/>
        <v>0</v>
      </c>
      <c r="M1132" s="212">
        <f t="shared" si="72"/>
        <v>0</v>
      </c>
      <c r="N1132" s="212">
        <f t="shared" si="70"/>
        <v>0</v>
      </c>
    </row>
    <row r="1133" spans="1:14" ht="12.75" x14ac:dyDescent="0.2">
      <c r="A1133" s="152">
        <v>6335000</v>
      </c>
      <c r="B1133" s="51"/>
      <c r="C1133" s="51" t="s">
        <v>970</v>
      </c>
      <c r="D1133" s="220"/>
      <c r="E1133" s="89"/>
      <c r="F1133" s="89"/>
      <c r="G1133" s="89"/>
      <c r="H1133" s="89"/>
      <c r="I1133" s="89"/>
      <c r="J1133" s="89"/>
      <c r="K1133" s="212">
        <f t="shared" ref="K1133:M1152" si="73">SUMIF($C$26:$C$212,$C1133,K$26:K$212)</f>
        <v>0</v>
      </c>
      <c r="L1133" s="212">
        <f t="shared" si="73"/>
        <v>0</v>
      </c>
      <c r="M1133" s="212">
        <f t="shared" si="73"/>
        <v>0</v>
      </c>
      <c r="N1133" s="212">
        <f t="shared" si="70"/>
        <v>0</v>
      </c>
    </row>
    <row r="1134" spans="1:14" ht="12.75" x14ac:dyDescent="0.2">
      <c r="A1134" s="152">
        <v>6335000</v>
      </c>
      <c r="B1134" s="51"/>
      <c r="C1134" s="51" t="s">
        <v>122</v>
      </c>
      <c r="D1134" s="220"/>
      <c r="E1134" s="89"/>
      <c r="F1134" s="89"/>
      <c r="G1134" s="89"/>
      <c r="H1134" s="89"/>
      <c r="I1134" s="89"/>
      <c r="J1134" s="89"/>
      <c r="K1134" s="212">
        <f t="shared" si="73"/>
        <v>0</v>
      </c>
      <c r="L1134" s="212">
        <f t="shared" si="73"/>
        <v>0</v>
      </c>
      <c r="M1134" s="212">
        <f t="shared" si="73"/>
        <v>0</v>
      </c>
      <c r="N1134" s="212">
        <f t="shared" si="70"/>
        <v>0</v>
      </c>
    </row>
    <row r="1135" spans="1:14" ht="12.75" x14ac:dyDescent="0.2">
      <c r="A1135" s="152">
        <v>6335000</v>
      </c>
      <c r="B1135" s="51"/>
      <c r="C1135" s="51" t="s">
        <v>135</v>
      </c>
      <c r="D1135" s="220"/>
      <c r="E1135" s="89"/>
      <c r="F1135" s="89"/>
      <c r="G1135" s="89"/>
      <c r="H1135" s="89"/>
      <c r="I1135" s="89"/>
      <c r="J1135" s="89"/>
      <c r="K1135" s="212">
        <f t="shared" si="73"/>
        <v>0</v>
      </c>
      <c r="L1135" s="212">
        <f t="shared" si="73"/>
        <v>0</v>
      </c>
      <c r="M1135" s="212">
        <f t="shared" si="73"/>
        <v>0</v>
      </c>
      <c r="N1135" s="212">
        <f t="shared" si="70"/>
        <v>0</v>
      </c>
    </row>
    <row r="1136" spans="1:14" ht="12.75" x14ac:dyDescent="0.2">
      <c r="A1136" s="152">
        <v>6335000</v>
      </c>
      <c r="B1136" s="51"/>
      <c r="C1136" s="51" t="s">
        <v>123</v>
      </c>
      <c r="D1136" s="220"/>
      <c r="E1136" s="89"/>
      <c r="F1136" s="89"/>
      <c r="G1136" s="89"/>
      <c r="H1136" s="89"/>
      <c r="I1136" s="89"/>
      <c r="J1136" s="89"/>
      <c r="K1136" s="212">
        <f t="shared" si="73"/>
        <v>0</v>
      </c>
      <c r="L1136" s="212">
        <f t="shared" si="73"/>
        <v>0</v>
      </c>
      <c r="M1136" s="212">
        <f t="shared" si="73"/>
        <v>0</v>
      </c>
      <c r="N1136" s="212">
        <f t="shared" si="70"/>
        <v>0</v>
      </c>
    </row>
    <row r="1137" spans="1:14" ht="12.75" x14ac:dyDescent="0.2">
      <c r="A1137" s="152">
        <v>6335000</v>
      </c>
      <c r="B1137" s="51"/>
      <c r="C1137" s="51" t="s">
        <v>974</v>
      </c>
      <c r="D1137" s="220"/>
      <c r="E1137" s="89"/>
      <c r="F1137" s="89"/>
      <c r="G1137" s="89"/>
      <c r="H1137" s="89"/>
      <c r="I1137" s="89"/>
      <c r="J1137" s="89"/>
      <c r="K1137" s="212">
        <f t="shared" si="73"/>
        <v>0</v>
      </c>
      <c r="L1137" s="212">
        <f t="shared" si="73"/>
        <v>0</v>
      </c>
      <c r="M1137" s="212">
        <f t="shared" si="73"/>
        <v>0</v>
      </c>
      <c r="N1137" s="212">
        <f t="shared" si="70"/>
        <v>0</v>
      </c>
    </row>
    <row r="1138" spans="1:14" ht="12.75" x14ac:dyDescent="0.2">
      <c r="A1138" s="152">
        <v>6335000</v>
      </c>
      <c r="B1138" s="51"/>
      <c r="C1138" s="51" t="s">
        <v>975</v>
      </c>
      <c r="D1138" s="220"/>
      <c r="E1138" s="89"/>
      <c r="F1138" s="89"/>
      <c r="G1138" s="89"/>
      <c r="H1138" s="89"/>
      <c r="I1138" s="89"/>
      <c r="J1138" s="89"/>
      <c r="K1138" s="212">
        <f t="shared" si="73"/>
        <v>0</v>
      </c>
      <c r="L1138" s="212">
        <f t="shared" si="73"/>
        <v>0</v>
      </c>
      <c r="M1138" s="212">
        <f t="shared" si="73"/>
        <v>0</v>
      </c>
      <c r="N1138" s="212">
        <f t="shared" si="70"/>
        <v>0</v>
      </c>
    </row>
    <row r="1139" spans="1:14" ht="12.75" x14ac:dyDescent="0.2">
      <c r="A1139" s="152">
        <v>6335000</v>
      </c>
      <c r="B1139" s="51"/>
      <c r="C1139" s="51" t="s">
        <v>126</v>
      </c>
      <c r="D1139" s="220"/>
      <c r="E1139" s="89"/>
      <c r="F1139" s="89"/>
      <c r="G1139" s="89"/>
      <c r="H1139" s="89"/>
      <c r="I1139" s="89"/>
      <c r="J1139" s="89"/>
      <c r="K1139" s="212">
        <f t="shared" si="73"/>
        <v>0</v>
      </c>
      <c r="L1139" s="212">
        <f t="shared" si="73"/>
        <v>0</v>
      </c>
      <c r="M1139" s="212">
        <f t="shared" si="73"/>
        <v>0</v>
      </c>
      <c r="N1139" s="212">
        <f t="shared" si="70"/>
        <v>0</v>
      </c>
    </row>
    <row r="1140" spans="1:14" ht="12.75" x14ac:dyDescent="0.2">
      <c r="A1140" s="152">
        <v>6335000</v>
      </c>
      <c r="B1140" s="51"/>
      <c r="C1140" s="51" t="s">
        <v>127</v>
      </c>
      <c r="D1140" s="220"/>
      <c r="E1140" s="89"/>
      <c r="F1140" s="89"/>
      <c r="G1140" s="89"/>
      <c r="H1140" s="89"/>
      <c r="I1140" s="89"/>
      <c r="J1140" s="89"/>
      <c r="K1140" s="212">
        <f t="shared" si="73"/>
        <v>0</v>
      </c>
      <c r="L1140" s="212">
        <f t="shared" si="73"/>
        <v>0</v>
      </c>
      <c r="M1140" s="212">
        <f t="shared" si="73"/>
        <v>0</v>
      </c>
      <c r="N1140" s="212">
        <f t="shared" si="70"/>
        <v>0</v>
      </c>
    </row>
    <row r="1141" spans="1:14" ht="12.75" x14ac:dyDescent="0.2">
      <c r="A1141" s="152">
        <v>6335000</v>
      </c>
      <c r="B1141" s="51"/>
      <c r="C1141" s="51" t="s">
        <v>130</v>
      </c>
      <c r="D1141" s="220"/>
      <c r="E1141" s="89"/>
      <c r="F1141" s="89"/>
      <c r="G1141" s="89"/>
      <c r="H1141" s="89"/>
      <c r="I1141" s="89"/>
      <c r="J1141" s="89"/>
      <c r="K1141" s="212">
        <f t="shared" si="73"/>
        <v>0</v>
      </c>
      <c r="L1141" s="212">
        <f t="shared" si="73"/>
        <v>0</v>
      </c>
      <c r="M1141" s="212">
        <f t="shared" si="73"/>
        <v>0</v>
      </c>
      <c r="N1141" s="212">
        <f t="shared" si="70"/>
        <v>0</v>
      </c>
    </row>
    <row r="1142" spans="1:14" ht="12.75" x14ac:dyDescent="0.2">
      <c r="A1142" s="152">
        <v>6335000</v>
      </c>
      <c r="B1142" s="51"/>
      <c r="C1142" s="51" t="s">
        <v>125</v>
      </c>
      <c r="D1142" s="220"/>
      <c r="E1142" s="89"/>
      <c r="F1142" s="89"/>
      <c r="G1142" s="89"/>
      <c r="H1142" s="89"/>
      <c r="I1142" s="89"/>
      <c r="J1142" s="89"/>
      <c r="K1142" s="212">
        <f t="shared" si="73"/>
        <v>0</v>
      </c>
      <c r="L1142" s="212">
        <f t="shared" si="73"/>
        <v>0</v>
      </c>
      <c r="M1142" s="212">
        <f t="shared" si="73"/>
        <v>0</v>
      </c>
      <c r="N1142" s="212">
        <f t="shared" si="70"/>
        <v>0</v>
      </c>
    </row>
    <row r="1143" spans="1:14" ht="12.75" x14ac:dyDescent="0.2">
      <c r="A1143" s="152">
        <v>6335000</v>
      </c>
      <c r="B1143" s="51"/>
      <c r="C1143" s="51" t="s">
        <v>128</v>
      </c>
      <c r="D1143" s="220"/>
      <c r="E1143" s="89"/>
      <c r="F1143" s="89"/>
      <c r="G1143" s="89"/>
      <c r="H1143" s="89"/>
      <c r="I1143" s="89"/>
      <c r="J1143" s="89"/>
      <c r="K1143" s="212">
        <f t="shared" si="73"/>
        <v>0</v>
      </c>
      <c r="L1143" s="212">
        <f t="shared" si="73"/>
        <v>0</v>
      </c>
      <c r="M1143" s="212">
        <f t="shared" si="73"/>
        <v>0</v>
      </c>
      <c r="N1143" s="212">
        <f t="shared" si="70"/>
        <v>0</v>
      </c>
    </row>
    <row r="1144" spans="1:14" ht="12.75" x14ac:dyDescent="0.2">
      <c r="A1144" s="152">
        <v>6335000</v>
      </c>
      <c r="B1144" s="51"/>
      <c r="C1144" s="51" t="s">
        <v>1016</v>
      </c>
      <c r="D1144" s="220"/>
      <c r="E1144" s="89"/>
      <c r="F1144" s="89"/>
      <c r="G1144" s="89"/>
      <c r="H1144" s="89"/>
      <c r="I1144" s="89"/>
      <c r="J1144" s="89"/>
      <c r="K1144" s="212">
        <f t="shared" si="73"/>
        <v>0</v>
      </c>
      <c r="L1144" s="212">
        <f t="shared" si="73"/>
        <v>0</v>
      </c>
      <c r="M1144" s="212">
        <f t="shared" si="73"/>
        <v>0</v>
      </c>
      <c r="N1144" s="212">
        <f t="shared" si="70"/>
        <v>0</v>
      </c>
    </row>
    <row r="1145" spans="1:14" ht="12.75" x14ac:dyDescent="0.2">
      <c r="A1145" s="152">
        <v>6335000</v>
      </c>
      <c r="B1145" s="51"/>
      <c r="C1145" s="51" t="s">
        <v>1015</v>
      </c>
      <c r="D1145" s="220"/>
      <c r="E1145" s="89"/>
      <c r="F1145" s="89"/>
      <c r="G1145" s="89"/>
      <c r="H1145" s="89"/>
      <c r="I1145" s="89"/>
      <c r="J1145" s="89"/>
      <c r="K1145" s="212">
        <f t="shared" si="73"/>
        <v>0</v>
      </c>
      <c r="L1145" s="212">
        <f t="shared" si="73"/>
        <v>0</v>
      </c>
      <c r="M1145" s="212">
        <f t="shared" si="73"/>
        <v>0</v>
      </c>
      <c r="N1145" s="212">
        <f t="shared" si="70"/>
        <v>0</v>
      </c>
    </row>
    <row r="1146" spans="1:14" ht="12.75" x14ac:dyDescent="0.2">
      <c r="A1146" s="152">
        <v>6335000</v>
      </c>
      <c r="B1146" s="51"/>
      <c r="C1146" s="51" t="s">
        <v>930</v>
      </c>
      <c r="D1146" s="220"/>
      <c r="E1146" s="89"/>
      <c r="F1146" s="89"/>
      <c r="G1146" s="89"/>
      <c r="H1146" s="89"/>
      <c r="I1146" s="89"/>
      <c r="J1146" s="89"/>
      <c r="K1146" s="212">
        <f t="shared" si="73"/>
        <v>0</v>
      </c>
      <c r="L1146" s="212">
        <f t="shared" si="73"/>
        <v>0</v>
      </c>
      <c r="M1146" s="212">
        <f t="shared" si="73"/>
        <v>0</v>
      </c>
      <c r="N1146" s="212">
        <f t="shared" si="70"/>
        <v>0</v>
      </c>
    </row>
    <row r="1147" spans="1:14" ht="12.75" x14ac:dyDescent="0.2">
      <c r="A1147" s="152">
        <v>6335000</v>
      </c>
      <c r="B1147" s="51"/>
      <c r="C1147" s="51" t="s">
        <v>931</v>
      </c>
      <c r="D1147" s="220"/>
      <c r="E1147" s="89"/>
      <c r="F1147" s="89"/>
      <c r="G1147" s="89"/>
      <c r="H1147" s="89"/>
      <c r="I1147" s="89"/>
      <c r="J1147" s="89"/>
      <c r="K1147" s="212">
        <f t="shared" si="73"/>
        <v>0</v>
      </c>
      <c r="L1147" s="212">
        <f t="shared" si="73"/>
        <v>0</v>
      </c>
      <c r="M1147" s="212">
        <f t="shared" si="73"/>
        <v>0</v>
      </c>
      <c r="N1147" s="212">
        <f t="shared" si="70"/>
        <v>0</v>
      </c>
    </row>
    <row r="1148" spans="1:14" ht="12.75" x14ac:dyDescent="0.2">
      <c r="A1148" s="152">
        <v>6335000</v>
      </c>
      <c r="B1148" s="51"/>
      <c r="C1148" s="51" t="s">
        <v>926</v>
      </c>
      <c r="D1148" s="220"/>
      <c r="E1148" s="89"/>
      <c r="F1148" s="89"/>
      <c r="G1148" s="89"/>
      <c r="H1148" s="89"/>
      <c r="I1148" s="89"/>
      <c r="J1148" s="89"/>
      <c r="K1148" s="212">
        <f t="shared" si="73"/>
        <v>0</v>
      </c>
      <c r="L1148" s="212">
        <f t="shared" si="73"/>
        <v>0</v>
      </c>
      <c r="M1148" s="212">
        <f t="shared" si="73"/>
        <v>0</v>
      </c>
      <c r="N1148" s="212">
        <f t="shared" si="70"/>
        <v>0</v>
      </c>
    </row>
    <row r="1149" spans="1:14" ht="12.75" x14ac:dyDescent="0.2">
      <c r="A1149" s="152">
        <v>6335000</v>
      </c>
      <c r="B1149" s="51"/>
      <c r="C1149" s="51" t="s">
        <v>110</v>
      </c>
      <c r="D1149" s="220"/>
      <c r="E1149" s="89"/>
      <c r="F1149" s="89"/>
      <c r="G1149" s="89"/>
      <c r="H1149" s="89"/>
      <c r="I1149" s="89"/>
      <c r="J1149" s="89"/>
      <c r="K1149" s="212">
        <f t="shared" si="73"/>
        <v>0</v>
      </c>
      <c r="L1149" s="212">
        <f t="shared" si="73"/>
        <v>0</v>
      </c>
      <c r="M1149" s="212">
        <f t="shared" si="73"/>
        <v>0</v>
      </c>
      <c r="N1149" s="212">
        <f t="shared" si="70"/>
        <v>0</v>
      </c>
    </row>
    <row r="1150" spans="1:14" ht="12.75" x14ac:dyDescent="0.2">
      <c r="A1150" s="152">
        <v>6335000</v>
      </c>
      <c r="B1150" s="51"/>
      <c r="C1150" s="51" t="s">
        <v>133</v>
      </c>
      <c r="D1150" s="220"/>
      <c r="E1150" s="89"/>
      <c r="F1150" s="89"/>
      <c r="G1150" s="89"/>
      <c r="H1150" s="89"/>
      <c r="I1150" s="89"/>
      <c r="J1150" s="89"/>
      <c r="K1150" s="212">
        <f t="shared" si="73"/>
        <v>0</v>
      </c>
      <c r="L1150" s="212">
        <f t="shared" si="73"/>
        <v>0</v>
      </c>
      <c r="M1150" s="212">
        <f t="shared" si="73"/>
        <v>0</v>
      </c>
      <c r="N1150" s="212">
        <f t="shared" si="70"/>
        <v>0</v>
      </c>
    </row>
    <row r="1151" spans="1:14" ht="12.75" x14ac:dyDescent="0.2">
      <c r="A1151" s="152">
        <v>6335000</v>
      </c>
      <c r="B1151" s="51"/>
      <c r="C1151" s="51" t="s">
        <v>134</v>
      </c>
      <c r="D1151" s="220"/>
      <c r="E1151" s="89"/>
      <c r="F1151" s="89"/>
      <c r="G1151" s="89"/>
      <c r="H1151" s="89"/>
      <c r="I1151" s="89"/>
      <c r="J1151" s="89"/>
      <c r="K1151" s="212">
        <f t="shared" si="73"/>
        <v>0</v>
      </c>
      <c r="L1151" s="212">
        <f t="shared" si="73"/>
        <v>0</v>
      </c>
      <c r="M1151" s="212">
        <f t="shared" si="73"/>
        <v>0</v>
      </c>
      <c r="N1151" s="212">
        <f t="shared" si="70"/>
        <v>0</v>
      </c>
    </row>
    <row r="1152" spans="1:14" ht="12.75" x14ac:dyDescent="0.2">
      <c r="A1152" s="152">
        <v>6335000</v>
      </c>
      <c r="B1152" s="51"/>
      <c r="C1152" s="51" t="s">
        <v>138</v>
      </c>
      <c r="D1152" s="220"/>
      <c r="E1152" s="89"/>
      <c r="F1152" s="89"/>
      <c r="G1152" s="89"/>
      <c r="H1152" s="89"/>
      <c r="I1152" s="89"/>
      <c r="J1152" s="89"/>
      <c r="K1152" s="212">
        <f t="shared" si="73"/>
        <v>0</v>
      </c>
      <c r="L1152" s="212">
        <f t="shared" si="73"/>
        <v>0</v>
      </c>
      <c r="M1152" s="212">
        <f t="shared" si="73"/>
        <v>0</v>
      </c>
      <c r="N1152" s="212">
        <f t="shared" si="70"/>
        <v>0</v>
      </c>
    </row>
    <row r="1153" spans="1:14" ht="12.75" x14ac:dyDescent="0.2">
      <c r="A1153" s="152">
        <v>6335000</v>
      </c>
      <c r="B1153" s="51"/>
      <c r="C1153" s="51" t="s">
        <v>106</v>
      </c>
      <c r="D1153" s="220"/>
      <c r="E1153" s="89"/>
      <c r="F1153" s="89"/>
      <c r="G1153" s="89"/>
      <c r="H1153" s="89"/>
      <c r="I1153" s="89"/>
      <c r="J1153" s="89"/>
      <c r="K1153" s="212">
        <f t="shared" ref="K1153:M1172" si="74">SUMIF($C$26:$C$212,$C1153,K$26:K$212)</f>
        <v>0</v>
      </c>
      <c r="L1153" s="212">
        <f t="shared" si="74"/>
        <v>0</v>
      </c>
      <c r="M1153" s="212">
        <f t="shared" si="74"/>
        <v>0</v>
      </c>
      <c r="N1153" s="212">
        <f t="shared" ref="N1153:N1208" si="75">SUMIFS(N$26:N$212,$A$26:$A$212,$A1153,$C$26:$C$212,$C1153)</f>
        <v>0</v>
      </c>
    </row>
    <row r="1154" spans="1:14" ht="12.75" x14ac:dyDescent="0.2">
      <c r="A1154" s="152">
        <v>6335000</v>
      </c>
      <c r="B1154" s="51"/>
      <c r="C1154" s="51" t="s">
        <v>1024</v>
      </c>
      <c r="D1154" s="220"/>
      <c r="E1154" s="89"/>
      <c r="F1154" s="89"/>
      <c r="G1154" s="89"/>
      <c r="H1154" s="89"/>
      <c r="I1154" s="89"/>
      <c r="J1154" s="89"/>
      <c r="K1154" s="212">
        <f t="shared" si="74"/>
        <v>0</v>
      </c>
      <c r="L1154" s="212">
        <f t="shared" si="74"/>
        <v>0</v>
      </c>
      <c r="M1154" s="212">
        <f t="shared" si="74"/>
        <v>0</v>
      </c>
      <c r="N1154" s="212">
        <f t="shared" si="75"/>
        <v>0</v>
      </c>
    </row>
    <row r="1155" spans="1:14" ht="12.75" x14ac:dyDescent="0.2">
      <c r="A1155" s="152">
        <v>6335000</v>
      </c>
      <c r="B1155" s="51"/>
      <c r="C1155" s="51" t="s">
        <v>1025</v>
      </c>
      <c r="D1155" s="220"/>
      <c r="E1155" s="89"/>
      <c r="F1155" s="89"/>
      <c r="G1155" s="89"/>
      <c r="H1155" s="89"/>
      <c r="I1155" s="89"/>
      <c r="J1155" s="89"/>
      <c r="K1155" s="212">
        <f t="shared" si="74"/>
        <v>0</v>
      </c>
      <c r="L1155" s="212">
        <f t="shared" si="74"/>
        <v>0</v>
      </c>
      <c r="M1155" s="212">
        <f t="shared" si="74"/>
        <v>0</v>
      </c>
      <c r="N1155" s="212">
        <f t="shared" si="75"/>
        <v>0</v>
      </c>
    </row>
    <row r="1156" spans="1:14" ht="12.75" x14ac:dyDescent="0.2">
      <c r="A1156" s="152">
        <v>6335000</v>
      </c>
      <c r="B1156" s="51"/>
      <c r="C1156" s="51" t="s">
        <v>960</v>
      </c>
      <c r="D1156" s="220"/>
      <c r="E1156" s="89"/>
      <c r="F1156" s="89"/>
      <c r="G1156" s="89"/>
      <c r="H1156" s="89"/>
      <c r="I1156" s="89"/>
      <c r="J1156" s="89"/>
      <c r="K1156" s="212">
        <f t="shared" si="74"/>
        <v>0</v>
      </c>
      <c r="L1156" s="212">
        <f t="shared" si="74"/>
        <v>0</v>
      </c>
      <c r="M1156" s="212">
        <f t="shared" si="74"/>
        <v>0</v>
      </c>
      <c r="N1156" s="212">
        <f t="shared" si="75"/>
        <v>0</v>
      </c>
    </row>
    <row r="1157" spans="1:14" ht="12.75" x14ac:dyDescent="0.2">
      <c r="A1157" s="152">
        <v>6335000</v>
      </c>
      <c r="B1157" s="51"/>
      <c r="C1157" s="51" t="s">
        <v>961</v>
      </c>
      <c r="D1157" s="220"/>
      <c r="E1157" s="89"/>
      <c r="F1157" s="89"/>
      <c r="G1157" s="89"/>
      <c r="H1157" s="89"/>
      <c r="I1157" s="89"/>
      <c r="J1157" s="89"/>
      <c r="K1157" s="212">
        <f t="shared" si="74"/>
        <v>0</v>
      </c>
      <c r="L1157" s="212">
        <f t="shared" si="74"/>
        <v>0</v>
      </c>
      <c r="M1157" s="212">
        <f t="shared" si="74"/>
        <v>0</v>
      </c>
      <c r="N1157" s="212">
        <f t="shared" si="75"/>
        <v>0</v>
      </c>
    </row>
    <row r="1158" spans="1:14" ht="12.75" x14ac:dyDescent="0.2">
      <c r="A1158" s="152">
        <v>6335000</v>
      </c>
      <c r="B1158" s="51"/>
      <c r="C1158" s="51" t="s">
        <v>948</v>
      </c>
      <c r="D1158" s="220"/>
      <c r="E1158" s="89"/>
      <c r="F1158" s="89"/>
      <c r="G1158" s="89"/>
      <c r="H1158" s="89"/>
      <c r="I1158" s="89"/>
      <c r="J1158" s="89"/>
      <c r="K1158" s="212">
        <f t="shared" si="74"/>
        <v>0</v>
      </c>
      <c r="L1158" s="212">
        <f t="shared" si="74"/>
        <v>0</v>
      </c>
      <c r="M1158" s="212">
        <f t="shared" si="74"/>
        <v>0</v>
      </c>
      <c r="N1158" s="212">
        <f t="shared" si="75"/>
        <v>0</v>
      </c>
    </row>
    <row r="1159" spans="1:14" ht="12.75" x14ac:dyDescent="0.2">
      <c r="A1159" s="152">
        <v>6335000</v>
      </c>
      <c r="B1159" s="51"/>
      <c r="C1159" s="51" t="s">
        <v>949</v>
      </c>
      <c r="D1159" s="220"/>
      <c r="E1159" s="89"/>
      <c r="F1159" s="89"/>
      <c r="G1159" s="89"/>
      <c r="H1159" s="89"/>
      <c r="I1159" s="89"/>
      <c r="J1159" s="89"/>
      <c r="K1159" s="212">
        <f t="shared" si="74"/>
        <v>0</v>
      </c>
      <c r="L1159" s="212">
        <f t="shared" si="74"/>
        <v>0</v>
      </c>
      <c r="M1159" s="212">
        <f t="shared" si="74"/>
        <v>0</v>
      </c>
      <c r="N1159" s="212">
        <f t="shared" si="75"/>
        <v>0</v>
      </c>
    </row>
    <row r="1160" spans="1:14" ht="12.75" x14ac:dyDescent="0.2">
      <c r="A1160" s="152">
        <v>6335000</v>
      </c>
      <c r="B1160" s="51"/>
      <c r="C1160" s="51" t="s">
        <v>132</v>
      </c>
      <c r="D1160" s="220"/>
      <c r="E1160" s="89"/>
      <c r="F1160" s="89"/>
      <c r="G1160" s="89"/>
      <c r="H1160" s="89"/>
      <c r="I1160" s="89"/>
      <c r="J1160" s="89"/>
      <c r="K1160" s="212">
        <f t="shared" si="74"/>
        <v>0</v>
      </c>
      <c r="L1160" s="212">
        <f t="shared" si="74"/>
        <v>0</v>
      </c>
      <c r="M1160" s="212">
        <f t="shared" si="74"/>
        <v>0</v>
      </c>
      <c r="N1160" s="212">
        <f t="shared" si="75"/>
        <v>0</v>
      </c>
    </row>
    <row r="1161" spans="1:14" ht="12.75" x14ac:dyDescent="0.2">
      <c r="A1161" s="152">
        <v>6335000</v>
      </c>
      <c r="B1161" s="51"/>
      <c r="C1161" s="51" t="s">
        <v>121</v>
      </c>
      <c r="D1161" s="220"/>
      <c r="E1161" s="89"/>
      <c r="F1161" s="89"/>
      <c r="G1161" s="89"/>
      <c r="H1161" s="89"/>
      <c r="I1161" s="89"/>
      <c r="J1161" s="89"/>
      <c r="K1161" s="212">
        <f t="shared" si="74"/>
        <v>0</v>
      </c>
      <c r="L1161" s="212">
        <f t="shared" si="74"/>
        <v>0</v>
      </c>
      <c r="M1161" s="212">
        <f t="shared" si="74"/>
        <v>0</v>
      </c>
      <c r="N1161" s="212">
        <f t="shared" si="75"/>
        <v>0</v>
      </c>
    </row>
    <row r="1162" spans="1:14" ht="12.75" x14ac:dyDescent="0.2">
      <c r="A1162" s="152">
        <v>6335000</v>
      </c>
      <c r="B1162" s="51"/>
      <c r="C1162" s="51" t="s">
        <v>131</v>
      </c>
      <c r="D1162" s="220"/>
      <c r="E1162" s="89"/>
      <c r="F1162" s="89"/>
      <c r="G1162" s="89"/>
      <c r="H1162" s="89"/>
      <c r="I1162" s="89"/>
      <c r="J1162" s="89"/>
      <c r="K1162" s="212">
        <f t="shared" si="74"/>
        <v>0</v>
      </c>
      <c r="L1162" s="212">
        <f t="shared" si="74"/>
        <v>0</v>
      </c>
      <c r="M1162" s="212">
        <f t="shared" si="74"/>
        <v>0</v>
      </c>
      <c r="N1162" s="212">
        <f t="shared" si="75"/>
        <v>0</v>
      </c>
    </row>
    <row r="1163" spans="1:14" ht="12.75" x14ac:dyDescent="0.2">
      <c r="A1163" s="152">
        <v>6335000</v>
      </c>
      <c r="B1163" s="51"/>
      <c r="C1163" s="51" t="s">
        <v>967</v>
      </c>
      <c r="D1163" s="220"/>
      <c r="E1163" s="89"/>
      <c r="F1163" s="89"/>
      <c r="G1163" s="89"/>
      <c r="H1163" s="89"/>
      <c r="I1163" s="89"/>
      <c r="J1163" s="89"/>
      <c r="K1163" s="212">
        <f t="shared" si="74"/>
        <v>0</v>
      </c>
      <c r="L1163" s="212">
        <f t="shared" si="74"/>
        <v>0</v>
      </c>
      <c r="M1163" s="212">
        <f t="shared" si="74"/>
        <v>0</v>
      </c>
      <c r="N1163" s="212">
        <f t="shared" si="75"/>
        <v>0</v>
      </c>
    </row>
    <row r="1164" spans="1:14" ht="12.75" x14ac:dyDescent="0.2">
      <c r="A1164" s="152">
        <v>6335000</v>
      </c>
      <c r="B1164" s="51"/>
      <c r="C1164" s="51" t="s">
        <v>118</v>
      </c>
      <c r="D1164" s="220"/>
      <c r="E1164" s="89"/>
      <c r="F1164" s="89"/>
      <c r="G1164" s="89"/>
      <c r="H1164" s="89"/>
      <c r="I1164" s="89"/>
      <c r="J1164" s="89"/>
      <c r="K1164" s="212">
        <f t="shared" si="74"/>
        <v>0</v>
      </c>
      <c r="L1164" s="212">
        <f t="shared" si="74"/>
        <v>0</v>
      </c>
      <c r="M1164" s="212">
        <f t="shared" si="74"/>
        <v>0</v>
      </c>
      <c r="N1164" s="212">
        <f t="shared" si="75"/>
        <v>0</v>
      </c>
    </row>
    <row r="1165" spans="1:14" ht="12.75" x14ac:dyDescent="0.2">
      <c r="A1165" s="152">
        <v>6335000</v>
      </c>
      <c r="B1165" s="51"/>
      <c r="C1165" s="51" t="s">
        <v>971</v>
      </c>
      <c r="D1165" s="220"/>
      <c r="E1165" s="89"/>
      <c r="F1165" s="89"/>
      <c r="G1165" s="89"/>
      <c r="H1165" s="89"/>
      <c r="I1165" s="89"/>
      <c r="J1165" s="89"/>
      <c r="K1165" s="212">
        <f t="shared" si="74"/>
        <v>0</v>
      </c>
      <c r="L1165" s="212">
        <f t="shared" si="74"/>
        <v>0</v>
      </c>
      <c r="M1165" s="212">
        <f t="shared" si="74"/>
        <v>0</v>
      </c>
      <c r="N1165" s="212">
        <f t="shared" si="75"/>
        <v>0</v>
      </c>
    </row>
    <row r="1166" spans="1:14" ht="12.75" x14ac:dyDescent="0.2">
      <c r="A1166" s="152">
        <v>6335000</v>
      </c>
      <c r="B1166" s="51"/>
      <c r="C1166" s="51" t="s">
        <v>957</v>
      </c>
      <c r="D1166" s="220"/>
      <c r="E1166" s="89"/>
      <c r="F1166" s="89"/>
      <c r="G1166" s="89"/>
      <c r="H1166" s="89"/>
      <c r="I1166" s="89"/>
      <c r="J1166" s="89"/>
      <c r="K1166" s="212">
        <f t="shared" si="74"/>
        <v>0</v>
      </c>
      <c r="L1166" s="212">
        <f t="shared" si="74"/>
        <v>0</v>
      </c>
      <c r="M1166" s="212">
        <f t="shared" si="74"/>
        <v>0</v>
      </c>
      <c r="N1166" s="212">
        <f t="shared" si="75"/>
        <v>0</v>
      </c>
    </row>
    <row r="1167" spans="1:14" ht="12.75" x14ac:dyDescent="0.2">
      <c r="A1167" s="152">
        <v>6335000</v>
      </c>
      <c r="B1167" s="51"/>
      <c r="C1167" s="51" t="s">
        <v>97</v>
      </c>
      <c r="D1167" s="220"/>
      <c r="E1167" s="89"/>
      <c r="F1167" s="89"/>
      <c r="G1167" s="89"/>
      <c r="H1167" s="89"/>
      <c r="I1167" s="89"/>
      <c r="J1167" s="89"/>
      <c r="K1167" s="212">
        <f t="shared" si="74"/>
        <v>0</v>
      </c>
      <c r="L1167" s="212">
        <f t="shared" si="74"/>
        <v>0</v>
      </c>
      <c r="M1167" s="212">
        <f t="shared" si="74"/>
        <v>0</v>
      </c>
      <c r="N1167" s="212">
        <f t="shared" si="75"/>
        <v>0</v>
      </c>
    </row>
    <row r="1168" spans="1:14" ht="12.75" x14ac:dyDescent="0.2">
      <c r="A1168" s="152">
        <v>6335000</v>
      </c>
      <c r="B1168" s="51"/>
      <c r="C1168" s="51" t="s">
        <v>49</v>
      </c>
      <c r="D1168" s="220"/>
      <c r="E1168" s="89"/>
      <c r="F1168" s="89"/>
      <c r="G1168" s="89"/>
      <c r="H1168" s="89"/>
      <c r="I1168" s="89"/>
      <c r="J1168" s="89"/>
      <c r="K1168" s="212">
        <f t="shared" si="74"/>
        <v>0</v>
      </c>
      <c r="L1168" s="212">
        <f t="shared" si="74"/>
        <v>0</v>
      </c>
      <c r="M1168" s="212">
        <f t="shared" si="74"/>
        <v>0</v>
      </c>
      <c r="N1168" s="212">
        <f t="shared" si="75"/>
        <v>0</v>
      </c>
    </row>
    <row r="1169" spans="1:14" ht="12.75" x14ac:dyDescent="0.2">
      <c r="A1169" s="152">
        <v>6335000</v>
      </c>
      <c r="B1169" s="51"/>
      <c r="C1169" s="51" t="s">
        <v>1017</v>
      </c>
      <c r="D1169" s="220"/>
      <c r="E1169" s="89"/>
      <c r="F1169" s="89"/>
      <c r="G1169" s="89"/>
      <c r="H1169" s="89"/>
      <c r="I1169" s="89"/>
      <c r="J1169" s="89"/>
      <c r="K1169" s="212">
        <f t="shared" si="74"/>
        <v>0</v>
      </c>
      <c r="L1169" s="212">
        <f t="shared" si="74"/>
        <v>0</v>
      </c>
      <c r="M1169" s="212">
        <f t="shared" si="74"/>
        <v>0</v>
      </c>
      <c r="N1169" s="212">
        <f t="shared" si="75"/>
        <v>0</v>
      </c>
    </row>
    <row r="1170" spans="1:14" ht="12.75" x14ac:dyDescent="0.2">
      <c r="A1170" s="152">
        <v>6335000</v>
      </c>
      <c r="B1170" s="51"/>
      <c r="C1170" s="51" t="s">
        <v>1018</v>
      </c>
      <c r="D1170" s="220"/>
      <c r="E1170" s="89"/>
      <c r="F1170" s="89"/>
      <c r="G1170" s="89"/>
      <c r="H1170" s="89"/>
      <c r="I1170" s="89"/>
      <c r="J1170" s="89"/>
      <c r="K1170" s="212">
        <f t="shared" si="74"/>
        <v>0</v>
      </c>
      <c r="L1170" s="212">
        <f t="shared" si="74"/>
        <v>0</v>
      </c>
      <c r="M1170" s="212">
        <f t="shared" si="74"/>
        <v>0</v>
      </c>
      <c r="N1170" s="212">
        <f t="shared" si="75"/>
        <v>0</v>
      </c>
    </row>
    <row r="1171" spans="1:14" ht="12.75" x14ac:dyDescent="0.2">
      <c r="A1171" s="152">
        <v>6335000</v>
      </c>
      <c r="B1171" s="51"/>
      <c r="C1171" s="51" t="s">
        <v>928</v>
      </c>
      <c r="D1171" s="220"/>
      <c r="E1171" s="89"/>
      <c r="F1171" s="89"/>
      <c r="G1171" s="89"/>
      <c r="H1171" s="89"/>
      <c r="I1171" s="89"/>
      <c r="J1171" s="89"/>
      <c r="K1171" s="212">
        <f t="shared" si="74"/>
        <v>0</v>
      </c>
      <c r="L1171" s="212">
        <f t="shared" si="74"/>
        <v>0</v>
      </c>
      <c r="M1171" s="212">
        <f t="shared" si="74"/>
        <v>0</v>
      </c>
      <c r="N1171" s="212">
        <f t="shared" si="75"/>
        <v>0</v>
      </c>
    </row>
    <row r="1172" spans="1:14" ht="12.75" x14ac:dyDescent="0.2">
      <c r="A1172" s="152">
        <v>6335000</v>
      </c>
      <c r="B1172" s="51"/>
      <c r="C1172" s="51" t="s">
        <v>946</v>
      </c>
      <c r="D1172" s="220"/>
      <c r="E1172" s="89"/>
      <c r="F1172" s="89"/>
      <c r="G1172" s="89"/>
      <c r="H1172" s="89"/>
      <c r="I1172" s="89"/>
      <c r="J1172" s="89"/>
      <c r="K1172" s="212">
        <f t="shared" si="74"/>
        <v>0</v>
      </c>
      <c r="L1172" s="212">
        <f t="shared" si="74"/>
        <v>0</v>
      </c>
      <c r="M1172" s="212">
        <f t="shared" si="74"/>
        <v>0</v>
      </c>
      <c r="N1172" s="212">
        <f t="shared" si="75"/>
        <v>0</v>
      </c>
    </row>
    <row r="1173" spans="1:14" ht="12.75" x14ac:dyDescent="0.2">
      <c r="A1173" s="152">
        <v>6335000</v>
      </c>
      <c r="B1173" s="51"/>
      <c r="C1173" s="51" t="s">
        <v>947</v>
      </c>
      <c r="D1173" s="220"/>
      <c r="E1173" s="89"/>
      <c r="F1173" s="89"/>
      <c r="G1173" s="89"/>
      <c r="H1173" s="89"/>
      <c r="I1173" s="89"/>
      <c r="J1173" s="89"/>
      <c r="K1173" s="212">
        <f t="shared" ref="K1173:M1192" si="76">SUMIF($C$26:$C$212,$C1173,K$26:K$212)</f>
        <v>0</v>
      </c>
      <c r="L1173" s="212">
        <f t="shared" si="76"/>
        <v>0</v>
      </c>
      <c r="M1173" s="212">
        <f t="shared" si="76"/>
        <v>0</v>
      </c>
      <c r="N1173" s="212">
        <f t="shared" si="75"/>
        <v>0</v>
      </c>
    </row>
    <row r="1174" spans="1:14" ht="12.75" x14ac:dyDescent="0.2">
      <c r="A1174" s="152">
        <v>6335000</v>
      </c>
      <c r="B1174" s="51"/>
      <c r="C1174" s="51" t="s">
        <v>1020</v>
      </c>
      <c r="D1174" s="220"/>
      <c r="E1174" s="89"/>
      <c r="F1174" s="89"/>
      <c r="G1174" s="89"/>
      <c r="H1174" s="89"/>
      <c r="I1174" s="89"/>
      <c r="J1174" s="89"/>
      <c r="K1174" s="212">
        <f t="shared" si="76"/>
        <v>0</v>
      </c>
      <c r="L1174" s="212">
        <f t="shared" si="76"/>
        <v>0</v>
      </c>
      <c r="M1174" s="212">
        <f t="shared" si="76"/>
        <v>0</v>
      </c>
      <c r="N1174" s="212">
        <f t="shared" si="75"/>
        <v>0</v>
      </c>
    </row>
    <row r="1175" spans="1:14" ht="12.75" x14ac:dyDescent="0.2">
      <c r="A1175" s="152">
        <v>6335000</v>
      </c>
      <c r="B1175" s="51"/>
      <c r="C1175" s="51" t="s">
        <v>1021</v>
      </c>
      <c r="D1175" s="220"/>
      <c r="E1175" s="89"/>
      <c r="F1175" s="89"/>
      <c r="G1175" s="89"/>
      <c r="H1175" s="89"/>
      <c r="I1175" s="89"/>
      <c r="J1175" s="89"/>
      <c r="K1175" s="212">
        <f t="shared" si="76"/>
        <v>0</v>
      </c>
      <c r="L1175" s="212">
        <f t="shared" si="76"/>
        <v>0</v>
      </c>
      <c r="M1175" s="212">
        <f t="shared" si="76"/>
        <v>0</v>
      </c>
      <c r="N1175" s="212">
        <f t="shared" si="75"/>
        <v>0</v>
      </c>
    </row>
    <row r="1176" spans="1:14" ht="12.75" x14ac:dyDescent="0.2">
      <c r="A1176" s="152">
        <v>6335000</v>
      </c>
      <c r="B1176" s="51"/>
      <c r="C1176" s="51" t="s">
        <v>489</v>
      </c>
      <c r="D1176" s="220"/>
      <c r="E1176" s="89"/>
      <c r="F1176" s="89"/>
      <c r="G1176" s="89"/>
      <c r="H1176" s="89"/>
      <c r="I1176" s="89"/>
      <c r="J1176" s="89"/>
      <c r="K1176" s="212">
        <f t="shared" si="76"/>
        <v>0</v>
      </c>
      <c r="L1176" s="212">
        <f t="shared" si="76"/>
        <v>0</v>
      </c>
      <c r="M1176" s="212">
        <f t="shared" si="76"/>
        <v>0</v>
      </c>
      <c r="N1176" s="212">
        <f t="shared" si="75"/>
        <v>0</v>
      </c>
    </row>
    <row r="1177" spans="1:14" ht="12.75" x14ac:dyDescent="0.2">
      <c r="A1177" s="152">
        <v>6335000</v>
      </c>
      <c r="B1177" s="51"/>
      <c r="C1177" s="51" t="s">
        <v>968</v>
      </c>
      <c r="D1177" s="220"/>
      <c r="E1177" s="89"/>
      <c r="F1177" s="89"/>
      <c r="G1177" s="89"/>
      <c r="H1177" s="89"/>
      <c r="I1177" s="89"/>
      <c r="J1177" s="89"/>
      <c r="K1177" s="212">
        <f t="shared" si="76"/>
        <v>0</v>
      </c>
      <c r="L1177" s="212">
        <f t="shared" si="76"/>
        <v>0</v>
      </c>
      <c r="M1177" s="212">
        <f t="shared" si="76"/>
        <v>0</v>
      </c>
      <c r="N1177" s="212">
        <f t="shared" si="75"/>
        <v>0</v>
      </c>
    </row>
    <row r="1178" spans="1:14" ht="12.75" x14ac:dyDescent="0.2">
      <c r="A1178" s="152">
        <v>6335000</v>
      </c>
      <c r="B1178" s="51"/>
      <c r="C1178" s="51" t="s">
        <v>98</v>
      </c>
      <c r="D1178" s="220"/>
      <c r="E1178" s="89"/>
      <c r="F1178" s="89"/>
      <c r="G1178" s="89"/>
      <c r="H1178" s="89"/>
      <c r="I1178" s="89"/>
      <c r="J1178" s="89"/>
      <c r="K1178" s="212">
        <f t="shared" si="76"/>
        <v>0</v>
      </c>
      <c r="L1178" s="212">
        <f t="shared" si="76"/>
        <v>0</v>
      </c>
      <c r="M1178" s="212">
        <f t="shared" si="76"/>
        <v>0</v>
      </c>
      <c r="N1178" s="212">
        <f t="shared" si="75"/>
        <v>0</v>
      </c>
    </row>
    <row r="1179" spans="1:14" ht="12.75" x14ac:dyDescent="0.2">
      <c r="A1179" s="152">
        <v>6335000</v>
      </c>
      <c r="B1179" s="51"/>
      <c r="C1179" s="51" t="s">
        <v>1048</v>
      </c>
      <c r="D1179" s="220"/>
      <c r="E1179" s="89"/>
      <c r="F1179" s="89"/>
      <c r="G1179" s="89"/>
      <c r="H1179" s="89"/>
      <c r="I1179" s="89"/>
      <c r="J1179" s="89"/>
      <c r="K1179" s="212">
        <f t="shared" si="76"/>
        <v>0</v>
      </c>
      <c r="L1179" s="212">
        <f t="shared" si="76"/>
        <v>0</v>
      </c>
      <c r="M1179" s="212">
        <f t="shared" si="76"/>
        <v>0</v>
      </c>
      <c r="N1179" s="212">
        <f t="shared" si="75"/>
        <v>0</v>
      </c>
    </row>
    <row r="1180" spans="1:14" ht="12.75" x14ac:dyDescent="0.2">
      <c r="A1180" s="152">
        <v>6335000</v>
      </c>
      <c r="B1180" s="51"/>
      <c r="C1180" s="51" t="s">
        <v>1030</v>
      </c>
      <c r="D1180" s="220"/>
      <c r="E1180" s="89"/>
      <c r="F1180" s="89"/>
      <c r="G1180" s="89"/>
      <c r="H1180" s="89"/>
      <c r="I1180" s="89"/>
      <c r="J1180" s="89"/>
      <c r="K1180" s="212">
        <f t="shared" si="76"/>
        <v>0</v>
      </c>
      <c r="L1180" s="212">
        <f t="shared" si="76"/>
        <v>0</v>
      </c>
      <c r="M1180" s="212">
        <f t="shared" si="76"/>
        <v>0</v>
      </c>
      <c r="N1180" s="212">
        <f t="shared" si="75"/>
        <v>0</v>
      </c>
    </row>
    <row r="1181" spans="1:14" ht="12.75" x14ac:dyDescent="0.2">
      <c r="A1181" s="152">
        <v>6335000</v>
      </c>
      <c r="B1181" s="51"/>
      <c r="C1181" s="51" t="s">
        <v>977</v>
      </c>
      <c r="D1181" s="220"/>
      <c r="E1181" s="89"/>
      <c r="F1181" s="89"/>
      <c r="G1181" s="89"/>
      <c r="H1181" s="89"/>
      <c r="I1181" s="89"/>
      <c r="J1181" s="89"/>
      <c r="K1181" s="212">
        <f t="shared" si="76"/>
        <v>0</v>
      </c>
      <c r="L1181" s="212">
        <f t="shared" si="76"/>
        <v>0</v>
      </c>
      <c r="M1181" s="212">
        <f t="shared" si="76"/>
        <v>0</v>
      </c>
      <c r="N1181" s="212">
        <f t="shared" si="75"/>
        <v>0</v>
      </c>
    </row>
    <row r="1182" spans="1:14" ht="12.75" x14ac:dyDescent="0.2">
      <c r="A1182" s="152">
        <v>6335000</v>
      </c>
      <c r="B1182" s="51"/>
      <c r="C1182" s="51" t="s">
        <v>99</v>
      </c>
      <c r="D1182" s="220"/>
      <c r="E1182" s="89"/>
      <c r="F1182" s="89"/>
      <c r="G1182" s="89"/>
      <c r="H1182" s="89"/>
      <c r="I1182" s="89"/>
      <c r="J1182" s="89"/>
      <c r="K1182" s="212">
        <f t="shared" si="76"/>
        <v>0</v>
      </c>
      <c r="L1182" s="212">
        <f t="shared" si="76"/>
        <v>0</v>
      </c>
      <c r="M1182" s="212">
        <f t="shared" si="76"/>
        <v>0</v>
      </c>
      <c r="N1182" s="212">
        <f t="shared" si="75"/>
        <v>0</v>
      </c>
    </row>
    <row r="1183" spans="1:14" ht="12.75" x14ac:dyDescent="0.2">
      <c r="A1183" s="152">
        <v>6335000</v>
      </c>
      <c r="B1183" s="51"/>
      <c r="C1183" s="51" t="s">
        <v>1047</v>
      </c>
      <c r="D1183" s="220"/>
      <c r="E1183" s="89"/>
      <c r="F1183" s="89"/>
      <c r="G1183" s="89"/>
      <c r="H1183" s="89"/>
      <c r="I1183" s="89"/>
      <c r="J1183" s="89"/>
      <c r="K1183" s="212">
        <f t="shared" si="76"/>
        <v>0</v>
      </c>
      <c r="L1183" s="212">
        <f t="shared" si="76"/>
        <v>0</v>
      </c>
      <c r="M1183" s="212">
        <f t="shared" si="76"/>
        <v>0</v>
      </c>
      <c r="N1183" s="212">
        <f t="shared" si="75"/>
        <v>0</v>
      </c>
    </row>
    <row r="1184" spans="1:14" ht="12.75" x14ac:dyDescent="0.2">
      <c r="A1184" s="152">
        <v>6335000</v>
      </c>
      <c r="B1184" s="51"/>
      <c r="C1184" s="51" t="s">
        <v>1041</v>
      </c>
      <c r="D1184" s="220"/>
      <c r="E1184" s="89"/>
      <c r="F1184" s="89"/>
      <c r="G1184" s="89"/>
      <c r="H1184" s="89"/>
      <c r="I1184" s="89"/>
      <c r="J1184" s="89"/>
      <c r="K1184" s="212">
        <f t="shared" si="76"/>
        <v>0</v>
      </c>
      <c r="L1184" s="212">
        <f t="shared" si="76"/>
        <v>0</v>
      </c>
      <c r="M1184" s="212">
        <f t="shared" si="76"/>
        <v>0</v>
      </c>
      <c r="N1184" s="212">
        <f t="shared" si="75"/>
        <v>0</v>
      </c>
    </row>
    <row r="1185" spans="1:14" ht="12.75" x14ac:dyDescent="0.2">
      <c r="A1185" s="152">
        <v>6335000</v>
      </c>
      <c r="B1185" s="51"/>
      <c r="C1185" s="51" t="s">
        <v>102</v>
      </c>
      <c r="D1185" s="220"/>
      <c r="E1185" s="89"/>
      <c r="F1185" s="89"/>
      <c r="G1185" s="89"/>
      <c r="H1185" s="89"/>
      <c r="I1185" s="89"/>
      <c r="J1185" s="89"/>
      <c r="K1185" s="212">
        <f t="shared" si="76"/>
        <v>0</v>
      </c>
      <c r="L1185" s="212">
        <f t="shared" si="76"/>
        <v>0</v>
      </c>
      <c r="M1185" s="212">
        <f t="shared" si="76"/>
        <v>0</v>
      </c>
      <c r="N1185" s="212">
        <f t="shared" si="75"/>
        <v>0</v>
      </c>
    </row>
    <row r="1186" spans="1:14" ht="12.75" x14ac:dyDescent="0.2">
      <c r="A1186" s="152">
        <v>6335000</v>
      </c>
      <c r="B1186" s="51"/>
      <c r="C1186" s="51" t="s">
        <v>124</v>
      </c>
      <c r="D1186" s="220"/>
      <c r="E1186" s="89"/>
      <c r="F1186" s="89"/>
      <c r="G1186" s="89"/>
      <c r="H1186" s="89"/>
      <c r="I1186" s="89"/>
      <c r="J1186" s="89"/>
      <c r="K1186" s="212">
        <f t="shared" si="76"/>
        <v>0</v>
      </c>
      <c r="L1186" s="212">
        <f t="shared" si="76"/>
        <v>0</v>
      </c>
      <c r="M1186" s="212">
        <f t="shared" si="76"/>
        <v>0</v>
      </c>
      <c r="N1186" s="212">
        <f t="shared" si="75"/>
        <v>0</v>
      </c>
    </row>
    <row r="1187" spans="1:14" ht="12.75" x14ac:dyDescent="0.2">
      <c r="A1187" s="152">
        <v>6335000</v>
      </c>
      <c r="B1187" s="51"/>
      <c r="C1187" s="51" t="s">
        <v>103</v>
      </c>
      <c r="D1187" s="220"/>
      <c r="E1187" s="89"/>
      <c r="F1187" s="89"/>
      <c r="G1187" s="89"/>
      <c r="H1187" s="89"/>
      <c r="I1187" s="89"/>
      <c r="J1187" s="89"/>
      <c r="K1187" s="212">
        <f t="shared" si="76"/>
        <v>0</v>
      </c>
      <c r="L1187" s="212">
        <f t="shared" si="76"/>
        <v>0</v>
      </c>
      <c r="M1187" s="212">
        <f t="shared" si="76"/>
        <v>0</v>
      </c>
      <c r="N1187" s="212">
        <f t="shared" si="75"/>
        <v>0</v>
      </c>
    </row>
    <row r="1188" spans="1:14" ht="12.75" x14ac:dyDescent="0.2">
      <c r="A1188" s="152">
        <v>6335000</v>
      </c>
      <c r="B1188" s="51"/>
      <c r="C1188" s="51" t="s">
        <v>104</v>
      </c>
      <c r="D1188" s="220"/>
      <c r="E1188" s="89"/>
      <c r="F1188" s="89"/>
      <c r="G1188" s="89"/>
      <c r="H1188" s="89"/>
      <c r="I1188" s="89"/>
      <c r="J1188" s="89"/>
      <c r="K1188" s="212">
        <f t="shared" si="76"/>
        <v>0</v>
      </c>
      <c r="L1188" s="212">
        <f t="shared" si="76"/>
        <v>0</v>
      </c>
      <c r="M1188" s="212">
        <f t="shared" si="76"/>
        <v>0</v>
      </c>
      <c r="N1188" s="212">
        <f t="shared" si="75"/>
        <v>0</v>
      </c>
    </row>
    <row r="1189" spans="1:14" ht="12.75" x14ac:dyDescent="0.2">
      <c r="A1189" s="152">
        <v>6335000</v>
      </c>
      <c r="B1189" s="51"/>
      <c r="C1189" s="51" t="s">
        <v>491</v>
      </c>
      <c r="D1189" s="220"/>
      <c r="E1189" s="89"/>
      <c r="F1189" s="89"/>
      <c r="G1189" s="89"/>
      <c r="H1189" s="89"/>
      <c r="I1189" s="89"/>
      <c r="J1189" s="89"/>
      <c r="K1189" s="212">
        <f t="shared" si="76"/>
        <v>0</v>
      </c>
      <c r="L1189" s="212">
        <f t="shared" si="76"/>
        <v>0</v>
      </c>
      <c r="M1189" s="212">
        <f t="shared" si="76"/>
        <v>0</v>
      </c>
      <c r="N1189" s="212">
        <f t="shared" si="75"/>
        <v>0</v>
      </c>
    </row>
    <row r="1190" spans="1:14" ht="12.75" x14ac:dyDescent="0.2">
      <c r="A1190" s="152">
        <v>6335000</v>
      </c>
      <c r="B1190" s="51"/>
      <c r="C1190" s="51" t="s">
        <v>105</v>
      </c>
      <c r="D1190" s="220"/>
      <c r="E1190" s="89"/>
      <c r="F1190" s="89"/>
      <c r="G1190" s="89"/>
      <c r="H1190" s="89"/>
      <c r="I1190" s="89"/>
      <c r="J1190" s="89"/>
      <c r="K1190" s="212">
        <f t="shared" si="76"/>
        <v>0</v>
      </c>
      <c r="L1190" s="212">
        <f t="shared" si="76"/>
        <v>0</v>
      </c>
      <c r="M1190" s="212">
        <f t="shared" si="76"/>
        <v>0</v>
      </c>
      <c r="N1190" s="212">
        <f t="shared" si="75"/>
        <v>0</v>
      </c>
    </row>
    <row r="1191" spans="1:14" ht="12.75" x14ac:dyDescent="0.2">
      <c r="A1191" s="152">
        <v>6335000</v>
      </c>
      <c r="B1191" s="51"/>
      <c r="C1191" s="51" t="s">
        <v>129</v>
      </c>
      <c r="D1191" s="220"/>
      <c r="E1191" s="89"/>
      <c r="F1191" s="89"/>
      <c r="G1191" s="89"/>
      <c r="H1191" s="89"/>
      <c r="I1191" s="89"/>
      <c r="J1191" s="89"/>
      <c r="K1191" s="212">
        <f t="shared" si="76"/>
        <v>0</v>
      </c>
      <c r="L1191" s="212">
        <f t="shared" si="76"/>
        <v>0</v>
      </c>
      <c r="M1191" s="212">
        <f t="shared" si="76"/>
        <v>0</v>
      </c>
      <c r="N1191" s="212">
        <f t="shared" si="75"/>
        <v>0</v>
      </c>
    </row>
    <row r="1192" spans="1:14" ht="12.75" x14ac:dyDescent="0.2">
      <c r="A1192" s="152">
        <v>6335000</v>
      </c>
      <c r="B1192" s="51"/>
      <c r="C1192" s="73" t="s">
        <v>108</v>
      </c>
      <c r="D1192" s="220"/>
      <c r="E1192" s="89"/>
      <c r="F1192" s="89"/>
      <c r="G1192" s="89"/>
      <c r="H1192" s="89"/>
      <c r="I1192" s="89"/>
      <c r="J1192" s="89"/>
      <c r="K1192" s="212">
        <f t="shared" si="76"/>
        <v>0</v>
      </c>
      <c r="L1192" s="212">
        <f t="shared" si="76"/>
        <v>0</v>
      </c>
      <c r="M1192" s="212">
        <f t="shared" si="76"/>
        <v>0</v>
      </c>
      <c r="N1192" s="212">
        <f t="shared" si="75"/>
        <v>0</v>
      </c>
    </row>
    <row r="1193" spans="1:14" ht="12.75" x14ac:dyDescent="0.2">
      <c r="A1193" s="152">
        <v>6335000</v>
      </c>
      <c r="B1193" s="51"/>
      <c r="C1193" s="51" t="s">
        <v>119</v>
      </c>
      <c r="D1193" s="220"/>
      <c r="E1193" s="89"/>
      <c r="F1193" s="89"/>
      <c r="G1193" s="89"/>
      <c r="H1193" s="89"/>
      <c r="I1193" s="89"/>
      <c r="J1193" s="89"/>
      <c r="K1193" s="212">
        <f t="shared" ref="K1193:M1208" si="77">SUMIF($C$26:$C$212,$C1193,K$26:K$212)</f>
        <v>0</v>
      </c>
      <c r="L1193" s="212">
        <f t="shared" si="77"/>
        <v>0</v>
      </c>
      <c r="M1193" s="212">
        <f t="shared" si="77"/>
        <v>0</v>
      </c>
      <c r="N1193" s="212">
        <f t="shared" si="75"/>
        <v>0</v>
      </c>
    </row>
    <row r="1194" spans="1:14" ht="12.75" x14ac:dyDescent="0.2">
      <c r="A1194" s="152">
        <v>6335000</v>
      </c>
      <c r="B1194" s="51"/>
      <c r="C1194" s="51" t="s">
        <v>954</v>
      </c>
      <c r="D1194" s="220"/>
      <c r="E1194" s="89"/>
      <c r="F1194" s="89"/>
      <c r="G1194" s="89"/>
      <c r="H1194" s="89"/>
      <c r="I1194" s="89"/>
      <c r="J1194" s="89"/>
      <c r="K1194" s="212">
        <f t="shared" si="77"/>
        <v>0</v>
      </c>
      <c r="L1194" s="212">
        <f t="shared" si="77"/>
        <v>0</v>
      </c>
      <c r="M1194" s="212">
        <f t="shared" si="77"/>
        <v>0</v>
      </c>
      <c r="N1194" s="212">
        <f t="shared" si="75"/>
        <v>0</v>
      </c>
    </row>
    <row r="1195" spans="1:14" ht="12.75" x14ac:dyDescent="0.2">
      <c r="A1195" s="152">
        <v>6335000</v>
      </c>
      <c r="B1195" s="51"/>
      <c r="C1195" s="51" t="s">
        <v>1031</v>
      </c>
      <c r="D1195" s="220"/>
      <c r="E1195" s="89"/>
      <c r="F1195" s="89"/>
      <c r="G1195" s="89"/>
      <c r="H1195" s="89"/>
      <c r="I1195" s="89"/>
      <c r="J1195" s="89"/>
      <c r="K1195" s="212">
        <f t="shared" si="77"/>
        <v>0</v>
      </c>
      <c r="L1195" s="212">
        <f t="shared" si="77"/>
        <v>0</v>
      </c>
      <c r="M1195" s="212">
        <f t="shared" si="77"/>
        <v>0</v>
      </c>
      <c r="N1195" s="212">
        <f t="shared" si="75"/>
        <v>0</v>
      </c>
    </row>
    <row r="1196" spans="1:14" ht="12.75" x14ac:dyDescent="0.2">
      <c r="A1196" s="152">
        <v>6335000</v>
      </c>
      <c r="B1196" s="51"/>
      <c r="C1196" s="51" t="s">
        <v>1009</v>
      </c>
      <c r="D1196" s="220"/>
      <c r="E1196" s="89"/>
      <c r="F1196" s="89"/>
      <c r="G1196" s="89"/>
      <c r="H1196" s="89"/>
      <c r="I1196" s="89"/>
      <c r="J1196" s="89"/>
      <c r="K1196" s="212">
        <f t="shared" si="77"/>
        <v>0</v>
      </c>
      <c r="L1196" s="212">
        <f t="shared" si="77"/>
        <v>0</v>
      </c>
      <c r="M1196" s="212">
        <f t="shared" si="77"/>
        <v>0</v>
      </c>
      <c r="N1196" s="212">
        <f t="shared" si="75"/>
        <v>0</v>
      </c>
    </row>
    <row r="1197" spans="1:14" ht="12.75" x14ac:dyDescent="0.2">
      <c r="A1197" s="152">
        <v>6335000</v>
      </c>
      <c r="B1197" s="51"/>
      <c r="C1197" s="51" t="s">
        <v>107</v>
      </c>
      <c r="D1197" s="220"/>
      <c r="E1197" s="89"/>
      <c r="F1197" s="89"/>
      <c r="G1197" s="89"/>
      <c r="H1197" s="89"/>
      <c r="I1197" s="89"/>
      <c r="J1197" s="89"/>
      <c r="K1197" s="212">
        <f t="shared" si="77"/>
        <v>0</v>
      </c>
      <c r="L1197" s="212">
        <f t="shared" si="77"/>
        <v>0</v>
      </c>
      <c r="M1197" s="212">
        <f t="shared" si="77"/>
        <v>0</v>
      </c>
      <c r="N1197" s="212">
        <f t="shared" si="75"/>
        <v>0</v>
      </c>
    </row>
    <row r="1198" spans="1:14" ht="12.75" x14ac:dyDescent="0.2">
      <c r="A1198" s="152">
        <v>6335000</v>
      </c>
      <c r="B1198" s="51"/>
      <c r="C1198" s="51" t="s">
        <v>1026</v>
      </c>
      <c r="D1198" s="220"/>
      <c r="E1198" s="89"/>
      <c r="F1198" s="89"/>
      <c r="G1198" s="89"/>
      <c r="H1198" s="89"/>
      <c r="I1198" s="89"/>
      <c r="J1198" s="89"/>
      <c r="K1198" s="212">
        <f t="shared" si="77"/>
        <v>0</v>
      </c>
      <c r="L1198" s="212">
        <f t="shared" si="77"/>
        <v>0</v>
      </c>
      <c r="M1198" s="212">
        <f t="shared" si="77"/>
        <v>0</v>
      </c>
      <c r="N1198" s="212">
        <f t="shared" si="75"/>
        <v>0</v>
      </c>
    </row>
    <row r="1199" spans="1:14" ht="12.75" x14ac:dyDescent="0.2">
      <c r="A1199" s="152">
        <v>6335000</v>
      </c>
      <c r="B1199" s="51"/>
      <c r="C1199" s="51" t="s">
        <v>1027</v>
      </c>
      <c r="D1199" s="220"/>
      <c r="E1199" s="89"/>
      <c r="F1199" s="89"/>
      <c r="G1199" s="89"/>
      <c r="H1199" s="89"/>
      <c r="I1199" s="89"/>
      <c r="J1199" s="89"/>
      <c r="K1199" s="212">
        <f t="shared" si="77"/>
        <v>0</v>
      </c>
      <c r="L1199" s="212">
        <f t="shared" si="77"/>
        <v>0</v>
      </c>
      <c r="M1199" s="212">
        <f t="shared" si="77"/>
        <v>0</v>
      </c>
      <c r="N1199" s="212">
        <f t="shared" si="75"/>
        <v>0</v>
      </c>
    </row>
    <row r="1200" spans="1:14" ht="12.75" x14ac:dyDescent="0.2">
      <c r="A1200" s="152">
        <v>6335000</v>
      </c>
      <c r="B1200" s="51"/>
      <c r="C1200" s="51" t="s">
        <v>955</v>
      </c>
      <c r="D1200" s="220"/>
      <c r="E1200" s="89"/>
      <c r="F1200" s="89"/>
      <c r="G1200" s="89"/>
      <c r="H1200" s="89"/>
      <c r="I1200" s="89"/>
      <c r="J1200" s="89"/>
      <c r="K1200" s="212">
        <f t="shared" si="77"/>
        <v>0</v>
      </c>
      <c r="L1200" s="212">
        <f t="shared" si="77"/>
        <v>0</v>
      </c>
      <c r="M1200" s="212">
        <f t="shared" si="77"/>
        <v>0</v>
      </c>
      <c r="N1200" s="212">
        <f t="shared" si="75"/>
        <v>0</v>
      </c>
    </row>
    <row r="1201" spans="1:14" ht="12.75" x14ac:dyDescent="0.2">
      <c r="A1201" s="152">
        <v>6335000</v>
      </c>
      <c r="B1201" s="51"/>
      <c r="C1201" s="51" t="s">
        <v>958</v>
      </c>
      <c r="D1201" s="220"/>
      <c r="E1201" s="89"/>
      <c r="F1201" s="89"/>
      <c r="G1201" s="89"/>
      <c r="H1201" s="89"/>
      <c r="I1201" s="89"/>
      <c r="J1201" s="89"/>
      <c r="K1201" s="212">
        <f t="shared" si="77"/>
        <v>0</v>
      </c>
      <c r="L1201" s="212">
        <f t="shared" si="77"/>
        <v>0</v>
      </c>
      <c r="M1201" s="212">
        <f t="shared" si="77"/>
        <v>0</v>
      </c>
      <c r="N1201" s="212">
        <f t="shared" si="75"/>
        <v>0</v>
      </c>
    </row>
    <row r="1202" spans="1:14" ht="12.75" x14ac:dyDescent="0.2">
      <c r="A1202" s="152">
        <v>6335000</v>
      </c>
      <c r="B1202" s="51"/>
      <c r="C1202" s="51" t="s">
        <v>1032</v>
      </c>
      <c r="D1202" s="220"/>
      <c r="E1202" s="89"/>
      <c r="F1202" s="89"/>
      <c r="G1202" s="89"/>
      <c r="H1202" s="89"/>
      <c r="I1202" s="89"/>
      <c r="J1202" s="89"/>
      <c r="K1202" s="212">
        <f t="shared" si="77"/>
        <v>0</v>
      </c>
      <c r="L1202" s="212">
        <f t="shared" si="77"/>
        <v>0</v>
      </c>
      <c r="M1202" s="212">
        <f t="shared" si="77"/>
        <v>0</v>
      </c>
      <c r="N1202" s="212">
        <f t="shared" si="75"/>
        <v>0</v>
      </c>
    </row>
    <row r="1203" spans="1:14" ht="12.75" x14ac:dyDescent="0.2">
      <c r="A1203" s="152">
        <v>6335000</v>
      </c>
      <c r="B1203" s="51"/>
      <c r="C1203" s="51" t="s">
        <v>109</v>
      </c>
      <c r="D1203" s="220"/>
      <c r="E1203" s="89"/>
      <c r="F1203" s="89"/>
      <c r="G1203" s="89"/>
      <c r="H1203" s="89"/>
      <c r="I1203" s="89"/>
      <c r="J1203" s="89"/>
      <c r="K1203" s="212">
        <f t="shared" si="77"/>
        <v>0</v>
      </c>
      <c r="L1203" s="212">
        <f t="shared" si="77"/>
        <v>0</v>
      </c>
      <c r="M1203" s="212">
        <f t="shared" si="77"/>
        <v>0</v>
      </c>
      <c r="N1203" s="212">
        <f t="shared" si="75"/>
        <v>0</v>
      </c>
    </row>
    <row r="1204" spans="1:14" ht="12.75" x14ac:dyDescent="0.2">
      <c r="A1204" s="152">
        <v>6335000</v>
      </c>
      <c r="B1204" s="51"/>
      <c r="C1204" s="51" t="s">
        <v>966</v>
      </c>
      <c r="D1204" s="220"/>
      <c r="E1204" s="89"/>
      <c r="F1204" s="89"/>
      <c r="G1204" s="89"/>
      <c r="H1204" s="89"/>
      <c r="I1204" s="89"/>
      <c r="J1204" s="89"/>
      <c r="K1204" s="212">
        <f t="shared" si="77"/>
        <v>0</v>
      </c>
      <c r="L1204" s="212">
        <f t="shared" si="77"/>
        <v>0</v>
      </c>
      <c r="M1204" s="212">
        <f t="shared" si="77"/>
        <v>0</v>
      </c>
      <c r="N1204" s="212">
        <f t="shared" si="75"/>
        <v>0</v>
      </c>
    </row>
    <row r="1205" spans="1:14" ht="12.75" x14ac:dyDescent="0.2">
      <c r="A1205" s="152">
        <v>6335000</v>
      </c>
      <c r="B1205" s="51"/>
      <c r="C1205" s="51" t="s">
        <v>981</v>
      </c>
      <c r="D1205" s="220"/>
      <c r="E1205" s="89"/>
      <c r="F1205" s="89"/>
      <c r="G1205" s="89"/>
      <c r="H1205" s="89"/>
      <c r="I1205" s="89"/>
      <c r="J1205" s="89"/>
      <c r="K1205" s="212">
        <f t="shared" si="77"/>
        <v>0</v>
      </c>
      <c r="L1205" s="212">
        <f t="shared" si="77"/>
        <v>0</v>
      </c>
      <c r="M1205" s="212">
        <f t="shared" si="77"/>
        <v>0</v>
      </c>
      <c r="N1205" s="212">
        <f t="shared" si="75"/>
        <v>0</v>
      </c>
    </row>
    <row r="1206" spans="1:14" ht="12.75" x14ac:dyDescent="0.2">
      <c r="A1206" s="152">
        <v>6335000</v>
      </c>
      <c r="B1206" s="51"/>
      <c r="C1206" s="51" t="s">
        <v>963</v>
      </c>
      <c r="D1206" s="220"/>
      <c r="E1206" s="89"/>
      <c r="F1206" s="89"/>
      <c r="G1206" s="89"/>
      <c r="H1206" s="89"/>
      <c r="I1206" s="89"/>
      <c r="J1206" s="89"/>
      <c r="K1206" s="212">
        <f t="shared" si="77"/>
        <v>0</v>
      </c>
      <c r="L1206" s="212">
        <f t="shared" si="77"/>
        <v>0</v>
      </c>
      <c r="M1206" s="212">
        <f t="shared" si="77"/>
        <v>0</v>
      </c>
      <c r="N1206" s="212">
        <f t="shared" si="75"/>
        <v>0</v>
      </c>
    </row>
    <row r="1207" spans="1:14" ht="12.75" x14ac:dyDescent="0.2">
      <c r="A1207" s="152">
        <v>6335000</v>
      </c>
      <c r="B1207" s="51"/>
      <c r="C1207" s="51" t="s">
        <v>120</v>
      </c>
      <c r="D1207" s="220"/>
      <c r="E1207" s="89"/>
      <c r="F1207" s="89"/>
      <c r="G1207" s="89"/>
      <c r="H1207" s="89"/>
      <c r="I1207" s="89"/>
      <c r="J1207" s="89"/>
      <c r="K1207" s="212">
        <f t="shared" si="77"/>
        <v>0</v>
      </c>
      <c r="L1207" s="212">
        <f t="shared" si="77"/>
        <v>0</v>
      </c>
      <c r="M1207" s="212">
        <f t="shared" si="77"/>
        <v>0</v>
      </c>
      <c r="N1207" s="212">
        <f t="shared" si="75"/>
        <v>0</v>
      </c>
    </row>
    <row r="1208" spans="1:14" ht="13.5" thickBot="1" x14ac:dyDescent="0.25">
      <c r="A1208" s="205">
        <v>6335000</v>
      </c>
      <c r="B1208" s="553"/>
      <c r="C1208" s="553" t="s">
        <v>989</v>
      </c>
      <c r="D1208" s="602"/>
      <c r="E1208" s="203"/>
      <c r="F1208" s="203"/>
      <c r="G1208" s="203"/>
      <c r="H1208" s="203"/>
      <c r="I1208" s="203"/>
      <c r="J1208" s="203"/>
      <c r="K1208" s="207">
        <f t="shared" si="77"/>
        <v>0</v>
      </c>
      <c r="L1208" s="207">
        <f t="shared" si="77"/>
        <v>0</v>
      </c>
      <c r="M1208" s="207">
        <f t="shared" si="77"/>
        <v>0</v>
      </c>
      <c r="N1208" s="207">
        <f t="shared" si="75"/>
        <v>0</v>
      </c>
    </row>
  </sheetData>
  <autoFilter ref="A25:N593"/>
  <sortState ref="B26:Q219">
    <sortCondition ref="B26:B219"/>
  </sortState>
  <dataValidations xWindow="1394" yWindow="872" count="11">
    <dataValidation type="date" errorStyle="warning" allowBlank="1" showInputMessage="1" showErrorMessage="1" errorTitle="End Date" error="Enter the end date." promptTitle="End Date" prompt="Enter the End Date" sqref="I26:I212">
      <formula1>42552</formula1>
      <formula2>42916</formula2>
    </dataValidation>
    <dataValidation type="date" errorStyle="warning" allowBlank="1" showInputMessage="1" showErrorMessage="1" errorTitle="Start Date" error="Enter the start date." promptTitle="Start Date" prompt="Enter the Start Date." sqref="H26:H212">
      <formula1>42552</formula1>
      <formula2>42916</formula2>
    </dataValidation>
    <dataValidation type="list" allowBlank="1" showInputMessage="1" showErrorMessage="1" errorTitle="Error" error="You must choose Yes or No." promptTitle="Existing Contract" prompt="Yes or No" sqref="I213">
      <formula1>Existing</formula1>
    </dataValidation>
    <dataValidation errorStyle="warning" allowBlank="1" showInputMessage="1" showErrorMessage="1" errorTitle="Vendor/Supplier" error="Enter the vendor/supplier." promptTitle="Vendor/Supplier" prompt="Enter the supplier's name if applicable." sqref="F26:F62 F119:F212 F65:F116"/>
    <dataValidation allowBlank="1" showInputMessage="1" showErrorMessage="1" promptTitle="Old Contractor" prompt="Enter the old contractor's name if applicable." sqref="D213"/>
    <dataValidation allowBlank="1" showInputMessage="1" showErrorMessage="1" promptTitle="Contract End Date" prompt="Enter the Contract End Date" sqref="H213"/>
    <dataValidation allowBlank="1" showInputMessage="1" showErrorMessage="1" promptTitle="Contract Start Date" prompt="Enter the Contract Start Date." sqref="G213"/>
    <dataValidation type="list" allowBlank="1" showInputMessage="1" showErrorMessage="1" errorTitle="Error" error="You must choose from the list." promptTitle="Type of Supply/Services" prompt="Chose the type of supply/service from the list." sqref="J26:J212">
      <formula1>OtherExpenses</formula1>
    </dataValidation>
    <dataValidation type="list" allowBlank="1" showInputMessage="1" showErrorMessage="1" errorTitle="Error" error="You must choose a funding source from the list." promptTitle="Funding Source" prompt="Choose the appropriate funding source." sqref="C26:C212">
      <formula1>Funding</formula1>
    </dataValidation>
    <dataValidation type="list" allowBlank="1" showInputMessage="1" showErrorMessage="1" errorTitle="Error" error="You must choose a budget unit from the list." promptTitle="Budget Unit" prompt="Choose the appropriate budget unit." sqref="B26:B212">
      <formula1>Budgets</formula1>
    </dataValidation>
    <dataValidation type="list" errorStyle="warning" allowBlank="1" showInputMessage="1" showErrorMessage="1" errorTitle="Warning" error="Choose the appropriate option." promptTitle="Existing/State Contract" prompt="Select the most appropriate answer. If there is an existing LHC contract, enter the contract number (see Sharepoint)." sqref="E26:E212">
      <formula1>ContractStatus</formula1>
    </dataValidation>
  </dataValidations>
  <printOptions horizontalCentered="1"/>
  <pageMargins left="0.2" right="0.2" top="0.5" bottom="0.5" header="0.3" footer="0.3"/>
  <pageSetup scale="6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1509"/>
  <sheetViews>
    <sheetView zoomScale="75" zoomScaleNormal="75" workbookViewId="0">
      <pane xSplit="4" ySplit="25" topLeftCell="E26" activePane="bottomRight" state="frozen"/>
      <selection pane="topRight" activeCell="E1" sqref="E1"/>
      <selection pane="bottomLeft" activeCell="A26" sqref="A26"/>
      <selection pane="bottomRight" activeCell="I404" sqref="I404"/>
    </sheetView>
  </sheetViews>
  <sheetFormatPr defaultColWidth="9.140625" defaultRowHeight="15" x14ac:dyDescent="0.25"/>
  <cols>
    <col min="1" max="1" width="14.140625" style="4" customWidth="1"/>
    <col min="2" max="2" width="33.5703125" style="3" customWidth="1"/>
    <col min="3" max="3" width="39" style="3" customWidth="1"/>
    <col min="4" max="4" width="42.42578125" style="4" customWidth="1"/>
    <col min="5" max="5" width="19" style="4" customWidth="1"/>
    <col min="6" max="6" width="28.140625" style="4" customWidth="1"/>
    <col min="7" max="7" width="33.28515625" style="4" hidden="1" customWidth="1"/>
    <col min="8" max="8" width="17.85546875" style="4" customWidth="1"/>
    <col min="9" max="9" width="11.140625" style="4" customWidth="1"/>
    <col min="10" max="10" width="15.7109375" style="4" customWidth="1"/>
    <col min="11" max="11" width="13.140625" style="4" customWidth="1"/>
    <col min="12" max="12" width="13" style="4" customWidth="1"/>
    <col min="13" max="14" width="14.5703125" style="4" customWidth="1"/>
    <col min="15" max="15" width="13" style="4" customWidth="1"/>
    <col min="16" max="20" width="9.140625" style="4" customWidth="1"/>
    <col min="21" max="16384" width="9.140625" style="4"/>
  </cols>
  <sheetData>
    <row r="1" spans="1:15" ht="19.5" thickBot="1" x14ac:dyDescent="0.35">
      <c r="A1" s="14" t="s">
        <v>381</v>
      </c>
      <c r="B1" s="386" t="s">
        <v>276</v>
      </c>
      <c r="D1" s="3"/>
      <c r="E1" s="3"/>
      <c r="F1" s="3"/>
      <c r="G1" s="3"/>
      <c r="H1" s="3"/>
      <c r="I1" s="3"/>
      <c r="J1" s="3"/>
      <c r="K1" s="3"/>
      <c r="L1" s="3"/>
      <c r="M1" s="3"/>
      <c r="N1" s="3"/>
    </row>
    <row r="2" spans="1:15" ht="19.5" thickBot="1" x14ac:dyDescent="0.35">
      <c r="A2" s="14"/>
      <c r="D2" s="3"/>
      <c r="E2" s="3"/>
      <c r="F2" s="383" t="s">
        <v>487</v>
      </c>
      <c r="G2" s="384"/>
      <c r="H2" s="385" t="s">
        <v>287</v>
      </c>
      <c r="I2" s="3"/>
      <c r="J2" s="3"/>
      <c r="K2" s="3"/>
      <c r="L2" s="3"/>
      <c r="M2" s="3"/>
      <c r="N2" s="3"/>
    </row>
    <row r="3" spans="1:15" customFormat="1" ht="18.75" x14ac:dyDescent="0.3">
      <c r="A3" s="4"/>
      <c r="B3" s="61" t="str">
        <f>HR!C3</f>
        <v>Total FY 2026 Request</v>
      </c>
      <c r="C3" s="53"/>
      <c r="D3" s="54"/>
      <c r="E3" s="158">
        <f>SUM(E4:E23)</f>
        <v>122340</v>
      </c>
      <c r="F3" s="445">
        <f>SUM(F4:F23)</f>
        <v>28650</v>
      </c>
      <c r="G3" s="159" t="e">
        <f>#REF!+#REF!+G17+G18+#REF!+#REF!+G16+G6+G20+G21</f>
        <v>#REF!</v>
      </c>
      <c r="H3" s="253">
        <f>SUM(H4:H23)</f>
        <v>93690</v>
      </c>
      <c r="I3" s="598">
        <f>E3-N101</f>
        <v>0</v>
      </c>
      <c r="O3" s="2"/>
    </row>
    <row r="4" spans="1:15" customFormat="1" ht="15" customHeight="1" x14ac:dyDescent="0.25">
      <c r="A4" s="4"/>
      <c r="B4" s="673" t="s">
        <v>27</v>
      </c>
      <c r="C4" s="389" t="s">
        <v>19</v>
      </c>
      <c r="D4" s="15"/>
      <c r="E4" s="683">
        <f>SUM(F4,H4)</f>
        <v>1500</v>
      </c>
      <c r="F4" s="353">
        <f>N142+N162</f>
        <v>0</v>
      </c>
      <c r="G4" s="159">
        <f>P102+P142</f>
        <v>0</v>
      </c>
      <c r="H4" s="56">
        <f>N102+N122</f>
        <v>1500</v>
      </c>
    </row>
    <row r="5" spans="1:15" customFormat="1" ht="15" customHeight="1" x14ac:dyDescent="0.25">
      <c r="A5" s="4"/>
      <c r="B5" s="673" t="s">
        <v>31</v>
      </c>
      <c r="C5" s="389" t="s">
        <v>22</v>
      </c>
      <c r="D5" s="15"/>
      <c r="E5" s="683">
        <f t="shared" ref="E5:E10" si="0">SUM(F5,H5)</f>
        <v>250</v>
      </c>
      <c r="F5" s="353">
        <f>N144+N164</f>
        <v>0</v>
      </c>
      <c r="G5" s="159">
        <f>P104+P144</f>
        <v>0</v>
      </c>
      <c r="H5" s="56">
        <f>N104+N124</f>
        <v>250</v>
      </c>
    </row>
    <row r="6" spans="1:15" customFormat="1" ht="15" customHeight="1" x14ac:dyDescent="0.25">
      <c r="A6" s="4"/>
      <c r="B6" s="673" t="s">
        <v>29</v>
      </c>
      <c r="C6" s="389" t="s">
        <v>1182</v>
      </c>
      <c r="D6" s="15"/>
      <c r="E6" s="683">
        <f t="shared" si="0"/>
        <v>1500</v>
      </c>
      <c r="F6" s="353">
        <f>N150+N170</f>
        <v>0</v>
      </c>
      <c r="G6" s="159">
        <f>P115+P155</f>
        <v>0</v>
      </c>
      <c r="H6" s="56">
        <f>N110+N130</f>
        <v>1500</v>
      </c>
    </row>
    <row r="7" spans="1:15" customFormat="1" ht="15" customHeight="1" x14ac:dyDescent="0.25">
      <c r="A7" s="4"/>
      <c r="B7" s="673" t="s">
        <v>50</v>
      </c>
      <c r="C7" s="389" t="s">
        <v>272</v>
      </c>
      <c r="D7" s="15"/>
      <c r="E7" s="683">
        <f t="shared" si="0"/>
        <v>10550</v>
      </c>
      <c r="F7" s="353">
        <f>N153+N173</f>
        <v>7650</v>
      </c>
      <c r="G7" s="159">
        <f>P112+P152</f>
        <v>0</v>
      </c>
      <c r="H7" s="56">
        <f>N113+N133</f>
        <v>2900</v>
      </c>
    </row>
    <row r="8" spans="1:15" customFormat="1" ht="15" customHeight="1" x14ac:dyDescent="0.25">
      <c r="A8" s="4"/>
      <c r="B8" s="673">
        <v>167</v>
      </c>
      <c r="C8" s="389" t="s">
        <v>810</v>
      </c>
      <c r="D8" s="15"/>
      <c r="E8" s="683">
        <f t="shared" si="0"/>
        <v>38230</v>
      </c>
      <c r="F8" s="353">
        <f>N156+N176</f>
        <v>1600</v>
      </c>
      <c r="G8" s="159">
        <f>P117+P157</f>
        <v>0</v>
      </c>
      <c r="H8" s="56">
        <f>N116+N136</f>
        <v>36630</v>
      </c>
    </row>
    <row r="9" spans="1:15" customFormat="1" ht="15" customHeight="1" x14ac:dyDescent="0.25">
      <c r="A9" s="4"/>
      <c r="B9" s="673">
        <v>166</v>
      </c>
      <c r="C9" s="389" t="s">
        <v>23</v>
      </c>
      <c r="D9" s="15"/>
      <c r="E9" s="683">
        <f t="shared" si="0"/>
        <v>300</v>
      </c>
      <c r="F9" s="353">
        <f>N158+N178</f>
        <v>0</v>
      </c>
      <c r="G9" s="159">
        <f>P119+P159</f>
        <v>0</v>
      </c>
      <c r="H9" s="56">
        <f>N118+N138</f>
        <v>300</v>
      </c>
    </row>
    <row r="10" spans="1:15" customFormat="1" ht="15" customHeight="1" x14ac:dyDescent="0.25">
      <c r="A10" s="4"/>
      <c r="B10" s="673">
        <v>168</v>
      </c>
      <c r="C10" s="389" t="s">
        <v>920</v>
      </c>
      <c r="D10" s="15"/>
      <c r="E10" s="683">
        <f t="shared" si="0"/>
        <v>500</v>
      </c>
      <c r="F10" s="353">
        <f>N161+N181</f>
        <v>0</v>
      </c>
      <c r="G10" s="159">
        <f>P113+P153</f>
        <v>0</v>
      </c>
      <c r="H10" s="56">
        <f>N121+N141</f>
        <v>500</v>
      </c>
    </row>
    <row r="11" spans="1:15" customFormat="1" ht="15" customHeight="1" x14ac:dyDescent="0.25">
      <c r="A11" s="4"/>
      <c r="B11" s="673">
        <v>190</v>
      </c>
      <c r="C11" s="389" t="s">
        <v>24</v>
      </c>
      <c r="D11" s="15"/>
      <c r="E11" s="683">
        <f>SUM(F11,H11)</f>
        <v>7000</v>
      </c>
      <c r="F11" s="353">
        <f>N145+N165</f>
        <v>0</v>
      </c>
      <c r="G11" s="159">
        <f>P105+P145</f>
        <v>0</v>
      </c>
      <c r="H11" s="56">
        <f>N105+N125</f>
        <v>7000</v>
      </c>
    </row>
    <row r="12" spans="1:15" customFormat="1" ht="15" customHeight="1" x14ac:dyDescent="0.25">
      <c r="A12" s="4"/>
      <c r="B12" s="673">
        <v>195</v>
      </c>
      <c r="C12" s="389" t="s">
        <v>260</v>
      </c>
      <c r="D12" s="15"/>
      <c r="E12" s="683">
        <f>SUM(F12,H12)</f>
        <v>1000</v>
      </c>
      <c r="F12" s="353">
        <f>N146+N166</f>
        <v>0</v>
      </c>
      <c r="G12" s="159">
        <f>P106+P146</f>
        <v>0</v>
      </c>
      <c r="H12" s="56">
        <f>N106+N126</f>
        <v>1000</v>
      </c>
    </row>
    <row r="13" spans="1:15" s="236" customFormat="1" ht="15" customHeight="1" x14ac:dyDescent="0.25">
      <c r="A13" s="407"/>
      <c r="B13" s="673">
        <v>136</v>
      </c>
      <c r="C13" s="389" t="s">
        <v>508</v>
      </c>
      <c r="D13" s="15"/>
      <c r="E13" s="683">
        <f>SUM(F13,H13)</f>
        <v>100</v>
      </c>
      <c r="F13" s="353">
        <f>N149+N169</f>
        <v>0</v>
      </c>
      <c r="G13" s="159"/>
      <c r="H13" s="56">
        <f>N109+N129</f>
        <v>100</v>
      </c>
    </row>
    <row r="14" spans="1:15" customFormat="1" ht="15" customHeight="1" x14ac:dyDescent="0.25">
      <c r="A14" s="4"/>
      <c r="B14" s="673" t="s">
        <v>507</v>
      </c>
      <c r="C14" s="389" t="s">
        <v>258</v>
      </c>
      <c r="D14" s="15"/>
      <c r="E14" s="683">
        <f t="shared" ref="E14:E23" si="1">SUM(F14,H14)</f>
        <v>18100</v>
      </c>
      <c r="F14" s="353">
        <f>N143+N163</f>
        <v>11000</v>
      </c>
      <c r="G14" s="159">
        <f>P103+P143</f>
        <v>0</v>
      </c>
      <c r="H14" s="56">
        <f>N103+N123</f>
        <v>7100</v>
      </c>
    </row>
    <row r="15" spans="1:15" customFormat="1" ht="15" customHeight="1" x14ac:dyDescent="0.25">
      <c r="A15" s="4"/>
      <c r="B15" s="673" t="s">
        <v>28</v>
      </c>
      <c r="C15" s="389" t="s">
        <v>20</v>
      </c>
      <c r="D15" s="15"/>
      <c r="E15" s="683">
        <f t="shared" si="1"/>
        <v>13500</v>
      </c>
      <c r="F15" s="698">
        <f>N151+N171</f>
        <v>6000</v>
      </c>
      <c r="G15" s="159">
        <f>P110+P151</f>
        <v>0</v>
      </c>
      <c r="H15" s="668">
        <f>N111+N131</f>
        <v>7500</v>
      </c>
    </row>
    <row r="16" spans="1:15" customFormat="1" ht="15" customHeight="1" x14ac:dyDescent="0.25">
      <c r="A16" s="4"/>
      <c r="B16" s="673" t="s">
        <v>30</v>
      </c>
      <c r="C16" s="389" t="s">
        <v>21</v>
      </c>
      <c r="D16" s="15"/>
      <c r="E16" s="683">
        <f t="shared" si="1"/>
        <v>1500</v>
      </c>
      <c r="F16" s="353">
        <f>N154+N174</f>
        <v>0</v>
      </c>
      <c r="G16" s="159">
        <f>P114+P154</f>
        <v>0</v>
      </c>
      <c r="H16" s="56">
        <f>N114+N134</f>
        <v>1500</v>
      </c>
    </row>
    <row r="17" spans="1:18" customFormat="1" ht="15" customHeight="1" x14ac:dyDescent="0.25">
      <c r="A17" s="4"/>
      <c r="B17" s="673">
        <v>170</v>
      </c>
      <c r="C17" s="389" t="s">
        <v>394</v>
      </c>
      <c r="D17" s="15"/>
      <c r="E17" s="683">
        <f t="shared" si="1"/>
        <v>1300</v>
      </c>
      <c r="F17" s="353">
        <f>N147+N167</f>
        <v>0</v>
      </c>
      <c r="G17" s="159">
        <f>P107+P147</f>
        <v>0</v>
      </c>
      <c r="H17" s="56">
        <f>N107+N137</f>
        <v>1300</v>
      </c>
    </row>
    <row r="18" spans="1:18" customFormat="1" ht="15" customHeight="1" x14ac:dyDescent="0.25">
      <c r="A18" s="4"/>
      <c r="B18" s="673">
        <v>172</v>
      </c>
      <c r="C18" s="389" t="s">
        <v>350</v>
      </c>
      <c r="D18" s="15"/>
      <c r="E18" s="683">
        <f t="shared" si="1"/>
        <v>5050</v>
      </c>
      <c r="F18" s="353">
        <f>N148+N168</f>
        <v>0</v>
      </c>
      <c r="G18" s="159">
        <f>P108+P148</f>
        <v>0</v>
      </c>
      <c r="H18" s="56">
        <f>N108+N138</f>
        <v>5050</v>
      </c>
    </row>
    <row r="19" spans="1:18" s="236" customFormat="1" ht="15" customHeight="1" x14ac:dyDescent="0.25">
      <c r="A19" s="407"/>
      <c r="B19" s="673">
        <v>150</v>
      </c>
      <c r="C19" s="389" t="s">
        <v>510</v>
      </c>
      <c r="D19" s="15"/>
      <c r="E19" s="683">
        <f t="shared" si="1"/>
        <v>8550</v>
      </c>
      <c r="F19" s="353">
        <f>N152+N172</f>
        <v>0</v>
      </c>
      <c r="G19" s="159"/>
      <c r="H19" s="56">
        <f>N112+N132</f>
        <v>8550</v>
      </c>
    </row>
    <row r="20" spans="1:18" customFormat="1" ht="15" customHeight="1" x14ac:dyDescent="0.25">
      <c r="A20" s="4"/>
      <c r="B20" s="673">
        <v>178</v>
      </c>
      <c r="C20" s="389" t="s">
        <v>1471</v>
      </c>
      <c r="D20" s="15"/>
      <c r="E20" s="683">
        <f t="shared" si="1"/>
        <v>2610</v>
      </c>
      <c r="F20" s="353">
        <f>N155+N175</f>
        <v>0</v>
      </c>
      <c r="G20" s="159">
        <f>P116+P156</f>
        <v>0</v>
      </c>
      <c r="H20" s="56">
        <f>N115+N135</f>
        <v>2610</v>
      </c>
    </row>
    <row r="21" spans="1:18" customFormat="1" ht="15" customHeight="1" x14ac:dyDescent="0.25">
      <c r="A21" s="4"/>
      <c r="B21" s="673" t="s">
        <v>32</v>
      </c>
      <c r="C21" s="389" t="s">
        <v>811</v>
      </c>
      <c r="D21" s="15"/>
      <c r="E21" s="683">
        <f t="shared" si="1"/>
        <v>2750</v>
      </c>
      <c r="F21" s="353">
        <f>N157+N177</f>
        <v>0</v>
      </c>
      <c r="G21" s="159">
        <f>P118+P158</f>
        <v>0</v>
      </c>
      <c r="H21" s="56">
        <f>N117+N137</f>
        <v>2750</v>
      </c>
    </row>
    <row r="22" spans="1:18" customFormat="1" ht="15" customHeight="1" x14ac:dyDescent="0.25">
      <c r="A22" s="4"/>
      <c r="B22" s="673">
        <v>180</v>
      </c>
      <c r="C22" s="389" t="s">
        <v>1453</v>
      </c>
      <c r="D22" s="15"/>
      <c r="E22" s="683">
        <f t="shared" si="1"/>
        <v>3150</v>
      </c>
      <c r="F22" s="353">
        <f>N159+N179</f>
        <v>0</v>
      </c>
      <c r="G22" s="159">
        <f>P120</f>
        <v>0</v>
      </c>
      <c r="H22" s="56">
        <f>N119+N139</f>
        <v>3150</v>
      </c>
    </row>
    <row r="23" spans="1:18" customFormat="1" ht="15" customHeight="1" thickBot="1" x14ac:dyDescent="0.3">
      <c r="A23" s="4"/>
      <c r="B23" s="674">
        <v>110</v>
      </c>
      <c r="C23" s="391" t="s">
        <v>1472</v>
      </c>
      <c r="D23" s="59"/>
      <c r="E23" s="685">
        <f t="shared" si="1"/>
        <v>4900</v>
      </c>
      <c r="F23" s="354">
        <f>N160+N180</f>
        <v>2400</v>
      </c>
      <c r="G23" s="230">
        <f>P121</f>
        <v>0</v>
      </c>
      <c r="H23" s="231">
        <f>N120+N140</f>
        <v>2500</v>
      </c>
    </row>
    <row r="24" spans="1:18" ht="19.5" thickBot="1" x14ac:dyDescent="0.35">
      <c r="A24" s="14"/>
      <c r="D24" s="3"/>
      <c r="E24" s="3"/>
      <c r="F24" s="133">
        <v>6390000</v>
      </c>
      <c r="G24" s="3"/>
      <c r="H24" s="133">
        <v>6370000</v>
      </c>
      <c r="I24" s="3"/>
      <c r="J24" s="3"/>
      <c r="K24" s="3"/>
      <c r="L24" s="3"/>
      <c r="M24" s="3"/>
      <c r="N24" s="3"/>
      <c r="O24" s="3"/>
      <c r="P24" s="3"/>
      <c r="Q24" s="3"/>
    </row>
    <row r="25" spans="1:18" ht="30.75" thickTop="1" x14ac:dyDescent="0.25">
      <c r="A25" s="5" t="s">
        <v>219</v>
      </c>
      <c r="B25" s="8" t="s">
        <v>189</v>
      </c>
      <c r="C25" s="8" t="s">
        <v>13</v>
      </c>
      <c r="D25" s="6" t="s">
        <v>6</v>
      </c>
      <c r="E25" s="6" t="s">
        <v>250</v>
      </c>
      <c r="F25" s="6" t="s">
        <v>255</v>
      </c>
      <c r="G25" s="6" t="s">
        <v>8</v>
      </c>
      <c r="H25" s="6" t="s">
        <v>251</v>
      </c>
      <c r="I25" s="6" t="s">
        <v>252</v>
      </c>
      <c r="J25" s="6" t="s">
        <v>254</v>
      </c>
      <c r="K25" s="7" t="s">
        <v>253</v>
      </c>
      <c r="L25" s="6" t="s">
        <v>12</v>
      </c>
      <c r="M25" s="6" t="s">
        <v>1593</v>
      </c>
      <c r="N25" s="8" t="s">
        <v>1594</v>
      </c>
      <c r="O25" s="642" t="s">
        <v>1569</v>
      </c>
    </row>
    <row r="26" spans="1:18" x14ac:dyDescent="0.25">
      <c r="A26" s="410">
        <f>VLOOKUP(J26,SuppliesExpCodes,2)</f>
        <v>6370000</v>
      </c>
      <c r="B26" s="209" t="s">
        <v>19</v>
      </c>
      <c r="C26" s="419" t="s">
        <v>1019</v>
      </c>
      <c r="D26" s="419"/>
      <c r="E26" s="419"/>
      <c r="F26" s="419"/>
      <c r="G26" s="419"/>
      <c r="H26" s="355"/>
      <c r="I26" s="355"/>
      <c r="J26" s="419" t="s">
        <v>287</v>
      </c>
      <c r="K26" s="418"/>
      <c r="L26" s="418"/>
      <c r="M26" s="418"/>
      <c r="N26" s="418">
        <v>1500</v>
      </c>
      <c r="O26" s="349"/>
    </row>
    <row r="27" spans="1:18" x14ac:dyDescent="0.25">
      <c r="A27" s="410" t="e">
        <f t="shared" ref="A27:A36" si="2">VLOOKUP(J27,SuppliesExpCodes,2)</f>
        <v>#N/A</v>
      </c>
      <c r="B27" s="209" t="s">
        <v>19</v>
      </c>
      <c r="C27" s="419" t="s">
        <v>1019</v>
      </c>
      <c r="D27" s="419"/>
      <c r="E27" s="419"/>
      <c r="F27" s="419"/>
      <c r="G27" s="419"/>
      <c r="H27" s="355"/>
      <c r="I27" s="355"/>
      <c r="J27" s="419"/>
      <c r="K27" s="408"/>
      <c r="L27" s="408"/>
      <c r="M27" s="408"/>
      <c r="N27" s="408"/>
      <c r="O27" s="349"/>
      <c r="P27" s="407"/>
      <c r="Q27" s="407"/>
      <c r="R27" s="407"/>
    </row>
    <row r="28" spans="1:18" s="235" customFormat="1" x14ac:dyDescent="0.25">
      <c r="A28" s="410">
        <f>VLOOKUP(J28,SuppliesExpCodes,2)</f>
        <v>6370000</v>
      </c>
      <c r="B28" s="419" t="s">
        <v>18</v>
      </c>
      <c r="C28" s="459" t="s">
        <v>46</v>
      </c>
      <c r="D28" s="419"/>
      <c r="E28" s="419"/>
      <c r="F28" s="419" t="s">
        <v>1186</v>
      </c>
      <c r="G28" s="419"/>
      <c r="H28" s="355"/>
      <c r="I28" s="355"/>
      <c r="J28" s="419" t="s">
        <v>287</v>
      </c>
      <c r="K28" s="408"/>
      <c r="L28" s="408"/>
      <c r="M28" s="408"/>
      <c r="N28" s="408">
        <v>3000</v>
      </c>
      <c r="O28" s="349"/>
      <c r="P28" s="407"/>
      <c r="Q28" s="407"/>
      <c r="R28" s="407"/>
    </row>
    <row r="29" spans="1:18" s="407" customFormat="1" x14ac:dyDescent="0.25">
      <c r="A29" s="410">
        <f>VLOOKUP(J29,SuppliesExpCodes,2)</f>
        <v>6370000</v>
      </c>
      <c r="B29" s="419" t="s">
        <v>18</v>
      </c>
      <c r="C29" s="459" t="s">
        <v>46</v>
      </c>
      <c r="D29" s="419"/>
      <c r="E29" s="419"/>
      <c r="F29" s="419" t="s">
        <v>1187</v>
      </c>
      <c r="G29" s="419"/>
      <c r="H29" s="355"/>
      <c r="I29" s="355"/>
      <c r="J29" s="419" t="s">
        <v>287</v>
      </c>
      <c r="K29" s="408"/>
      <c r="L29" s="408"/>
      <c r="M29" s="408"/>
      <c r="N29" s="408">
        <v>3600</v>
      </c>
      <c r="O29" s="349"/>
    </row>
    <row r="30" spans="1:18" s="407" customFormat="1" x14ac:dyDescent="0.25">
      <c r="A30" s="410">
        <f t="shared" si="2"/>
        <v>6370000</v>
      </c>
      <c r="B30" s="419" t="s">
        <v>18</v>
      </c>
      <c r="C30" s="459" t="s">
        <v>46</v>
      </c>
      <c r="D30" s="419"/>
      <c r="E30" s="419"/>
      <c r="F30" s="419" t="s">
        <v>1782</v>
      </c>
      <c r="G30" s="419"/>
      <c r="H30" s="355"/>
      <c r="I30" s="355"/>
      <c r="J30" s="419" t="s">
        <v>287</v>
      </c>
      <c r="K30" s="408"/>
      <c r="L30" s="408"/>
      <c r="M30" s="408"/>
      <c r="N30" s="408">
        <v>500</v>
      </c>
      <c r="O30" s="349"/>
    </row>
    <row r="31" spans="1:18" s="407" customFormat="1" x14ac:dyDescent="0.25">
      <c r="A31" s="410">
        <f t="shared" si="2"/>
        <v>6390000</v>
      </c>
      <c r="B31" s="419" t="s">
        <v>18</v>
      </c>
      <c r="C31" s="459" t="s">
        <v>46</v>
      </c>
      <c r="D31" s="419" t="s">
        <v>1592</v>
      </c>
      <c r="E31" s="419"/>
      <c r="F31" s="419" t="s">
        <v>1184</v>
      </c>
      <c r="G31" s="419"/>
      <c r="H31" s="355"/>
      <c r="I31" s="355"/>
      <c r="J31" s="419" t="s">
        <v>393</v>
      </c>
      <c r="K31" s="408"/>
      <c r="L31" s="408"/>
      <c r="M31" s="408"/>
      <c r="N31" s="408">
        <v>2500</v>
      </c>
      <c r="O31" s="349"/>
    </row>
    <row r="32" spans="1:18" x14ac:dyDescent="0.25">
      <c r="A32" s="410">
        <f t="shared" si="2"/>
        <v>6390000</v>
      </c>
      <c r="B32" s="209" t="s">
        <v>18</v>
      </c>
      <c r="C32" s="459" t="s">
        <v>46</v>
      </c>
      <c r="D32" s="417" t="s">
        <v>1595</v>
      </c>
      <c r="E32" s="417"/>
      <c r="F32" s="417" t="s">
        <v>1185</v>
      </c>
      <c r="G32" s="417"/>
      <c r="H32" s="259"/>
      <c r="I32" s="259"/>
      <c r="J32" s="417" t="s">
        <v>393</v>
      </c>
      <c r="K32" s="420"/>
      <c r="L32" s="408"/>
      <c r="M32" s="408"/>
      <c r="N32" s="408">
        <v>7500</v>
      </c>
      <c r="O32" s="40"/>
      <c r="P32" s="407"/>
      <c r="Q32" s="407"/>
      <c r="R32" s="407"/>
    </row>
    <row r="33" spans="1:18" x14ac:dyDescent="0.25">
      <c r="A33" s="410">
        <f t="shared" si="2"/>
        <v>6390000</v>
      </c>
      <c r="B33" s="209" t="s">
        <v>18</v>
      </c>
      <c r="C33" s="459" t="s">
        <v>46</v>
      </c>
      <c r="D33" s="417" t="s">
        <v>1595</v>
      </c>
      <c r="E33" s="417"/>
      <c r="F33" s="421" t="s">
        <v>1781</v>
      </c>
      <c r="G33" s="417"/>
      <c r="H33" s="259"/>
      <c r="I33" s="259"/>
      <c r="J33" s="417" t="s">
        <v>393</v>
      </c>
      <c r="K33" s="420"/>
      <c r="L33" s="408"/>
      <c r="M33" s="408"/>
      <c r="N33" s="408">
        <v>1000</v>
      </c>
      <c r="O33" s="349"/>
      <c r="P33" s="407"/>
      <c r="Q33" s="407"/>
      <c r="R33" s="407"/>
    </row>
    <row r="34" spans="1:18" x14ac:dyDescent="0.25">
      <c r="A34" s="410">
        <f t="shared" si="2"/>
        <v>6370000</v>
      </c>
      <c r="B34" s="209" t="s">
        <v>22</v>
      </c>
      <c r="C34" s="459" t="s">
        <v>1019</v>
      </c>
      <c r="D34" s="417" t="s">
        <v>1618</v>
      </c>
      <c r="E34" s="417"/>
      <c r="F34" s="421"/>
      <c r="G34" s="421"/>
      <c r="H34" s="259"/>
      <c r="I34" s="259"/>
      <c r="J34" s="417" t="s">
        <v>287</v>
      </c>
      <c r="K34" s="420"/>
      <c r="L34" s="408"/>
      <c r="M34" s="408"/>
      <c r="N34" s="408">
        <v>250</v>
      </c>
      <c r="O34" s="349"/>
      <c r="P34" s="407"/>
      <c r="Q34" s="407"/>
      <c r="R34" s="407"/>
    </row>
    <row r="35" spans="1:18" x14ac:dyDescent="0.25">
      <c r="A35" s="410">
        <f t="shared" si="2"/>
        <v>6370000</v>
      </c>
      <c r="B35" s="209" t="s">
        <v>24</v>
      </c>
      <c r="C35" s="459" t="s">
        <v>1019</v>
      </c>
      <c r="D35" s="417" t="s">
        <v>1657</v>
      </c>
      <c r="E35" s="417"/>
      <c r="F35" s="421" t="s">
        <v>1619</v>
      </c>
      <c r="G35" s="421"/>
      <c r="H35" s="259"/>
      <c r="I35" s="259"/>
      <c r="J35" s="417" t="s">
        <v>287</v>
      </c>
      <c r="K35" s="420"/>
      <c r="L35" s="408"/>
      <c r="M35" s="408"/>
      <c r="N35" s="408">
        <v>2000</v>
      </c>
      <c r="O35" s="349"/>
      <c r="P35" s="407"/>
      <c r="Q35" s="407"/>
      <c r="R35" s="407"/>
    </row>
    <row r="36" spans="1:18" x14ac:dyDescent="0.25">
      <c r="A36" s="410">
        <f t="shared" si="2"/>
        <v>6370000</v>
      </c>
      <c r="B36" s="209" t="s">
        <v>24</v>
      </c>
      <c r="C36" s="459" t="s">
        <v>1019</v>
      </c>
      <c r="D36" s="419" t="s">
        <v>1658</v>
      </c>
      <c r="E36" s="419"/>
      <c r="F36" s="419" t="s">
        <v>1659</v>
      </c>
      <c r="G36" s="419"/>
      <c r="H36" s="355"/>
      <c r="I36" s="355"/>
      <c r="J36" s="419" t="s">
        <v>287</v>
      </c>
      <c r="K36" s="408"/>
      <c r="L36" s="408"/>
      <c r="M36" s="408"/>
      <c r="N36" s="408">
        <v>3000</v>
      </c>
      <c r="O36" s="349"/>
      <c r="P36" s="407"/>
      <c r="Q36" s="407"/>
      <c r="R36" s="407"/>
    </row>
    <row r="37" spans="1:18" x14ac:dyDescent="0.25">
      <c r="A37" s="410">
        <f t="shared" ref="A37:A47" si="3">VLOOKUP(J37,SuppliesExpCodes,2)</f>
        <v>6370000</v>
      </c>
      <c r="B37" s="209" t="s">
        <v>24</v>
      </c>
      <c r="C37" s="459" t="s">
        <v>1019</v>
      </c>
      <c r="D37" s="417" t="s">
        <v>276</v>
      </c>
      <c r="E37" s="417"/>
      <c r="F37" s="417" t="s">
        <v>1660</v>
      </c>
      <c r="G37" s="417"/>
      <c r="H37" s="259"/>
      <c r="I37" s="259"/>
      <c r="J37" s="417" t="s">
        <v>287</v>
      </c>
      <c r="K37" s="420"/>
      <c r="L37" s="408"/>
      <c r="M37" s="408"/>
      <c r="N37" s="408">
        <v>2000</v>
      </c>
      <c r="O37" s="349"/>
      <c r="P37" s="407"/>
      <c r="Q37" s="407"/>
      <c r="R37" s="407"/>
    </row>
    <row r="38" spans="1:18" x14ac:dyDescent="0.25">
      <c r="A38" s="410">
        <f t="shared" si="3"/>
        <v>6370000</v>
      </c>
      <c r="B38" s="209" t="s">
        <v>25</v>
      </c>
      <c r="C38" s="459" t="s">
        <v>96</v>
      </c>
      <c r="D38" s="417" t="s">
        <v>276</v>
      </c>
      <c r="E38" s="417"/>
      <c r="F38" s="421"/>
      <c r="G38" s="421"/>
      <c r="H38" s="259"/>
      <c r="I38" s="259"/>
      <c r="J38" s="417" t="s">
        <v>287</v>
      </c>
      <c r="K38" s="420"/>
      <c r="L38" s="408"/>
      <c r="M38" s="408"/>
      <c r="N38" s="408">
        <v>500</v>
      </c>
      <c r="O38" s="349"/>
      <c r="P38" s="407"/>
      <c r="Q38" s="407"/>
      <c r="R38" s="407"/>
    </row>
    <row r="39" spans="1:18" x14ac:dyDescent="0.25">
      <c r="A39" s="410">
        <f t="shared" si="3"/>
        <v>6370000</v>
      </c>
      <c r="B39" s="209" t="s">
        <v>25</v>
      </c>
      <c r="C39" s="459" t="s">
        <v>99</v>
      </c>
      <c r="D39" s="417" t="s">
        <v>276</v>
      </c>
      <c r="E39" s="417"/>
      <c r="F39" s="421"/>
      <c r="G39" s="421"/>
      <c r="H39" s="259"/>
      <c r="I39" s="259"/>
      <c r="J39" s="417" t="s">
        <v>287</v>
      </c>
      <c r="K39" s="420"/>
      <c r="L39" s="408"/>
      <c r="M39" s="408"/>
      <c r="N39" s="408">
        <v>500</v>
      </c>
      <c r="O39" s="349"/>
      <c r="P39" s="407"/>
      <c r="Q39" s="407"/>
      <c r="R39" s="407"/>
    </row>
    <row r="40" spans="1:18" x14ac:dyDescent="0.25">
      <c r="A40" s="410">
        <f t="shared" si="3"/>
        <v>6370000</v>
      </c>
      <c r="B40" s="209" t="s">
        <v>394</v>
      </c>
      <c r="C40" s="419" t="s">
        <v>1010</v>
      </c>
      <c r="D40" s="417" t="s">
        <v>276</v>
      </c>
      <c r="E40" s="417"/>
      <c r="F40" s="417"/>
      <c r="G40" s="417"/>
      <c r="H40" s="259"/>
      <c r="I40" s="259"/>
      <c r="J40" s="417" t="s">
        <v>287</v>
      </c>
      <c r="K40" s="348"/>
      <c r="L40" s="418"/>
      <c r="M40" s="418"/>
      <c r="N40" s="418">
        <v>100</v>
      </c>
      <c r="O40" s="349"/>
      <c r="P40" s="407"/>
      <c r="Q40" s="407"/>
      <c r="R40" s="407"/>
    </row>
    <row r="41" spans="1:18" x14ac:dyDescent="0.25">
      <c r="A41" s="410">
        <f t="shared" si="3"/>
        <v>6370000</v>
      </c>
      <c r="B41" s="209" t="s">
        <v>394</v>
      </c>
      <c r="C41" s="419" t="s">
        <v>985</v>
      </c>
      <c r="D41" s="417" t="s">
        <v>276</v>
      </c>
      <c r="E41" s="417"/>
      <c r="F41" s="417"/>
      <c r="G41" s="417"/>
      <c r="H41" s="259"/>
      <c r="I41" s="259"/>
      <c r="J41" s="417" t="s">
        <v>287</v>
      </c>
      <c r="K41" s="348"/>
      <c r="L41" s="418"/>
      <c r="M41" s="418"/>
      <c r="N41" s="418">
        <v>100</v>
      </c>
      <c r="O41" s="349"/>
      <c r="P41" s="407"/>
      <c r="Q41" s="407"/>
      <c r="R41" s="407"/>
    </row>
    <row r="42" spans="1:18" x14ac:dyDescent="0.25">
      <c r="A42" s="410">
        <f t="shared" si="3"/>
        <v>6370000</v>
      </c>
      <c r="B42" s="209" t="s">
        <v>394</v>
      </c>
      <c r="C42" s="419" t="s">
        <v>1053</v>
      </c>
      <c r="D42" s="417" t="s">
        <v>276</v>
      </c>
      <c r="E42" s="417"/>
      <c r="F42" s="417"/>
      <c r="G42" s="417"/>
      <c r="H42" s="259"/>
      <c r="I42" s="259"/>
      <c r="J42" s="417" t="s">
        <v>287</v>
      </c>
      <c r="K42" s="348"/>
      <c r="L42" s="418"/>
      <c r="M42" s="418"/>
      <c r="N42" s="418">
        <v>100</v>
      </c>
      <c r="O42" s="349"/>
      <c r="P42" s="407"/>
      <c r="Q42" s="407"/>
      <c r="R42" s="407"/>
    </row>
    <row r="43" spans="1:18" x14ac:dyDescent="0.25">
      <c r="A43" s="410">
        <f t="shared" si="3"/>
        <v>6370000</v>
      </c>
      <c r="B43" s="209" t="s">
        <v>394</v>
      </c>
      <c r="C43" s="419" t="s">
        <v>939</v>
      </c>
      <c r="D43" s="417" t="s">
        <v>276</v>
      </c>
      <c r="E43" s="417"/>
      <c r="F43" s="417"/>
      <c r="G43" s="417"/>
      <c r="H43" s="259"/>
      <c r="I43" s="259"/>
      <c r="J43" s="417" t="s">
        <v>287</v>
      </c>
      <c r="K43" s="348"/>
      <c r="L43" s="418"/>
      <c r="M43" s="418"/>
      <c r="N43" s="418">
        <v>500</v>
      </c>
      <c r="O43" s="349"/>
      <c r="P43" s="407"/>
      <c r="Q43" s="407"/>
      <c r="R43" s="407"/>
    </row>
    <row r="44" spans="1:18" x14ac:dyDescent="0.25">
      <c r="A44" s="410">
        <f t="shared" si="3"/>
        <v>6370000</v>
      </c>
      <c r="B44" s="209" t="s">
        <v>394</v>
      </c>
      <c r="C44" s="419" t="s">
        <v>937</v>
      </c>
      <c r="D44" s="417" t="s">
        <v>276</v>
      </c>
      <c r="E44" s="417"/>
      <c r="F44" s="417"/>
      <c r="G44" s="417"/>
      <c r="H44" s="259"/>
      <c r="I44" s="259"/>
      <c r="J44" s="417" t="s">
        <v>287</v>
      </c>
      <c r="K44" s="348"/>
      <c r="L44" s="418"/>
      <c r="M44" s="418"/>
      <c r="N44" s="418">
        <v>500</v>
      </c>
      <c r="O44" s="349"/>
      <c r="P44" s="407"/>
      <c r="Q44" s="407"/>
      <c r="R44" s="407"/>
    </row>
    <row r="45" spans="1:18" x14ac:dyDescent="0.25">
      <c r="A45" s="410">
        <f t="shared" si="3"/>
        <v>6370000</v>
      </c>
      <c r="B45" s="209" t="s">
        <v>350</v>
      </c>
      <c r="C45" s="419" t="s">
        <v>98</v>
      </c>
      <c r="D45" s="417" t="s">
        <v>1618</v>
      </c>
      <c r="E45" s="417"/>
      <c r="F45" s="421"/>
      <c r="G45" s="417"/>
      <c r="H45" s="259"/>
      <c r="I45" s="259"/>
      <c r="J45" s="419" t="s">
        <v>287</v>
      </c>
      <c r="K45" s="348"/>
      <c r="L45" s="408"/>
      <c r="M45" s="408"/>
      <c r="N45" s="408">
        <v>639</v>
      </c>
      <c r="O45" s="349"/>
      <c r="P45" s="407"/>
      <c r="Q45" s="407"/>
      <c r="R45" s="407"/>
    </row>
    <row r="46" spans="1:18" x14ac:dyDescent="0.25">
      <c r="A46" s="410">
        <f t="shared" si="3"/>
        <v>6370000</v>
      </c>
      <c r="B46" s="209" t="s">
        <v>350</v>
      </c>
      <c r="C46" s="419" t="s">
        <v>120</v>
      </c>
      <c r="D46" s="417" t="s">
        <v>1618</v>
      </c>
      <c r="E46" s="419"/>
      <c r="F46" s="421"/>
      <c r="G46" s="417"/>
      <c r="H46" s="259"/>
      <c r="I46" s="259"/>
      <c r="J46" s="419" t="s">
        <v>287</v>
      </c>
      <c r="K46" s="348"/>
      <c r="L46" s="408"/>
      <c r="M46" s="408"/>
      <c r="N46" s="408">
        <v>27</v>
      </c>
      <c r="O46" s="349"/>
      <c r="P46" s="407"/>
      <c r="Q46" s="407"/>
      <c r="R46" s="407"/>
    </row>
    <row r="47" spans="1:18" x14ac:dyDescent="0.25">
      <c r="A47" s="410">
        <f t="shared" si="3"/>
        <v>6370000</v>
      </c>
      <c r="B47" s="209" t="s">
        <v>350</v>
      </c>
      <c r="C47" s="419" t="s">
        <v>1056</v>
      </c>
      <c r="D47" s="417" t="s">
        <v>1618</v>
      </c>
      <c r="E47" s="417"/>
      <c r="F47" s="421"/>
      <c r="G47" s="417"/>
      <c r="H47" s="259"/>
      <c r="I47" s="259"/>
      <c r="J47" s="419" t="s">
        <v>287</v>
      </c>
      <c r="K47" s="348"/>
      <c r="L47" s="418"/>
      <c r="M47" s="418"/>
      <c r="N47" s="418">
        <v>84</v>
      </c>
      <c r="O47" s="349"/>
      <c r="P47" s="407"/>
      <c r="Q47" s="407"/>
      <c r="R47" s="407"/>
    </row>
    <row r="48" spans="1:18" x14ac:dyDescent="0.25">
      <c r="A48" s="410">
        <f t="shared" ref="A48:A97" si="4">VLOOKUP(J48,SuppliesExpCodes,2)</f>
        <v>6370000</v>
      </c>
      <c r="B48" s="209" t="s">
        <v>350</v>
      </c>
      <c r="C48" s="419" t="s">
        <v>98</v>
      </c>
      <c r="D48" s="417" t="s">
        <v>1712</v>
      </c>
      <c r="E48" s="417"/>
      <c r="F48" s="417"/>
      <c r="G48" s="417"/>
      <c r="H48" s="259"/>
      <c r="I48" s="259"/>
      <c r="J48" s="419" t="s">
        <v>287</v>
      </c>
      <c r="K48" s="348"/>
      <c r="L48" s="418"/>
      <c r="M48" s="418"/>
      <c r="N48" s="418">
        <v>3410</v>
      </c>
      <c r="O48" s="349"/>
      <c r="P48" s="407"/>
      <c r="Q48" s="407"/>
      <c r="R48" s="407"/>
    </row>
    <row r="49" spans="1:18" x14ac:dyDescent="0.25">
      <c r="A49" s="410">
        <f t="shared" si="4"/>
        <v>6370000</v>
      </c>
      <c r="B49" s="209" t="s">
        <v>350</v>
      </c>
      <c r="C49" s="419" t="s">
        <v>120</v>
      </c>
      <c r="D49" s="417" t="s">
        <v>1712</v>
      </c>
      <c r="E49" s="417"/>
      <c r="F49" s="417"/>
      <c r="G49" s="417"/>
      <c r="H49" s="259"/>
      <c r="I49" s="259"/>
      <c r="J49" s="419" t="s">
        <v>287</v>
      </c>
      <c r="K49" s="348"/>
      <c r="L49" s="418"/>
      <c r="M49" s="418"/>
      <c r="N49" s="418">
        <v>140</v>
      </c>
      <c r="O49" s="349"/>
      <c r="P49" s="407"/>
      <c r="Q49" s="407"/>
      <c r="R49" s="407"/>
    </row>
    <row r="50" spans="1:18" x14ac:dyDescent="0.25">
      <c r="A50" s="410">
        <f t="shared" si="4"/>
        <v>6370000</v>
      </c>
      <c r="B50" s="209" t="s">
        <v>350</v>
      </c>
      <c r="C50" s="419" t="s">
        <v>1056</v>
      </c>
      <c r="D50" s="417" t="s">
        <v>1712</v>
      </c>
      <c r="E50" s="417"/>
      <c r="F50" s="417"/>
      <c r="G50" s="417"/>
      <c r="H50" s="259"/>
      <c r="I50" s="259"/>
      <c r="J50" s="419" t="s">
        <v>287</v>
      </c>
      <c r="K50" s="348"/>
      <c r="L50" s="418"/>
      <c r="M50" s="418"/>
      <c r="N50" s="418">
        <v>450</v>
      </c>
      <c r="O50" s="349"/>
      <c r="P50" s="407"/>
      <c r="Q50" s="407"/>
      <c r="R50" s="407"/>
    </row>
    <row r="51" spans="1:18" ht="16.5" customHeight="1" x14ac:dyDescent="0.25">
      <c r="A51" s="410">
        <f t="shared" si="4"/>
        <v>6370000</v>
      </c>
      <c r="B51" s="209" t="s">
        <v>350</v>
      </c>
      <c r="C51" s="419" t="s">
        <v>977</v>
      </c>
      <c r="D51" s="417" t="s">
        <v>1713</v>
      </c>
      <c r="E51" s="417"/>
      <c r="F51" s="417"/>
      <c r="G51" s="417"/>
      <c r="H51" s="259"/>
      <c r="I51" s="259"/>
      <c r="J51" s="419" t="s">
        <v>287</v>
      </c>
      <c r="K51" s="348"/>
      <c r="L51" s="418"/>
      <c r="M51" s="418"/>
      <c r="N51" s="418">
        <v>300</v>
      </c>
      <c r="O51" s="349"/>
      <c r="P51" s="407"/>
      <c r="Q51" s="407"/>
      <c r="R51" s="407"/>
    </row>
    <row r="52" spans="1:18" x14ac:dyDescent="0.25">
      <c r="A52" s="410">
        <f t="shared" si="4"/>
        <v>6370000</v>
      </c>
      <c r="B52" s="209" t="s">
        <v>1171</v>
      </c>
      <c r="C52" s="419" t="s">
        <v>1019</v>
      </c>
      <c r="D52" s="417" t="s">
        <v>1618</v>
      </c>
      <c r="E52" s="417"/>
      <c r="F52" s="417"/>
      <c r="G52" s="417"/>
      <c r="H52" s="259"/>
      <c r="I52" s="259"/>
      <c r="J52" s="417" t="s">
        <v>287</v>
      </c>
      <c r="K52" s="348"/>
      <c r="L52" s="418"/>
      <c r="M52" s="418"/>
      <c r="N52" s="418">
        <v>100</v>
      </c>
      <c r="O52" s="349"/>
      <c r="P52" s="407"/>
      <c r="Q52" s="407"/>
      <c r="R52" s="407"/>
    </row>
    <row r="53" spans="1:18" x14ac:dyDescent="0.25">
      <c r="A53" s="410">
        <f t="shared" si="4"/>
        <v>6370000</v>
      </c>
      <c r="B53" s="209" t="s">
        <v>1182</v>
      </c>
      <c r="C53" s="459" t="s">
        <v>1019</v>
      </c>
      <c r="D53" s="417" t="s">
        <v>1683</v>
      </c>
      <c r="E53" s="417"/>
      <c r="F53" s="421"/>
      <c r="G53" s="421"/>
      <c r="H53" s="355"/>
      <c r="I53" s="355"/>
      <c r="J53" s="419" t="s">
        <v>287</v>
      </c>
      <c r="K53" s="408"/>
      <c r="L53" s="408"/>
      <c r="M53" s="408"/>
      <c r="N53" s="408">
        <v>1500</v>
      </c>
      <c r="O53" s="349"/>
      <c r="P53" s="407"/>
      <c r="Q53" s="407"/>
      <c r="R53" s="407"/>
    </row>
    <row r="54" spans="1:18" x14ac:dyDescent="0.25">
      <c r="A54" s="410">
        <f t="shared" si="4"/>
        <v>6390000</v>
      </c>
      <c r="B54" s="209" t="s">
        <v>20</v>
      </c>
      <c r="C54" s="419" t="s">
        <v>46</v>
      </c>
      <c r="D54" s="417" t="s">
        <v>1592</v>
      </c>
      <c r="E54" s="417"/>
      <c r="F54" s="421" t="s">
        <v>1185</v>
      </c>
      <c r="G54" s="417"/>
      <c r="H54" s="259"/>
      <c r="I54" s="259"/>
      <c r="J54" s="417" t="s">
        <v>393</v>
      </c>
      <c r="K54" s="348"/>
      <c r="L54" s="418"/>
      <c r="M54" s="418"/>
      <c r="N54" s="418">
        <v>3500</v>
      </c>
      <c r="O54" s="349"/>
      <c r="P54" s="407"/>
      <c r="Q54" s="407"/>
      <c r="R54" s="407"/>
    </row>
    <row r="55" spans="1:18" s="407" customFormat="1" x14ac:dyDescent="0.25">
      <c r="A55" s="410">
        <f t="shared" si="4"/>
        <v>6370000</v>
      </c>
      <c r="B55" s="209" t="s">
        <v>20</v>
      </c>
      <c r="C55" s="419" t="s">
        <v>1019</v>
      </c>
      <c r="D55" s="417" t="s">
        <v>1596</v>
      </c>
      <c r="E55" s="417"/>
      <c r="F55" s="421" t="s">
        <v>1187</v>
      </c>
      <c r="G55" s="421"/>
      <c r="H55" s="259"/>
      <c r="I55" s="259"/>
      <c r="J55" s="417" t="s">
        <v>287</v>
      </c>
      <c r="K55" s="348"/>
      <c r="L55" s="418"/>
      <c r="M55" s="418"/>
      <c r="N55" s="418">
        <v>2500</v>
      </c>
      <c r="O55" s="349"/>
      <c r="P55" s="246"/>
    </row>
    <row r="56" spans="1:18" s="407" customFormat="1" x14ac:dyDescent="0.25">
      <c r="A56" s="410">
        <f t="shared" si="4"/>
        <v>6390000</v>
      </c>
      <c r="B56" s="209" t="s">
        <v>20</v>
      </c>
      <c r="C56" s="459" t="s">
        <v>46</v>
      </c>
      <c r="D56" s="417" t="s">
        <v>1596</v>
      </c>
      <c r="E56" s="419"/>
      <c r="F56" s="419" t="s">
        <v>1187</v>
      </c>
      <c r="G56" s="419"/>
      <c r="H56" s="355"/>
      <c r="I56" s="355"/>
      <c r="J56" s="419" t="s">
        <v>393</v>
      </c>
      <c r="K56" s="408"/>
      <c r="L56" s="408"/>
      <c r="M56" s="408"/>
      <c r="N56" s="408">
        <v>2500</v>
      </c>
      <c r="O56" s="349"/>
    </row>
    <row r="57" spans="1:18" s="407" customFormat="1" x14ac:dyDescent="0.25">
      <c r="A57" s="410">
        <f t="shared" si="4"/>
        <v>6370000</v>
      </c>
      <c r="B57" s="209" t="s">
        <v>20</v>
      </c>
      <c r="C57" s="459" t="s">
        <v>1019</v>
      </c>
      <c r="D57" s="417" t="s">
        <v>1596</v>
      </c>
      <c r="E57" s="419"/>
      <c r="F57" s="419" t="s">
        <v>1186</v>
      </c>
      <c r="G57" s="419"/>
      <c r="H57" s="355"/>
      <c r="I57" s="355"/>
      <c r="J57" s="419" t="s">
        <v>287</v>
      </c>
      <c r="K57" s="408"/>
      <c r="L57" s="408"/>
      <c r="M57" s="408"/>
      <c r="N57" s="408">
        <v>5000</v>
      </c>
      <c r="O57" s="349"/>
    </row>
    <row r="58" spans="1:18" s="407" customFormat="1" x14ac:dyDescent="0.25">
      <c r="A58" s="410" t="e">
        <f t="shared" si="4"/>
        <v>#N/A</v>
      </c>
      <c r="B58" s="209" t="s">
        <v>20</v>
      </c>
      <c r="C58" s="459"/>
      <c r="D58" s="417"/>
      <c r="E58" s="419"/>
      <c r="F58" s="419"/>
      <c r="G58" s="419"/>
      <c r="H58" s="355"/>
      <c r="I58" s="355"/>
      <c r="J58" s="419"/>
      <c r="K58" s="408"/>
      <c r="L58" s="408"/>
      <c r="M58" s="408"/>
      <c r="N58" s="408"/>
      <c r="O58" s="349"/>
    </row>
    <row r="59" spans="1:18" x14ac:dyDescent="0.25">
      <c r="A59" s="410">
        <f t="shared" si="4"/>
        <v>6370000</v>
      </c>
      <c r="B59" s="209" t="s">
        <v>510</v>
      </c>
      <c r="C59" s="459" t="s">
        <v>993</v>
      </c>
      <c r="D59" s="417"/>
      <c r="E59" s="417"/>
      <c r="F59" s="417"/>
      <c r="G59" s="417"/>
      <c r="H59" s="259"/>
      <c r="I59" s="259"/>
      <c r="J59" s="417" t="s">
        <v>1618</v>
      </c>
      <c r="K59" s="348"/>
      <c r="L59" s="418"/>
      <c r="M59" s="418"/>
      <c r="N59" s="418">
        <v>4500</v>
      </c>
      <c r="O59" s="349"/>
      <c r="P59" s="407"/>
      <c r="Q59" s="407"/>
      <c r="R59" s="407"/>
    </row>
    <row r="60" spans="1:18" x14ac:dyDescent="0.25">
      <c r="A60" s="410">
        <f t="shared" si="4"/>
        <v>6370000</v>
      </c>
      <c r="B60" s="209" t="s">
        <v>510</v>
      </c>
      <c r="C60" s="459" t="s">
        <v>990</v>
      </c>
      <c r="D60" s="417"/>
      <c r="E60" s="417"/>
      <c r="F60" s="417"/>
      <c r="G60" s="417"/>
      <c r="H60" s="259"/>
      <c r="I60" s="259"/>
      <c r="J60" s="417" t="s">
        <v>1618</v>
      </c>
      <c r="K60" s="420"/>
      <c r="L60" s="408"/>
      <c r="M60" s="408"/>
      <c r="N60" s="408">
        <v>1000</v>
      </c>
      <c r="O60" s="349"/>
      <c r="P60" s="407"/>
      <c r="Q60" s="407"/>
      <c r="R60" s="407"/>
    </row>
    <row r="61" spans="1:18" x14ac:dyDescent="0.25">
      <c r="A61" s="410">
        <f t="shared" si="4"/>
        <v>6370000</v>
      </c>
      <c r="B61" s="209" t="s">
        <v>510</v>
      </c>
      <c r="C61" s="459" t="s">
        <v>113</v>
      </c>
      <c r="D61" s="417"/>
      <c r="E61" s="419"/>
      <c r="F61" s="419"/>
      <c r="G61" s="419"/>
      <c r="H61" s="355"/>
      <c r="I61" s="355"/>
      <c r="J61" s="419" t="s">
        <v>1618</v>
      </c>
      <c r="K61" s="408"/>
      <c r="L61" s="408"/>
      <c r="M61" s="408"/>
      <c r="N61" s="408">
        <v>1000</v>
      </c>
      <c r="O61" s="349"/>
      <c r="P61" s="407"/>
      <c r="Q61" s="407"/>
      <c r="R61" s="407"/>
    </row>
    <row r="62" spans="1:18" x14ac:dyDescent="0.25">
      <c r="A62" s="410">
        <f t="shared" si="4"/>
        <v>6370000</v>
      </c>
      <c r="B62" s="209" t="s">
        <v>510</v>
      </c>
      <c r="C62" s="459" t="s">
        <v>994</v>
      </c>
      <c r="D62" s="417"/>
      <c r="E62" s="419"/>
      <c r="F62" s="419"/>
      <c r="G62" s="419"/>
      <c r="H62" s="355"/>
      <c r="I62" s="355"/>
      <c r="J62" s="419" t="s">
        <v>1618</v>
      </c>
      <c r="K62" s="408"/>
      <c r="L62" s="418"/>
      <c r="M62" s="418"/>
      <c r="N62" s="418">
        <v>750</v>
      </c>
      <c r="O62" s="349"/>
      <c r="P62" s="407"/>
      <c r="Q62" s="407"/>
      <c r="R62" s="407"/>
    </row>
    <row r="63" spans="1:18" x14ac:dyDescent="0.25">
      <c r="A63" s="410">
        <f t="shared" si="4"/>
        <v>6370000</v>
      </c>
      <c r="B63" s="209" t="s">
        <v>510</v>
      </c>
      <c r="C63" s="459" t="s">
        <v>1049</v>
      </c>
      <c r="D63" s="417"/>
      <c r="E63" s="419"/>
      <c r="F63" s="419"/>
      <c r="G63" s="419"/>
      <c r="H63" s="346"/>
      <c r="I63" s="346"/>
      <c r="J63" s="419" t="s">
        <v>287</v>
      </c>
      <c r="K63" s="408"/>
      <c r="L63" s="408"/>
      <c r="M63" s="408"/>
      <c r="N63" s="408">
        <v>1000</v>
      </c>
      <c r="O63" s="349"/>
      <c r="P63" s="407"/>
      <c r="Q63" s="407"/>
      <c r="R63" s="407"/>
    </row>
    <row r="64" spans="1:18" x14ac:dyDescent="0.25">
      <c r="A64" s="410">
        <f t="shared" si="4"/>
        <v>6370000</v>
      </c>
      <c r="B64" s="209" t="s">
        <v>510</v>
      </c>
      <c r="C64" s="459" t="s">
        <v>109</v>
      </c>
      <c r="D64" s="417"/>
      <c r="E64" s="417"/>
      <c r="F64" s="421"/>
      <c r="G64" s="421"/>
      <c r="H64" s="416"/>
      <c r="I64" s="416"/>
      <c r="J64" s="417" t="s">
        <v>287</v>
      </c>
      <c r="K64" s="420"/>
      <c r="L64" s="408"/>
      <c r="M64" s="408"/>
      <c r="N64" s="408">
        <v>300</v>
      </c>
      <c r="O64" s="349"/>
      <c r="P64" s="407"/>
      <c r="Q64" s="407"/>
      <c r="R64" s="407"/>
    </row>
    <row r="65" spans="1:18" x14ac:dyDescent="0.25">
      <c r="A65" s="410">
        <f t="shared" si="4"/>
        <v>6390000</v>
      </c>
      <c r="B65" s="209" t="s">
        <v>272</v>
      </c>
      <c r="C65" s="459" t="s">
        <v>1019</v>
      </c>
      <c r="D65" s="417" t="s">
        <v>1615</v>
      </c>
      <c r="E65" s="417"/>
      <c r="F65" s="417" t="s">
        <v>1616</v>
      </c>
      <c r="G65" s="417"/>
      <c r="H65" s="259"/>
      <c r="I65" s="259"/>
      <c r="J65" s="417" t="s">
        <v>393</v>
      </c>
      <c r="K65" s="420"/>
      <c r="L65" s="408"/>
      <c r="M65" s="408"/>
      <c r="N65" s="408">
        <v>4200</v>
      </c>
      <c r="O65" s="349"/>
      <c r="P65" s="407"/>
      <c r="Q65" s="407"/>
      <c r="R65" s="407"/>
    </row>
    <row r="66" spans="1:18" x14ac:dyDescent="0.25">
      <c r="A66" s="410">
        <f t="shared" si="4"/>
        <v>6370000</v>
      </c>
      <c r="B66" s="209" t="s">
        <v>272</v>
      </c>
      <c r="C66" s="459" t="s">
        <v>1019</v>
      </c>
      <c r="D66" s="419" t="s">
        <v>1615</v>
      </c>
      <c r="E66" s="419"/>
      <c r="F66" s="419" t="s">
        <v>1616</v>
      </c>
      <c r="G66" s="419"/>
      <c r="H66" s="355"/>
      <c r="I66" s="355"/>
      <c r="J66" s="419" t="s">
        <v>287</v>
      </c>
      <c r="K66" s="408"/>
      <c r="L66" s="408"/>
      <c r="M66" s="408"/>
      <c r="N66" s="408">
        <v>400</v>
      </c>
      <c r="O66" s="349"/>
      <c r="P66" s="407"/>
      <c r="Q66" s="407"/>
      <c r="R66" s="407"/>
    </row>
    <row r="67" spans="1:18" x14ac:dyDescent="0.25">
      <c r="A67" s="410">
        <f t="shared" si="4"/>
        <v>6390000</v>
      </c>
      <c r="B67" s="209" t="s">
        <v>272</v>
      </c>
      <c r="C67" s="459" t="s">
        <v>1019</v>
      </c>
      <c r="D67" s="417" t="s">
        <v>1617</v>
      </c>
      <c r="E67" s="417"/>
      <c r="F67" s="421" t="s">
        <v>1616</v>
      </c>
      <c r="G67" s="421"/>
      <c r="H67" s="259"/>
      <c r="I67" s="259"/>
      <c r="J67" s="419" t="s">
        <v>393</v>
      </c>
      <c r="K67" s="420"/>
      <c r="L67" s="408"/>
      <c r="M67" s="408"/>
      <c r="N67" s="408">
        <v>3450</v>
      </c>
      <c r="O67" s="349"/>
      <c r="P67" s="407"/>
      <c r="Q67" s="407"/>
      <c r="R67" s="407"/>
    </row>
    <row r="68" spans="1:18" x14ac:dyDescent="0.25">
      <c r="A68" s="410">
        <f t="shared" si="4"/>
        <v>6370000</v>
      </c>
      <c r="B68" s="209" t="s">
        <v>272</v>
      </c>
      <c r="C68" s="419" t="s">
        <v>1019</v>
      </c>
      <c r="D68" s="419" t="s">
        <v>1618</v>
      </c>
      <c r="E68" s="419"/>
      <c r="F68" s="419" t="s">
        <v>1619</v>
      </c>
      <c r="G68" s="419"/>
      <c r="H68" s="259"/>
      <c r="I68" s="259"/>
      <c r="J68" s="419" t="s">
        <v>287</v>
      </c>
      <c r="K68" s="408"/>
      <c r="L68" s="408"/>
      <c r="M68" s="408"/>
      <c r="N68" s="408">
        <v>2500</v>
      </c>
      <c r="O68" s="349"/>
      <c r="P68" s="407"/>
      <c r="Q68" s="407"/>
      <c r="R68" s="407"/>
    </row>
    <row r="69" spans="1:18" x14ac:dyDescent="0.25">
      <c r="A69" s="410">
        <f t="shared" si="4"/>
        <v>6370000</v>
      </c>
      <c r="B69" s="209" t="s">
        <v>21</v>
      </c>
      <c r="C69" s="419" t="s">
        <v>1019</v>
      </c>
      <c r="D69" s="419" t="s">
        <v>1618</v>
      </c>
      <c r="E69" s="417"/>
      <c r="F69" s="417" t="s">
        <v>1748</v>
      </c>
      <c r="G69" s="417"/>
      <c r="H69" s="259"/>
      <c r="I69" s="259"/>
      <c r="J69" s="417" t="s">
        <v>1618</v>
      </c>
      <c r="K69" s="420"/>
      <c r="L69" s="408"/>
      <c r="M69" s="408"/>
      <c r="N69" s="408">
        <v>1500</v>
      </c>
      <c r="O69" s="349"/>
      <c r="P69" s="407"/>
      <c r="Q69" s="407"/>
      <c r="R69" s="407"/>
    </row>
    <row r="70" spans="1:18" x14ac:dyDescent="0.25">
      <c r="A70" s="410">
        <f t="shared" si="4"/>
        <v>6370000</v>
      </c>
      <c r="B70" s="209" t="s">
        <v>1172</v>
      </c>
      <c r="C70" s="419" t="s">
        <v>954</v>
      </c>
      <c r="D70" s="419" t="s">
        <v>1689</v>
      </c>
      <c r="E70" s="419"/>
      <c r="F70" s="417" t="s">
        <v>1690</v>
      </c>
      <c r="G70" s="419"/>
      <c r="H70" s="355"/>
      <c r="I70" s="355"/>
      <c r="J70" s="419" t="s">
        <v>287</v>
      </c>
      <c r="K70" s="408"/>
      <c r="L70" s="408"/>
      <c r="M70" s="408"/>
      <c r="N70" s="408">
        <v>500</v>
      </c>
      <c r="O70" s="407"/>
      <c r="P70" s="407"/>
      <c r="Q70" s="407"/>
      <c r="R70" s="407"/>
    </row>
    <row r="71" spans="1:18" s="407" customFormat="1" x14ac:dyDescent="0.25">
      <c r="A71" s="410">
        <f t="shared" ref="A71:A75" si="5">VLOOKUP(J71,SuppliesExpCodes,2)</f>
        <v>6370000</v>
      </c>
      <c r="B71" s="209" t="s">
        <v>1172</v>
      </c>
      <c r="C71" s="419" t="s">
        <v>109</v>
      </c>
      <c r="D71" s="419" t="s">
        <v>1618</v>
      </c>
      <c r="E71" s="419"/>
      <c r="F71" s="417" t="s">
        <v>1690</v>
      </c>
      <c r="G71" s="419"/>
      <c r="H71" s="355"/>
      <c r="I71" s="355"/>
      <c r="J71" s="419" t="s">
        <v>287</v>
      </c>
      <c r="K71" s="408"/>
      <c r="L71" s="408"/>
      <c r="M71" s="408"/>
      <c r="N71" s="408">
        <v>500</v>
      </c>
    </row>
    <row r="72" spans="1:18" s="407" customFormat="1" x14ac:dyDescent="0.25">
      <c r="A72" s="410">
        <f t="shared" si="5"/>
        <v>6370000</v>
      </c>
      <c r="B72" s="209" t="s">
        <v>1172</v>
      </c>
      <c r="C72" s="419" t="s">
        <v>1044</v>
      </c>
      <c r="D72" s="419" t="s">
        <v>1618</v>
      </c>
      <c r="E72" s="419"/>
      <c r="F72" s="417" t="s">
        <v>1690</v>
      </c>
      <c r="G72" s="419"/>
      <c r="H72" s="355"/>
      <c r="I72" s="355"/>
      <c r="J72" s="419" t="s">
        <v>287</v>
      </c>
      <c r="K72" s="408"/>
      <c r="L72" s="408"/>
      <c r="M72" s="408"/>
      <c r="N72" s="408">
        <v>500</v>
      </c>
    </row>
    <row r="73" spans="1:18" s="407" customFormat="1" x14ac:dyDescent="0.25">
      <c r="A73" s="410">
        <f t="shared" si="5"/>
        <v>6370000</v>
      </c>
      <c r="B73" s="209" t="s">
        <v>1172</v>
      </c>
      <c r="C73" s="419" t="s">
        <v>954</v>
      </c>
      <c r="D73" s="419" t="s">
        <v>1618</v>
      </c>
      <c r="E73" s="419"/>
      <c r="F73" s="417" t="s">
        <v>1659</v>
      </c>
      <c r="G73" s="419"/>
      <c r="H73" s="355"/>
      <c r="I73" s="355"/>
      <c r="J73" s="419" t="s">
        <v>287</v>
      </c>
      <c r="K73" s="408"/>
      <c r="L73" s="408"/>
      <c r="M73" s="408"/>
      <c r="N73" s="408">
        <v>370</v>
      </c>
    </row>
    <row r="74" spans="1:18" s="407" customFormat="1" x14ac:dyDescent="0.25">
      <c r="A74" s="410">
        <f t="shared" si="5"/>
        <v>6370000</v>
      </c>
      <c r="B74" s="209" t="s">
        <v>1172</v>
      </c>
      <c r="C74" s="419" t="s">
        <v>109</v>
      </c>
      <c r="D74" s="419" t="s">
        <v>1618</v>
      </c>
      <c r="E74" s="419"/>
      <c r="F74" s="417" t="s">
        <v>1659</v>
      </c>
      <c r="G74" s="419"/>
      <c r="H74" s="355"/>
      <c r="I74" s="355"/>
      <c r="J74" s="419" t="s">
        <v>287</v>
      </c>
      <c r="K74" s="408"/>
      <c r="L74" s="408"/>
      <c r="M74" s="408"/>
      <c r="N74" s="408">
        <v>370</v>
      </c>
    </row>
    <row r="75" spans="1:18" s="407" customFormat="1" x14ac:dyDescent="0.25">
      <c r="A75" s="410">
        <f t="shared" si="5"/>
        <v>6370000</v>
      </c>
      <c r="B75" s="209" t="s">
        <v>1172</v>
      </c>
      <c r="C75" s="419" t="s">
        <v>1044</v>
      </c>
      <c r="D75" s="419" t="s">
        <v>1618</v>
      </c>
      <c r="E75" s="419"/>
      <c r="F75" s="417" t="s">
        <v>1659</v>
      </c>
      <c r="G75" s="419"/>
      <c r="H75" s="355"/>
      <c r="I75" s="355"/>
      <c r="J75" s="419" t="s">
        <v>287</v>
      </c>
      <c r="K75" s="408"/>
      <c r="L75" s="408"/>
      <c r="M75" s="408"/>
      <c r="N75" s="408">
        <v>370</v>
      </c>
    </row>
    <row r="76" spans="1:18" x14ac:dyDescent="0.25">
      <c r="A76" s="410">
        <f t="shared" si="4"/>
        <v>6390000</v>
      </c>
      <c r="B76" s="209" t="s">
        <v>810</v>
      </c>
      <c r="C76" s="419" t="s">
        <v>1019</v>
      </c>
      <c r="D76" s="419" t="s">
        <v>1744</v>
      </c>
      <c r="E76" s="419"/>
      <c r="F76" s="419" t="s">
        <v>1745</v>
      </c>
      <c r="G76" s="419"/>
      <c r="H76" s="355"/>
      <c r="I76" s="355"/>
      <c r="J76" s="419" t="s">
        <v>393</v>
      </c>
      <c r="K76" s="418"/>
      <c r="L76" s="418"/>
      <c r="M76" s="418"/>
      <c r="N76" s="418">
        <v>1600</v>
      </c>
      <c r="O76" s="39"/>
      <c r="P76" s="407"/>
      <c r="Q76" s="407"/>
      <c r="R76" s="407"/>
    </row>
    <row r="77" spans="1:18" x14ac:dyDescent="0.25">
      <c r="A77" s="410">
        <f t="shared" si="4"/>
        <v>6370000</v>
      </c>
      <c r="B77" s="209" t="s">
        <v>810</v>
      </c>
      <c r="C77" s="419" t="s">
        <v>1019</v>
      </c>
      <c r="D77" s="417" t="s">
        <v>1746</v>
      </c>
      <c r="E77" s="417"/>
      <c r="F77" s="417" t="s">
        <v>1747</v>
      </c>
      <c r="G77" s="417"/>
      <c r="H77" s="259"/>
      <c r="I77" s="259"/>
      <c r="J77" s="417" t="s">
        <v>287</v>
      </c>
      <c r="K77" s="348"/>
      <c r="L77" s="418"/>
      <c r="M77" s="418"/>
      <c r="N77" s="418">
        <v>150</v>
      </c>
      <c r="O77" s="39"/>
      <c r="P77" s="407"/>
      <c r="Q77" s="407"/>
      <c r="R77" s="407"/>
    </row>
    <row r="78" spans="1:18" x14ac:dyDescent="0.25">
      <c r="A78" s="410">
        <f t="shared" si="4"/>
        <v>6370000</v>
      </c>
      <c r="B78" s="209" t="s">
        <v>810</v>
      </c>
      <c r="C78" s="419" t="s">
        <v>1019</v>
      </c>
      <c r="D78" s="417" t="s">
        <v>1712</v>
      </c>
      <c r="E78" s="419"/>
      <c r="F78" s="419" t="s">
        <v>1659</v>
      </c>
      <c r="G78" s="419"/>
      <c r="H78" s="355"/>
      <c r="I78" s="355"/>
      <c r="J78" s="419" t="s">
        <v>287</v>
      </c>
      <c r="K78" s="408"/>
      <c r="L78" s="408"/>
      <c r="M78" s="408"/>
      <c r="N78" s="408">
        <v>28000</v>
      </c>
      <c r="O78" s="407"/>
      <c r="P78" s="407"/>
      <c r="Q78" s="407"/>
      <c r="R78" s="407"/>
    </row>
    <row r="79" spans="1:18" x14ac:dyDescent="0.25">
      <c r="A79" s="410">
        <f t="shared" si="4"/>
        <v>6370000</v>
      </c>
      <c r="B79" s="209" t="s">
        <v>810</v>
      </c>
      <c r="C79" s="419" t="s">
        <v>1019</v>
      </c>
      <c r="D79" s="417" t="s">
        <v>1749</v>
      </c>
      <c r="E79" s="417"/>
      <c r="F79" s="421" t="s">
        <v>1748</v>
      </c>
      <c r="G79" s="421"/>
      <c r="H79" s="259"/>
      <c r="I79" s="259"/>
      <c r="J79" s="417" t="s">
        <v>287</v>
      </c>
      <c r="K79" s="420"/>
      <c r="L79" s="408"/>
      <c r="M79" s="408"/>
      <c r="N79" s="408">
        <f>6480+2000</f>
        <v>8480</v>
      </c>
      <c r="O79" s="407"/>
      <c r="P79" s="407"/>
      <c r="Q79" s="407"/>
      <c r="R79" s="407"/>
    </row>
    <row r="80" spans="1:18" x14ac:dyDescent="0.25">
      <c r="A80" s="410">
        <f t="shared" si="4"/>
        <v>6370000</v>
      </c>
      <c r="B80" s="209" t="s">
        <v>811</v>
      </c>
      <c r="C80" s="419" t="s">
        <v>108</v>
      </c>
      <c r="D80" s="419" t="s">
        <v>1683</v>
      </c>
      <c r="E80" s="419"/>
      <c r="F80" s="419" t="s">
        <v>1619</v>
      </c>
      <c r="G80" s="419"/>
      <c r="H80" s="355"/>
      <c r="I80" s="355"/>
      <c r="J80" s="419" t="s">
        <v>287</v>
      </c>
      <c r="K80" s="408"/>
      <c r="L80" s="408"/>
      <c r="M80" s="408"/>
      <c r="N80" s="408">
        <v>750</v>
      </c>
      <c r="O80" s="407"/>
      <c r="P80" s="407"/>
      <c r="Q80" s="407"/>
      <c r="R80" s="407"/>
    </row>
    <row r="81" spans="1:18" x14ac:dyDescent="0.25">
      <c r="A81" s="410">
        <f t="shared" si="4"/>
        <v>6370000</v>
      </c>
      <c r="B81" s="209" t="s">
        <v>811</v>
      </c>
      <c r="C81" s="459" t="s">
        <v>108</v>
      </c>
      <c r="D81" s="419" t="s">
        <v>1683</v>
      </c>
      <c r="E81" s="417"/>
      <c r="F81" s="421" t="s">
        <v>1659</v>
      </c>
      <c r="G81" s="421"/>
      <c r="H81" s="259"/>
      <c r="I81" s="259"/>
      <c r="J81" s="417" t="s">
        <v>287</v>
      </c>
      <c r="K81" s="420"/>
      <c r="L81" s="408"/>
      <c r="M81" s="408"/>
      <c r="N81" s="408">
        <v>2000</v>
      </c>
      <c r="O81" s="407"/>
      <c r="P81" s="407"/>
      <c r="Q81" s="407"/>
      <c r="R81" s="407"/>
    </row>
    <row r="82" spans="1:18" x14ac:dyDescent="0.25">
      <c r="A82" s="410">
        <f t="shared" si="4"/>
        <v>6370000</v>
      </c>
      <c r="B82" s="209" t="s">
        <v>23</v>
      </c>
      <c r="C82" s="419" t="s">
        <v>1019</v>
      </c>
      <c r="D82" s="417" t="s">
        <v>1618</v>
      </c>
      <c r="E82" s="417"/>
      <c r="F82" s="421"/>
      <c r="G82" s="417"/>
      <c r="H82" s="259"/>
      <c r="I82" s="259"/>
      <c r="J82" s="417" t="s">
        <v>287</v>
      </c>
      <c r="K82" s="348"/>
      <c r="L82" s="418"/>
      <c r="M82" s="418"/>
      <c r="N82" s="418">
        <v>300</v>
      </c>
      <c r="O82" s="407"/>
      <c r="P82" s="407"/>
      <c r="Q82" s="407"/>
      <c r="R82" s="407"/>
    </row>
    <row r="83" spans="1:18" x14ac:dyDescent="0.25">
      <c r="A83" s="410">
        <f t="shared" si="4"/>
        <v>6370000</v>
      </c>
      <c r="B83" s="209" t="s">
        <v>268</v>
      </c>
      <c r="C83" s="419" t="s">
        <v>99</v>
      </c>
      <c r="D83" s="417" t="s">
        <v>1618</v>
      </c>
      <c r="E83" s="417"/>
      <c r="F83" s="421"/>
      <c r="G83" s="417"/>
      <c r="H83" s="259"/>
      <c r="I83" s="259"/>
      <c r="J83" s="417" t="s">
        <v>287</v>
      </c>
      <c r="K83" s="348"/>
      <c r="L83" s="418"/>
      <c r="M83" s="418"/>
      <c r="N83" s="418">
        <f>300+300</f>
        <v>600</v>
      </c>
      <c r="O83" s="407"/>
      <c r="P83" s="407"/>
      <c r="Q83" s="407"/>
      <c r="R83" s="407"/>
    </row>
    <row r="84" spans="1:18" x14ac:dyDescent="0.25">
      <c r="A84" s="410">
        <f t="shared" si="4"/>
        <v>6370000</v>
      </c>
      <c r="B84" s="209" t="s">
        <v>268</v>
      </c>
      <c r="C84" s="419" t="s">
        <v>96</v>
      </c>
      <c r="D84" s="417" t="s">
        <v>1618</v>
      </c>
      <c r="E84" s="417"/>
      <c r="F84" s="421"/>
      <c r="G84" s="417"/>
      <c r="H84" s="259"/>
      <c r="I84" s="259"/>
      <c r="J84" s="417" t="s">
        <v>287</v>
      </c>
      <c r="K84" s="348"/>
      <c r="L84" s="418"/>
      <c r="M84" s="418"/>
      <c r="N84" s="418">
        <f>1000+500</f>
        <v>1500</v>
      </c>
      <c r="O84" s="407"/>
      <c r="P84" s="407"/>
      <c r="Q84" s="407"/>
      <c r="R84" s="407"/>
    </row>
    <row r="85" spans="1:18" x14ac:dyDescent="0.25">
      <c r="A85" s="410">
        <f t="shared" si="4"/>
        <v>6370000</v>
      </c>
      <c r="B85" s="209" t="s">
        <v>268</v>
      </c>
      <c r="C85" s="419" t="s">
        <v>96</v>
      </c>
      <c r="D85" s="417" t="s">
        <v>1712</v>
      </c>
      <c r="E85" s="417"/>
      <c r="F85" s="421"/>
      <c r="G85" s="417"/>
      <c r="H85" s="259"/>
      <c r="I85" s="259"/>
      <c r="J85" s="417" t="s">
        <v>287</v>
      </c>
      <c r="K85" s="348"/>
      <c r="L85" s="418"/>
      <c r="M85" s="418"/>
      <c r="N85" s="418">
        <v>400</v>
      </c>
      <c r="O85" s="407"/>
      <c r="P85" s="407"/>
      <c r="Q85" s="407"/>
      <c r="R85" s="407"/>
    </row>
    <row r="86" spans="1:18" x14ac:dyDescent="0.25">
      <c r="A86" s="410">
        <f t="shared" si="4"/>
        <v>6370000</v>
      </c>
      <c r="B86" s="209" t="s">
        <v>268</v>
      </c>
      <c r="C86" s="482" t="s">
        <v>99</v>
      </c>
      <c r="D86" s="419" t="s">
        <v>1712</v>
      </c>
      <c r="E86" s="419"/>
      <c r="F86" s="419"/>
      <c r="G86" s="419"/>
      <c r="H86" s="355"/>
      <c r="I86" s="355"/>
      <c r="J86" s="419" t="s">
        <v>287</v>
      </c>
      <c r="K86" s="408"/>
      <c r="L86" s="408"/>
      <c r="M86" s="408"/>
      <c r="N86" s="408">
        <v>650</v>
      </c>
      <c r="O86" s="407"/>
      <c r="P86" s="407"/>
      <c r="Q86" s="407"/>
      <c r="R86" s="407"/>
    </row>
    <row r="87" spans="1:18" x14ac:dyDescent="0.25">
      <c r="A87" s="410">
        <f t="shared" si="4"/>
        <v>6370000</v>
      </c>
      <c r="B87" s="209" t="s">
        <v>267</v>
      </c>
      <c r="C87" s="419" t="s">
        <v>103</v>
      </c>
      <c r="D87" s="419"/>
      <c r="E87" s="419"/>
      <c r="F87" s="419"/>
      <c r="G87" s="419"/>
      <c r="H87" s="355"/>
      <c r="I87" s="355"/>
      <c r="J87" s="419" t="s">
        <v>287</v>
      </c>
      <c r="K87" s="408"/>
      <c r="L87" s="408"/>
      <c r="M87" s="408"/>
      <c r="N87" s="408">
        <v>2500</v>
      </c>
      <c r="O87" s="407"/>
      <c r="P87" s="407"/>
      <c r="Q87" s="407"/>
      <c r="R87" s="407"/>
    </row>
    <row r="88" spans="1:18" x14ac:dyDescent="0.25">
      <c r="A88" s="410">
        <f t="shared" si="4"/>
        <v>6390000</v>
      </c>
      <c r="B88" s="209" t="s">
        <v>267</v>
      </c>
      <c r="C88" s="419" t="s">
        <v>103</v>
      </c>
      <c r="D88" s="419"/>
      <c r="E88" s="419"/>
      <c r="F88" s="419"/>
      <c r="G88" s="419"/>
      <c r="H88" s="355"/>
      <c r="I88" s="355"/>
      <c r="J88" s="419" t="s">
        <v>393</v>
      </c>
      <c r="K88" s="401"/>
      <c r="L88" s="408"/>
      <c r="M88" s="408"/>
      <c r="N88" s="408">
        <v>2400</v>
      </c>
      <c r="O88" s="407"/>
      <c r="P88" s="407"/>
      <c r="Q88" s="407"/>
      <c r="R88" s="407"/>
    </row>
    <row r="89" spans="1:18" x14ac:dyDescent="0.25">
      <c r="A89" s="410" t="e">
        <f t="shared" si="4"/>
        <v>#N/A</v>
      </c>
      <c r="B89" s="209" t="s">
        <v>267</v>
      </c>
      <c r="C89" s="419" t="s">
        <v>103</v>
      </c>
      <c r="D89" s="419"/>
      <c r="E89" s="419"/>
      <c r="F89" s="419"/>
      <c r="G89" s="419"/>
      <c r="H89" s="355"/>
      <c r="I89" s="355"/>
      <c r="J89" s="419"/>
      <c r="K89" s="418"/>
      <c r="L89" s="418"/>
      <c r="M89" s="418"/>
      <c r="N89" s="418"/>
      <c r="O89" s="407"/>
      <c r="P89" s="407"/>
      <c r="Q89" s="407"/>
      <c r="R89" s="407"/>
    </row>
    <row r="90" spans="1:18" x14ac:dyDescent="0.25">
      <c r="A90" s="410">
        <f t="shared" si="4"/>
        <v>6370000</v>
      </c>
      <c r="B90" s="209" t="s">
        <v>920</v>
      </c>
      <c r="C90" s="419" t="s">
        <v>1019</v>
      </c>
      <c r="D90" s="417" t="s">
        <v>1618</v>
      </c>
      <c r="E90" s="417"/>
      <c r="F90" s="421"/>
      <c r="G90" s="417"/>
      <c r="H90" s="259"/>
      <c r="I90" s="259"/>
      <c r="J90" s="417" t="s">
        <v>1618</v>
      </c>
      <c r="K90" s="348"/>
      <c r="L90" s="418"/>
      <c r="M90" s="418"/>
      <c r="N90" s="418">
        <v>500</v>
      </c>
      <c r="O90" s="407"/>
      <c r="P90" s="407"/>
      <c r="Q90" s="407"/>
      <c r="R90" s="407"/>
    </row>
    <row r="91" spans="1:18" x14ac:dyDescent="0.25">
      <c r="A91" s="410" t="e">
        <f t="shared" si="4"/>
        <v>#N/A</v>
      </c>
      <c r="B91" s="209" t="s">
        <v>20</v>
      </c>
      <c r="C91" s="419" t="s">
        <v>46</v>
      </c>
      <c r="D91" s="417"/>
      <c r="E91" s="417"/>
      <c r="F91" s="379"/>
      <c r="G91" s="417"/>
      <c r="H91" s="259"/>
      <c r="I91" s="259"/>
      <c r="J91" s="417"/>
      <c r="K91" s="348"/>
      <c r="L91" s="418"/>
      <c r="M91" s="418"/>
      <c r="N91" s="418"/>
      <c r="O91" s="407"/>
      <c r="P91" s="407"/>
      <c r="Q91" s="407"/>
      <c r="R91" s="407"/>
    </row>
    <row r="92" spans="1:18" x14ac:dyDescent="0.25">
      <c r="A92" s="410" t="e">
        <f t="shared" si="4"/>
        <v>#N/A</v>
      </c>
      <c r="B92" s="209"/>
      <c r="C92" s="419"/>
      <c r="D92" s="417"/>
      <c r="E92" s="417"/>
      <c r="F92" s="421"/>
      <c r="G92" s="417"/>
      <c r="H92" s="259"/>
      <c r="I92" s="259"/>
      <c r="J92" s="417"/>
      <c r="K92" s="348"/>
      <c r="L92" s="418"/>
      <c r="M92" s="418"/>
      <c r="N92" s="418"/>
    </row>
    <row r="93" spans="1:18" x14ac:dyDescent="0.25">
      <c r="A93" s="410" t="e">
        <f t="shared" si="4"/>
        <v>#N/A</v>
      </c>
      <c r="B93" s="209"/>
      <c r="C93" s="419"/>
      <c r="D93" s="417"/>
      <c r="E93" s="417"/>
      <c r="F93" s="417"/>
      <c r="G93" s="417"/>
      <c r="H93" s="259"/>
      <c r="I93" s="259"/>
      <c r="J93" s="417"/>
      <c r="K93" s="348"/>
      <c r="L93" s="418"/>
      <c r="M93" s="418"/>
      <c r="N93" s="418"/>
    </row>
    <row r="94" spans="1:18" x14ac:dyDescent="0.25">
      <c r="A94" s="410" t="e">
        <f t="shared" si="4"/>
        <v>#N/A</v>
      </c>
      <c r="B94" s="209"/>
      <c r="C94" s="419"/>
      <c r="D94" s="417"/>
      <c r="E94" s="417"/>
      <c r="F94" s="417"/>
      <c r="G94" s="417"/>
      <c r="H94" s="259"/>
      <c r="I94" s="259"/>
      <c r="J94" s="417"/>
      <c r="K94" s="348"/>
      <c r="L94" s="418"/>
      <c r="M94" s="418"/>
      <c r="N94" s="418"/>
    </row>
    <row r="95" spans="1:18" x14ac:dyDescent="0.25">
      <c r="A95" s="410" t="e">
        <f t="shared" si="4"/>
        <v>#N/A</v>
      </c>
      <c r="B95" s="209"/>
      <c r="C95" s="419"/>
      <c r="D95" s="417"/>
      <c r="E95" s="417"/>
      <c r="F95" s="417"/>
      <c r="G95" s="417"/>
      <c r="H95" s="259"/>
      <c r="I95" s="259"/>
      <c r="J95" s="417"/>
      <c r="K95" s="348"/>
      <c r="L95" s="418"/>
      <c r="M95" s="418"/>
      <c r="N95" s="418"/>
    </row>
    <row r="96" spans="1:18" x14ac:dyDescent="0.25">
      <c r="A96" s="410" t="e">
        <f t="shared" si="4"/>
        <v>#N/A</v>
      </c>
      <c r="B96" s="209"/>
      <c r="C96" s="419"/>
      <c r="D96" s="417"/>
      <c r="E96" s="417"/>
      <c r="F96" s="417"/>
      <c r="G96" s="417"/>
      <c r="H96" s="259"/>
      <c r="I96" s="259"/>
      <c r="J96" s="417"/>
      <c r="K96" s="348"/>
      <c r="L96" s="418"/>
      <c r="M96" s="418"/>
      <c r="N96" s="418"/>
    </row>
    <row r="97" spans="1:15" x14ac:dyDescent="0.25">
      <c r="A97" s="410" t="e">
        <f t="shared" si="4"/>
        <v>#N/A</v>
      </c>
      <c r="B97" s="209"/>
      <c r="C97" s="419"/>
      <c r="D97" s="417"/>
      <c r="E97" s="417"/>
      <c r="F97" s="417"/>
      <c r="G97" s="417"/>
      <c r="H97" s="259"/>
      <c r="I97" s="259"/>
      <c r="J97" s="417"/>
      <c r="K97" s="348"/>
      <c r="L97" s="418"/>
      <c r="M97" s="418"/>
      <c r="N97" s="418"/>
    </row>
    <row r="98" spans="1:15" x14ac:dyDescent="0.25">
      <c r="A98" s="483" t="e">
        <f>VLOOKUP(J98,SuppliesExpCodes,2)</f>
        <v>#N/A</v>
      </c>
      <c r="B98" s="209"/>
      <c r="C98" s="419"/>
      <c r="D98" s="357"/>
      <c r="E98" s="357"/>
      <c r="F98" s="357"/>
      <c r="G98" s="357"/>
      <c r="H98" s="358"/>
      <c r="I98" s="358"/>
      <c r="J98" s="357"/>
      <c r="K98" s="359"/>
      <c r="L98" s="359"/>
      <c r="M98" s="359"/>
      <c r="N98" s="359"/>
    </row>
    <row r="99" spans="1:15" x14ac:dyDescent="0.25">
      <c r="A99" s="483" t="e">
        <f>VLOOKUP(J99,SuppliesExpCodes,2)</f>
        <v>#N/A</v>
      </c>
      <c r="B99" s="209"/>
      <c r="C99" s="419"/>
      <c r="D99" s="357"/>
      <c r="E99" s="357"/>
      <c r="F99" s="357"/>
      <c r="G99" s="357"/>
      <c r="H99" s="358"/>
      <c r="I99" s="358"/>
      <c r="J99" s="357"/>
      <c r="K99" s="359"/>
      <c r="L99" s="359"/>
      <c r="M99" s="359"/>
      <c r="N99" s="359"/>
    </row>
    <row r="100" spans="1:15" ht="15.75" thickBot="1" x14ac:dyDescent="0.3">
      <c r="A100" s="483" t="e">
        <f>VLOOKUP(J100,SuppliesExpCodes,2)</f>
        <v>#N/A</v>
      </c>
      <c r="B100" s="209"/>
      <c r="C100" s="419"/>
      <c r="D100" s="357"/>
      <c r="E100" s="357"/>
      <c r="F100" s="357"/>
      <c r="G100" s="357"/>
      <c r="H100" s="358"/>
      <c r="I100" s="358"/>
      <c r="J100" s="357"/>
      <c r="K100" s="359"/>
      <c r="L100" s="359"/>
      <c r="M100" s="359"/>
      <c r="N100" s="359"/>
    </row>
    <row r="101" spans="1:15" ht="15.75" thickBot="1" x14ac:dyDescent="0.3">
      <c r="A101" s="74"/>
      <c r="B101" s="75"/>
      <c r="C101" s="75"/>
      <c r="D101" s="76">
        <f>COUNTA(D26:D100)</f>
        <v>50</v>
      </c>
      <c r="E101" s="77"/>
      <c r="F101" s="77"/>
      <c r="G101" s="78"/>
      <c r="H101" s="78"/>
      <c r="I101" s="77"/>
      <c r="J101" s="79"/>
      <c r="K101" s="79">
        <f>SUM(K26:K100)</f>
        <v>0</v>
      </c>
      <c r="L101" s="79">
        <f>SUM(L26:L100)</f>
        <v>0</v>
      </c>
      <c r="M101" s="79">
        <f>SUM(M26:M100)</f>
        <v>0</v>
      </c>
      <c r="N101" s="79">
        <f>SUM(N26:N100)</f>
        <v>122340</v>
      </c>
      <c r="O101" s="79">
        <f>SUM(O26:O100)</f>
        <v>0</v>
      </c>
    </row>
    <row r="102" spans="1:15" x14ac:dyDescent="0.25">
      <c r="A102" s="151">
        <v>6370000</v>
      </c>
      <c r="B102" s="84" t="s">
        <v>19</v>
      </c>
      <c r="C102" s="85"/>
      <c r="D102" s="86"/>
      <c r="E102" s="86"/>
      <c r="F102" s="86"/>
      <c r="G102" s="86"/>
      <c r="H102" s="86"/>
      <c r="I102" s="86"/>
      <c r="J102" s="86"/>
      <c r="K102" s="156">
        <f t="shared" ref="K102:N128" si="6">SUMIFS(K$26:K$100,$A$26:$A$100,$A102,$B$26:$B$100,$B102)</f>
        <v>0</v>
      </c>
      <c r="L102" s="156">
        <f t="shared" si="6"/>
        <v>0</v>
      </c>
      <c r="M102" s="156">
        <f t="shared" si="6"/>
        <v>0</v>
      </c>
      <c r="N102" s="156">
        <f t="shared" si="6"/>
        <v>1500</v>
      </c>
    </row>
    <row r="103" spans="1:15" x14ac:dyDescent="0.25">
      <c r="A103" s="152">
        <v>6370000</v>
      </c>
      <c r="B103" s="73" t="s">
        <v>18</v>
      </c>
      <c r="C103" s="88"/>
      <c r="D103" s="89"/>
      <c r="E103" s="89"/>
      <c r="F103" s="89"/>
      <c r="G103" s="89"/>
      <c r="H103" s="89"/>
      <c r="I103" s="89"/>
      <c r="J103" s="89"/>
      <c r="K103" s="154">
        <f t="shared" si="6"/>
        <v>0</v>
      </c>
      <c r="L103" s="154">
        <f t="shared" si="6"/>
        <v>0</v>
      </c>
      <c r="M103" s="154">
        <f t="shared" si="6"/>
        <v>0</v>
      </c>
      <c r="N103" s="154">
        <f t="shared" si="6"/>
        <v>7100</v>
      </c>
    </row>
    <row r="104" spans="1:15" x14ac:dyDescent="0.25">
      <c r="A104" s="152">
        <v>6370000</v>
      </c>
      <c r="B104" s="73" t="s">
        <v>22</v>
      </c>
      <c r="C104" s="88"/>
      <c r="D104" s="89"/>
      <c r="E104" s="89"/>
      <c r="F104" s="89"/>
      <c r="G104" s="89"/>
      <c r="H104" s="89"/>
      <c r="I104" s="89"/>
      <c r="J104" s="89"/>
      <c r="K104" s="154">
        <f t="shared" si="6"/>
        <v>0</v>
      </c>
      <c r="L104" s="154">
        <f t="shared" si="6"/>
        <v>0</v>
      </c>
      <c r="M104" s="154">
        <f t="shared" si="6"/>
        <v>0</v>
      </c>
      <c r="N104" s="154">
        <f t="shared" si="6"/>
        <v>250</v>
      </c>
    </row>
    <row r="105" spans="1:15" x14ac:dyDescent="0.25">
      <c r="A105" s="152">
        <v>6370000</v>
      </c>
      <c r="B105" s="73" t="s">
        <v>24</v>
      </c>
      <c r="C105" s="88"/>
      <c r="D105" s="89"/>
      <c r="E105" s="89"/>
      <c r="F105" s="89"/>
      <c r="G105" s="89"/>
      <c r="H105" s="89"/>
      <c r="I105" s="89"/>
      <c r="J105" s="89"/>
      <c r="K105" s="154">
        <f t="shared" si="6"/>
        <v>0</v>
      </c>
      <c r="L105" s="154">
        <f t="shared" si="6"/>
        <v>0</v>
      </c>
      <c r="M105" s="154">
        <f t="shared" si="6"/>
        <v>0</v>
      </c>
      <c r="N105" s="154">
        <f t="shared" si="6"/>
        <v>7000</v>
      </c>
    </row>
    <row r="106" spans="1:15" x14ac:dyDescent="0.25">
      <c r="A106" s="152">
        <v>6370000</v>
      </c>
      <c r="B106" s="73" t="s">
        <v>25</v>
      </c>
      <c r="C106" s="88"/>
      <c r="D106" s="89"/>
      <c r="E106" s="89"/>
      <c r="F106" s="89"/>
      <c r="G106" s="89"/>
      <c r="H106" s="89"/>
      <c r="I106" s="89"/>
      <c r="J106" s="89"/>
      <c r="K106" s="154">
        <f t="shared" si="6"/>
        <v>0</v>
      </c>
      <c r="L106" s="154">
        <f t="shared" si="6"/>
        <v>0</v>
      </c>
      <c r="M106" s="154">
        <f t="shared" si="6"/>
        <v>0</v>
      </c>
      <c r="N106" s="154">
        <f t="shared" si="6"/>
        <v>1000</v>
      </c>
    </row>
    <row r="107" spans="1:15" x14ac:dyDescent="0.25">
      <c r="A107" s="152">
        <v>6370000</v>
      </c>
      <c r="B107" s="73" t="s">
        <v>394</v>
      </c>
      <c r="C107" s="88"/>
      <c r="D107" s="89"/>
      <c r="E107" s="89"/>
      <c r="F107" s="89"/>
      <c r="G107" s="89"/>
      <c r="H107" s="89"/>
      <c r="I107" s="89"/>
      <c r="J107" s="89"/>
      <c r="K107" s="154">
        <f t="shared" si="6"/>
        <v>0</v>
      </c>
      <c r="L107" s="154">
        <f t="shared" si="6"/>
        <v>0</v>
      </c>
      <c r="M107" s="154">
        <f t="shared" si="6"/>
        <v>0</v>
      </c>
      <c r="N107" s="154">
        <f t="shared" si="6"/>
        <v>1300</v>
      </c>
    </row>
    <row r="108" spans="1:15" x14ac:dyDescent="0.25">
      <c r="A108" s="152">
        <v>6370000</v>
      </c>
      <c r="B108" s="73" t="s">
        <v>350</v>
      </c>
      <c r="C108" s="88"/>
      <c r="D108" s="89"/>
      <c r="E108" s="89"/>
      <c r="F108" s="89"/>
      <c r="G108" s="89"/>
      <c r="H108" s="89"/>
      <c r="I108" s="89"/>
      <c r="J108" s="89"/>
      <c r="K108" s="154">
        <f t="shared" si="6"/>
        <v>0</v>
      </c>
      <c r="L108" s="154">
        <f t="shared" si="6"/>
        <v>0</v>
      </c>
      <c r="M108" s="154">
        <f t="shared" si="6"/>
        <v>0</v>
      </c>
      <c r="N108" s="154">
        <f t="shared" si="6"/>
        <v>5050</v>
      </c>
    </row>
    <row r="109" spans="1:15" s="407" customFormat="1" x14ac:dyDescent="0.25">
      <c r="A109" s="152">
        <v>6370000</v>
      </c>
      <c r="B109" s="73" t="s">
        <v>1171</v>
      </c>
      <c r="C109" s="88"/>
      <c r="D109" s="89"/>
      <c r="E109" s="89"/>
      <c r="F109" s="89"/>
      <c r="G109" s="89"/>
      <c r="H109" s="89"/>
      <c r="I109" s="89"/>
      <c r="J109" s="89"/>
      <c r="K109" s="212">
        <f t="shared" si="6"/>
        <v>0</v>
      </c>
      <c r="L109" s="212">
        <f t="shared" si="6"/>
        <v>0</v>
      </c>
      <c r="M109" s="212">
        <f t="shared" si="6"/>
        <v>0</v>
      </c>
      <c r="N109" s="212">
        <f t="shared" si="6"/>
        <v>100</v>
      </c>
    </row>
    <row r="110" spans="1:15" x14ac:dyDescent="0.25">
      <c r="A110" s="152">
        <v>6370000</v>
      </c>
      <c r="B110" s="73" t="s">
        <v>1182</v>
      </c>
      <c r="C110" s="88"/>
      <c r="D110" s="89"/>
      <c r="E110" s="89"/>
      <c r="F110" s="89"/>
      <c r="G110" s="89"/>
      <c r="H110" s="89"/>
      <c r="I110" s="89"/>
      <c r="J110" s="89"/>
      <c r="K110" s="154">
        <f t="shared" si="6"/>
        <v>0</v>
      </c>
      <c r="L110" s="154">
        <f t="shared" si="6"/>
        <v>0</v>
      </c>
      <c r="M110" s="154">
        <f t="shared" si="6"/>
        <v>0</v>
      </c>
      <c r="N110" s="154">
        <f t="shared" si="6"/>
        <v>1500</v>
      </c>
    </row>
    <row r="111" spans="1:15" s="407" customFormat="1" x14ac:dyDescent="0.25">
      <c r="A111" s="152">
        <v>6370000</v>
      </c>
      <c r="B111" s="73" t="s">
        <v>20</v>
      </c>
      <c r="C111" s="88"/>
      <c r="D111" s="89"/>
      <c r="E111" s="89"/>
      <c r="F111" s="89"/>
      <c r="G111" s="89"/>
      <c r="H111" s="89"/>
      <c r="I111" s="89"/>
      <c r="J111" s="89"/>
      <c r="K111" s="212">
        <f t="shared" si="6"/>
        <v>0</v>
      </c>
      <c r="L111" s="212">
        <f t="shared" si="6"/>
        <v>0</v>
      </c>
      <c r="M111" s="212">
        <f t="shared" si="6"/>
        <v>0</v>
      </c>
      <c r="N111" s="212">
        <f t="shared" si="6"/>
        <v>7500</v>
      </c>
    </row>
    <row r="112" spans="1:15" x14ac:dyDescent="0.25">
      <c r="A112" s="152">
        <v>6370000</v>
      </c>
      <c r="B112" s="73" t="s">
        <v>510</v>
      </c>
      <c r="C112" s="88"/>
      <c r="D112" s="89"/>
      <c r="E112" s="89"/>
      <c r="F112" s="89"/>
      <c r="G112" s="89"/>
      <c r="H112" s="89"/>
      <c r="I112" s="89"/>
      <c r="J112" s="89"/>
      <c r="K112" s="154">
        <f t="shared" si="6"/>
        <v>0</v>
      </c>
      <c r="L112" s="154">
        <f t="shared" si="6"/>
        <v>0</v>
      </c>
      <c r="M112" s="154">
        <f t="shared" si="6"/>
        <v>0</v>
      </c>
      <c r="N112" s="154">
        <f t="shared" si="6"/>
        <v>8550</v>
      </c>
    </row>
    <row r="113" spans="1:14" x14ac:dyDescent="0.25">
      <c r="A113" s="152">
        <v>6370000</v>
      </c>
      <c r="B113" s="73" t="s">
        <v>272</v>
      </c>
      <c r="C113" s="88"/>
      <c r="D113" s="89"/>
      <c r="E113" s="89"/>
      <c r="F113" s="89"/>
      <c r="G113" s="89"/>
      <c r="H113" s="89"/>
      <c r="I113" s="89"/>
      <c r="J113" s="89"/>
      <c r="K113" s="154">
        <f t="shared" si="6"/>
        <v>0</v>
      </c>
      <c r="L113" s="154">
        <f t="shared" si="6"/>
        <v>0</v>
      </c>
      <c r="M113" s="154">
        <f t="shared" si="6"/>
        <v>0</v>
      </c>
      <c r="N113" s="154">
        <f t="shared" si="6"/>
        <v>2900</v>
      </c>
    </row>
    <row r="114" spans="1:14" x14ac:dyDescent="0.25">
      <c r="A114" s="152">
        <v>6370000</v>
      </c>
      <c r="B114" s="51" t="s">
        <v>21</v>
      </c>
      <c r="C114" s="88"/>
      <c r="D114" s="89"/>
      <c r="E114" s="89"/>
      <c r="F114" s="89"/>
      <c r="G114" s="89"/>
      <c r="H114" s="89"/>
      <c r="I114" s="89"/>
      <c r="J114" s="89"/>
      <c r="K114" s="154">
        <f t="shared" si="6"/>
        <v>0</v>
      </c>
      <c r="L114" s="154">
        <f t="shared" si="6"/>
        <v>0</v>
      </c>
      <c r="M114" s="154">
        <f t="shared" si="6"/>
        <v>0</v>
      </c>
      <c r="N114" s="154">
        <f t="shared" si="6"/>
        <v>1500</v>
      </c>
    </row>
    <row r="115" spans="1:14" x14ac:dyDescent="0.25">
      <c r="A115" s="152">
        <v>6370000</v>
      </c>
      <c r="B115" s="73" t="s">
        <v>1172</v>
      </c>
      <c r="C115" s="88"/>
      <c r="D115" s="89"/>
      <c r="E115" s="89"/>
      <c r="F115" s="89"/>
      <c r="G115" s="89"/>
      <c r="H115" s="89"/>
      <c r="I115" s="89"/>
      <c r="J115" s="89"/>
      <c r="K115" s="154">
        <f t="shared" si="6"/>
        <v>0</v>
      </c>
      <c r="L115" s="154">
        <f t="shared" si="6"/>
        <v>0</v>
      </c>
      <c r="M115" s="154">
        <f t="shared" si="6"/>
        <v>0</v>
      </c>
      <c r="N115" s="154">
        <f t="shared" si="6"/>
        <v>2610</v>
      </c>
    </row>
    <row r="116" spans="1:14" x14ac:dyDescent="0.25">
      <c r="A116" s="152">
        <v>6370000</v>
      </c>
      <c r="B116" s="73" t="s">
        <v>810</v>
      </c>
      <c r="C116" s="88"/>
      <c r="D116" s="89"/>
      <c r="E116" s="89"/>
      <c r="F116" s="89"/>
      <c r="G116" s="89"/>
      <c r="H116" s="89"/>
      <c r="I116" s="89"/>
      <c r="J116" s="89"/>
      <c r="K116" s="154">
        <f t="shared" si="6"/>
        <v>0</v>
      </c>
      <c r="L116" s="154">
        <f t="shared" si="6"/>
        <v>0</v>
      </c>
      <c r="M116" s="154">
        <f t="shared" si="6"/>
        <v>0</v>
      </c>
      <c r="N116" s="154">
        <f t="shared" si="6"/>
        <v>36630</v>
      </c>
    </row>
    <row r="117" spans="1:14" x14ac:dyDescent="0.25">
      <c r="A117" s="152">
        <v>6370000</v>
      </c>
      <c r="B117" s="51" t="s">
        <v>811</v>
      </c>
      <c r="C117" s="88"/>
      <c r="D117" s="89"/>
      <c r="E117" s="89"/>
      <c r="F117" s="89"/>
      <c r="G117" s="89"/>
      <c r="H117" s="89"/>
      <c r="I117" s="89"/>
      <c r="J117" s="89"/>
      <c r="K117" s="154">
        <f t="shared" si="6"/>
        <v>0</v>
      </c>
      <c r="L117" s="154">
        <f t="shared" si="6"/>
        <v>0</v>
      </c>
      <c r="M117" s="154">
        <f t="shared" si="6"/>
        <v>0</v>
      </c>
      <c r="N117" s="154">
        <f t="shared" si="6"/>
        <v>2750</v>
      </c>
    </row>
    <row r="118" spans="1:14" x14ac:dyDescent="0.25">
      <c r="A118" s="152">
        <v>6370000</v>
      </c>
      <c r="B118" s="51" t="s">
        <v>23</v>
      </c>
      <c r="C118" s="88"/>
      <c r="D118" s="89"/>
      <c r="E118" s="89"/>
      <c r="F118" s="89"/>
      <c r="G118" s="89"/>
      <c r="H118" s="89"/>
      <c r="I118" s="89"/>
      <c r="J118" s="89"/>
      <c r="K118" s="154">
        <f t="shared" si="6"/>
        <v>0</v>
      </c>
      <c r="L118" s="154">
        <f t="shared" si="6"/>
        <v>0</v>
      </c>
      <c r="M118" s="154">
        <f t="shared" si="6"/>
        <v>0</v>
      </c>
      <c r="N118" s="154">
        <f t="shared" si="6"/>
        <v>300</v>
      </c>
    </row>
    <row r="119" spans="1:14" x14ac:dyDescent="0.25">
      <c r="A119" s="152">
        <v>6370000</v>
      </c>
      <c r="B119" s="73" t="s">
        <v>268</v>
      </c>
      <c r="C119" s="88"/>
      <c r="D119" s="89"/>
      <c r="E119" s="89"/>
      <c r="F119" s="89"/>
      <c r="G119" s="89"/>
      <c r="H119" s="89"/>
      <c r="I119" s="89"/>
      <c r="J119" s="89"/>
      <c r="K119" s="154">
        <f t="shared" si="6"/>
        <v>0</v>
      </c>
      <c r="L119" s="154">
        <f t="shared" si="6"/>
        <v>0</v>
      </c>
      <c r="M119" s="154">
        <f t="shared" si="6"/>
        <v>0</v>
      </c>
      <c r="N119" s="154">
        <f t="shared" si="6"/>
        <v>3150</v>
      </c>
    </row>
    <row r="120" spans="1:14" x14ac:dyDescent="0.25">
      <c r="A120" s="152">
        <v>6370000</v>
      </c>
      <c r="B120" s="73" t="s">
        <v>267</v>
      </c>
      <c r="C120" s="88"/>
      <c r="D120" s="89"/>
      <c r="E120" s="89"/>
      <c r="F120" s="89"/>
      <c r="G120" s="89"/>
      <c r="H120" s="89"/>
      <c r="I120" s="89"/>
      <c r="J120" s="89"/>
      <c r="K120" s="154">
        <f t="shared" si="6"/>
        <v>0</v>
      </c>
      <c r="L120" s="154">
        <f t="shared" si="6"/>
        <v>0</v>
      </c>
      <c r="M120" s="154">
        <f t="shared" si="6"/>
        <v>0</v>
      </c>
      <c r="N120" s="154">
        <f t="shared" si="6"/>
        <v>2500</v>
      </c>
    </row>
    <row r="121" spans="1:14" ht="15.75" thickBot="1" x14ac:dyDescent="0.3">
      <c r="A121" s="152">
        <v>6370000</v>
      </c>
      <c r="B121" s="73" t="s">
        <v>920</v>
      </c>
      <c r="C121" s="88"/>
      <c r="D121" s="89"/>
      <c r="E121" s="89"/>
      <c r="F121" s="89"/>
      <c r="G121" s="89"/>
      <c r="H121" s="89"/>
      <c r="I121" s="89"/>
      <c r="J121" s="89"/>
      <c r="K121" s="154">
        <f t="shared" si="6"/>
        <v>0</v>
      </c>
      <c r="L121" s="154">
        <f t="shared" si="6"/>
        <v>0</v>
      </c>
      <c r="M121" s="154">
        <f t="shared" si="6"/>
        <v>0</v>
      </c>
      <c r="N121" s="154">
        <f t="shared" si="6"/>
        <v>500</v>
      </c>
    </row>
    <row r="122" spans="1:14" s="407" customFormat="1" x14ac:dyDescent="0.25">
      <c r="A122" s="151">
        <v>6370015</v>
      </c>
      <c r="B122" s="84" t="s">
        <v>19</v>
      </c>
      <c r="C122" s="85"/>
      <c r="D122" s="86"/>
      <c r="E122" s="86"/>
      <c r="F122" s="86"/>
      <c r="G122" s="86"/>
      <c r="H122" s="86"/>
      <c r="I122" s="86"/>
      <c r="J122" s="86"/>
      <c r="K122" s="213">
        <f t="shared" si="6"/>
        <v>0</v>
      </c>
      <c r="L122" s="213">
        <f t="shared" si="6"/>
        <v>0</v>
      </c>
      <c r="M122" s="213">
        <f t="shared" si="6"/>
        <v>0</v>
      </c>
      <c r="N122" s="213">
        <f t="shared" si="6"/>
        <v>0</v>
      </c>
    </row>
    <row r="123" spans="1:14" s="407" customFormat="1" x14ac:dyDescent="0.25">
      <c r="A123" s="152">
        <v>6370015</v>
      </c>
      <c r="B123" s="73" t="s">
        <v>18</v>
      </c>
      <c r="C123" s="88"/>
      <c r="D123" s="89"/>
      <c r="E123" s="89"/>
      <c r="F123" s="89"/>
      <c r="G123" s="89"/>
      <c r="H123" s="89"/>
      <c r="I123" s="89"/>
      <c r="J123" s="89"/>
      <c r="K123" s="212">
        <f t="shared" si="6"/>
        <v>0</v>
      </c>
      <c r="L123" s="212">
        <f t="shared" si="6"/>
        <v>0</v>
      </c>
      <c r="M123" s="212">
        <f t="shared" si="6"/>
        <v>0</v>
      </c>
      <c r="N123" s="212">
        <f t="shared" si="6"/>
        <v>0</v>
      </c>
    </row>
    <row r="124" spans="1:14" s="407" customFormat="1" x14ac:dyDescent="0.25">
      <c r="A124" s="152">
        <v>6370015</v>
      </c>
      <c r="B124" s="73" t="s">
        <v>22</v>
      </c>
      <c r="C124" s="88"/>
      <c r="D124" s="89"/>
      <c r="E124" s="89"/>
      <c r="F124" s="89"/>
      <c r="G124" s="89"/>
      <c r="H124" s="89"/>
      <c r="I124" s="89"/>
      <c r="J124" s="89"/>
      <c r="K124" s="212">
        <f t="shared" si="6"/>
        <v>0</v>
      </c>
      <c r="L124" s="212">
        <f t="shared" si="6"/>
        <v>0</v>
      </c>
      <c r="M124" s="212">
        <f t="shared" si="6"/>
        <v>0</v>
      </c>
      <c r="N124" s="212">
        <f t="shared" si="6"/>
        <v>0</v>
      </c>
    </row>
    <row r="125" spans="1:14" s="407" customFormat="1" x14ac:dyDescent="0.25">
      <c r="A125" s="152">
        <v>6370015</v>
      </c>
      <c r="B125" s="73" t="s">
        <v>24</v>
      </c>
      <c r="C125" s="88"/>
      <c r="D125" s="89"/>
      <c r="E125" s="89"/>
      <c r="F125" s="89"/>
      <c r="G125" s="89"/>
      <c r="H125" s="89"/>
      <c r="I125" s="89"/>
      <c r="J125" s="89"/>
      <c r="K125" s="212">
        <f t="shared" si="6"/>
        <v>0</v>
      </c>
      <c r="L125" s="212">
        <f t="shared" si="6"/>
        <v>0</v>
      </c>
      <c r="M125" s="212">
        <f t="shared" si="6"/>
        <v>0</v>
      </c>
      <c r="N125" s="212">
        <f t="shared" si="6"/>
        <v>0</v>
      </c>
    </row>
    <row r="126" spans="1:14" s="407" customFormat="1" x14ac:dyDescent="0.25">
      <c r="A126" s="152">
        <v>6370015</v>
      </c>
      <c r="B126" s="73" t="s">
        <v>25</v>
      </c>
      <c r="C126" s="88"/>
      <c r="D126" s="89"/>
      <c r="E126" s="89"/>
      <c r="F126" s="89"/>
      <c r="G126" s="89"/>
      <c r="H126" s="89"/>
      <c r="I126" s="89"/>
      <c r="J126" s="89"/>
      <c r="K126" s="212">
        <f t="shared" si="6"/>
        <v>0</v>
      </c>
      <c r="L126" s="212">
        <f t="shared" si="6"/>
        <v>0</v>
      </c>
      <c r="M126" s="212">
        <f t="shared" si="6"/>
        <v>0</v>
      </c>
      <c r="N126" s="212">
        <f t="shared" si="6"/>
        <v>0</v>
      </c>
    </row>
    <row r="127" spans="1:14" s="407" customFormat="1" x14ac:dyDescent="0.25">
      <c r="A127" s="152">
        <v>6370015</v>
      </c>
      <c r="B127" s="73" t="s">
        <v>394</v>
      </c>
      <c r="C127" s="88"/>
      <c r="D127" s="89"/>
      <c r="E127" s="89"/>
      <c r="F127" s="89"/>
      <c r="G127" s="89"/>
      <c r="H127" s="89"/>
      <c r="I127" s="89"/>
      <c r="J127" s="89"/>
      <c r="K127" s="212">
        <f t="shared" si="6"/>
        <v>0</v>
      </c>
      <c r="L127" s="212">
        <f t="shared" si="6"/>
        <v>0</v>
      </c>
      <c r="M127" s="212">
        <f t="shared" si="6"/>
        <v>0</v>
      </c>
      <c r="N127" s="212">
        <f t="shared" si="6"/>
        <v>0</v>
      </c>
    </row>
    <row r="128" spans="1:14" s="407" customFormat="1" x14ac:dyDescent="0.25">
      <c r="A128" s="152">
        <v>6370015</v>
      </c>
      <c r="B128" s="73" t="s">
        <v>350</v>
      </c>
      <c r="C128" s="88"/>
      <c r="D128" s="89"/>
      <c r="E128" s="89"/>
      <c r="F128" s="89"/>
      <c r="G128" s="89"/>
      <c r="H128" s="89"/>
      <c r="I128" s="89"/>
      <c r="J128" s="89"/>
      <c r="K128" s="212">
        <f t="shared" si="6"/>
        <v>0</v>
      </c>
      <c r="L128" s="212">
        <f t="shared" si="6"/>
        <v>0</v>
      </c>
      <c r="M128" s="212">
        <f t="shared" si="6"/>
        <v>0</v>
      </c>
      <c r="N128" s="212">
        <f t="shared" si="6"/>
        <v>0</v>
      </c>
    </row>
    <row r="129" spans="1:14" s="407" customFormat="1" x14ac:dyDescent="0.25">
      <c r="A129" s="152">
        <v>6370015</v>
      </c>
      <c r="B129" s="73" t="s">
        <v>1171</v>
      </c>
      <c r="C129" s="88"/>
      <c r="D129" s="89"/>
      <c r="E129" s="89"/>
      <c r="F129" s="89"/>
      <c r="G129" s="89"/>
      <c r="H129" s="89"/>
      <c r="I129" s="89"/>
      <c r="J129" s="89"/>
      <c r="K129" s="212"/>
      <c r="L129" s="212">
        <f t="shared" ref="L129:N148" si="7">SUMIFS(L$26:L$100,$A$26:$A$100,$A129,$B$26:$B$100,$B129)</f>
        <v>0</v>
      </c>
      <c r="M129" s="212">
        <f t="shared" si="7"/>
        <v>0</v>
      </c>
      <c r="N129" s="212">
        <f t="shared" si="7"/>
        <v>0</v>
      </c>
    </row>
    <row r="130" spans="1:14" s="407" customFormat="1" x14ac:dyDescent="0.25">
      <c r="A130" s="152">
        <v>6370015</v>
      </c>
      <c r="B130" s="73" t="s">
        <v>1182</v>
      </c>
      <c r="C130" s="88"/>
      <c r="D130" s="89"/>
      <c r="E130" s="89"/>
      <c r="F130" s="89"/>
      <c r="G130" s="89"/>
      <c r="H130" s="89"/>
      <c r="I130" s="89"/>
      <c r="J130" s="89"/>
      <c r="K130" s="212">
        <f>SUMIFS(K$26:K$100,$A$26:$A$100,$A130,$B$26:$B$100,$B130)</f>
        <v>0</v>
      </c>
      <c r="L130" s="212">
        <f t="shared" si="7"/>
        <v>0</v>
      </c>
      <c r="M130" s="212">
        <f t="shared" si="7"/>
        <v>0</v>
      </c>
      <c r="N130" s="212">
        <f t="shared" si="7"/>
        <v>0</v>
      </c>
    </row>
    <row r="131" spans="1:14" s="407" customFormat="1" x14ac:dyDescent="0.25">
      <c r="A131" s="152">
        <v>6370015</v>
      </c>
      <c r="B131" s="73" t="s">
        <v>20</v>
      </c>
      <c r="C131" s="88"/>
      <c r="D131" s="89"/>
      <c r="E131" s="89"/>
      <c r="F131" s="89"/>
      <c r="G131" s="89"/>
      <c r="H131" s="89"/>
      <c r="I131" s="89"/>
      <c r="J131" s="89"/>
      <c r="K131" s="212"/>
      <c r="L131" s="212">
        <f t="shared" si="7"/>
        <v>0</v>
      </c>
      <c r="M131" s="212">
        <f t="shared" si="7"/>
        <v>0</v>
      </c>
      <c r="N131" s="212">
        <f t="shared" si="7"/>
        <v>0</v>
      </c>
    </row>
    <row r="132" spans="1:14" s="407" customFormat="1" x14ac:dyDescent="0.25">
      <c r="A132" s="152">
        <v>6370015</v>
      </c>
      <c r="B132" s="73" t="s">
        <v>510</v>
      </c>
      <c r="C132" s="88"/>
      <c r="D132" s="89"/>
      <c r="E132" s="89"/>
      <c r="F132" s="89"/>
      <c r="G132" s="89"/>
      <c r="H132" s="89"/>
      <c r="I132" s="89"/>
      <c r="J132" s="89"/>
      <c r="K132" s="212">
        <f t="shared" ref="K132:K163" si="8">SUMIFS(K$26:K$100,$A$26:$A$100,$A132,$B$26:$B$100,$B132)</f>
        <v>0</v>
      </c>
      <c r="L132" s="212">
        <f t="shared" si="7"/>
        <v>0</v>
      </c>
      <c r="M132" s="212">
        <f t="shared" si="7"/>
        <v>0</v>
      </c>
      <c r="N132" s="212">
        <f t="shared" si="7"/>
        <v>0</v>
      </c>
    </row>
    <row r="133" spans="1:14" s="407" customFormat="1" x14ac:dyDescent="0.25">
      <c r="A133" s="152">
        <v>6370015</v>
      </c>
      <c r="B133" s="73" t="s">
        <v>272</v>
      </c>
      <c r="C133" s="88"/>
      <c r="D133" s="89"/>
      <c r="E133" s="89"/>
      <c r="F133" s="89"/>
      <c r="G133" s="89"/>
      <c r="H133" s="89"/>
      <c r="I133" s="89"/>
      <c r="J133" s="89"/>
      <c r="K133" s="212">
        <f t="shared" si="8"/>
        <v>0</v>
      </c>
      <c r="L133" s="212">
        <f t="shared" si="7"/>
        <v>0</v>
      </c>
      <c r="M133" s="212">
        <f t="shared" si="7"/>
        <v>0</v>
      </c>
      <c r="N133" s="212">
        <f t="shared" si="7"/>
        <v>0</v>
      </c>
    </row>
    <row r="134" spans="1:14" s="407" customFormat="1" x14ac:dyDescent="0.25">
      <c r="A134" s="152">
        <v>6370015</v>
      </c>
      <c r="B134" s="51" t="s">
        <v>21</v>
      </c>
      <c r="C134" s="88"/>
      <c r="D134" s="89"/>
      <c r="E134" s="89"/>
      <c r="F134" s="89"/>
      <c r="G134" s="89"/>
      <c r="H134" s="89"/>
      <c r="I134" s="89"/>
      <c r="J134" s="89"/>
      <c r="K134" s="212">
        <f t="shared" si="8"/>
        <v>0</v>
      </c>
      <c r="L134" s="212">
        <f t="shared" si="7"/>
        <v>0</v>
      </c>
      <c r="M134" s="212">
        <f t="shared" si="7"/>
        <v>0</v>
      </c>
      <c r="N134" s="212">
        <f t="shared" si="7"/>
        <v>0</v>
      </c>
    </row>
    <row r="135" spans="1:14" s="407" customFormat="1" x14ac:dyDescent="0.25">
      <c r="A135" s="152">
        <v>6370015</v>
      </c>
      <c r="B135" s="73" t="s">
        <v>1172</v>
      </c>
      <c r="C135" s="88"/>
      <c r="D135" s="89"/>
      <c r="E135" s="89"/>
      <c r="F135" s="89"/>
      <c r="G135" s="89"/>
      <c r="H135" s="89"/>
      <c r="I135" s="89"/>
      <c r="J135" s="89"/>
      <c r="K135" s="212">
        <f t="shared" si="8"/>
        <v>0</v>
      </c>
      <c r="L135" s="212">
        <f t="shared" si="7"/>
        <v>0</v>
      </c>
      <c r="M135" s="212">
        <f t="shared" si="7"/>
        <v>0</v>
      </c>
      <c r="N135" s="212">
        <f t="shared" si="7"/>
        <v>0</v>
      </c>
    </row>
    <row r="136" spans="1:14" s="407" customFormat="1" x14ac:dyDescent="0.25">
      <c r="A136" s="152">
        <v>6370015</v>
      </c>
      <c r="B136" s="73" t="s">
        <v>810</v>
      </c>
      <c r="C136" s="88"/>
      <c r="D136" s="89"/>
      <c r="E136" s="89"/>
      <c r="F136" s="89"/>
      <c r="G136" s="89"/>
      <c r="H136" s="89"/>
      <c r="I136" s="89"/>
      <c r="J136" s="89"/>
      <c r="K136" s="212">
        <f t="shared" si="8"/>
        <v>0</v>
      </c>
      <c r="L136" s="212">
        <f t="shared" si="7"/>
        <v>0</v>
      </c>
      <c r="M136" s="212">
        <f t="shared" si="7"/>
        <v>0</v>
      </c>
      <c r="N136" s="212">
        <f t="shared" si="7"/>
        <v>0</v>
      </c>
    </row>
    <row r="137" spans="1:14" s="407" customFormat="1" x14ac:dyDescent="0.25">
      <c r="A137" s="152">
        <v>6370015</v>
      </c>
      <c r="B137" s="51" t="s">
        <v>811</v>
      </c>
      <c r="C137" s="88"/>
      <c r="D137" s="89"/>
      <c r="E137" s="89"/>
      <c r="F137" s="89"/>
      <c r="G137" s="89"/>
      <c r="H137" s="89"/>
      <c r="I137" s="89"/>
      <c r="J137" s="89"/>
      <c r="K137" s="212">
        <f t="shared" si="8"/>
        <v>0</v>
      </c>
      <c r="L137" s="212">
        <f t="shared" si="7"/>
        <v>0</v>
      </c>
      <c r="M137" s="212">
        <f t="shared" si="7"/>
        <v>0</v>
      </c>
      <c r="N137" s="212">
        <f t="shared" si="7"/>
        <v>0</v>
      </c>
    </row>
    <row r="138" spans="1:14" s="407" customFormat="1" x14ac:dyDescent="0.25">
      <c r="A138" s="152">
        <v>6370015</v>
      </c>
      <c r="B138" s="51" t="s">
        <v>23</v>
      </c>
      <c r="C138" s="88"/>
      <c r="D138" s="89"/>
      <c r="E138" s="89"/>
      <c r="F138" s="89"/>
      <c r="G138" s="89"/>
      <c r="H138" s="89"/>
      <c r="I138" s="89"/>
      <c r="J138" s="89"/>
      <c r="K138" s="212">
        <f t="shared" si="8"/>
        <v>0</v>
      </c>
      <c r="L138" s="212">
        <f t="shared" si="7"/>
        <v>0</v>
      </c>
      <c r="M138" s="212">
        <f t="shared" si="7"/>
        <v>0</v>
      </c>
      <c r="N138" s="212">
        <f t="shared" si="7"/>
        <v>0</v>
      </c>
    </row>
    <row r="139" spans="1:14" s="407" customFormat="1" x14ac:dyDescent="0.25">
      <c r="A139" s="152">
        <v>6370015</v>
      </c>
      <c r="B139" s="73" t="s">
        <v>268</v>
      </c>
      <c r="C139" s="88"/>
      <c r="D139" s="89"/>
      <c r="E139" s="89"/>
      <c r="F139" s="89"/>
      <c r="G139" s="89"/>
      <c r="H139" s="89"/>
      <c r="I139" s="89"/>
      <c r="J139" s="89"/>
      <c r="K139" s="212">
        <f t="shared" si="8"/>
        <v>0</v>
      </c>
      <c r="L139" s="212">
        <f t="shared" si="7"/>
        <v>0</v>
      </c>
      <c r="M139" s="212">
        <f t="shared" si="7"/>
        <v>0</v>
      </c>
      <c r="N139" s="212">
        <f t="shared" si="7"/>
        <v>0</v>
      </c>
    </row>
    <row r="140" spans="1:14" s="407" customFormat="1" x14ac:dyDescent="0.25">
      <c r="A140" s="152">
        <v>6370015</v>
      </c>
      <c r="B140" s="73" t="s">
        <v>267</v>
      </c>
      <c r="C140" s="88"/>
      <c r="D140" s="89"/>
      <c r="E140" s="89"/>
      <c r="F140" s="89"/>
      <c r="G140" s="89"/>
      <c r="H140" s="89"/>
      <c r="I140" s="89"/>
      <c r="J140" s="89"/>
      <c r="K140" s="212">
        <f t="shared" si="8"/>
        <v>0</v>
      </c>
      <c r="L140" s="212">
        <f t="shared" si="7"/>
        <v>0</v>
      </c>
      <c r="M140" s="212">
        <f t="shared" si="7"/>
        <v>0</v>
      </c>
      <c r="N140" s="212">
        <f t="shared" si="7"/>
        <v>0</v>
      </c>
    </row>
    <row r="141" spans="1:14" s="407" customFormat="1" ht="15.75" thickBot="1" x14ac:dyDescent="0.3">
      <c r="A141" s="152">
        <v>6370015</v>
      </c>
      <c r="B141" s="73" t="s">
        <v>920</v>
      </c>
      <c r="C141" s="88"/>
      <c r="D141" s="89"/>
      <c r="E141" s="89"/>
      <c r="F141" s="89"/>
      <c r="G141" s="89"/>
      <c r="H141" s="89"/>
      <c r="I141" s="89"/>
      <c r="J141" s="89"/>
      <c r="K141" s="212">
        <f t="shared" si="8"/>
        <v>0</v>
      </c>
      <c r="L141" s="212">
        <f t="shared" si="7"/>
        <v>0</v>
      </c>
      <c r="M141" s="212">
        <f t="shared" si="7"/>
        <v>0</v>
      </c>
      <c r="N141" s="212">
        <f t="shared" si="7"/>
        <v>0</v>
      </c>
    </row>
    <row r="142" spans="1:14" x14ac:dyDescent="0.25">
      <c r="A142" s="151">
        <v>6390000</v>
      </c>
      <c r="B142" s="84" t="s">
        <v>19</v>
      </c>
      <c r="C142" s="85"/>
      <c r="D142" s="86"/>
      <c r="E142" s="86"/>
      <c r="F142" s="86"/>
      <c r="G142" s="86"/>
      <c r="H142" s="86"/>
      <c r="I142" s="86"/>
      <c r="J142" s="86"/>
      <c r="K142" s="156">
        <f t="shared" si="8"/>
        <v>0</v>
      </c>
      <c r="L142" s="156">
        <f t="shared" si="7"/>
        <v>0</v>
      </c>
      <c r="M142" s="156">
        <f t="shared" si="7"/>
        <v>0</v>
      </c>
      <c r="N142" s="156">
        <f t="shared" si="7"/>
        <v>0</v>
      </c>
    </row>
    <row r="143" spans="1:14" x14ac:dyDescent="0.25">
      <c r="A143" s="152">
        <v>6390000</v>
      </c>
      <c r="B143" s="73" t="s">
        <v>18</v>
      </c>
      <c r="C143" s="88"/>
      <c r="D143" s="89"/>
      <c r="E143" s="89"/>
      <c r="F143" s="89"/>
      <c r="G143" s="89"/>
      <c r="H143" s="89"/>
      <c r="I143" s="89"/>
      <c r="J143" s="89"/>
      <c r="K143" s="154">
        <f t="shared" si="8"/>
        <v>0</v>
      </c>
      <c r="L143" s="154">
        <f t="shared" si="7"/>
        <v>0</v>
      </c>
      <c r="M143" s="154">
        <f t="shared" si="7"/>
        <v>0</v>
      </c>
      <c r="N143" s="154">
        <f t="shared" si="7"/>
        <v>11000</v>
      </c>
    </row>
    <row r="144" spans="1:14" x14ac:dyDescent="0.25">
      <c r="A144" s="152">
        <v>6390000</v>
      </c>
      <c r="B144" s="73" t="s">
        <v>22</v>
      </c>
      <c r="C144" s="88"/>
      <c r="D144" s="89"/>
      <c r="E144" s="89"/>
      <c r="F144" s="89"/>
      <c r="G144" s="89"/>
      <c r="H144" s="89"/>
      <c r="I144" s="89"/>
      <c r="J144" s="89"/>
      <c r="K144" s="154">
        <f t="shared" si="8"/>
        <v>0</v>
      </c>
      <c r="L144" s="154">
        <f t="shared" si="7"/>
        <v>0</v>
      </c>
      <c r="M144" s="154">
        <f t="shared" si="7"/>
        <v>0</v>
      </c>
      <c r="N144" s="154">
        <f t="shared" si="7"/>
        <v>0</v>
      </c>
    </row>
    <row r="145" spans="1:14" x14ac:dyDescent="0.25">
      <c r="A145" s="152">
        <v>6390000</v>
      </c>
      <c r="B145" s="73" t="s">
        <v>24</v>
      </c>
      <c r="C145" s="88"/>
      <c r="D145" s="89"/>
      <c r="E145" s="89"/>
      <c r="F145" s="89"/>
      <c r="G145" s="89"/>
      <c r="H145" s="89"/>
      <c r="I145" s="89"/>
      <c r="J145" s="89"/>
      <c r="K145" s="154">
        <f t="shared" si="8"/>
        <v>0</v>
      </c>
      <c r="L145" s="154">
        <f t="shared" si="7"/>
        <v>0</v>
      </c>
      <c r="M145" s="154">
        <f t="shared" si="7"/>
        <v>0</v>
      </c>
      <c r="N145" s="154">
        <f t="shared" si="7"/>
        <v>0</v>
      </c>
    </row>
    <row r="146" spans="1:14" x14ac:dyDescent="0.25">
      <c r="A146" s="152">
        <v>6390000</v>
      </c>
      <c r="B146" s="73" t="s">
        <v>25</v>
      </c>
      <c r="C146" s="88"/>
      <c r="D146" s="89"/>
      <c r="E146" s="89"/>
      <c r="F146" s="89"/>
      <c r="G146" s="89"/>
      <c r="H146" s="89"/>
      <c r="I146" s="89"/>
      <c r="J146" s="89"/>
      <c r="K146" s="154">
        <f t="shared" si="8"/>
        <v>0</v>
      </c>
      <c r="L146" s="154">
        <f t="shared" si="7"/>
        <v>0</v>
      </c>
      <c r="M146" s="154">
        <f t="shared" si="7"/>
        <v>0</v>
      </c>
      <c r="N146" s="154">
        <f t="shared" si="7"/>
        <v>0</v>
      </c>
    </row>
    <row r="147" spans="1:14" x14ac:dyDescent="0.25">
      <c r="A147" s="152">
        <v>6390000</v>
      </c>
      <c r="B147" s="73" t="s">
        <v>394</v>
      </c>
      <c r="C147" s="88"/>
      <c r="D147" s="89"/>
      <c r="E147" s="89"/>
      <c r="F147" s="89"/>
      <c r="G147" s="89"/>
      <c r="H147" s="89"/>
      <c r="I147" s="89"/>
      <c r="J147" s="89"/>
      <c r="K147" s="154">
        <f t="shared" si="8"/>
        <v>0</v>
      </c>
      <c r="L147" s="154">
        <f t="shared" si="7"/>
        <v>0</v>
      </c>
      <c r="M147" s="154">
        <f t="shared" si="7"/>
        <v>0</v>
      </c>
      <c r="N147" s="154">
        <f t="shared" si="7"/>
        <v>0</v>
      </c>
    </row>
    <row r="148" spans="1:14" x14ac:dyDescent="0.25">
      <c r="A148" s="152">
        <v>6390000</v>
      </c>
      <c r="B148" s="73" t="s">
        <v>350</v>
      </c>
      <c r="C148" s="88"/>
      <c r="D148" s="89"/>
      <c r="E148" s="89"/>
      <c r="F148" s="89"/>
      <c r="G148" s="89"/>
      <c r="H148" s="89"/>
      <c r="I148" s="89"/>
      <c r="J148" s="89"/>
      <c r="K148" s="154">
        <f t="shared" si="8"/>
        <v>0</v>
      </c>
      <c r="L148" s="154">
        <f t="shared" si="7"/>
        <v>0</v>
      </c>
      <c r="M148" s="154">
        <f t="shared" si="7"/>
        <v>0</v>
      </c>
      <c r="N148" s="154">
        <f t="shared" si="7"/>
        <v>0</v>
      </c>
    </row>
    <row r="149" spans="1:14" s="407" customFormat="1" x14ac:dyDescent="0.25">
      <c r="A149" s="152">
        <v>6390000</v>
      </c>
      <c r="B149" s="73" t="s">
        <v>1171</v>
      </c>
      <c r="C149" s="88"/>
      <c r="D149" s="89"/>
      <c r="E149" s="89"/>
      <c r="F149" s="89"/>
      <c r="G149" s="89"/>
      <c r="H149" s="89"/>
      <c r="I149" s="89"/>
      <c r="J149" s="89"/>
      <c r="K149" s="212">
        <f t="shared" si="8"/>
        <v>0</v>
      </c>
      <c r="L149" s="212">
        <f t="shared" ref="L149:N168" si="9">SUMIFS(L$26:L$100,$A$26:$A$100,$A149,$B$26:$B$100,$B149)</f>
        <v>0</v>
      </c>
      <c r="M149" s="212">
        <f t="shared" si="9"/>
        <v>0</v>
      </c>
      <c r="N149" s="212">
        <f t="shared" si="9"/>
        <v>0</v>
      </c>
    </row>
    <row r="150" spans="1:14" s="407" customFormat="1" x14ac:dyDescent="0.25">
      <c r="A150" s="152">
        <v>6390000</v>
      </c>
      <c r="B150" s="73" t="s">
        <v>1182</v>
      </c>
      <c r="C150" s="88"/>
      <c r="D150" s="89"/>
      <c r="E150" s="89"/>
      <c r="F150" s="89"/>
      <c r="G150" s="89"/>
      <c r="H150" s="89"/>
      <c r="I150" s="89"/>
      <c r="J150" s="89"/>
      <c r="K150" s="212">
        <f t="shared" si="8"/>
        <v>0</v>
      </c>
      <c r="L150" s="212">
        <f t="shared" si="9"/>
        <v>0</v>
      </c>
      <c r="M150" s="212">
        <f t="shared" si="9"/>
        <v>0</v>
      </c>
      <c r="N150" s="212">
        <f t="shared" si="9"/>
        <v>0</v>
      </c>
    </row>
    <row r="151" spans="1:14" x14ac:dyDescent="0.25">
      <c r="A151" s="152">
        <v>6390000</v>
      </c>
      <c r="B151" s="73" t="s">
        <v>20</v>
      </c>
      <c r="C151" s="88"/>
      <c r="D151" s="89"/>
      <c r="E151" s="89"/>
      <c r="F151" s="89"/>
      <c r="G151" s="89"/>
      <c r="H151" s="89"/>
      <c r="I151" s="89"/>
      <c r="J151" s="89"/>
      <c r="K151" s="154">
        <f t="shared" si="8"/>
        <v>0</v>
      </c>
      <c r="L151" s="154">
        <f t="shared" si="9"/>
        <v>0</v>
      </c>
      <c r="M151" s="154">
        <f t="shared" si="9"/>
        <v>0</v>
      </c>
      <c r="N151" s="154">
        <f t="shared" si="9"/>
        <v>6000</v>
      </c>
    </row>
    <row r="152" spans="1:14" x14ac:dyDescent="0.25">
      <c r="A152" s="152">
        <v>6390000</v>
      </c>
      <c r="B152" s="73" t="s">
        <v>510</v>
      </c>
      <c r="C152" s="88"/>
      <c r="D152" s="89"/>
      <c r="E152" s="89"/>
      <c r="F152" s="89"/>
      <c r="G152" s="89"/>
      <c r="H152" s="89"/>
      <c r="I152" s="89"/>
      <c r="J152" s="89"/>
      <c r="K152" s="154">
        <f t="shared" si="8"/>
        <v>0</v>
      </c>
      <c r="L152" s="154">
        <f t="shared" si="9"/>
        <v>0</v>
      </c>
      <c r="M152" s="154">
        <f t="shared" si="9"/>
        <v>0</v>
      </c>
      <c r="N152" s="154">
        <f t="shared" si="9"/>
        <v>0</v>
      </c>
    </row>
    <row r="153" spans="1:14" x14ac:dyDescent="0.25">
      <c r="A153" s="152">
        <v>6390000</v>
      </c>
      <c r="B153" s="73" t="s">
        <v>272</v>
      </c>
      <c r="C153" s="88"/>
      <c r="D153" s="89"/>
      <c r="E153" s="89"/>
      <c r="F153" s="89"/>
      <c r="G153" s="89"/>
      <c r="H153" s="89"/>
      <c r="I153" s="89"/>
      <c r="J153" s="89"/>
      <c r="K153" s="154">
        <f t="shared" si="8"/>
        <v>0</v>
      </c>
      <c r="L153" s="154">
        <f t="shared" si="9"/>
        <v>0</v>
      </c>
      <c r="M153" s="154">
        <f t="shared" si="9"/>
        <v>0</v>
      </c>
      <c r="N153" s="154">
        <f t="shared" si="9"/>
        <v>7650</v>
      </c>
    </row>
    <row r="154" spans="1:14" x14ac:dyDescent="0.25">
      <c r="A154" s="152">
        <v>6390000</v>
      </c>
      <c r="B154" s="51" t="s">
        <v>21</v>
      </c>
      <c r="C154" s="88"/>
      <c r="D154" s="89"/>
      <c r="E154" s="89"/>
      <c r="F154" s="89"/>
      <c r="G154" s="89"/>
      <c r="H154" s="89"/>
      <c r="I154" s="89"/>
      <c r="J154" s="89"/>
      <c r="K154" s="154">
        <f t="shared" si="8"/>
        <v>0</v>
      </c>
      <c r="L154" s="154">
        <f t="shared" si="9"/>
        <v>0</v>
      </c>
      <c r="M154" s="154">
        <f t="shared" si="9"/>
        <v>0</v>
      </c>
      <c r="N154" s="154">
        <f t="shared" si="9"/>
        <v>0</v>
      </c>
    </row>
    <row r="155" spans="1:14" x14ac:dyDescent="0.25">
      <c r="A155" s="152">
        <v>6390000</v>
      </c>
      <c r="B155" s="73" t="s">
        <v>1172</v>
      </c>
      <c r="C155" s="88"/>
      <c r="D155" s="89"/>
      <c r="E155" s="89"/>
      <c r="F155" s="89"/>
      <c r="G155" s="89"/>
      <c r="H155" s="89"/>
      <c r="I155" s="89"/>
      <c r="J155" s="89"/>
      <c r="K155" s="154">
        <f t="shared" si="8"/>
        <v>0</v>
      </c>
      <c r="L155" s="154">
        <f t="shared" si="9"/>
        <v>0</v>
      </c>
      <c r="M155" s="154">
        <f t="shared" si="9"/>
        <v>0</v>
      </c>
      <c r="N155" s="154">
        <f t="shared" si="9"/>
        <v>0</v>
      </c>
    </row>
    <row r="156" spans="1:14" x14ac:dyDescent="0.25">
      <c r="A156" s="152">
        <v>6390000</v>
      </c>
      <c r="B156" s="73" t="s">
        <v>810</v>
      </c>
      <c r="C156" s="88"/>
      <c r="D156" s="89"/>
      <c r="E156" s="89"/>
      <c r="F156" s="89"/>
      <c r="G156" s="89"/>
      <c r="H156" s="89"/>
      <c r="I156" s="89"/>
      <c r="J156" s="89"/>
      <c r="K156" s="154">
        <f t="shared" si="8"/>
        <v>0</v>
      </c>
      <c r="L156" s="154">
        <f t="shared" si="9"/>
        <v>0</v>
      </c>
      <c r="M156" s="154">
        <f t="shared" si="9"/>
        <v>0</v>
      </c>
      <c r="N156" s="154">
        <f t="shared" si="9"/>
        <v>1600</v>
      </c>
    </row>
    <row r="157" spans="1:14" x14ac:dyDescent="0.25">
      <c r="A157" s="152">
        <v>6390000</v>
      </c>
      <c r="B157" s="51" t="s">
        <v>811</v>
      </c>
      <c r="C157" s="88"/>
      <c r="D157" s="89"/>
      <c r="E157" s="89"/>
      <c r="F157" s="89"/>
      <c r="G157" s="89"/>
      <c r="H157" s="89"/>
      <c r="I157" s="89"/>
      <c r="J157" s="89"/>
      <c r="K157" s="154">
        <f t="shared" si="8"/>
        <v>0</v>
      </c>
      <c r="L157" s="154">
        <f t="shared" si="9"/>
        <v>0</v>
      </c>
      <c r="M157" s="154">
        <f t="shared" si="9"/>
        <v>0</v>
      </c>
      <c r="N157" s="154">
        <f t="shared" si="9"/>
        <v>0</v>
      </c>
    </row>
    <row r="158" spans="1:14" x14ac:dyDescent="0.25">
      <c r="A158" s="152">
        <v>6390000</v>
      </c>
      <c r="B158" s="51" t="s">
        <v>23</v>
      </c>
      <c r="C158" s="88"/>
      <c r="D158" s="89"/>
      <c r="E158" s="89"/>
      <c r="F158" s="89"/>
      <c r="G158" s="89"/>
      <c r="H158" s="89"/>
      <c r="I158" s="89"/>
      <c r="J158" s="89"/>
      <c r="K158" s="154">
        <f t="shared" si="8"/>
        <v>0</v>
      </c>
      <c r="L158" s="154">
        <f t="shared" si="9"/>
        <v>0</v>
      </c>
      <c r="M158" s="154">
        <f t="shared" si="9"/>
        <v>0</v>
      </c>
      <c r="N158" s="154">
        <f t="shared" si="9"/>
        <v>0</v>
      </c>
    </row>
    <row r="159" spans="1:14" x14ac:dyDescent="0.25">
      <c r="A159" s="152">
        <v>6390000</v>
      </c>
      <c r="B159" s="73" t="s">
        <v>268</v>
      </c>
      <c r="C159" s="88"/>
      <c r="D159" s="89"/>
      <c r="E159" s="89"/>
      <c r="F159" s="89"/>
      <c r="G159" s="89"/>
      <c r="H159" s="89"/>
      <c r="I159" s="89"/>
      <c r="J159" s="89"/>
      <c r="K159" s="154">
        <f t="shared" si="8"/>
        <v>0</v>
      </c>
      <c r="L159" s="154">
        <f t="shared" si="9"/>
        <v>0</v>
      </c>
      <c r="M159" s="154">
        <f t="shared" si="9"/>
        <v>0</v>
      </c>
      <c r="N159" s="154">
        <f t="shared" si="9"/>
        <v>0</v>
      </c>
    </row>
    <row r="160" spans="1:14" x14ac:dyDescent="0.25">
      <c r="A160" s="152">
        <v>6390000</v>
      </c>
      <c r="B160" s="73" t="s">
        <v>267</v>
      </c>
      <c r="C160" s="88"/>
      <c r="D160" s="89"/>
      <c r="E160" s="89"/>
      <c r="F160" s="89"/>
      <c r="G160" s="89"/>
      <c r="H160" s="89"/>
      <c r="I160" s="89"/>
      <c r="J160" s="89"/>
      <c r="K160" s="154">
        <f t="shared" si="8"/>
        <v>0</v>
      </c>
      <c r="L160" s="154">
        <f t="shared" si="9"/>
        <v>0</v>
      </c>
      <c r="M160" s="154">
        <f t="shared" si="9"/>
        <v>0</v>
      </c>
      <c r="N160" s="154">
        <f t="shared" si="9"/>
        <v>2400</v>
      </c>
    </row>
    <row r="161" spans="1:14" ht="15.75" thickBot="1" x14ac:dyDescent="0.3">
      <c r="A161" s="152">
        <v>6390000</v>
      </c>
      <c r="B161" s="73" t="s">
        <v>920</v>
      </c>
      <c r="C161" s="88"/>
      <c r="D161" s="89"/>
      <c r="E161" s="89"/>
      <c r="F161" s="89"/>
      <c r="G161" s="89"/>
      <c r="H161" s="89"/>
      <c r="I161" s="89"/>
      <c r="J161" s="89"/>
      <c r="K161" s="154">
        <f t="shared" si="8"/>
        <v>0</v>
      </c>
      <c r="L161" s="154">
        <f t="shared" si="9"/>
        <v>0</v>
      </c>
      <c r="M161" s="154">
        <f t="shared" si="9"/>
        <v>0</v>
      </c>
      <c r="N161" s="154">
        <f t="shared" si="9"/>
        <v>0</v>
      </c>
    </row>
    <row r="162" spans="1:14" s="407" customFormat="1" x14ac:dyDescent="0.25">
      <c r="A162" s="151">
        <v>6390015</v>
      </c>
      <c r="B162" s="84" t="s">
        <v>19</v>
      </c>
      <c r="C162" s="85"/>
      <c r="D162" s="86"/>
      <c r="E162" s="86"/>
      <c r="F162" s="86"/>
      <c r="G162" s="86"/>
      <c r="H162" s="86"/>
      <c r="I162" s="86"/>
      <c r="J162" s="86"/>
      <c r="K162" s="213">
        <f t="shared" si="8"/>
        <v>0</v>
      </c>
      <c r="L162" s="213">
        <f t="shared" si="9"/>
        <v>0</v>
      </c>
      <c r="M162" s="213">
        <f t="shared" si="9"/>
        <v>0</v>
      </c>
      <c r="N162" s="213">
        <f t="shared" si="9"/>
        <v>0</v>
      </c>
    </row>
    <row r="163" spans="1:14" s="407" customFormat="1" x14ac:dyDescent="0.25">
      <c r="A163" s="152">
        <v>6390015</v>
      </c>
      <c r="B163" s="73" t="s">
        <v>18</v>
      </c>
      <c r="C163" s="88"/>
      <c r="D163" s="89"/>
      <c r="E163" s="89"/>
      <c r="F163" s="89"/>
      <c r="G163" s="89"/>
      <c r="H163" s="89"/>
      <c r="I163" s="89"/>
      <c r="J163" s="89"/>
      <c r="K163" s="212">
        <f t="shared" si="8"/>
        <v>0</v>
      </c>
      <c r="L163" s="212">
        <f t="shared" si="9"/>
        <v>0</v>
      </c>
      <c r="M163" s="212">
        <f t="shared" si="9"/>
        <v>0</v>
      </c>
      <c r="N163" s="212">
        <f t="shared" si="9"/>
        <v>0</v>
      </c>
    </row>
    <row r="164" spans="1:14" s="407" customFormat="1" x14ac:dyDescent="0.25">
      <c r="A164" s="152">
        <v>6390015</v>
      </c>
      <c r="B164" s="73" t="s">
        <v>22</v>
      </c>
      <c r="C164" s="88"/>
      <c r="D164" s="89"/>
      <c r="E164" s="89"/>
      <c r="F164" s="89"/>
      <c r="G164" s="89"/>
      <c r="H164" s="89"/>
      <c r="I164" s="89"/>
      <c r="J164" s="89"/>
      <c r="K164" s="212">
        <f t="shared" ref="K164:K181" si="10">SUMIFS(K$26:K$100,$A$26:$A$100,$A164,$B$26:$B$100,$B164)</f>
        <v>0</v>
      </c>
      <c r="L164" s="212">
        <f t="shared" si="9"/>
        <v>0</v>
      </c>
      <c r="M164" s="212">
        <f t="shared" si="9"/>
        <v>0</v>
      </c>
      <c r="N164" s="212">
        <f t="shared" si="9"/>
        <v>0</v>
      </c>
    </row>
    <row r="165" spans="1:14" s="407" customFormat="1" x14ac:dyDescent="0.25">
      <c r="A165" s="152">
        <v>6390015</v>
      </c>
      <c r="B165" s="73" t="s">
        <v>24</v>
      </c>
      <c r="C165" s="88"/>
      <c r="D165" s="89"/>
      <c r="E165" s="89"/>
      <c r="F165" s="89"/>
      <c r="G165" s="89"/>
      <c r="H165" s="89"/>
      <c r="I165" s="89"/>
      <c r="J165" s="89"/>
      <c r="K165" s="212">
        <f t="shared" si="10"/>
        <v>0</v>
      </c>
      <c r="L165" s="212">
        <f t="shared" si="9"/>
        <v>0</v>
      </c>
      <c r="M165" s="212">
        <f t="shared" si="9"/>
        <v>0</v>
      </c>
      <c r="N165" s="212">
        <f t="shared" si="9"/>
        <v>0</v>
      </c>
    </row>
    <row r="166" spans="1:14" s="407" customFormat="1" x14ac:dyDescent="0.25">
      <c r="A166" s="152">
        <v>6390015</v>
      </c>
      <c r="B166" s="73" t="s">
        <v>25</v>
      </c>
      <c r="C166" s="88"/>
      <c r="D166" s="89"/>
      <c r="E166" s="89"/>
      <c r="F166" s="89"/>
      <c r="G166" s="89"/>
      <c r="H166" s="89"/>
      <c r="I166" s="89"/>
      <c r="J166" s="89"/>
      <c r="K166" s="212">
        <f t="shared" si="10"/>
        <v>0</v>
      </c>
      <c r="L166" s="212">
        <f t="shared" si="9"/>
        <v>0</v>
      </c>
      <c r="M166" s="212">
        <f t="shared" si="9"/>
        <v>0</v>
      </c>
      <c r="N166" s="212">
        <f t="shared" si="9"/>
        <v>0</v>
      </c>
    </row>
    <row r="167" spans="1:14" s="407" customFormat="1" x14ac:dyDescent="0.25">
      <c r="A167" s="152">
        <v>6390015</v>
      </c>
      <c r="B167" s="73" t="s">
        <v>394</v>
      </c>
      <c r="C167" s="88"/>
      <c r="D167" s="89"/>
      <c r="E167" s="89"/>
      <c r="F167" s="89"/>
      <c r="G167" s="89"/>
      <c r="H167" s="89"/>
      <c r="I167" s="89"/>
      <c r="J167" s="89"/>
      <c r="K167" s="212">
        <f t="shared" si="10"/>
        <v>0</v>
      </c>
      <c r="L167" s="212">
        <f t="shared" si="9"/>
        <v>0</v>
      </c>
      <c r="M167" s="212">
        <f t="shared" si="9"/>
        <v>0</v>
      </c>
      <c r="N167" s="212">
        <f t="shared" si="9"/>
        <v>0</v>
      </c>
    </row>
    <row r="168" spans="1:14" s="407" customFormat="1" x14ac:dyDescent="0.25">
      <c r="A168" s="152">
        <v>6390015</v>
      </c>
      <c r="B168" s="73" t="s">
        <v>350</v>
      </c>
      <c r="C168" s="88"/>
      <c r="D168" s="89"/>
      <c r="E168" s="89"/>
      <c r="F168" s="89"/>
      <c r="G168" s="89"/>
      <c r="H168" s="89"/>
      <c r="I168" s="89"/>
      <c r="J168" s="89"/>
      <c r="K168" s="212">
        <f t="shared" si="10"/>
        <v>0</v>
      </c>
      <c r="L168" s="212">
        <f t="shared" si="9"/>
        <v>0</v>
      </c>
      <c r="M168" s="212">
        <f t="shared" si="9"/>
        <v>0</v>
      </c>
      <c r="N168" s="212">
        <f t="shared" si="9"/>
        <v>0</v>
      </c>
    </row>
    <row r="169" spans="1:14" s="407" customFormat="1" x14ac:dyDescent="0.25">
      <c r="A169" s="152">
        <v>6390015</v>
      </c>
      <c r="B169" s="73" t="s">
        <v>1171</v>
      </c>
      <c r="C169" s="88"/>
      <c r="D169" s="89"/>
      <c r="E169" s="89"/>
      <c r="F169" s="89"/>
      <c r="G169" s="89"/>
      <c r="H169" s="89"/>
      <c r="I169" s="89"/>
      <c r="J169" s="89"/>
      <c r="K169" s="212">
        <f t="shared" si="10"/>
        <v>0</v>
      </c>
      <c r="L169" s="212">
        <f t="shared" ref="L169:N181" si="11">SUMIFS(L$26:L$100,$A$26:$A$100,$A169,$B$26:$B$100,$B169)</f>
        <v>0</v>
      </c>
      <c r="M169" s="212">
        <f t="shared" si="11"/>
        <v>0</v>
      </c>
      <c r="N169" s="212">
        <f t="shared" si="11"/>
        <v>0</v>
      </c>
    </row>
    <row r="170" spans="1:14" s="407" customFormat="1" x14ac:dyDescent="0.25">
      <c r="A170" s="152">
        <v>6390015</v>
      </c>
      <c r="B170" s="73" t="s">
        <v>1182</v>
      </c>
      <c r="C170" s="88"/>
      <c r="D170" s="89"/>
      <c r="E170" s="89"/>
      <c r="F170" s="89"/>
      <c r="G170" s="89"/>
      <c r="H170" s="89"/>
      <c r="I170" s="89"/>
      <c r="J170" s="89"/>
      <c r="K170" s="212">
        <f t="shared" si="10"/>
        <v>0</v>
      </c>
      <c r="L170" s="212">
        <f t="shared" si="11"/>
        <v>0</v>
      </c>
      <c r="M170" s="212">
        <f t="shared" si="11"/>
        <v>0</v>
      </c>
      <c r="N170" s="212">
        <f t="shared" si="11"/>
        <v>0</v>
      </c>
    </row>
    <row r="171" spans="1:14" s="407" customFormat="1" x14ac:dyDescent="0.25">
      <c r="A171" s="152">
        <v>6390015</v>
      </c>
      <c r="B171" s="73" t="s">
        <v>20</v>
      </c>
      <c r="C171" s="88"/>
      <c r="D171" s="89"/>
      <c r="E171" s="89"/>
      <c r="F171" s="89"/>
      <c r="G171" s="89"/>
      <c r="H171" s="89"/>
      <c r="I171" s="89"/>
      <c r="J171" s="89"/>
      <c r="K171" s="212">
        <f t="shared" si="10"/>
        <v>0</v>
      </c>
      <c r="L171" s="212">
        <f t="shared" si="11"/>
        <v>0</v>
      </c>
      <c r="M171" s="212">
        <f t="shared" si="11"/>
        <v>0</v>
      </c>
      <c r="N171" s="212">
        <f t="shared" si="11"/>
        <v>0</v>
      </c>
    </row>
    <row r="172" spans="1:14" s="407" customFormat="1" x14ac:dyDescent="0.25">
      <c r="A172" s="152">
        <v>6390015</v>
      </c>
      <c r="B172" s="73" t="s">
        <v>510</v>
      </c>
      <c r="C172" s="88"/>
      <c r="D172" s="89"/>
      <c r="E172" s="89"/>
      <c r="F172" s="89"/>
      <c r="G172" s="89"/>
      <c r="H172" s="89"/>
      <c r="I172" s="89"/>
      <c r="J172" s="89"/>
      <c r="K172" s="212">
        <f t="shared" si="10"/>
        <v>0</v>
      </c>
      <c r="L172" s="212">
        <f t="shared" si="11"/>
        <v>0</v>
      </c>
      <c r="M172" s="212">
        <f t="shared" si="11"/>
        <v>0</v>
      </c>
      <c r="N172" s="212">
        <f t="shared" si="11"/>
        <v>0</v>
      </c>
    </row>
    <row r="173" spans="1:14" s="407" customFormat="1" x14ac:dyDescent="0.25">
      <c r="A173" s="152">
        <v>6390015</v>
      </c>
      <c r="B173" s="73" t="s">
        <v>272</v>
      </c>
      <c r="C173" s="88"/>
      <c r="D173" s="89"/>
      <c r="E173" s="89"/>
      <c r="F173" s="89"/>
      <c r="G173" s="89"/>
      <c r="H173" s="89"/>
      <c r="I173" s="89"/>
      <c r="J173" s="89"/>
      <c r="K173" s="212">
        <f t="shared" si="10"/>
        <v>0</v>
      </c>
      <c r="L173" s="212">
        <f t="shared" si="11"/>
        <v>0</v>
      </c>
      <c r="M173" s="212">
        <f t="shared" si="11"/>
        <v>0</v>
      </c>
      <c r="N173" s="212">
        <f t="shared" si="11"/>
        <v>0</v>
      </c>
    </row>
    <row r="174" spans="1:14" s="407" customFormat="1" x14ac:dyDescent="0.25">
      <c r="A174" s="152">
        <v>6390015</v>
      </c>
      <c r="B174" s="51" t="s">
        <v>21</v>
      </c>
      <c r="C174" s="88"/>
      <c r="D174" s="89"/>
      <c r="E174" s="89"/>
      <c r="F174" s="89"/>
      <c r="G174" s="89"/>
      <c r="H174" s="89"/>
      <c r="I174" s="89"/>
      <c r="J174" s="89"/>
      <c r="K174" s="212">
        <f t="shared" si="10"/>
        <v>0</v>
      </c>
      <c r="L174" s="212">
        <f t="shared" si="11"/>
        <v>0</v>
      </c>
      <c r="M174" s="212">
        <f t="shared" si="11"/>
        <v>0</v>
      </c>
      <c r="N174" s="212">
        <f t="shared" si="11"/>
        <v>0</v>
      </c>
    </row>
    <row r="175" spans="1:14" s="407" customFormat="1" x14ac:dyDescent="0.25">
      <c r="A175" s="152">
        <v>6390015</v>
      </c>
      <c r="B175" s="73" t="s">
        <v>1172</v>
      </c>
      <c r="C175" s="88"/>
      <c r="D175" s="89"/>
      <c r="E175" s="89"/>
      <c r="F175" s="89"/>
      <c r="G175" s="89"/>
      <c r="H175" s="89"/>
      <c r="I175" s="89"/>
      <c r="J175" s="89"/>
      <c r="K175" s="212">
        <f t="shared" si="10"/>
        <v>0</v>
      </c>
      <c r="L175" s="212">
        <f t="shared" si="11"/>
        <v>0</v>
      </c>
      <c r="M175" s="212">
        <f t="shared" si="11"/>
        <v>0</v>
      </c>
      <c r="N175" s="212">
        <f t="shared" si="11"/>
        <v>0</v>
      </c>
    </row>
    <row r="176" spans="1:14" s="407" customFormat="1" x14ac:dyDescent="0.25">
      <c r="A176" s="152">
        <v>6390015</v>
      </c>
      <c r="B176" s="73" t="s">
        <v>810</v>
      </c>
      <c r="C176" s="88"/>
      <c r="D176" s="89"/>
      <c r="E176" s="89"/>
      <c r="F176" s="89"/>
      <c r="G176" s="89"/>
      <c r="H176" s="89"/>
      <c r="I176" s="89"/>
      <c r="J176" s="89"/>
      <c r="K176" s="212">
        <f t="shared" si="10"/>
        <v>0</v>
      </c>
      <c r="L176" s="212">
        <f t="shared" si="11"/>
        <v>0</v>
      </c>
      <c r="M176" s="212">
        <f t="shared" si="11"/>
        <v>0</v>
      </c>
      <c r="N176" s="212">
        <f t="shared" si="11"/>
        <v>0</v>
      </c>
    </row>
    <row r="177" spans="1:15" s="407" customFormat="1" x14ac:dyDescent="0.25">
      <c r="A177" s="152">
        <v>6390015</v>
      </c>
      <c r="B177" s="51" t="s">
        <v>811</v>
      </c>
      <c r="C177" s="88"/>
      <c r="D177" s="89"/>
      <c r="E177" s="89"/>
      <c r="F177" s="89"/>
      <c r="G177" s="89"/>
      <c r="H177" s="89"/>
      <c r="I177" s="89"/>
      <c r="J177" s="89"/>
      <c r="K177" s="212">
        <f t="shared" si="10"/>
        <v>0</v>
      </c>
      <c r="L177" s="212">
        <f t="shared" si="11"/>
        <v>0</v>
      </c>
      <c r="M177" s="212">
        <f t="shared" si="11"/>
        <v>0</v>
      </c>
      <c r="N177" s="212">
        <f t="shared" si="11"/>
        <v>0</v>
      </c>
    </row>
    <row r="178" spans="1:15" s="407" customFormat="1" x14ac:dyDescent="0.25">
      <c r="A178" s="152">
        <v>6390015</v>
      </c>
      <c r="B178" s="51" t="s">
        <v>23</v>
      </c>
      <c r="C178" s="88"/>
      <c r="D178" s="89"/>
      <c r="E178" s="89"/>
      <c r="F178" s="89"/>
      <c r="G178" s="89"/>
      <c r="H178" s="89"/>
      <c r="I178" s="89"/>
      <c r="J178" s="89"/>
      <c r="K178" s="212">
        <f t="shared" si="10"/>
        <v>0</v>
      </c>
      <c r="L178" s="212">
        <f t="shared" si="11"/>
        <v>0</v>
      </c>
      <c r="M178" s="212">
        <f t="shared" si="11"/>
        <v>0</v>
      </c>
      <c r="N178" s="212">
        <f t="shared" si="11"/>
        <v>0</v>
      </c>
    </row>
    <row r="179" spans="1:15" s="407" customFormat="1" x14ac:dyDescent="0.25">
      <c r="A179" s="152">
        <v>6390015</v>
      </c>
      <c r="B179" s="73" t="s">
        <v>268</v>
      </c>
      <c r="C179" s="88"/>
      <c r="D179" s="89"/>
      <c r="E179" s="89"/>
      <c r="F179" s="89"/>
      <c r="G179" s="89"/>
      <c r="H179" s="89"/>
      <c r="I179" s="89"/>
      <c r="J179" s="89"/>
      <c r="K179" s="212">
        <f t="shared" si="10"/>
        <v>0</v>
      </c>
      <c r="L179" s="212">
        <f t="shared" si="11"/>
        <v>0</v>
      </c>
      <c r="M179" s="212">
        <f t="shared" si="11"/>
        <v>0</v>
      </c>
      <c r="N179" s="212">
        <f t="shared" si="11"/>
        <v>0</v>
      </c>
    </row>
    <row r="180" spans="1:15" s="407" customFormat="1" x14ac:dyDescent="0.25">
      <c r="A180" s="152">
        <v>6390015</v>
      </c>
      <c r="B180" s="73" t="s">
        <v>267</v>
      </c>
      <c r="C180" s="88"/>
      <c r="D180" s="89"/>
      <c r="E180" s="89"/>
      <c r="F180" s="89"/>
      <c r="G180" s="89"/>
      <c r="H180" s="89"/>
      <c r="I180" s="89"/>
      <c r="J180" s="89"/>
      <c r="K180" s="212">
        <f t="shared" si="10"/>
        <v>0</v>
      </c>
      <c r="L180" s="212">
        <f t="shared" si="11"/>
        <v>0</v>
      </c>
      <c r="M180" s="212">
        <f t="shared" si="11"/>
        <v>0</v>
      </c>
      <c r="N180" s="212">
        <f t="shared" si="11"/>
        <v>0</v>
      </c>
    </row>
    <row r="181" spans="1:15" s="407" customFormat="1" x14ac:dyDescent="0.25">
      <c r="A181" s="152">
        <v>6390015</v>
      </c>
      <c r="B181" s="73" t="s">
        <v>920</v>
      </c>
      <c r="C181" s="88"/>
      <c r="D181" s="89"/>
      <c r="E181" s="89"/>
      <c r="F181" s="89"/>
      <c r="G181" s="89"/>
      <c r="H181" s="89"/>
      <c r="I181" s="89"/>
      <c r="J181" s="89"/>
      <c r="K181" s="212">
        <f t="shared" si="10"/>
        <v>0</v>
      </c>
      <c r="L181" s="212">
        <f t="shared" si="11"/>
        <v>0</v>
      </c>
      <c r="M181" s="212">
        <f t="shared" si="11"/>
        <v>0</v>
      </c>
      <c r="N181" s="212">
        <f t="shared" si="11"/>
        <v>0</v>
      </c>
    </row>
    <row r="182" spans="1:15" ht="15.75" thickBot="1" x14ac:dyDescent="0.3"/>
    <row r="183" spans="1:15" ht="15.75" thickBot="1" x14ac:dyDescent="0.3">
      <c r="A183" s="148"/>
      <c r="B183" s="149"/>
      <c r="C183" s="149"/>
      <c r="D183" s="148"/>
      <c r="E183" s="148"/>
      <c r="F183" s="148"/>
      <c r="G183" s="148"/>
      <c r="H183" s="148"/>
      <c r="I183" s="148"/>
      <c r="J183" s="148"/>
      <c r="K183" s="160">
        <f>K101-SUM(K102:K182)</f>
        <v>0</v>
      </c>
      <c r="L183" s="160">
        <f>L101-SUM(L102:L182)</f>
        <v>0</v>
      </c>
      <c r="M183" s="160">
        <f>M101-SUM(M102:M182)</f>
        <v>0</v>
      </c>
      <c r="N183" s="160">
        <f>N101-SUM(N102:N182)</f>
        <v>0</v>
      </c>
      <c r="O183" s="643">
        <f>SUBTOTAL(9,O26:O182)</f>
        <v>0</v>
      </c>
    </row>
    <row r="185" spans="1:15" customFormat="1" ht="12.75" x14ac:dyDescent="0.2">
      <c r="A185" s="21" t="s">
        <v>186</v>
      </c>
      <c r="B185" s="21"/>
      <c r="E185" s="21"/>
    </row>
    <row r="186" spans="1:15" customFormat="1" ht="12.75" x14ac:dyDescent="0.2"/>
    <row r="187" spans="1:15" customFormat="1" ht="12.75" x14ac:dyDescent="0.2">
      <c r="A187" s="1" t="s">
        <v>187</v>
      </c>
      <c r="B187" s="1"/>
      <c r="E187" s="1"/>
    </row>
    <row r="188" spans="1:15" customFormat="1" ht="12.75" x14ac:dyDescent="0.2">
      <c r="A188" s="1" t="s">
        <v>188</v>
      </c>
      <c r="B188" s="1"/>
      <c r="E188" s="1"/>
    </row>
    <row r="189" spans="1:15" customFormat="1" ht="12.75" x14ac:dyDescent="0.2"/>
    <row r="190" spans="1:15" customFormat="1" ht="12.75" x14ac:dyDescent="0.2"/>
    <row r="191" spans="1:15" customFormat="1" ht="12.75" x14ac:dyDescent="0.2"/>
    <row r="192" spans="1:15" customFormat="1" ht="12.75" x14ac:dyDescent="0.2"/>
    <row r="193" spans="1:15" customFormat="1" ht="12.75" x14ac:dyDescent="0.2"/>
    <row r="194" spans="1:15" customFormat="1" ht="12.75" x14ac:dyDescent="0.2"/>
    <row r="195" spans="1:15" customFormat="1" ht="12.75" x14ac:dyDescent="0.2">
      <c r="A195" s="21" t="s">
        <v>190</v>
      </c>
      <c r="D195" s="23" t="s">
        <v>191</v>
      </c>
      <c r="F195" s="23" t="s">
        <v>192</v>
      </c>
      <c r="K195" s="23"/>
      <c r="L195" s="23"/>
      <c r="M195" s="23"/>
      <c r="N195" s="23"/>
      <c r="O195" s="23"/>
    </row>
    <row r="196" spans="1:15" customFormat="1" ht="12.75" x14ac:dyDescent="0.2">
      <c r="A196" s="1" t="s">
        <v>187</v>
      </c>
    </row>
    <row r="197" spans="1:15" customFormat="1" ht="12.75" x14ac:dyDescent="0.2">
      <c r="A197" s="1" t="s">
        <v>188</v>
      </c>
    </row>
    <row r="198" spans="1:15" customFormat="1" ht="12.75" x14ac:dyDescent="0.2"/>
    <row r="208" spans="1:15" ht="12.75" x14ac:dyDescent="0.2">
      <c r="A208" s="152"/>
      <c r="B208" s="73"/>
      <c r="C208" s="51" t="s">
        <v>986</v>
      </c>
      <c r="D208" s="89"/>
      <c r="E208" s="89"/>
      <c r="F208" s="89"/>
      <c r="G208" s="89"/>
      <c r="H208" s="89"/>
      <c r="I208" s="89"/>
      <c r="J208" s="212"/>
      <c r="K208" s="212">
        <f t="shared" ref="K208:N227" si="12">SUMIF($C$26:$C$100,$C208,K$26:K$100)</f>
        <v>0</v>
      </c>
      <c r="L208" s="212">
        <f t="shared" si="12"/>
        <v>0</v>
      </c>
      <c r="M208" s="212">
        <f t="shared" si="12"/>
        <v>0</v>
      </c>
      <c r="N208" s="212">
        <f t="shared" si="12"/>
        <v>0</v>
      </c>
    </row>
    <row r="209" spans="1:14" ht="12.75" x14ac:dyDescent="0.2">
      <c r="A209" s="152"/>
      <c r="B209" s="73"/>
      <c r="C209" s="51" t="s">
        <v>988</v>
      </c>
      <c r="D209" s="89"/>
      <c r="E209" s="89"/>
      <c r="F209" s="89"/>
      <c r="G209" s="89"/>
      <c r="H209" s="89"/>
      <c r="I209" s="89"/>
      <c r="J209" s="212"/>
      <c r="K209" s="212">
        <f t="shared" si="12"/>
        <v>0</v>
      </c>
      <c r="L209" s="212">
        <f t="shared" si="12"/>
        <v>0</v>
      </c>
      <c r="M209" s="212">
        <f t="shared" si="12"/>
        <v>0</v>
      </c>
      <c r="N209" s="212">
        <f t="shared" si="12"/>
        <v>0</v>
      </c>
    </row>
    <row r="210" spans="1:14" ht="12.75" x14ac:dyDescent="0.2">
      <c r="A210" s="152"/>
      <c r="B210" s="73"/>
      <c r="C210" s="51" t="s">
        <v>1058</v>
      </c>
      <c r="D210" s="89"/>
      <c r="E210" s="89"/>
      <c r="F210" s="89"/>
      <c r="G210" s="89"/>
      <c r="H210" s="89"/>
      <c r="I210" s="89"/>
      <c r="J210" s="212"/>
      <c r="K210" s="212">
        <f t="shared" si="12"/>
        <v>0</v>
      </c>
      <c r="L210" s="212">
        <f t="shared" si="12"/>
        <v>0</v>
      </c>
      <c r="M210" s="212">
        <f t="shared" si="12"/>
        <v>0</v>
      </c>
      <c r="N210" s="212">
        <f t="shared" si="12"/>
        <v>0</v>
      </c>
    </row>
    <row r="211" spans="1:14" ht="12.75" x14ac:dyDescent="0.2">
      <c r="A211" s="152"/>
      <c r="B211" s="73"/>
      <c r="C211" s="51" t="s">
        <v>972</v>
      </c>
      <c r="D211" s="89"/>
      <c r="E211" s="89"/>
      <c r="F211" s="89"/>
      <c r="G211" s="89"/>
      <c r="H211" s="89"/>
      <c r="I211" s="89"/>
      <c r="J211" s="212"/>
      <c r="K211" s="212">
        <f t="shared" si="12"/>
        <v>0</v>
      </c>
      <c r="L211" s="212">
        <f t="shared" si="12"/>
        <v>0</v>
      </c>
      <c r="M211" s="212">
        <f t="shared" si="12"/>
        <v>0</v>
      </c>
      <c r="N211" s="212">
        <f t="shared" si="12"/>
        <v>0</v>
      </c>
    </row>
    <row r="212" spans="1:14" ht="12.75" x14ac:dyDescent="0.2">
      <c r="A212" s="152"/>
      <c r="B212" s="73"/>
      <c r="C212" s="51" t="s">
        <v>973</v>
      </c>
      <c r="D212" s="89"/>
      <c r="E212" s="89"/>
      <c r="F212" s="89"/>
      <c r="G212" s="89"/>
      <c r="H212" s="89"/>
      <c r="I212" s="89"/>
      <c r="J212" s="212"/>
      <c r="K212" s="212">
        <f t="shared" si="12"/>
        <v>0</v>
      </c>
      <c r="L212" s="212">
        <f t="shared" si="12"/>
        <v>0</v>
      </c>
      <c r="M212" s="212">
        <f t="shared" si="12"/>
        <v>0</v>
      </c>
      <c r="N212" s="212">
        <f t="shared" si="12"/>
        <v>0</v>
      </c>
    </row>
    <row r="213" spans="1:14" ht="12.75" x14ac:dyDescent="0.2">
      <c r="A213" s="152"/>
      <c r="B213" s="73"/>
      <c r="C213" s="51" t="s">
        <v>980</v>
      </c>
      <c r="D213" s="89"/>
      <c r="E213" s="89"/>
      <c r="F213" s="89"/>
      <c r="G213" s="89"/>
      <c r="H213" s="89"/>
      <c r="I213" s="89"/>
      <c r="J213" s="212"/>
      <c r="K213" s="212">
        <f t="shared" si="12"/>
        <v>0</v>
      </c>
      <c r="L213" s="212">
        <f t="shared" si="12"/>
        <v>0</v>
      </c>
      <c r="M213" s="212">
        <f t="shared" si="12"/>
        <v>0</v>
      </c>
      <c r="N213" s="212">
        <f t="shared" si="12"/>
        <v>0</v>
      </c>
    </row>
    <row r="214" spans="1:14" s="284" customFormat="1" ht="12.75" x14ac:dyDescent="0.2">
      <c r="A214" s="152"/>
      <c r="B214" s="73"/>
      <c r="C214" s="51" t="s">
        <v>982</v>
      </c>
      <c r="D214" s="89"/>
      <c r="E214" s="89"/>
      <c r="F214" s="89"/>
      <c r="G214" s="89"/>
      <c r="H214" s="89"/>
      <c r="I214" s="89"/>
      <c r="J214" s="212"/>
      <c r="K214" s="212">
        <f t="shared" si="12"/>
        <v>0</v>
      </c>
      <c r="L214" s="212">
        <f t="shared" si="12"/>
        <v>0</v>
      </c>
      <c r="M214" s="212">
        <f t="shared" si="12"/>
        <v>0</v>
      </c>
      <c r="N214" s="212">
        <f t="shared" si="12"/>
        <v>0</v>
      </c>
    </row>
    <row r="215" spans="1:14" ht="12.75" x14ac:dyDescent="0.2">
      <c r="A215" s="152"/>
      <c r="B215" s="73"/>
      <c r="C215" s="51" t="s">
        <v>46</v>
      </c>
      <c r="D215" s="89"/>
      <c r="E215" s="89"/>
      <c r="F215" s="89"/>
      <c r="G215" s="89"/>
      <c r="H215" s="89"/>
      <c r="I215" s="89"/>
      <c r="J215" s="212"/>
      <c r="K215" s="212">
        <f t="shared" si="12"/>
        <v>0</v>
      </c>
      <c r="L215" s="212">
        <f t="shared" si="12"/>
        <v>0</v>
      </c>
      <c r="M215" s="212">
        <f t="shared" si="12"/>
        <v>0</v>
      </c>
      <c r="N215" s="212">
        <f t="shared" si="12"/>
        <v>24100</v>
      </c>
    </row>
    <row r="216" spans="1:14" ht="12.75" x14ac:dyDescent="0.2">
      <c r="A216" s="152"/>
      <c r="B216" s="73"/>
      <c r="C216" s="51" t="s">
        <v>1019</v>
      </c>
      <c r="D216" s="89"/>
      <c r="E216" s="89"/>
      <c r="F216" s="89"/>
      <c r="G216" s="89"/>
      <c r="H216" s="89"/>
      <c r="I216" s="89"/>
      <c r="J216" s="212"/>
      <c r="K216" s="212">
        <f t="shared" si="12"/>
        <v>0</v>
      </c>
      <c r="L216" s="212">
        <f t="shared" si="12"/>
        <v>0</v>
      </c>
      <c r="M216" s="212">
        <f t="shared" si="12"/>
        <v>0</v>
      </c>
      <c r="N216" s="485">
        <f t="shared" si="12"/>
        <v>68930</v>
      </c>
    </row>
    <row r="217" spans="1:14" ht="12.75" x14ac:dyDescent="0.2">
      <c r="A217" s="152"/>
      <c r="B217" s="73"/>
      <c r="C217" s="51" t="s">
        <v>1050</v>
      </c>
      <c r="D217" s="89"/>
      <c r="E217" s="89"/>
      <c r="F217" s="89"/>
      <c r="G217" s="89"/>
      <c r="H217" s="89"/>
      <c r="I217" s="89"/>
      <c r="J217" s="212"/>
      <c r="K217" s="212">
        <f t="shared" si="12"/>
        <v>0</v>
      </c>
      <c r="L217" s="212">
        <f t="shared" si="12"/>
        <v>0</v>
      </c>
      <c r="M217" s="212">
        <f t="shared" si="12"/>
        <v>0</v>
      </c>
      <c r="N217" s="212">
        <f t="shared" si="12"/>
        <v>0</v>
      </c>
    </row>
    <row r="218" spans="1:14" ht="12.75" x14ac:dyDescent="0.2">
      <c r="A218" s="152"/>
      <c r="B218" s="73"/>
      <c r="C218" s="51" t="s">
        <v>100</v>
      </c>
      <c r="D218" s="89"/>
      <c r="E218" s="89"/>
      <c r="F218" s="89"/>
      <c r="G218" s="89"/>
      <c r="H218" s="89"/>
      <c r="I218" s="89"/>
      <c r="J218" s="212"/>
      <c r="K218" s="212">
        <f t="shared" si="12"/>
        <v>0</v>
      </c>
      <c r="L218" s="212">
        <f t="shared" si="12"/>
        <v>0</v>
      </c>
      <c r="M218" s="212">
        <f t="shared" si="12"/>
        <v>0</v>
      </c>
      <c r="N218" s="212">
        <f t="shared" si="12"/>
        <v>0</v>
      </c>
    </row>
    <row r="219" spans="1:14" ht="12.75" x14ac:dyDescent="0.2">
      <c r="A219" s="152"/>
      <c r="B219" s="73"/>
      <c r="C219" s="51" t="s">
        <v>101</v>
      </c>
      <c r="D219" s="89"/>
      <c r="E219" s="89"/>
      <c r="F219" s="89"/>
      <c r="G219" s="89"/>
      <c r="H219" s="89"/>
      <c r="I219" s="89"/>
      <c r="J219" s="212"/>
      <c r="K219" s="212">
        <f t="shared" si="12"/>
        <v>0</v>
      </c>
      <c r="L219" s="212">
        <f t="shared" si="12"/>
        <v>0</v>
      </c>
      <c r="M219" s="212">
        <f t="shared" si="12"/>
        <v>0</v>
      </c>
      <c r="N219" s="212">
        <f t="shared" si="12"/>
        <v>0</v>
      </c>
    </row>
    <row r="220" spans="1:14" ht="12.75" x14ac:dyDescent="0.2">
      <c r="A220" s="152"/>
      <c r="B220" s="73"/>
      <c r="C220" s="51" t="s">
        <v>1056</v>
      </c>
      <c r="D220" s="89"/>
      <c r="E220" s="89"/>
      <c r="F220" s="89"/>
      <c r="G220" s="89"/>
      <c r="H220" s="89"/>
      <c r="I220" s="89"/>
      <c r="J220" s="212"/>
      <c r="K220" s="212">
        <f t="shared" si="12"/>
        <v>0</v>
      </c>
      <c r="L220" s="212">
        <f t="shared" si="12"/>
        <v>0</v>
      </c>
      <c r="M220" s="212">
        <f t="shared" si="12"/>
        <v>0</v>
      </c>
      <c r="N220" s="212">
        <f t="shared" si="12"/>
        <v>534</v>
      </c>
    </row>
    <row r="221" spans="1:14" ht="12.75" x14ac:dyDescent="0.2">
      <c r="A221" s="152"/>
      <c r="B221" s="73"/>
      <c r="C221" s="51" t="s">
        <v>1057</v>
      </c>
      <c r="D221" s="89"/>
      <c r="E221" s="89"/>
      <c r="F221" s="89"/>
      <c r="G221" s="89"/>
      <c r="H221" s="89"/>
      <c r="I221" s="89"/>
      <c r="J221" s="212"/>
      <c r="K221" s="212">
        <f t="shared" si="12"/>
        <v>0</v>
      </c>
      <c r="L221" s="212">
        <f t="shared" si="12"/>
        <v>0</v>
      </c>
      <c r="M221" s="212">
        <f t="shared" si="12"/>
        <v>0</v>
      </c>
      <c r="N221" s="212">
        <f t="shared" si="12"/>
        <v>0</v>
      </c>
    </row>
    <row r="222" spans="1:14" ht="12.75" x14ac:dyDescent="0.2">
      <c r="A222" s="152"/>
      <c r="B222" s="73"/>
      <c r="C222" s="51" t="s">
        <v>944</v>
      </c>
      <c r="D222" s="89"/>
      <c r="E222" s="89"/>
      <c r="F222" s="89"/>
      <c r="G222" s="89"/>
      <c r="H222" s="89"/>
      <c r="I222" s="89"/>
      <c r="J222" s="212"/>
      <c r="K222" s="212">
        <f t="shared" si="12"/>
        <v>0</v>
      </c>
      <c r="L222" s="212">
        <f t="shared" si="12"/>
        <v>0</v>
      </c>
      <c r="M222" s="212">
        <f t="shared" si="12"/>
        <v>0</v>
      </c>
      <c r="N222" s="212">
        <f t="shared" si="12"/>
        <v>0</v>
      </c>
    </row>
    <row r="223" spans="1:14" ht="12.75" x14ac:dyDescent="0.2">
      <c r="A223" s="152"/>
      <c r="B223" s="73"/>
      <c r="C223" s="51" t="s">
        <v>945</v>
      </c>
      <c r="D223" s="89"/>
      <c r="E223" s="89"/>
      <c r="F223" s="89"/>
      <c r="G223" s="89"/>
      <c r="H223" s="89"/>
      <c r="I223" s="89"/>
      <c r="J223" s="212"/>
      <c r="K223" s="212">
        <f t="shared" si="12"/>
        <v>0</v>
      </c>
      <c r="L223" s="212">
        <f t="shared" si="12"/>
        <v>0</v>
      </c>
      <c r="M223" s="212">
        <f t="shared" si="12"/>
        <v>0</v>
      </c>
      <c r="N223" s="212">
        <f t="shared" si="12"/>
        <v>0</v>
      </c>
    </row>
    <row r="224" spans="1:14" ht="12.75" x14ac:dyDescent="0.2">
      <c r="A224" s="152"/>
      <c r="B224" s="73"/>
      <c r="C224" s="51" t="s">
        <v>965</v>
      </c>
      <c r="D224" s="89"/>
      <c r="E224" s="89"/>
      <c r="F224" s="89"/>
      <c r="G224" s="89"/>
      <c r="H224" s="89"/>
      <c r="I224" s="89"/>
      <c r="J224" s="212"/>
      <c r="K224" s="212">
        <f t="shared" si="12"/>
        <v>0</v>
      </c>
      <c r="L224" s="212">
        <f t="shared" si="12"/>
        <v>0</v>
      </c>
      <c r="M224" s="212">
        <f t="shared" si="12"/>
        <v>0</v>
      </c>
      <c r="N224" s="212">
        <f t="shared" si="12"/>
        <v>0</v>
      </c>
    </row>
    <row r="225" spans="1:14" ht="12.75" x14ac:dyDescent="0.2">
      <c r="A225" s="152"/>
      <c r="B225" s="73"/>
      <c r="C225" s="51" t="s">
        <v>1011</v>
      </c>
      <c r="D225" s="89"/>
      <c r="E225" s="89"/>
      <c r="F225" s="89"/>
      <c r="G225" s="89"/>
      <c r="H225" s="89"/>
      <c r="I225" s="89"/>
      <c r="J225" s="212"/>
      <c r="K225" s="212">
        <f t="shared" si="12"/>
        <v>0</v>
      </c>
      <c r="L225" s="212">
        <f t="shared" si="12"/>
        <v>0</v>
      </c>
      <c r="M225" s="212">
        <f t="shared" si="12"/>
        <v>0</v>
      </c>
      <c r="N225" s="212">
        <f t="shared" si="12"/>
        <v>0</v>
      </c>
    </row>
    <row r="226" spans="1:14" ht="12.75" x14ac:dyDescent="0.2">
      <c r="A226" s="152"/>
      <c r="B226" s="73"/>
      <c r="C226" s="51" t="s">
        <v>1010</v>
      </c>
      <c r="D226" s="89"/>
      <c r="E226" s="89"/>
      <c r="F226" s="89"/>
      <c r="G226" s="89"/>
      <c r="H226" s="89"/>
      <c r="I226" s="89"/>
      <c r="J226" s="212"/>
      <c r="K226" s="212">
        <f t="shared" si="12"/>
        <v>0</v>
      </c>
      <c r="L226" s="212">
        <f t="shared" si="12"/>
        <v>0</v>
      </c>
      <c r="M226" s="212">
        <f t="shared" si="12"/>
        <v>0</v>
      </c>
      <c r="N226" s="212">
        <f t="shared" si="12"/>
        <v>100</v>
      </c>
    </row>
    <row r="227" spans="1:14" ht="12.75" x14ac:dyDescent="0.2">
      <c r="A227" s="152"/>
      <c r="B227" s="73"/>
      <c r="C227" s="51" t="s">
        <v>1013</v>
      </c>
      <c r="D227" s="89"/>
      <c r="E227" s="89"/>
      <c r="F227" s="89"/>
      <c r="G227" s="89"/>
      <c r="H227" s="89"/>
      <c r="I227" s="89"/>
      <c r="J227" s="212"/>
      <c r="K227" s="212">
        <f t="shared" si="12"/>
        <v>0</v>
      </c>
      <c r="L227" s="212">
        <f t="shared" si="12"/>
        <v>0</v>
      </c>
      <c r="M227" s="212">
        <f t="shared" si="12"/>
        <v>0</v>
      </c>
      <c r="N227" s="212">
        <f t="shared" si="12"/>
        <v>0</v>
      </c>
    </row>
    <row r="228" spans="1:14" ht="12.75" x14ac:dyDescent="0.2">
      <c r="A228" s="152"/>
      <c r="B228" s="73"/>
      <c r="C228" s="51" t="s">
        <v>1012</v>
      </c>
      <c r="D228" s="89"/>
      <c r="E228" s="89"/>
      <c r="F228" s="89"/>
      <c r="G228" s="89"/>
      <c r="H228" s="89"/>
      <c r="I228" s="89"/>
      <c r="J228" s="212"/>
      <c r="K228" s="212">
        <f t="shared" ref="K228:N247" si="13">SUMIF($C$26:$C$100,$C228,K$26:K$100)</f>
        <v>0</v>
      </c>
      <c r="L228" s="212">
        <f t="shared" si="13"/>
        <v>0</v>
      </c>
      <c r="M228" s="212">
        <f t="shared" si="13"/>
        <v>0</v>
      </c>
      <c r="N228" s="212">
        <f t="shared" si="13"/>
        <v>0</v>
      </c>
    </row>
    <row r="229" spans="1:14" ht="12.75" x14ac:dyDescent="0.2">
      <c r="A229" s="152"/>
      <c r="B229" s="73"/>
      <c r="C229" s="51" t="s">
        <v>1052</v>
      </c>
      <c r="D229" s="89"/>
      <c r="E229" s="89"/>
      <c r="F229" s="89"/>
      <c r="G229" s="89"/>
      <c r="H229" s="89"/>
      <c r="I229" s="89"/>
      <c r="J229" s="212"/>
      <c r="K229" s="212">
        <f t="shared" si="13"/>
        <v>0</v>
      </c>
      <c r="L229" s="212">
        <f t="shared" si="13"/>
        <v>0</v>
      </c>
      <c r="M229" s="212">
        <f t="shared" si="13"/>
        <v>0</v>
      </c>
      <c r="N229" s="212">
        <f t="shared" si="13"/>
        <v>0</v>
      </c>
    </row>
    <row r="230" spans="1:14" ht="12.75" x14ac:dyDescent="0.2">
      <c r="A230" s="152"/>
      <c r="B230" s="73"/>
      <c r="C230" s="51" t="s">
        <v>1053</v>
      </c>
      <c r="D230" s="89"/>
      <c r="E230" s="89"/>
      <c r="F230" s="89"/>
      <c r="G230" s="89"/>
      <c r="H230" s="89"/>
      <c r="I230" s="89"/>
      <c r="J230" s="212"/>
      <c r="K230" s="212">
        <f t="shared" si="13"/>
        <v>0</v>
      </c>
      <c r="L230" s="212">
        <f t="shared" si="13"/>
        <v>0</v>
      </c>
      <c r="M230" s="212">
        <f t="shared" si="13"/>
        <v>0</v>
      </c>
      <c r="N230" s="212">
        <f t="shared" si="13"/>
        <v>100</v>
      </c>
    </row>
    <row r="231" spans="1:14" ht="12.75" x14ac:dyDescent="0.2">
      <c r="A231" s="152"/>
      <c r="B231" s="73"/>
      <c r="C231" s="51" t="s">
        <v>984</v>
      </c>
      <c r="D231" s="89"/>
      <c r="E231" s="89"/>
      <c r="F231" s="89"/>
      <c r="G231" s="89"/>
      <c r="H231" s="89"/>
      <c r="I231" s="89"/>
      <c r="J231" s="212"/>
      <c r="K231" s="212">
        <f t="shared" si="13"/>
        <v>0</v>
      </c>
      <c r="L231" s="212">
        <f t="shared" si="13"/>
        <v>0</v>
      </c>
      <c r="M231" s="212">
        <f t="shared" si="13"/>
        <v>0</v>
      </c>
      <c r="N231" s="212">
        <f t="shared" si="13"/>
        <v>0</v>
      </c>
    </row>
    <row r="232" spans="1:14" ht="12.75" x14ac:dyDescent="0.2">
      <c r="A232" s="152"/>
      <c r="B232" s="73"/>
      <c r="C232" s="51" t="s">
        <v>985</v>
      </c>
      <c r="D232" s="89"/>
      <c r="E232" s="89"/>
      <c r="F232" s="89"/>
      <c r="G232" s="89"/>
      <c r="H232" s="89"/>
      <c r="I232" s="89"/>
      <c r="J232" s="212"/>
      <c r="K232" s="212">
        <f t="shared" si="13"/>
        <v>0</v>
      </c>
      <c r="L232" s="212">
        <f t="shared" si="13"/>
        <v>0</v>
      </c>
      <c r="M232" s="212">
        <f t="shared" si="13"/>
        <v>0</v>
      </c>
      <c r="N232" s="212">
        <f t="shared" si="13"/>
        <v>100</v>
      </c>
    </row>
    <row r="233" spans="1:14" ht="12.75" x14ac:dyDescent="0.2">
      <c r="A233" s="152"/>
      <c r="B233" s="73"/>
      <c r="C233" s="51" t="s">
        <v>1005</v>
      </c>
      <c r="D233" s="89"/>
      <c r="E233" s="89"/>
      <c r="F233" s="89"/>
      <c r="G233" s="89"/>
      <c r="H233" s="89"/>
      <c r="I233" s="89"/>
      <c r="J233" s="212"/>
      <c r="K233" s="212">
        <f t="shared" si="13"/>
        <v>0</v>
      </c>
      <c r="L233" s="212">
        <f t="shared" si="13"/>
        <v>0</v>
      </c>
      <c r="M233" s="212">
        <f t="shared" si="13"/>
        <v>0</v>
      </c>
      <c r="N233" s="212">
        <f t="shared" si="13"/>
        <v>0</v>
      </c>
    </row>
    <row r="234" spans="1:14" ht="12.75" x14ac:dyDescent="0.2">
      <c r="A234" s="152"/>
      <c r="B234" s="73"/>
      <c r="C234" s="51" t="s">
        <v>1004</v>
      </c>
      <c r="D234" s="89"/>
      <c r="E234" s="89"/>
      <c r="F234" s="89"/>
      <c r="G234" s="89"/>
      <c r="H234" s="89"/>
      <c r="I234" s="89"/>
      <c r="J234" s="212"/>
      <c r="K234" s="212">
        <f t="shared" si="13"/>
        <v>0</v>
      </c>
      <c r="L234" s="212">
        <f t="shared" si="13"/>
        <v>0</v>
      </c>
      <c r="M234" s="212">
        <f t="shared" si="13"/>
        <v>0</v>
      </c>
      <c r="N234" s="212">
        <f t="shared" si="13"/>
        <v>0</v>
      </c>
    </row>
    <row r="235" spans="1:14" ht="12.75" x14ac:dyDescent="0.2">
      <c r="A235" s="152"/>
      <c r="B235" s="73"/>
      <c r="C235" s="51" t="s">
        <v>1008</v>
      </c>
      <c r="D235" s="89"/>
      <c r="E235" s="89"/>
      <c r="F235" s="89"/>
      <c r="G235" s="89"/>
      <c r="H235" s="89"/>
      <c r="I235" s="89"/>
      <c r="J235" s="212"/>
      <c r="K235" s="212">
        <f t="shared" si="13"/>
        <v>0</v>
      </c>
      <c r="L235" s="212">
        <f t="shared" si="13"/>
        <v>0</v>
      </c>
      <c r="M235" s="212">
        <f t="shared" si="13"/>
        <v>0</v>
      </c>
      <c r="N235" s="212">
        <f t="shared" si="13"/>
        <v>0</v>
      </c>
    </row>
    <row r="236" spans="1:14" ht="12.75" x14ac:dyDescent="0.2">
      <c r="A236" s="152"/>
      <c r="B236" s="73"/>
      <c r="C236" s="51" t="s">
        <v>1006</v>
      </c>
      <c r="D236" s="89"/>
      <c r="E236" s="89"/>
      <c r="F236" s="89"/>
      <c r="G236" s="89"/>
      <c r="H236" s="89"/>
      <c r="I236" s="89"/>
      <c r="J236" s="212"/>
      <c r="K236" s="212">
        <f t="shared" si="13"/>
        <v>0</v>
      </c>
      <c r="L236" s="212">
        <f t="shared" si="13"/>
        <v>0</v>
      </c>
      <c r="M236" s="212">
        <f t="shared" si="13"/>
        <v>0</v>
      </c>
      <c r="N236" s="212">
        <f t="shared" si="13"/>
        <v>0</v>
      </c>
    </row>
    <row r="237" spans="1:14" ht="12.75" x14ac:dyDescent="0.2">
      <c r="A237" s="152"/>
      <c r="B237" s="73"/>
      <c r="C237" s="51" t="s">
        <v>1034</v>
      </c>
      <c r="D237" s="89"/>
      <c r="E237" s="89"/>
      <c r="F237" s="89"/>
      <c r="G237" s="89"/>
      <c r="H237" s="89"/>
      <c r="I237" s="89"/>
      <c r="J237" s="212"/>
      <c r="K237" s="212">
        <f t="shared" si="13"/>
        <v>0</v>
      </c>
      <c r="L237" s="212">
        <f t="shared" si="13"/>
        <v>0</v>
      </c>
      <c r="M237" s="212">
        <f t="shared" si="13"/>
        <v>0</v>
      </c>
      <c r="N237" s="212">
        <f t="shared" si="13"/>
        <v>0</v>
      </c>
    </row>
    <row r="238" spans="1:14" ht="12.75" x14ac:dyDescent="0.2">
      <c r="A238" s="152"/>
      <c r="B238" s="73"/>
      <c r="C238" s="51" t="s">
        <v>1035</v>
      </c>
      <c r="D238" s="89"/>
      <c r="E238" s="89"/>
      <c r="F238" s="89"/>
      <c r="G238" s="89"/>
      <c r="H238" s="89"/>
      <c r="I238" s="89"/>
      <c r="J238" s="212"/>
      <c r="K238" s="212">
        <f t="shared" si="13"/>
        <v>0</v>
      </c>
      <c r="L238" s="212">
        <f t="shared" si="13"/>
        <v>0</v>
      </c>
      <c r="M238" s="212">
        <f t="shared" si="13"/>
        <v>0</v>
      </c>
      <c r="N238" s="212">
        <f t="shared" si="13"/>
        <v>0</v>
      </c>
    </row>
    <row r="239" spans="1:14" ht="12.75" x14ac:dyDescent="0.2">
      <c r="A239" s="152"/>
      <c r="B239" s="73"/>
      <c r="C239" s="51" t="s">
        <v>922</v>
      </c>
      <c r="D239" s="89"/>
      <c r="E239" s="89"/>
      <c r="F239" s="89"/>
      <c r="G239" s="89"/>
      <c r="H239" s="89"/>
      <c r="I239" s="89"/>
      <c r="J239" s="212"/>
      <c r="K239" s="212">
        <f t="shared" si="13"/>
        <v>0</v>
      </c>
      <c r="L239" s="212">
        <f t="shared" si="13"/>
        <v>0</v>
      </c>
      <c r="M239" s="212">
        <f t="shared" si="13"/>
        <v>0</v>
      </c>
      <c r="N239" s="212">
        <f t="shared" si="13"/>
        <v>0</v>
      </c>
    </row>
    <row r="240" spans="1:14" ht="12.75" x14ac:dyDescent="0.2">
      <c r="A240" s="152"/>
      <c r="B240" s="73"/>
      <c r="C240" s="51" t="s">
        <v>942</v>
      </c>
      <c r="D240" s="89"/>
      <c r="E240" s="89"/>
      <c r="F240" s="89"/>
      <c r="G240" s="89"/>
      <c r="H240" s="89"/>
      <c r="I240" s="89"/>
      <c r="J240" s="212"/>
      <c r="K240" s="212">
        <f t="shared" si="13"/>
        <v>0</v>
      </c>
      <c r="L240" s="212">
        <f t="shared" si="13"/>
        <v>0</v>
      </c>
      <c r="M240" s="212">
        <f t="shared" si="13"/>
        <v>0</v>
      </c>
      <c r="N240" s="212">
        <f t="shared" si="13"/>
        <v>0</v>
      </c>
    </row>
    <row r="241" spans="1:14" ht="12.75" x14ac:dyDescent="0.2">
      <c r="A241" s="152"/>
      <c r="B241" s="73"/>
      <c r="C241" s="51" t="s">
        <v>943</v>
      </c>
      <c r="D241" s="89"/>
      <c r="E241" s="89"/>
      <c r="F241" s="89"/>
      <c r="G241" s="89"/>
      <c r="H241" s="89"/>
      <c r="I241" s="89"/>
      <c r="J241" s="212"/>
      <c r="K241" s="212">
        <f t="shared" si="13"/>
        <v>0</v>
      </c>
      <c r="L241" s="212">
        <f t="shared" si="13"/>
        <v>0</v>
      </c>
      <c r="M241" s="212">
        <f t="shared" si="13"/>
        <v>0</v>
      </c>
      <c r="N241" s="212">
        <f t="shared" si="13"/>
        <v>0</v>
      </c>
    </row>
    <row r="242" spans="1:14" ht="12.75" x14ac:dyDescent="0.2">
      <c r="A242" s="152"/>
      <c r="B242" s="73"/>
      <c r="C242" s="51" t="s">
        <v>938</v>
      </c>
      <c r="D242" s="89"/>
      <c r="E242" s="89"/>
      <c r="F242" s="89"/>
      <c r="G242" s="89"/>
      <c r="H242" s="89"/>
      <c r="I242" s="89"/>
      <c r="J242" s="212"/>
      <c r="K242" s="212">
        <f t="shared" si="13"/>
        <v>0</v>
      </c>
      <c r="L242" s="212">
        <f t="shared" si="13"/>
        <v>0</v>
      </c>
      <c r="M242" s="212">
        <f t="shared" si="13"/>
        <v>0</v>
      </c>
      <c r="N242" s="212">
        <f t="shared" si="13"/>
        <v>0</v>
      </c>
    </row>
    <row r="243" spans="1:14" ht="12.75" x14ac:dyDescent="0.2">
      <c r="A243" s="152"/>
      <c r="B243" s="73"/>
      <c r="C243" s="51" t="s">
        <v>939</v>
      </c>
      <c r="D243" s="89"/>
      <c r="E243" s="89"/>
      <c r="F243" s="89"/>
      <c r="G243" s="89"/>
      <c r="H243" s="89"/>
      <c r="I243" s="89"/>
      <c r="J243" s="212"/>
      <c r="K243" s="212">
        <f t="shared" si="13"/>
        <v>0</v>
      </c>
      <c r="L243" s="212">
        <f t="shared" si="13"/>
        <v>0</v>
      </c>
      <c r="M243" s="212">
        <f t="shared" si="13"/>
        <v>0</v>
      </c>
      <c r="N243" s="212">
        <f t="shared" si="13"/>
        <v>500</v>
      </c>
    </row>
    <row r="244" spans="1:14" ht="12.75" x14ac:dyDescent="0.2">
      <c r="A244" s="152"/>
      <c r="B244" s="73"/>
      <c r="C244" s="51" t="s">
        <v>934</v>
      </c>
      <c r="D244" s="89"/>
      <c r="E244" s="89"/>
      <c r="F244" s="89"/>
      <c r="G244" s="89"/>
      <c r="H244" s="89"/>
      <c r="I244" s="89"/>
      <c r="J244" s="212"/>
      <c r="K244" s="212">
        <f t="shared" si="13"/>
        <v>0</v>
      </c>
      <c r="L244" s="212">
        <f t="shared" si="13"/>
        <v>0</v>
      </c>
      <c r="M244" s="212">
        <f t="shared" si="13"/>
        <v>0</v>
      </c>
      <c r="N244" s="212">
        <f t="shared" si="13"/>
        <v>0</v>
      </c>
    </row>
    <row r="245" spans="1:14" ht="12.75" x14ac:dyDescent="0.2">
      <c r="A245" s="152"/>
      <c r="B245" s="73"/>
      <c r="C245" s="51" t="s">
        <v>935</v>
      </c>
      <c r="D245" s="89"/>
      <c r="E245" s="89"/>
      <c r="F245" s="89"/>
      <c r="G245" s="89"/>
      <c r="H245" s="89"/>
      <c r="I245" s="89"/>
      <c r="J245" s="212"/>
      <c r="K245" s="212">
        <f t="shared" si="13"/>
        <v>0</v>
      </c>
      <c r="L245" s="212">
        <f t="shared" si="13"/>
        <v>0</v>
      </c>
      <c r="M245" s="212">
        <f t="shared" si="13"/>
        <v>0</v>
      </c>
      <c r="N245" s="212">
        <f t="shared" si="13"/>
        <v>0</v>
      </c>
    </row>
    <row r="246" spans="1:14" ht="12.75" x14ac:dyDescent="0.2">
      <c r="A246" s="152"/>
      <c r="B246" s="73"/>
      <c r="C246" s="51" t="s">
        <v>953</v>
      </c>
      <c r="D246" s="89"/>
      <c r="E246" s="89"/>
      <c r="F246" s="89"/>
      <c r="G246" s="89"/>
      <c r="H246" s="89"/>
      <c r="I246" s="89"/>
      <c r="J246" s="212"/>
      <c r="K246" s="212">
        <f t="shared" si="13"/>
        <v>0</v>
      </c>
      <c r="L246" s="212">
        <f t="shared" si="13"/>
        <v>0</v>
      </c>
      <c r="M246" s="212">
        <f t="shared" si="13"/>
        <v>0</v>
      </c>
      <c r="N246" s="212">
        <f t="shared" si="13"/>
        <v>0</v>
      </c>
    </row>
    <row r="247" spans="1:14" ht="12.75" x14ac:dyDescent="0.2">
      <c r="A247" s="152"/>
      <c r="B247" s="73"/>
      <c r="C247" s="51" t="s">
        <v>924</v>
      </c>
      <c r="D247" s="89"/>
      <c r="E247" s="89"/>
      <c r="F247" s="89"/>
      <c r="G247" s="89"/>
      <c r="H247" s="89"/>
      <c r="I247" s="89"/>
      <c r="J247" s="212"/>
      <c r="K247" s="212">
        <f t="shared" si="13"/>
        <v>0</v>
      </c>
      <c r="L247" s="212">
        <f t="shared" si="13"/>
        <v>0</v>
      </c>
      <c r="M247" s="212">
        <f t="shared" si="13"/>
        <v>0</v>
      </c>
      <c r="N247" s="212">
        <f t="shared" si="13"/>
        <v>0</v>
      </c>
    </row>
    <row r="248" spans="1:14" ht="12.75" x14ac:dyDescent="0.2">
      <c r="A248" s="152"/>
      <c r="B248" s="73"/>
      <c r="C248" s="51" t="s">
        <v>927</v>
      </c>
      <c r="D248" s="89"/>
      <c r="E248" s="89"/>
      <c r="F248" s="89"/>
      <c r="G248" s="89"/>
      <c r="H248" s="89"/>
      <c r="I248" s="89"/>
      <c r="J248" s="212"/>
      <c r="K248" s="212">
        <f t="shared" ref="K248:N267" si="14">SUMIF($C$26:$C$100,$C248,K$26:K$100)</f>
        <v>0</v>
      </c>
      <c r="L248" s="212">
        <f t="shared" si="14"/>
        <v>0</v>
      </c>
      <c r="M248" s="212">
        <f t="shared" si="14"/>
        <v>0</v>
      </c>
      <c r="N248" s="212">
        <f t="shared" si="14"/>
        <v>0</v>
      </c>
    </row>
    <row r="249" spans="1:14" ht="12.75" x14ac:dyDescent="0.2">
      <c r="A249" s="152"/>
      <c r="B249" s="73"/>
      <c r="C249" s="51" t="s">
        <v>951</v>
      </c>
      <c r="D249" s="89"/>
      <c r="E249" s="89"/>
      <c r="F249" s="89"/>
      <c r="G249" s="89"/>
      <c r="H249" s="89"/>
      <c r="I249" s="89"/>
      <c r="J249" s="212"/>
      <c r="K249" s="212">
        <f t="shared" si="14"/>
        <v>0</v>
      </c>
      <c r="L249" s="212">
        <f t="shared" si="14"/>
        <v>0</v>
      </c>
      <c r="M249" s="212">
        <f t="shared" si="14"/>
        <v>0</v>
      </c>
      <c r="N249" s="212">
        <f t="shared" si="14"/>
        <v>0</v>
      </c>
    </row>
    <row r="250" spans="1:14" ht="12.75" x14ac:dyDescent="0.2">
      <c r="A250" s="152"/>
      <c r="B250" s="73"/>
      <c r="C250" s="51" t="s">
        <v>1055</v>
      </c>
      <c r="D250" s="89"/>
      <c r="E250" s="89"/>
      <c r="F250" s="89"/>
      <c r="G250" s="89"/>
      <c r="H250" s="89"/>
      <c r="I250" s="89"/>
      <c r="J250" s="212"/>
      <c r="K250" s="212">
        <f t="shared" si="14"/>
        <v>0</v>
      </c>
      <c r="L250" s="212">
        <f t="shared" si="14"/>
        <v>0</v>
      </c>
      <c r="M250" s="212">
        <f t="shared" si="14"/>
        <v>0</v>
      </c>
      <c r="N250" s="212">
        <f t="shared" si="14"/>
        <v>0</v>
      </c>
    </row>
    <row r="251" spans="1:14" s="284" customFormat="1" ht="12.75" x14ac:dyDescent="0.2">
      <c r="A251" s="152"/>
      <c r="B251" s="73"/>
      <c r="C251" s="51" t="s">
        <v>940</v>
      </c>
      <c r="D251" s="89"/>
      <c r="E251" s="89"/>
      <c r="F251" s="89"/>
      <c r="G251" s="89"/>
      <c r="H251" s="89"/>
      <c r="I251" s="89"/>
      <c r="J251" s="212"/>
      <c r="K251" s="212">
        <f t="shared" si="14"/>
        <v>0</v>
      </c>
      <c r="L251" s="212">
        <f t="shared" si="14"/>
        <v>0</v>
      </c>
      <c r="M251" s="212">
        <f t="shared" si="14"/>
        <v>0</v>
      </c>
      <c r="N251" s="212">
        <f t="shared" si="14"/>
        <v>0</v>
      </c>
    </row>
    <row r="252" spans="1:14" ht="12.75" x14ac:dyDescent="0.2">
      <c r="A252" s="152"/>
      <c r="B252" s="73"/>
      <c r="C252" s="51" t="s">
        <v>941</v>
      </c>
      <c r="D252" s="89"/>
      <c r="E252" s="89"/>
      <c r="F252" s="89"/>
      <c r="G252" s="89"/>
      <c r="H252" s="89"/>
      <c r="I252" s="89"/>
      <c r="J252" s="212"/>
      <c r="K252" s="212">
        <f t="shared" si="14"/>
        <v>0</v>
      </c>
      <c r="L252" s="212">
        <f t="shared" si="14"/>
        <v>0</v>
      </c>
      <c r="M252" s="212">
        <f t="shared" si="14"/>
        <v>0</v>
      </c>
      <c r="N252" s="212">
        <f t="shared" si="14"/>
        <v>0</v>
      </c>
    </row>
    <row r="253" spans="1:14" ht="12.75" x14ac:dyDescent="0.2">
      <c r="A253" s="152"/>
      <c r="B253" s="73"/>
      <c r="C253" s="51" t="s">
        <v>936</v>
      </c>
      <c r="D253" s="89"/>
      <c r="E253" s="89"/>
      <c r="F253" s="89"/>
      <c r="G253" s="89"/>
      <c r="H253" s="89"/>
      <c r="I253" s="89"/>
      <c r="J253" s="212"/>
      <c r="K253" s="212">
        <f t="shared" si="14"/>
        <v>0</v>
      </c>
      <c r="L253" s="212">
        <f t="shared" si="14"/>
        <v>0</v>
      </c>
      <c r="M253" s="212">
        <f t="shared" si="14"/>
        <v>0</v>
      </c>
      <c r="N253" s="212">
        <f t="shared" si="14"/>
        <v>0</v>
      </c>
    </row>
    <row r="254" spans="1:14" ht="12.75" x14ac:dyDescent="0.2">
      <c r="A254" s="152"/>
      <c r="B254" s="73"/>
      <c r="C254" s="51" t="s">
        <v>937</v>
      </c>
      <c r="D254" s="89"/>
      <c r="E254" s="89"/>
      <c r="F254" s="89"/>
      <c r="G254" s="89"/>
      <c r="H254" s="89"/>
      <c r="I254" s="89"/>
      <c r="J254" s="212"/>
      <c r="K254" s="212">
        <f t="shared" si="14"/>
        <v>0</v>
      </c>
      <c r="L254" s="212">
        <f t="shared" si="14"/>
        <v>0</v>
      </c>
      <c r="M254" s="212">
        <f t="shared" si="14"/>
        <v>0</v>
      </c>
      <c r="N254" s="212">
        <f t="shared" si="14"/>
        <v>500</v>
      </c>
    </row>
    <row r="255" spans="1:14" ht="12.75" x14ac:dyDescent="0.2">
      <c r="A255" s="152"/>
      <c r="B255" s="73"/>
      <c r="C255" s="51" t="s">
        <v>932</v>
      </c>
      <c r="D255" s="89"/>
      <c r="E255" s="89"/>
      <c r="F255" s="89"/>
      <c r="G255" s="89"/>
      <c r="H255" s="89"/>
      <c r="I255" s="89"/>
      <c r="J255" s="212"/>
      <c r="K255" s="212">
        <f t="shared" si="14"/>
        <v>0</v>
      </c>
      <c r="L255" s="212">
        <f t="shared" si="14"/>
        <v>0</v>
      </c>
      <c r="M255" s="212">
        <f t="shared" si="14"/>
        <v>0</v>
      </c>
      <c r="N255" s="212">
        <f t="shared" si="14"/>
        <v>0</v>
      </c>
    </row>
    <row r="256" spans="1:14" ht="12.75" x14ac:dyDescent="0.2">
      <c r="A256" s="152"/>
      <c r="B256" s="73"/>
      <c r="C256" s="51" t="s">
        <v>933</v>
      </c>
      <c r="D256" s="89"/>
      <c r="E256" s="89"/>
      <c r="F256" s="89"/>
      <c r="G256" s="89"/>
      <c r="H256" s="89"/>
      <c r="I256" s="89"/>
      <c r="J256" s="212"/>
      <c r="K256" s="212">
        <f t="shared" si="14"/>
        <v>0</v>
      </c>
      <c r="L256" s="212">
        <f t="shared" si="14"/>
        <v>0</v>
      </c>
      <c r="M256" s="212">
        <f t="shared" si="14"/>
        <v>0</v>
      </c>
      <c r="N256" s="212">
        <f t="shared" si="14"/>
        <v>0</v>
      </c>
    </row>
    <row r="257" spans="1:14" ht="12.75" x14ac:dyDescent="0.2">
      <c r="A257" s="152"/>
      <c r="B257" s="73"/>
      <c r="C257" s="51" t="s">
        <v>952</v>
      </c>
      <c r="D257" s="89"/>
      <c r="E257" s="89"/>
      <c r="F257" s="89"/>
      <c r="G257" s="89"/>
      <c r="H257" s="89"/>
      <c r="I257" s="89"/>
      <c r="J257" s="212"/>
      <c r="K257" s="212">
        <f t="shared" si="14"/>
        <v>0</v>
      </c>
      <c r="L257" s="212">
        <f t="shared" si="14"/>
        <v>0</v>
      </c>
      <c r="M257" s="212">
        <f t="shared" si="14"/>
        <v>0</v>
      </c>
      <c r="N257" s="212">
        <f t="shared" si="14"/>
        <v>0</v>
      </c>
    </row>
    <row r="258" spans="1:14" s="284" customFormat="1" ht="12.75" x14ac:dyDescent="0.2">
      <c r="A258" s="152"/>
      <c r="B258" s="73"/>
      <c r="C258" s="51" t="s">
        <v>923</v>
      </c>
      <c r="D258" s="89"/>
      <c r="E258" s="89"/>
      <c r="F258" s="89"/>
      <c r="G258" s="89"/>
      <c r="H258" s="89"/>
      <c r="I258" s="89"/>
      <c r="J258" s="212"/>
      <c r="K258" s="212">
        <f t="shared" si="14"/>
        <v>0</v>
      </c>
      <c r="L258" s="212">
        <f t="shared" si="14"/>
        <v>0</v>
      </c>
      <c r="M258" s="212">
        <f t="shared" si="14"/>
        <v>0</v>
      </c>
      <c r="N258" s="212">
        <f t="shared" si="14"/>
        <v>0</v>
      </c>
    </row>
    <row r="259" spans="1:14" ht="12.75" x14ac:dyDescent="0.2">
      <c r="A259" s="152"/>
      <c r="B259" s="73"/>
      <c r="C259" s="51" t="s">
        <v>925</v>
      </c>
      <c r="D259" s="89"/>
      <c r="E259" s="89"/>
      <c r="F259" s="89"/>
      <c r="G259" s="89"/>
      <c r="H259" s="89"/>
      <c r="I259" s="89"/>
      <c r="J259" s="212"/>
      <c r="K259" s="212">
        <f t="shared" si="14"/>
        <v>0</v>
      </c>
      <c r="L259" s="212">
        <f t="shared" si="14"/>
        <v>0</v>
      </c>
      <c r="M259" s="212">
        <f t="shared" si="14"/>
        <v>0</v>
      </c>
      <c r="N259" s="212">
        <f t="shared" si="14"/>
        <v>0</v>
      </c>
    </row>
    <row r="260" spans="1:14" ht="12.75" x14ac:dyDescent="0.2">
      <c r="A260" s="152"/>
      <c r="B260" s="73"/>
      <c r="C260" s="51" t="s">
        <v>950</v>
      </c>
      <c r="D260" s="89"/>
      <c r="E260" s="89"/>
      <c r="F260" s="89"/>
      <c r="G260" s="89"/>
      <c r="H260" s="89"/>
      <c r="I260" s="89"/>
      <c r="J260" s="212"/>
      <c r="K260" s="212">
        <f t="shared" si="14"/>
        <v>0</v>
      </c>
      <c r="L260" s="212">
        <f t="shared" si="14"/>
        <v>0</v>
      </c>
      <c r="M260" s="212">
        <f t="shared" si="14"/>
        <v>0</v>
      </c>
      <c r="N260" s="212">
        <f t="shared" si="14"/>
        <v>0</v>
      </c>
    </row>
    <row r="261" spans="1:14" ht="12.75" x14ac:dyDescent="0.2">
      <c r="A261" s="152"/>
      <c r="B261" s="73"/>
      <c r="C261" s="51" t="s">
        <v>1054</v>
      </c>
      <c r="D261" s="89"/>
      <c r="E261" s="89"/>
      <c r="F261" s="89"/>
      <c r="G261" s="89"/>
      <c r="H261" s="89"/>
      <c r="I261" s="89"/>
      <c r="J261" s="212"/>
      <c r="K261" s="212">
        <f t="shared" si="14"/>
        <v>0</v>
      </c>
      <c r="L261" s="212">
        <f t="shared" si="14"/>
        <v>0</v>
      </c>
      <c r="M261" s="212">
        <f t="shared" si="14"/>
        <v>0</v>
      </c>
      <c r="N261" s="212">
        <f t="shared" si="14"/>
        <v>0</v>
      </c>
    </row>
    <row r="262" spans="1:14" ht="12.75" x14ac:dyDescent="0.2">
      <c r="A262" s="152"/>
      <c r="B262" s="73"/>
      <c r="C262" s="51" t="s">
        <v>921</v>
      </c>
      <c r="D262" s="89"/>
      <c r="E262" s="89"/>
      <c r="F262" s="89"/>
      <c r="G262" s="89"/>
      <c r="H262" s="89"/>
      <c r="I262" s="89"/>
      <c r="J262" s="212"/>
      <c r="K262" s="212">
        <f t="shared" si="14"/>
        <v>0</v>
      </c>
      <c r="L262" s="212">
        <f t="shared" si="14"/>
        <v>0</v>
      </c>
      <c r="M262" s="212">
        <f t="shared" si="14"/>
        <v>0</v>
      </c>
      <c r="N262" s="212">
        <f t="shared" si="14"/>
        <v>0</v>
      </c>
    </row>
    <row r="263" spans="1:14" ht="12.75" x14ac:dyDescent="0.2">
      <c r="A263" s="152"/>
      <c r="B263" s="73"/>
      <c r="C263" s="51" t="s">
        <v>1022</v>
      </c>
      <c r="D263" s="89"/>
      <c r="E263" s="89"/>
      <c r="F263" s="89"/>
      <c r="G263" s="89"/>
      <c r="H263" s="89"/>
      <c r="I263" s="89"/>
      <c r="J263" s="212"/>
      <c r="K263" s="212">
        <f t="shared" si="14"/>
        <v>0</v>
      </c>
      <c r="L263" s="212">
        <f t="shared" si="14"/>
        <v>0</v>
      </c>
      <c r="M263" s="212">
        <f t="shared" si="14"/>
        <v>0</v>
      </c>
      <c r="N263" s="212">
        <f t="shared" si="14"/>
        <v>0</v>
      </c>
    </row>
    <row r="264" spans="1:14" ht="12.75" x14ac:dyDescent="0.2">
      <c r="A264" s="152"/>
      <c r="B264" s="73"/>
      <c r="C264" s="51" t="s">
        <v>1023</v>
      </c>
      <c r="D264" s="89"/>
      <c r="E264" s="89"/>
      <c r="F264" s="89"/>
      <c r="G264" s="89"/>
      <c r="H264" s="89"/>
      <c r="I264" s="89"/>
      <c r="J264" s="212"/>
      <c r="K264" s="212">
        <f t="shared" si="14"/>
        <v>0</v>
      </c>
      <c r="L264" s="212">
        <f t="shared" si="14"/>
        <v>0</v>
      </c>
      <c r="M264" s="212">
        <f t="shared" si="14"/>
        <v>0</v>
      </c>
      <c r="N264" s="212">
        <f t="shared" si="14"/>
        <v>0</v>
      </c>
    </row>
    <row r="265" spans="1:14" ht="12.75" x14ac:dyDescent="0.2">
      <c r="A265" s="152"/>
      <c r="B265" s="73"/>
      <c r="C265" s="51" t="s">
        <v>137</v>
      </c>
      <c r="D265" s="89"/>
      <c r="E265" s="89"/>
      <c r="F265" s="89"/>
      <c r="G265" s="89"/>
      <c r="H265" s="89"/>
      <c r="I265" s="89"/>
      <c r="J265" s="212"/>
      <c r="K265" s="212">
        <f t="shared" si="14"/>
        <v>0</v>
      </c>
      <c r="L265" s="212">
        <f t="shared" si="14"/>
        <v>0</v>
      </c>
      <c r="M265" s="212">
        <f t="shared" si="14"/>
        <v>0</v>
      </c>
      <c r="N265" s="212">
        <f t="shared" si="14"/>
        <v>0</v>
      </c>
    </row>
    <row r="266" spans="1:14" ht="12.75" x14ac:dyDescent="0.2">
      <c r="A266" s="152"/>
      <c r="B266" s="73"/>
      <c r="C266" s="51" t="s">
        <v>956</v>
      </c>
      <c r="D266" s="89"/>
      <c r="E266" s="89"/>
      <c r="F266" s="89"/>
      <c r="G266" s="89"/>
      <c r="H266" s="89"/>
      <c r="I266" s="89"/>
      <c r="J266" s="212"/>
      <c r="K266" s="212">
        <f t="shared" si="14"/>
        <v>0</v>
      </c>
      <c r="L266" s="212">
        <f t="shared" si="14"/>
        <v>0</v>
      </c>
      <c r="M266" s="212">
        <f t="shared" si="14"/>
        <v>0</v>
      </c>
      <c r="N266" s="212">
        <f t="shared" si="14"/>
        <v>0</v>
      </c>
    </row>
    <row r="267" spans="1:14" ht="12.75" x14ac:dyDescent="0.2">
      <c r="A267" s="152"/>
      <c r="B267" s="73"/>
      <c r="C267" s="51" t="s">
        <v>1045</v>
      </c>
      <c r="D267" s="89"/>
      <c r="E267" s="89"/>
      <c r="F267" s="89"/>
      <c r="G267" s="89"/>
      <c r="H267" s="89"/>
      <c r="I267" s="89"/>
      <c r="J267" s="212"/>
      <c r="K267" s="212">
        <f t="shared" si="14"/>
        <v>0</v>
      </c>
      <c r="L267" s="212">
        <f t="shared" si="14"/>
        <v>0</v>
      </c>
      <c r="M267" s="212">
        <f t="shared" si="14"/>
        <v>0</v>
      </c>
      <c r="N267" s="212">
        <f t="shared" si="14"/>
        <v>0</v>
      </c>
    </row>
    <row r="268" spans="1:14" ht="12.75" x14ac:dyDescent="0.2">
      <c r="A268" s="152"/>
      <c r="B268" s="73"/>
      <c r="C268" s="51" t="s">
        <v>1046</v>
      </c>
      <c r="D268" s="89"/>
      <c r="E268" s="89"/>
      <c r="F268" s="89"/>
      <c r="G268" s="89"/>
      <c r="H268" s="89"/>
      <c r="I268" s="89"/>
      <c r="J268" s="212"/>
      <c r="K268" s="212">
        <f t="shared" ref="K268:N287" si="15">SUMIF($C$26:$C$100,$C268,K$26:K$100)</f>
        <v>0</v>
      </c>
      <c r="L268" s="212">
        <f t="shared" si="15"/>
        <v>0</v>
      </c>
      <c r="M268" s="212">
        <f t="shared" si="15"/>
        <v>0</v>
      </c>
      <c r="N268" s="212">
        <f t="shared" si="15"/>
        <v>0</v>
      </c>
    </row>
    <row r="269" spans="1:14" ht="12.75" x14ac:dyDescent="0.2">
      <c r="A269" s="152"/>
      <c r="B269" s="73"/>
      <c r="C269" s="51" t="s">
        <v>1036</v>
      </c>
      <c r="D269" s="89"/>
      <c r="E269" s="89"/>
      <c r="F269" s="89"/>
      <c r="G269" s="89"/>
      <c r="H269" s="89"/>
      <c r="I269" s="89"/>
      <c r="J269" s="212"/>
      <c r="K269" s="212">
        <f t="shared" si="15"/>
        <v>0</v>
      </c>
      <c r="L269" s="212">
        <f t="shared" si="15"/>
        <v>0</v>
      </c>
      <c r="M269" s="212">
        <f t="shared" si="15"/>
        <v>0</v>
      </c>
      <c r="N269" s="212">
        <f t="shared" si="15"/>
        <v>0</v>
      </c>
    </row>
    <row r="270" spans="1:14" s="407" customFormat="1" ht="12.75" x14ac:dyDescent="0.2">
      <c r="A270" s="152"/>
      <c r="B270" s="73"/>
      <c r="C270" s="51" t="s">
        <v>1037</v>
      </c>
      <c r="D270" s="89"/>
      <c r="E270" s="89"/>
      <c r="F270" s="89"/>
      <c r="G270" s="89"/>
      <c r="H270" s="89"/>
      <c r="I270" s="89"/>
      <c r="J270" s="212"/>
      <c r="K270" s="212">
        <f t="shared" si="15"/>
        <v>0</v>
      </c>
      <c r="L270" s="212">
        <f t="shared" si="15"/>
        <v>0</v>
      </c>
      <c r="M270" s="212">
        <f t="shared" si="15"/>
        <v>0</v>
      </c>
      <c r="N270" s="212">
        <f t="shared" si="15"/>
        <v>0</v>
      </c>
    </row>
    <row r="271" spans="1:14" s="407" customFormat="1" ht="12.75" x14ac:dyDescent="0.2">
      <c r="A271" s="152"/>
      <c r="B271" s="73"/>
      <c r="C271" s="51" t="s">
        <v>990</v>
      </c>
      <c r="D271" s="89"/>
      <c r="E271" s="89"/>
      <c r="F271" s="89"/>
      <c r="G271" s="89"/>
      <c r="H271" s="89"/>
      <c r="I271" s="89"/>
      <c r="J271" s="212"/>
      <c r="K271" s="212">
        <f t="shared" si="15"/>
        <v>0</v>
      </c>
      <c r="L271" s="212">
        <f t="shared" si="15"/>
        <v>0</v>
      </c>
      <c r="M271" s="212">
        <f t="shared" si="15"/>
        <v>0</v>
      </c>
      <c r="N271" s="212">
        <f t="shared" si="15"/>
        <v>1000</v>
      </c>
    </row>
    <row r="272" spans="1:14" s="407" customFormat="1" ht="12.75" x14ac:dyDescent="0.2">
      <c r="A272" s="152"/>
      <c r="B272" s="73"/>
      <c r="C272" s="51" t="s">
        <v>1040</v>
      </c>
      <c r="D272" s="89"/>
      <c r="E272" s="89"/>
      <c r="F272" s="89"/>
      <c r="G272" s="89"/>
      <c r="H272" s="89"/>
      <c r="I272" s="89"/>
      <c r="J272" s="212"/>
      <c r="K272" s="212">
        <f t="shared" si="15"/>
        <v>0</v>
      </c>
      <c r="L272" s="212">
        <f t="shared" si="15"/>
        <v>0</v>
      </c>
      <c r="M272" s="212">
        <f t="shared" si="15"/>
        <v>0</v>
      </c>
      <c r="N272" s="212">
        <f t="shared" si="15"/>
        <v>0</v>
      </c>
    </row>
    <row r="273" spans="1:14" s="407" customFormat="1" ht="12.75" x14ac:dyDescent="0.2">
      <c r="A273" s="152"/>
      <c r="B273" s="73"/>
      <c r="C273" s="51" t="s">
        <v>991</v>
      </c>
      <c r="D273" s="89"/>
      <c r="E273" s="89"/>
      <c r="F273" s="89"/>
      <c r="G273" s="89"/>
      <c r="H273" s="89"/>
      <c r="I273" s="89"/>
      <c r="J273" s="212"/>
      <c r="K273" s="212">
        <f t="shared" si="15"/>
        <v>0</v>
      </c>
      <c r="L273" s="212">
        <f t="shared" si="15"/>
        <v>0</v>
      </c>
      <c r="M273" s="212">
        <f t="shared" si="15"/>
        <v>0</v>
      </c>
      <c r="N273" s="212">
        <f t="shared" si="15"/>
        <v>0</v>
      </c>
    </row>
    <row r="274" spans="1:14" s="407" customFormat="1" ht="12.75" x14ac:dyDescent="0.2">
      <c r="A274" s="152"/>
      <c r="B274" s="73"/>
      <c r="C274" s="51" t="s">
        <v>959</v>
      </c>
      <c r="D274" s="89"/>
      <c r="E274" s="89"/>
      <c r="F274" s="89"/>
      <c r="G274" s="89"/>
      <c r="H274" s="89"/>
      <c r="I274" s="89"/>
      <c r="J274" s="212"/>
      <c r="K274" s="212">
        <f t="shared" si="15"/>
        <v>0</v>
      </c>
      <c r="L274" s="212">
        <f t="shared" si="15"/>
        <v>0</v>
      </c>
      <c r="M274" s="212">
        <f t="shared" si="15"/>
        <v>0</v>
      </c>
      <c r="N274" s="212">
        <f t="shared" si="15"/>
        <v>0</v>
      </c>
    </row>
    <row r="275" spans="1:14" s="407" customFormat="1" ht="12.75" x14ac:dyDescent="0.2">
      <c r="A275" s="152"/>
      <c r="B275" s="73"/>
      <c r="C275" s="51" t="s">
        <v>964</v>
      </c>
      <c r="D275" s="89"/>
      <c r="E275" s="89"/>
      <c r="F275" s="89"/>
      <c r="G275" s="89"/>
      <c r="H275" s="89"/>
      <c r="I275" s="89"/>
      <c r="J275" s="212"/>
      <c r="K275" s="212">
        <f t="shared" si="15"/>
        <v>0</v>
      </c>
      <c r="L275" s="212">
        <f t="shared" si="15"/>
        <v>0</v>
      </c>
      <c r="M275" s="212">
        <f t="shared" si="15"/>
        <v>0</v>
      </c>
      <c r="N275" s="212">
        <f t="shared" si="15"/>
        <v>0</v>
      </c>
    </row>
    <row r="276" spans="1:14" s="407" customFormat="1" ht="12.75" x14ac:dyDescent="0.2">
      <c r="A276" s="152"/>
      <c r="B276" s="73"/>
      <c r="C276" s="51" t="s">
        <v>1003</v>
      </c>
      <c r="D276" s="89"/>
      <c r="E276" s="89"/>
      <c r="F276" s="89"/>
      <c r="G276" s="89"/>
      <c r="H276" s="89"/>
      <c r="I276" s="89"/>
      <c r="J276" s="212"/>
      <c r="K276" s="212">
        <f t="shared" si="15"/>
        <v>0</v>
      </c>
      <c r="L276" s="212">
        <f t="shared" si="15"/>
        <v>0</v>
      </c>
      <c r="M276" s="212">
        <f t="shared" si="15"/>
        <v>0</v>
      </c>
      <c r="N276" s="212">
        <f t="shared" si="15"/>
        <v>0</v>
      </c>
    </row>
    <row r="277" spans="1:14" s="407" customFormat="1" ht="12.75" x14ac:dyDescent="0.2">
      <c r="A277" s="152"/>
      <c r="B277" s="73"/>
      <c r="C277" s="51" t="s">
        <v>992</v>
      </c>
      <c r="D277" s="89"/>
      <c r="E277" s="89"/>
      <c r="F277" s="89"/>
      <c r="G277" s="89"/>
      <c r="H277" s="89"/>
      <c r="I277" s="89"/>
      <c r="J277" s="212"/>
      <c r="K277" s="212">
        <f t="shared" si="15"/>
        <v>0</v>
      </c>
      <c r="L277" s="212">
        <f t="shared" si="15"/>
        <v>0</v>
      </c>
      <c r="M277" s="212">
        <f t="shared" si="15"/>
        <v>0</v>
      </c>
      <c r="N277" s="212">
        <f t="shared" si="15"/>
        <v>0</v>
      </c>
    </row>
    <row r="278" spans="1:14" s="407" customFormat="1" ht="12.75" x14ac:dyDescent="0.2">
      <c r="A278" s="152"/>
      <c r="B278" s="73"/>
      <c r="C278" s="51" t="s">
        <v>994</v>
      </c>
      <c r="D278" s="89"/>
      <c r="E278" s="89"/>
      <c r="F278" s="89"/>
      <c r="G278" s="89"/>
      <c r="H278" s="89"/>
      <c r="I278" s="89"/>
      <c r="J278" s="212"/>
      <c r="K278" s="212">
        <f t="shared" si="15"/>
        <v>0</v>
      </c>
      <c r="L278" s="212">
        <f t="shared" si="15"/>
        <v>0</v>
      </c>
      <c r="M278" s="212">
        <f t="shared" si="15"/>
        <v>0</v>
      </c>
      <c r="N278" s="212">
        <f t="shared" si="15"/>
        <v>750</v>
      </c>
    </row>
    <row r="279" spans="1:14" s="407" customFormat="1" ht="12.75" x14ac:dyDescent="0.2">
      <c r="A279" s="152"/>
      <c r="B279" s="73"/>
      <c r="C279" s="51" t="s">
        <v>993</v>
      </c>
      <c r="D279" s="89"/>
      <c r="E279" s="89"/>
      <c r="F279" s="89"/>
      <c r="G279" s="89"/>
      <c r="H279" s="89"/>
      <c r="I279" s="89"/>
      <c r="J279" s="212"/>
      <c r="K279" s="212">
        <f t="shared" si="15"/>
        <v>0</v>
      </c>
      <c r="L279" s="212">
        <f t="shared" si="15"/>
        <v>0</v>
      </c>
      <c r="M279" s="212">
        <f t="shared" si="15"/>
        <v>0</v>
      </c>
      <c r="N279" s="212">
        <f t="shared" si="15"/>
        <v>4500</v>
      </c>
    </row>
    <row r="280" spans="1:14" s="407" customFormat="1" ht="12.75" x14ac:dyDescent="0.2">
      <c r="A280" s="152"/>
      <c r="B280" s="73"/>
      <c r="C280" s="51" t="s">
        <v>995</v>
      </c>
      <c r="D280" s="89"/>
      <c r="E280" s="89"/>
      <c r="F280" s="89"/>
      <c r="G280" s="89"/>
      <c r="H280" s="89"/>
      <c r="I280" s="89"/>
      <c r="J280" s="212"/>
      <c r="K280" s="212">
        <f t="shared" si="15"/>
        <v>0</v>
      </c>
      <c r="L280" s="212">
        <f t="shared" si="15"/>
        <v>0</v>
      </c>
      <c r="M280" s="212">
        <f t="shared" si="15"/>
        <v>0</v>
      </c>
      <c r="N280" s="212">
        <f t="shared" si="15"/>
        <v>0</v>
      </c>
    </row>
    <row r="281" spans="1:14" s="407" customFormat="1" ht="12.75" x14ac:dyDescent="0.2">
      <c r="A281" s="152"/>
      <c r="B281" s="73"/>
      <c r="C281" s="51" t="s">
        <v>1001</v>
      </c>
      <c r="D281" s="89"/>
      <c r="E281" s="89"/>
      <c r="F281" s="89"/>
      <c r="G281" s="89"/>
      <c r="H281" s="89"/>
      <c r="I281" s="89"/>
      <c r="J281" s="212"/>
      <c r="K281" s="212">
        <f t="shared" si="15"/>
        <v>0</v>
      </c>
      <c r="L281" s="212">
        <f t="shared" si="15"/>
        <v>0</v>
      </c>
      <c r="M281" s="212">
        <f t="shared" si="15"/>
        <v>0</v>
      </c>
      <c r="N281" s="212">
        <f t="shared" si="15"/>
        <v>0</v>
      </c>
    </row>
    <row r="282" spans="1:14" s="407" customFormat="1" ht="12.75" x14ac:dyDescent="0.2">
      <c r="A282" s="152"/>
      <c r="B282" s="73"/>
      <c r="C282" s="51" t="s">
        <v>978</v>
      </c>
      <c r="D282" s="89"/>
      <c r="E282" s="89"/>
      <c r="F282" s="89"/>
      <c r="G282" s="89"/>
      <c r="H282" s="89"/>
      <c r="I282" s="89"/>
      <c r="J282" s="212"/>
      <c r="K282" s="212">
        <f t="shared" si="15"/>
        <v>0</v>
      </c>
      <c r="L282" s="212">
        <f t="shared" si="15"/>
        <v>0</v>
      </c>
      <c r="M282" s="212">
        <f t="shared" si="15"/>
        <v>0</v>
      </c>
      <c r="N282" s="212">
        <f t="shared" si="15"/>
        <v>0</v>
      </c>
    </row>
    <row r="283" spans="1:14" s="407" customFormat="1" ht="12.75" x14ac:dyDescent="0.2">
      <c r="A283" s="152"/>
      <c r="B283" s="73"/>
      <c r="C283" s="51" t="s">
        <v>494</v>
      </c>
      <c r="D283" s="89"/>
      <c r="E283" s="89"/>
      <c r="F283" s="89"/>
      <c r="G283" s="89"/>
      <c r="H283" s="89"/>
      <c r="I283" s="89"/>
      <c r="J283" s="212"/>
      <c r="K283" s="212">
        <f t="shared" si="15"/>
        <v>0</v>
      </c>
      <c r="L283" s="212">
        <f t="shared" si="15"/>
        <v>0</v>
      </c>
      <c r="M283" s="212">
        <f t="shared" si="15"/>
        <v>0</v>
      </c>
      <c r="N283" s="212">
        <f t="shared" si="15"/>
        <v>0</v>
      </c>
    </row>
    <row r="284" spans="1:14" s="407" customFormat="1" ht="12.75" x14ac:dyDescent="0.2">
      <c r="A284" s="152"/>
      <c r="B284" s="73"/>
      <c r="C284" s="51" t="s">
        <v>976</v>
      </c>
      <c r="D284" s="89"/>
      <c r="E284" s="89"/>
      <c r="F284" s="89"/>
      <c r="G284" s="89"/>
      <c r="H284" s="89"/>
      <c r="I284" s="89"/>
      <c r="J284" s="212"/>
      <c r="K284" s="212">
        <f t="shared" si="15"/>
        <v>0</v>
      </c>
      <c r="L284" s="212">
        <f t="shared" si="15"/>
        <v>0</v>
      </c>
      <c r="M284" s="212">
        <f t="shared" si="15"/>
        <v>0</v>
      </c>
      <c r="N284" s="212">
        <f t="shared" si="15"/>
        <v>0</v>
      </c>
    </row>
    <row r="285" spans="1:14" s="407" customFormat="1" ht="12.75" x14ac:dyDescent="0.2">
      <c r="A285" s="152"/>
      <c r="B285" s="73"/>
      <c r="C285" s="51" t="s">
        <v>1002</v>
      </c>
      <c r="D285" s="89"/>
      <c r="E285" s="89"/>
      <c r="F285" s="89"/>
      <c r="G285" s="89"/>
      <c r="H285" s="89"/>
      <c r="I285" s="89"/>
      <c r="J285" s="212"/>
      <c r="K285" s="212">
        <f t="shared" si="15"/>
        <v>0</v>
      </c>
      <c r="L285" s="212">
        <f t="shared" si="15"/>
        <v>0</v>
      </c>
      <c r="M285" s="212">
        <f t="shared" si="15"/>
        <v>0</v>
      </c>
      <c r="N285" s="212">
        <f t="shared" si="15"/>
        <v>0</v>
      </c>
    </row>
    <row r="286" spans="1:14" s="407" customFormat="1" ht="12.75" x14ac:dyDescent="0.2">
      <c r="A286" s="152"/>
      <c r="B286" s="73"/>
      <c r="C286" s="51" t="s">
        <v>1014</v>
      </c>
      <c r="D286" s="89"/>
      <c r="E286" s="89"/>
      <c r="F286" s="89"/>
      <c r="G286" s="89"/>
      <c r="H286" s="89"/>
      <c r="I286" s="89"/>
      <c r="J286" s="212"/>
      <c r="K286" s="212">
        <f t="shared" si="15"/>
        <v>0</v>
      </c>
      <c r="L286" s="212">
        <f t="shared" si="15"/>
        <v>0</v>
      </c>
      <c r="M286" s="212">
        <f t="shared" si="15"/>
        <v>0</v>
      </c>
      <c r="N286" s="212">
        <f t="shared" si="15"/>
        <v>0</v>
      </c>
    </row>
    <row r="287" spans="1:14" s="407" customFormat="1" ht="12.75" x14ac:dyDescent="0.2">
      <c r="A287" s="152"/>
      <c r="B287" s="73"/>
      <c r="C287" s="51" t="s">
        <v>998</v>
      </c>
      <c r="D287" s="89"/>
      <c r="E287" s="89"/>
      <c r="F287" s="89"/>
      <c r="G287" s="89"/>
      <c r="H287" s="89"/>
      <c r="I287" s="89"/>
      <c r="J287" s="212"/>
      <c r="K287" s="212">
        <f t="shared" si="15"/>
        <v>0</v>
      </c>
      <c r="L287" s="212">
        <f t="shared" si="15"/>
        <v>0</v>
      </c>
      <c r="M287" s="212">
        <f t="shared" si="15"/>
        <v>0</v>
      </c>
      <c r="N287" s="212">
        <f t="shared" si="15"/>
        <v>0</v>
      </c>
    </row>
    <row r="288" spans="1:14" s="407" customFormat="1" ht="12.75" x14ac:dyDescent="0.2">
      <c r="A288" s="152"/>
      <c r="B288" s="73"/>
      <c r="C288" s="51" t="s">
        <v>996</v>
      </c>
      <c r="D288" s="89"/>
      <c r="E288" s="89"/>
      <c r="F288" s="89"/>
      <c r="G288" s="89"/>
      <c r="H288" s="89"/>
      <c r="I288" s="89"/>
      <c r="J288" s="212"/>
      <c r="K288" s="212">
        <f t="shared" ref="K288:N307" si="16">SUMIF($C$26:$C$100,$C288,K$26:K$100)</f>
        <v>0</v>
      </c>
      <c r="L288" s="212">
        <f t="shared" si="16"/>
        <v>0</v>
      </c>
      <c r="M288" s="212">
        <f t="shared" si="16"/>
        <v>0</v>
      </c>
      <c r="N288" s="212">
        <f t="shared" si="16"/>
        <v>0</v>
      </c>
    </row>
    <row r="289" spans="1:14" s="407" customFormat="1" ht="12.75" x14ac:dyDescent="0.2">
      <c r="A289" s="152"/>
      <c r="B289" s="73"/>
      <c r="C289" s="51" t="s">
        <v>1043</v>
      </c>
      <c r="D289" s="89"/>
      <c r="E289" s="89"/>
      <c r="F289" s="89"/>
      <c r="G289" s="89"/>
      <c r="H289" s="89"/>
      <c r="I289" s="89"/>
      <c r="J289" s="212"/>
      <c r="K289" s="212">
        <f t="shared" si="16"/>
        <v>0</v>
      </c>
      <c r="L289" s="212">
        <f t="shared" si="16"/>
        <v>0</v>
      </c>
      <c r="M289" s="212">
        <f t="shared" si="16"/>
        <v>0</v>
      </c>
      <c r="N289" s="212">
        <f t="shared" si="16"/>
        <v>0</v>
      </c>
    </row>
    <row r="290" spans="1:14" s="407" customFormat="1" ht="12.75" x14ac:dyDescent="0.2">
      <c r="A290" s="152"/>
      <c r="B290" s="73"/>
      <c r="C290" s="51" t="s">
        <v>1044</v>
      </c>
      <c r="D290" s="89"/>
      <c r="E290" s="89"/>
      <c r="F290" s="89"/>
      <c r="G290" s="89"/>
      <c r="H290" s="89"/>
      <c r="I290" s="89"/>
      <c r="J290" s="212"/>
      <c r="K290" s="212">
        <f t="shared" si="16"/>
        <v>0</v>
      </c>
      <c r="L290" s="212">
        <f t="shared" si="16"/>
        <v>0</v>
      </c>
      <c r="M290" s="212">
        <f t="shared" si="16"/>
        <v>0</v>
      </c>
      <c r="N290" s="212">
        <f t="shared" si="16"/>
        <v>870</v>
      </c>
    </row>
    <row r="291" spans="1:14" s="407" customFormat="1" ht="12.75" x14ac:dyDescent="0.2">
      <c r="A291" s="152"/>
      <c r="B291" s="73"/>
      <c r="C291" s="51" t="s">
        <v>1039</v>
      </c>
      <c r="D291" s="89"/>
      <c r="E291" s="89"/>
      <c r="F291" s="89"/>
      <c r="G291" s="89"/>
      <c r="H291" s="89"/>
      <c r="I291" s="89"/>
      <c r="J291" s="212"/>
      <c r="K291" s="212">
        <f t="shared" si="16"/>
        <v>0</v>
      </c>
      <c r="L291" s="212">
        <f t="shared" si="16"/>
        <v>0</v>
      </c>
      <c r="M291" s="212">
        <f t="shared" si="16"/>
        <v>0</v>
      </c>
      <c r="N291" s="212">
        <f t="shared" si="16"/>
        <v>0</v>
      </c>
    </row>
    <row r="292" spans="1:14" s="407" customFormat="1" ht="12.75" x14ac:dyDescent="0.2">
      <c r="A292" s="152"/>
      <c r="B292" s="73"/>
      <c r="C292" s="51" t="s">
        <v>1028</v>
      </c>
      <c r="D292" s="89"/>
      <c r="E292" s="89"/>
      <c r="F292" s="89"/>
      <c r="G292" s="89"/>
      <c r="H292" s="89"/>
      <c r="I292" s="89"/>
      <c r="J292" s="212"/>
      <c r="K292" s="212">
        <f t="shared" si="16"/>
        <v>0</v>
      </c>
      <c r="L292" s="212">
        <f t="shared" si="16"/>
        <v>0</v>
      </c>
      <c r="M292" s="212">
        <f t="shared" si="16"/>
        <v>0</v>
      </c>
      <c r="N292" s="212">
        <f t="shared" si="16"/>
        <v>0</v>
      </c>
    </row>
    <row r="293" spans="1:14" s="407" customFormat="1" ht="12.75" x14ac:dyDescent="0.2">
      <c r="A293" s="152"/>
      <c r="B293" s="73"/>
      <c r="C293" s="51" t="s">
        <v>1029</v>
      </c>
      <c r="D293" s="89"/>
      <c r="E293" s="89"/>
      <c r="F293" s="89"/>
      <c r="G293" s="89"/>
      <c r="H293" s="89"/>
      <c r="I293" s="89"/>
      <c r="J293" s="212"/>
      <c r="K293" s="212">
        <f t="shared" si="16"/>
        <v>0</v>
      </c>
      <c r="L293" s="212">
        <f t="shared" si="16"/>
        <v>0</v>
      </c>
      <c r="M293" s="212">
        <f t="shared" si="16"/>
        <v>0</v>
      </c>
      <c r="N293" s="212">
        <f t="shared" si="16"/>
        <v>0</v>
      </c>
    </row>
    <row r="294" spans="1:14" s="407" customFormat="1" ht="12.75" x14ac:dyDescent="0.2">
      <c r="A294" s="152"/>
      <c r="B294" s="73"/>
      <c r="C294" s="51" t="s">
        <v>113</v>
      </c>
      <c r="D294" s="89"/>
      <c r="E294" s="89"/>
      <c r="F294" s="89"/>
      <c r="G294" s="89"/>
      <c r="H294" s="89"/>
      <c r="I294" s="89"/>
      <c r="J294" s="212"/>
      <c r="K294" s="212">
        <f t="shared" si="16"/>
        <v>0</v>
      </c>
      <c r="L294" s="212">
        <f t="shared" si="16"/>
        <v>0</v>
      </c>
      <c r="M294" s="212">
        <f t="shared" si="16"/>
        <v>0</v>
      </c>
      <c r="N294" s="212">
        <f t="shared" si="16"/>
        <v>1000</v>
      </c>
    </row>
    <row r="295" spans="1:14" s="407" customFormat="1" ht="12.75" x14ac:dyDescent="0.2">
      <c r="A295" s="152"/>
      <c r="B295" s="73"/>
      <c r="C295" s="51" t="s">
        <v>1038</v>
      </c>
      <c r="D295" s="89"/>
      <c r="E295" s="89"/>
      <c r="F295" s="89"/>
      <c r="G295" s="89"/>
      <c r="H295" s="89"/>
      <c r="I295" s="89"/>
      <c r="J295" s="212"/>
      <c r="K295" s="212">
        <f t="shared" si="16"/>
        <v>0</v>
      </c>
      <c r="L295" s="212">
        <f t="shared" si="16"/>
        <v>0</v>
      </c>
      <c r="M295" s="212">
        <f t="shared" si="16"/>
        <v>0</v>
      </c>
      <c r="N295" s="212">
        <f t="shared" si="16"/>
        <v>0</v>
      </c>
    </row>
    <row r="296" spans="1:14" s="407" customFormat="1" ht="12.75" x14ac:dyDescent="0.2">
      <c r="A296" s="152"/>
      <c r="B296" s="73"/>
      <c r="C296" s="51" t="s">
        <v>1033</v>
      </c>
      <c r="D296" s="89"/>
      <c r="E296" s="89"/>
      <c r="F296" s="89"/>
      <c r="G296" s="89"/>
      <c r="H296" s="89"/>
      <c r="I296" s="89"/>
      <c r="J296" s="212"/>
      <c r="K296" s="212">
        <f t="shared" si="16"/>
        <v>0</v>
      </c>
      <c r="L296" s="212">
        <f t="shared" si="16"/>
        <v>0</v>
      </c>
      <c r="M296" s="212">
        <f t="shared" si="16"/>
        <v>0</v>
      </c>
      <c r="N296" s="212">
        <f t="shared" si="16"/>
        <v>0</v>
      </c>
    </row>
    <row r="297" spans="1:14" s="407" customFormat="1" ht="12.75" x14ac:dyDescent="0.2">
      <c r="A297" s="152"/>
      <c r="B297" s="73"/>
      <c r="C297" s="51" t="s">
        <v>1007</v>
      </c>
      <c r="D297" s="89"/>
      <c r="E297" s="89"/>
      <c r="F297" s="89"/>
      <c r="G297" s="89"/>
      <c r="H297" s="89"/>
      <c r="I297" s="89"/>
      <c r="J297" s="212"/>
      <c r="K297" s="212">
        <f t="shared" si="16"/>
        <v>0</v>
      </c>
      <c r="L297" s="212">
        <f t="shared" si="16"/>
        <v>0</v>
      </c>
      <c r="M297" s="212">
        <f t="shared" si="16"/>
        <v>0</v>
      </c>
      <c r="N297" s="212">
        <f t="shared" si="16"/>
        <v>0</v>
      </c>
    </row>
    <row r="298" spans="1:14" s="407" customFormat="1" ht="12.75" x14ac:dyDescent="0.2">
      <c r="A298" s="152"/>
      <c r="B298" s="73"/>
      <c r="C298" s="51" t="s">
        <v>969</v>
      </c>
      <c r="D298" s="89"/>
      <c r="E298" s="89"/>
      <c r="F298" s="89"/>
      <c r="G298" s="89"/>
      <c r="H298" s="89"/>
      <c r="I298" s="89"/>
      <c r="J298" s="212"/>
      <c r="K298" s="212">
        <f t="shared" si="16"/>
        <v>0</v>
      </c>
      <c r="L298" s="212">
        <f t="shared" si="16"/>
        <v>0</v>
      </c>
      <c r="M298" s="212">
        <f t="shared" si="16"/>
        <v>0</v>
      </c>
      <c r="N298" s="212">
        <f t="shared" si="16"/>
        <v>0</v>
      </c>
    </row>
    <row r="299" spans="1:14" s="407" customFormat="1" ht="12.75" x14ac:dyDescent="0.2">
      <c r="A299" s="152"/>
      <c r="B299" s="73"/>
      <c r="C299" s="51" t="s">
        <v>987</v>
      </c>
      <c r="D299" s="89"/>
      <c r="E299" s="89"/>
      <c r="F299" s="89"/>
      <c r="G299" s="89"/>
      <c r="H299" s="89"/>
      <c r="I299" s="89"/>
      <c r="J299" s="212"/>
      <c r="K299" s="212">
        <f t="shared" si="16"/>
        <v>0</v>
      </c>
      <c r="L299" s="212">
        <f t="shared" si="16"/>
        <v>0</v>
      </c>
      <c r="M299" s="212">
        <f t="shared" si="16"/>
        <v>0</v>
      </c>
      <c r="N299" s="212">
        <f t="shared" si="16"/>
        <v>0</v>
      </c>
    </row>
    <row r="300" spans="1:14" s="407" customFormat="1" ht="12.75" x14ac:dyDescent="0.2">
      <c r="A300" s="152"/>
      <c r="B300" s="73"/>
      <c r="C300" s="51" t="s">
        <v>1000</v>
      </c>
      <c r="D300" s="89"/>
      <c r="E300" s="89"/>
      <c r="F300" s="89"/>
      <c r="G300" s="89"/>
      <c r="H300" s="89"/>
      <c r="I300" s="89"/>
      <c r="J300" s="212"/>
      <c r="K300" s="212">
        <f t="shared" si="16"/>
        <v>0</v>
      </c>
      <c r="L300" s="212">
        <f t="shared" si="16"/>
        <v>0</v>
      </c>
      <c r="M300" s="212">
        <f t="shared" si="16"/>
        <v>0</v>
      </c>
      <c r="N300" s="212">
        <f t="shared" si="16"/>
        <v>0</v>
      </c>
    </row>
    <row r="301" spans="1:14" s="407" customFormat="1" ht="12.75" x14ac:dyDescent="0.2">
      <c r="A301" s="152"/>
      <c r="B301" s="73"/>
      <c r="C301" s="51" t="s">
        <v>116</v>
      </c>
      <c r="D301" s="89"/>
      <c r="E301" s="89"/>
      <c r="F301" s="89"/>
      <c r="G301" s="89"/>
      <c r="H301" s="89"/>
      <c r="I301" s="89"/>
      <c r="J301" s="212"/>
      <c r="K301" s="212">
        <f t="shared" si="16"/>
        <v>0</v>
      </c>
      <c r="L301" s="212">
        <f t="shared" si="16"/>
        <v>0</v>
      </c>
      <c r="M301" s="212">
        <f t="shared" si="16"/>
        <v>0</v>
      </c>
      <c r="N301" s="212">
        <f t="shared" si="16"/>
        <v>0</v>
      </c>
    </row>
    <row r="302" spans="1:14" s="407" customFormat="1" ht="12.75" x14ac:dyDescent="0.2">
      <c r="A302" s="152"/>
      <c r="B302" s="73"/>
      <c r="C302" s="51" t="s">
        <v>114</v>
      </c>
      <c r="D302" s="89"/>
      <c r="E302" s="89"/>
      <c r="F302" s="89"/>
      <c r="G302" s="89"/>
      <c r="H302" s="89"/>
      <c r="I302" s="89"/>
      <c r="J302" s="212"/>
      <c r="K302" s="212">
        <f t="shared" si="16"/>
        <v>0</v>
      </c>
      <c r="L302" s="212">
        <f t="shared" si="16"/>
        <v>0</v>
      </c>
      <c r="M302" s="212">
        <f t="shared" si="16"/>
        <v>0</v>
      </c>
      <c r="N302" s="212">
        <f t="shared" si="16"/>
        <v>0</v>
      </c>
    </row>
    <row r="303" spans="1:14" s="407" customFormat="1" ht="12.75" x14ac:dyDescent="0.2">
      <c r="A303" s="152"/>
      <c r="B303" s="73"/>
      <c r="C303" s="51" t="s">
        <v>111</v>
      </c>
      <c r="D303" s="89"/>
      <c r="E303" s="89"/>
      <c r="F303" s="89"/>
      <c r="G303" s="89"/>
      <c r="H303" s="89"/>
      <c r="I303" s="89"/>
      <c r="J303" s="212"/>
      <c r="K303" s="212">
        <f t="shared" si="16"/>
        <v>0</v>
      </c>
      <c r="L303" s="212">
        <f t="shared" si="16"/>
        <v>0</v>
      </c>
      <c r="M303" s="212">
        <f t="shared" si="16"/>
        <v>0</v>
      </c>
      <c r="N303" s="212">
        <f t="shared" si="16"/>
        <v>0</v>
      </c>
    </row>
    <row r="304" spans="1:14" s="407" customFormat="1" ht="12.75" x14ac:dyDescent="0.2">
      <c r="A304" s="152"/>
      <c r="B304" s="73"/>
      <c r="C304" s="51" t="s">
        <v>117</v>
      </c>
      <c r="D304" s="89"/>
      <c r="E304" s="89"/>
      <c r="F304" s="89"/>
      <c r="G304" s="89"/>
      <c r="H304" s="89"/>
      <c r="I304" s="89"/>
      <c r="J304" s="212"/>
      <c r="K304" s="212">
        <f t="shared" si="16"/>
        <v>0</v>
      </c>
      <c r="L304" s="212">
        <f t="shared" si="16"/>
        <v>0</v>
      </c>
      <c r="M304" s="212">
        <f t="shared" si="16"/>
        <v>0</v>
      </c>
      <c r="N304" s="212">
        <f t="shared" si="16"/>
        <v>0</v>
      </c>
    </row>
    <row r="305" spans="1:14" s="407" customFormat="1" ht="12.75" x14ac:dyDescent="0.2">
      <c r="A305" s="152"/>
      <c r="B305" s="73"/>
      <c r="C305" s="51" t="s">
        <v>112</v>
      </c>
      <c r="D305" s="89"/>
      <c r="E305" s="89"/>
      <c r="F305" s="89"/>
      <c r="G305" s="89"/>
      <c r="H305" s="89"/>
      <c r="I305" s="89"/>
      <c r="J305" s="212"/>
      <c r="K305" s="212">
        <f t="shared" si="16"/>
        <v>0</v>
      </c>
      <c r="L305" s="212">
        <f t="shared" si="16"/>
        <v>0</v>
      </c>
      <c r="M305" s="212">
        <f t="shared" si="16"/>
        <v>0</v>
      </c>
      <c r="N305" s="212">
        <f t="shared" si="16"/>
        <v>0</v>
      </c>
    </row>
    <row r="306" spans="1:14" s="407" customFormat="1" ht="12.75" x14ac:dyDescent="0.2">
      <c r="A306" s="152"/>
      <c r="B306" s="73"/>
      <c r="C306" s="51" t="s">
        <v>136</v>
      </c>
      <c r="D306" s="89"/>
      <c r="E306" s="89"/>
      <c r="F306" s="89"/>
      <c r="G306" s="89"/>
      <c r="H306" s="89"/>
      <c r="I306" s="89"/>
      <c r="J306" s="212"/>
      <c r="K306" s="212">
        <f t="shared" si="16"/>
        <v>0</v>
      </c>
      <c r="L306" s="212">
        <f t="shared" si="16"/>
        <v>0</v>
      </c>
      <c r="M306" s="212">
        <f t="shared" si="16"/>
        <v>0</v>
      </c>
      <c r="N306" s="212">
        <f t="shared" si="16"/>
        <v>0</v>
      </c>
    </row>
    <row r="307" spans="1:14" s="407" customFormat="1" ht="12.75" x14ac:dyDescent="0.2">
      <c r="A307" s="152"/>
      <c r="B307" s="73"/>
      <c r="C307" s="51" t="s">
        <v>962</v>
      </c>
      <c r="D307" s="89"/>
      <c r="E307" s="89"/>
      <c r="F307" s="89"/>
      <c r="G307" s="89"/>
      <c r="H307" s="89"/>
      <c r="I307" s="89"/>
      <c r="J307" s="212"/>
      <c r="K307" s="212">
        <f t="shared" si="16"/>
        <v>0</v>
      </c>
      <c r="L307" s="212">
        <f t="shared" si="16"/>
        <v>0</v>
      </c>
      <c r="M307" s="212">
        <f t="shared" si="16"/>
        <v>0</v>
      </c>
      <c r="N307" s="212">
        <f t="shared" si="16"/>
        <v>0</v>
      </c>
    </row>
    <row r="308" spans="1:14" s="407" customFormat="1" ht="12.75" x14ac:dyDescent="0.2">
      <c r="A308" s="152"/>
      <c r="B308" s="73"/>
      <c r="C308" s="51" t="s">
        <v>115</v>
      </c>
      <c r="D308" s="89"/>
      <c r="E308" s="89"/>
      <c r="F308" s="89"/>
      <c r="G308" s="89"/>
      <c r="H308" s="89"/>
      <c r="I308" s="89"/>
      <c r="J308" s="212"/>
      <c r="K308" s="212">
        <f t="shared" ref="K308:N327" si="17">SUMIF($C$26:$C$100,$C308,K$26:K$100)</f>
        <v>0</v>
      </c>
      <c r="L308" s="212">
        <f t="shared" si="17"/>
        <v>0</v>
      </c>
      <c r="M308" s="212">
        <f t="shared" si="17"/>
        <v>0</v>
      </c>
      <c r="N308" s="212">
        <f t="shared" si="17"/>
        <v>0</v>
      </c>
    </row>
    <row r="309" spans="1:14" s="407" customFormat="1" ht="12.75" x14ac:dyDescent="0.2">
      <c r="A309" s="152"/>
      <c r="B309" s="73"/>
      <c r="C309" s="51" t="s">
        <v>997</v>
      </c>
      <c r="D309" s="89"/>
      <c r="E309" s="89"/>
      <c r="F309" s="89"/>
      <c r="G309" s="89"/>
      <c r="H309" s="89"/>
      <c r="I309" s="89"/>
      <c r="J309" s="212"/>
      <c r="K309" s="212">
        <f t="shared" si="17"/>
        <v>0</v>
      </c>
      <c r="L309" s="212">
        <f t="shared" si="17"/>
        <v>0</v>
      </c>
      <c r="M309" s="212">
        <f t="shared" si="17"/>
        <v>0</v>
      </c>
      <c r="N309" s="212">
        <f t="shared" si="17"/>
        <v>0</v>
      </c>
    </row>
    <row r="310" spans="1:14" s="407" customFormat="1" ht="12.75" x14ac:dyDescent="0.2">
      <c r="A310" s="152"/>
      <c r="B310" s="73"/>
      <c r="C310" s="51" t="s">
        <v>999</v>
      </c>
      <c r="D310" s="89"/>
      <c r="E310" s="89"/>
      <c r="F310" s="89"/>
      <c r="G310" s="89"/>
      <c r="H310" s="89"/>
      <c r="I310" s="89"/>
      <c r="J310" s="212"/>
      <c r="K310" s="212">
        <f t="shared" si="17"/>
        <v>0</v>
      </c>
      <c r="L310" s="212">
        <f t="shared" si="17"/>
        <v>0</v>
      </c>
      <c r="M310" s="212">
        <f t="shared" si="17"/>
        <v>0</v>
      </c>
      <c r="N310" s="212">
        <f t="shared" si="17"/>
        <v>0</v>
      </c>
    </row>
    <row r="311" spans="1:14" s="407" customFormat="1" ht="12.75" x14ac:dyDescent="0.2">
      <c r="A311" s="152"/>
      <c r="B311" s="73"/>
      <c r="C311" s="51" t="s">
        <v>1049</v>
      </c>
      <c r="D311" s="89"/>
      <c r="E311" s="89"/>
      <c r="F311" s="89"/>
      <c r="G311" s="89"/>
      <c r="H311" s="89"/>
      <c r="I311" s="89"/>
      <c r="J311" s="212"/>
      <c r="K311" s="212">
        <f t="shared" si="17"/>
        <v>0</v>
      </c>
      <c r="L311" s="212">
        <f t="shared" si="17"/>
        <v>0</v>
      </c>
      <c r="M311" s="212">
        <f t="shared" si="17"/>
        <v>0</v>
      </c>
      <c r="N311" s="212">
        <f t="shared" si="17"/>
        <v>1000</v>
      </c>
    </row>
    <row r="312" spans="1:14" s="407" customFormat="1" ht="12.75" x14ac:dyDescent="0.2">
      <c r="A312" s="152"/>
      <c r="B312" s="73"/>
      <c r="C312" s="51" t="s">
        <v>96</v>
      </c>
      <c r="D312" s="89"/>
      <c r="E312" s="89"/>
      <c r="F312" s="89"/>
      <c r="G312" s="89"/>
      <c r="H312" s="89"/>
      <c r="I312" s="89"/>
      <c r="J312" s="212"/>
      <c r="K312" s="212">
        <f t="shared" si="17"/>
        <v>0</v>
      </c>
      <c r="L312" s="212">
        <f t="shared" si="17"/>
        <v>0</v>
      </c>
      <c r="M312" s="212">
        <f t="shared" si="17"/>
        <v>0</v>
      </c>
      <c r="N312" s="212">
        <f t="shared" si="17"/>
        <v>2400</v>
      </c>
    </row>
    <row r="313" spans="1:14" s="407" customFormat="1" ht="12.75" x14ac:dyDescent="0.2">
      <c r="A313" s="152"/>
      <c r="B313" s="73"/>
      <c r="C313" s="51" t="s">
        <v>983</v>
      </c>
      <c r="D313" s="89"/>
      <c r="E313" s="89"/>
      <c r="F313" s="89"/>
      <c r="G313" s="89"/>
      <c r="H313" s="89"/>
      <c r="I313" s="89"/>
      <c r="J313" s="212"/>
      <c r="K313" s="212">
        <f t="shared" si="17"/>
        <v>0</v>
      </c>
      <c r="L313" s="212">
        <f t="shared" si="17"/>
        <v>0</v>
      </c>
      <c r="M313" s="212">
        <f t="shared" si="17"/>
        <v>0</v>
      </c>
      <c r="N313" s="212">
        <f t="shared" si="17"/>
        <v>0</v>
      </c>
    </row>
    <row r="314" spans="1:14" s="407" customFormat="1" ht="12.75" x14ac:dyDescent="0.2">
      <c r="A314" s="152"/>
      <c r="B314" s="73"/>
      <c r="C314" s="51" t="s">
        <v>1042</v>
      </c>
      <c r="D314" s="89"/>
      <c r="E314" s="89"/>
      <c r="F314" s="89"/>
      <c r="G314" s="89"/>
      <c r="H314" s="89"/>
      <c r="I314" s="89"/>
      <c r="J314" s="212"/>
      <c r="K314" s="212">
        <f t="shared" si="17"/>
        <v>0</v>
      </c>
      <c r="L314" s="212">
        <f t="shared" si="17"/>
        <v>0</v>
      </c>
      <c r="M314" s="212">
        <f t="shared" si="17"/>
        <v>0</v>
      </c>
      <c r="N314" s="212">
        <f t="shared" si="17"/>
        <v>0</v>
      </c>
    </row>
    <row r="315" spans="1:14" s="407" customFormat="1" ht="12.75" x14ac:dyDescent="0.2">
      <c r="A315" s="152"/>
      <c r="B315" s="73"/>
      <c r="C315" s="51" t="s">
        <v>979</v>
      </c>
      <c r="D315" s="89"/>
      <c r="E315" s="89"/>
      <c r="F315" s="89"/>
      <c r="G315" s="89"/>
      <c r="H315" s="89"/>
      <c r="I315" s="89"/>
      <c r="J315" s="212"/>
      <c r="K315" s="212">
        <f t="shared" si="17"/>
        <v>0</v>
      </c>
      <c r="L315" s="212">
        <f t="shared" si="17"/>
        <v>0</v>
      </c>
      <c r="M315" s="212">
        <f t="shared" si="17"/>
        <v>0</v>
      </c>
      <c r="N315" s="212">
        <f t="shared" si="17"/>
        <v>0</v>
      </c>
    </row>
    <row r="316" spans="1:14" s="407" customFormat="1" ht="12.75" x14ac:dyDescent="0.2">
      <c r="A316" s="152"/>
      <c r="B316" s="73"/>
      <c r="C316" s="51" t="s">
        <v>47</v>
      </c>
      <c r="D316" s="89"/>
      <c r="E316" s="89"/>
      <c r="F316" s="89"/>
      <c r="G316" s="89"/>
      <c r="H316" s="89"/>
      <c r="I316" s="89"/>
      <c r="J316" s="212"/>
      <c r="K316" s="212">
        <f t="shared" si="17"/>
        <v>0</v>
      </c>
      <c r="L316" s="212">
        <f t="shared" si="17"/>
        <v>0</v>
      </c>
      <c r="M316" s="212">
        <f t="shared" si="17"/>
        <v>0</v>
      </c>
      <c r="N316" s="212">
        <f t="shared" si="17"/>
        <v>0</v>
      </c>
    </row>
    <row r="317" spans="1:14" s="407" customFormat="1" ht="12.75" x14ac:dyDescent="0.2">
      <c r="A317" s="152"/>
      <c r="B317" s="73"/>
      <c r="C317" s="51" t="s">
        <v>48</v>
      </c>
      <c r="D317" s="89"/>
      <c r="E317" s="89"/>
      <c r="F317" s="89"/>
      <c r="G317" s="89"/>
      <c r="H317" s="89"/>
      <c r="I317" s="89"/>
      <c r="J317" s="212"/>
      <c r="K317" s="212">
        <f t="shared" si="17"/>
        <v>0</v>
      </c>
      <c r="L317" s="212">
        <f t="shared" si="17"/>
        <v>0</v>
      </c>
      <c r="M317" s="212">
        <f t="shared" si="17"/>
        <v>0</v>
      </c>
      <c r="N317" s="212">
        <f t="shared" si="17"/>
        <v>0</v>
      </c>
    </row>
    <row r="318" spans="1:14" s="407" customFormat="1" ht="12.75" x14ac:dyDescent="0.2">
      <c r="A318" s="152"/>
      <c r="B318" s="73"/>
      <c r="C318" s="51" t="s">
        <v>1051</v>
      </c>
      <c r="D318" s="89"/>
      <c r="E318" s="89"/>
      <c r="F318" s="89"/>
      <c r="G318" s="89"/>
      <c r="H318" s="89"/>
      <c r="I318" s="89"/>
      <c r="J318" s="212"/>
      <c r="K318" s="212">
        <f t="shared" si="17"/>
        <v>0</v>
      </c>
      <c r="L318" s="212">
        <f t="shared" si="17"/>
        <v>0</v>
      </c>
      <c r="M318" s="212">
        <f t="shared" si="17"/>
        <v>0</v>
      </c>
      <c r="N318" s="212">
        <f t="shared" si="17"/>
        <v>0</v>
      </c>
    </row>
    <row r="319" spans="1:14" s="407" customFormat="1" ht="12.75" x14ac:dyDescent="0.2">
      <c r="A319" s="152"/>
      <c r="B319" s="73"/>
      <c r="C319" s="51" t="s">
        <v>929</v>
      </c>
      <c r="D319" s="89"/>
      <c r="E319" s="89"/>
      <c r="F319" s="89"/>
      <c r="G319" s="89"/>
      <c r="H319" s="89"/>
      <c r="I319" s="89"/>
      <c r="J319" s="212"/>
      <c r="K319" s="212">
        <f t="shared" si="17"/>
        <v>0</v>
      </c>
      <c r="L319" s="212">
        <f t="shared" si="17"/>
        <v>0</v>
      </c>
      <c r="M319" s="212">
        <f t="shared" si="17"/>
        <v>0</v>
      </c>
      <c r="N319" s="212">
        <f t="shared" si="17"/>
        <v>0</v>
      </c>
    </row>
    <row r="320" spans="1:14" s="407" customFormat="1" ht="12.75" x14ac:dyDescent="0.2">
      <c r="A320" s="152"/>
      <c r="B320" s="73"/>
      <c r="C320" s="51" t="s">
        <v>970</v>
      </c>
      <c r="D320" s="89"/>
      <c r="E320" s="89"/>
      <c r="F320" s="89"/>
      <c r="G320" s="89"/>
      <c r="H320" s="89"/>
      <c r="I320" s="89"/>
      <c r="J320" s="212"/>
      <c r="K320" s="212">
        <f t="shared" si="17"/>
        <v>0</v>
      </c>
      <c r="L320" s="212">
        <f t="shared" si="17"/>
        <v>0</v>
      </c>
      <c r="M320" s="212">
        <f t="shared" si="17"/>
        <v>0</v>
      </c>
      <c r="N320" s="212">
        <f t="shared" si="17"/>
        <v>0</v>
      </c>
    </row>
    <row r="321" spans="1:14" s="407" customFormat="1" ht="12.75" x14ac:dyDescent="0.2">
      <c r="A321" s="152"/>
      <c r="B321" s="73"/>
      <c r="C321" s="51" t="s">
        <v>122</v>
      </c>
      <c r="D321" s="89"/>
      <c r="E321" s="89"/>
      <c r="F321" s="89"/>
      <c r="G321" s="89"/>
      <c r="H321" s="89"/>
      <c r="I321" s="89"/>
      <c r="J321" s="212"/>
      <c r="K321" s="212">
        <f t="shared" si="17"/>
        <v>0</v>
      </c>
      <c r="L321" s="212">
        <f t="shared" si="17"/>
        <v>0</v>
      </c>
      <c r="M321" s="212">
        <f t="shared" si="17"/>
        <v>0</v>
      </c>
      <c r="N321" s="212">
        <f t="shared" si="17"/>
        <v>0</v>
      </c>
    </row>
    <row r="322" spans="1:14" s="407" customFormat="1" ht="12.75" x14ac:dyDescent="0.2">
      <c r="A322" s="152"/>
      <c r="B322" s="73"/>
      <c r="C322" s="51" t="s">
        <v>135</v>
      </c>
      <c r="D322" s="89"/>
      <c r="E322" s="89"/>
      <c r="F322" s="89"/>
      <c r="G322" s="89"/>
      <c r="H322" s="89"/>
      <c r="I322" s="89"/>
      <c r="J322" s="212"/>
      <c r="K322" s="212">
        <f t="shared" si="17"/>
        <v>0</v>
      </c>
      <c r="L322" s="212">
        <f t="shared" si="17"/>
        <v>0</v>
      </c>
      <c r="M322" s="212">
        <f t="shared" si="17"/>
        <v>0</v>
      </c>
      <c r="N322" s="212">
        <f t="shared" si="17"/>
        <v>0</v>
      </c>
    </row>
    <row r="323" spans="1:14" s="407" customFormat="1" ht="12.75" x14ac:dyDescent="0.2">
      <c r="A323" s="152"/>
      <c r="B323" s="73"/>
      <c r="C323" s="51" t="s">
        <v>123</v>
      </c>
      <c r="D323" s="89"/>
      <c r="E323" s="89"/>
      <c r="F323" s="89"/>
      <c r="G323" s="89"/>
      <c r="H323" s="89"/>
      <c r="I323" s="89"/>
      <c r="J323" s="212"/>
      <c r="K323" s="212">
        <f t="shared" si="17"/>
        <v>0</v>
      </c>
      <c r="L323" s="212">
        <f t="shared" si="17"/>
        <v>0</v>
      </c>
      <c r="M323" s="212">
        <f t="shared" si="17"/>
        <v>0</v>
      </c>
      <c r="N323" s="212">
        <f t="shared" si="17"/>
        <v>0</v>
      </c>
    </row>
    <row r="324" spans="1:14" s="407" customFormat="1" ht="12.75" x14ac:dyDescent="0.2">
      <c r="A324" s="152"/>
      <c r="B324" s="73"/>
      <c r="C324" s="51" t="s">
        <v>974</v>
      </c>
      <c r="D324" s="89"/>
      <c r="E324" s="89"/>
      <c r="F324" s="89"/>
      <c r="G324" s="89"/>
      <c r="H324" s="89"/>
      <c r="I324" s="89"/>
      <c r="J324" s="212"/>
      <c r="K324" s="212">
        <f t="shared" si="17"/>
        <v>0</v>
      </c>
      <c r="L324" s="212">
        <f t="shared" si="17"/>
        <v>0</v>
      </c>
      <c r="M324" s="212">
        <f t="shared" si="17"/>
        <v>0</v>
      </c>
      <c r="N324" s="212">
        <f t="shared" si="17"/>
        <v>0</v>
      </c>
    </row>
    <row r="325" spans="1:14" s="407" customFormat="1" ht="12.75" x14ac:dyDescent="0.2">
      <c r="A325" s="152"/>
      <c r="B325" s="73"/>
      <c r="C325" s="51" t="s">
        <v>975</v>
      </c>
      <c r="D325" s="89"/>
      <c r="E325" s="89"/>
      <c r="F325" s="89"/>
      <c r="G325" s="89"/>
      <c r="H325" s="89"/>
      <c r="I325" s="89"/>
      <c r="J325" s="212"/>
      <c r="K325" s="212">
        <f t="shared" si="17"/>
        <v>0</v>
      </c>
      <c r="L325" s="212">
        <f t="shared" si="17"/>
        <v>0</v>
      </c>
      <c r="M325" s="212">
        <f t="shared" si="17"/>
        <v>0</v>
      </c>
      <c r="N325" s="212">
        <f t="shared" si="17"/>
        <v>0</v>
      </c>
    </row>
    <row r="326" spans="1:14" s="407" customFormat="1" ht="12.75" x14ac:dyDescent="0.2">
      <c r="A326" s="152"/>
      <c r="B326" s="73"/>
      <c r="C326" s="51" t="s">
        <v>126</v>
      </c>
      <c r="D326" s="89"/>
      <c r="E326" s="89"/>
      <c r="F326" s="89"/>
      <c r="G326" s="89"/>
      <c r="H326" s="89"/>
      <c r="I326" s="89"/>
      <c r="J326" s="212"/>
      <c r="K326" s="212">
        <f t="shared" si="17"/>
        <v>0</v>
      </c>
      <c r="L326" s="212">
        <f t="shared" si="17"/>
        <v>0</v>
      </c>
      <c r="M326" s="212">
        <f t="shared" si="17"/>
        <v>0</v>
      </c>
      <c r="N326" s="212">
        <f t="shared" si="17"/>
        <v>0</v>
      </c>
    </row>
    <row r="327" spans="1:14" s="407" customFormat="1" ht="12.75" x14ac:dyDescent="0.2">
      <c r="A327" s="152"/>
      <c r="B327" s="73"/>
      <c r="C327" s="51" t="s">
        <v>127</v>
      </c>
      <c r="D327" s="89"/>
      <c r="E327" s="89"/>
      <c r="F327" s="89"/>
      <c r="G327" s="89"/>
      <c r="H327" s="89"/>
      <c r="I327" s="89"/>
      <c r="J327" s="212"/>
      <c r="K327" s="212">
        <f t="shared" si="17"/>
        <v>0</v>
      </c>
      <c r="L327" s="212">
        <f t="shared" si="17"/>
        <v>0</v>
      </c>
      <c r="M327" s="212">
        <f t="shared" si="17"/>
        <v>0</v>
      </c>
      <c r="N327" s="212">
        <f t="shared" si="17"/>
        <v>0</v>
      </c>
    </row>
    <row r="328" spans="1:14" s="407" customFormat="1" ht="12.75" x14ac:dyDescent="0.2">
      <c r="A328" s="152"/>
      <c r="B328" s="73"/>
      <c r="C328" s="51" t="s">
        <v>130</v>
      </c>
      <c r="D328" s="89"/>
      <c r="E328" s="89"/>
      <c r="F328" s="89"/>
      <c r="G328" s="89"/>
      <c r="H328" s="89"/>
      <c r="I328" s="89"/>
      <c r="J328" s="212"/>
      <c r="K328" s="212">
        <f t="shared" ref="K328:N347" si="18">SUMIF($C$26:$C$100,$C328,K$26:K$100)</f>
        <v>0</v>
      </c>
      <c r="L328" s="212">
        <f t="shared" si="18"/>
        <v>0</v>
      </c>
      <c r="M328" s="212">
        <f t="shared" si="18"/>
        <v>0</v>
      </c>
      <c r="N328" s="212">
        <f t="shared" si="18"/>
        <v>0</v>
      </c>
    </row>
    <row r="329" spans="1:14" s="407" customFormat="1" ht="12.75" x14ac:dyDescent="0.2">
      <c r="A329" s="152"/>
      <c r="B329" s="73"/>
      <c r="C329" s="51" t="s">
        <v>125</v>
      </c>
      <c r="D329" s="89"/>
      <c r="E329" s="89"/>
      <c r="F329" s="89"/>
      <c r="G329" s="89"/>
      <c r="H329" s="89"/>
      <c r="I329" s="89"/>
      <c r="J329" s="212"/>
      <c r="K329" s="212">
        <f t="shared" si="18"/>
        <v>0</v>
      </c>
      <c r="L329" s="212">
        <f t="shared" si="18"/>
        <v>0</v>
      </c>
      <c r="M329" s="212">
        <f t="shared" si="18"/>
        <v>0</v>
      </c>
      <c r="N329" s="212">
        <f t="shared" si="18"/>
        <v>0</v>
      </c>
    </row>
    <row r="330" spans="1:14" s="407" customFormat="1" ht="12.75" x14ac:dyDescent="0.2">
      <c r="A330" s="152"/>
      <c r="B330" s="73"/>
      <c r="C330" s="51" t="s">
        <v>128</v>
      </c>
      <c r="D330" s="89"/>
      <c r="E330" s="89"/>
      <c r="F330" s="89"/>
      <c r="G330" s="89"/>
      <c r="H330" s="89"/>
      <c r="I330" s="89"/>
      <c r="J330" s="212"/>
      <c r="K330" s="212">
        <f t="shared" si="18"/>
        <v>0</v>
      </c>
      <c r="L330" s="212">
        <f t="shared" si="18"/>
        <v>0</v>
      </c>
      <c r="M330" s="212">
        <f t="shared" si="18"/>
        <v>0</v>
      </c>
      <c r="N330" s="212">
        <f t="shared" si="18"/>
        <v>0</v>
      </c>
    </row>
    <row r="331" spans="1:14" s="407" customFormat="1" ht="12.75" x14ac:dyDescent="0.2">
      <c r="A331" s="152"/>
      <c r="B331" s="73"/>
      <c r="C331" s="51" t="s">
        <v>1016</v>
      </c>
      <c r="D331" s="89"/>
      <c r="E331" s="89"/>
      <c r="F331" s="89"/>
      <c r="G331" s="89"/>
      <c r="H331" s="89"/>
      <c r="I331" s="89"/>
      <c r="J331" s="212"/>
      <c r="K331" s="212">
        <f t="shared" si="18"/>
        <v>0</v>
      </c>
      <c r="L331" s="212">
        <f t="shared" si="18"/>
        <v>0</v>
      </c>
      <c r="M331" s="212">
        <f t="shared" si="18"/>
        <v>0</v>
      </c>
      <c r="N331" s="212">
        <f t="shared" si="18"/>
        <v>0</v>
      </c>
    </row>
    <row r="332" spans="1:14" s="407" customFormat="1" ht="12.75" x14ac:dyDescent="0.2">
      <c r="A332" s="152"/>
      <c r="B332" s="73"/>
      <c r="C332" s="51" t="s">
        <v>1015</v>
      </c>
      <c r="D332" s="89"/>
      <c r="E332" s="89"/>
      <c r="F332" s="89"/>
      <c r="G332" s="89"/>
      <c r="H332" s="89"/>
      <c r="I332" s="89"/>
      <c r="J332" s="212"/>
      <c r="K332" s="212">
        <f t="shared" si="18"/>
        <v>0</v>
      </c>
      <c r="L332" s="212">
        <f t="shared" si="18"/>
        <v>0</v>
      </c>
      <c r="M332" s="212">
        <f t="shared" si="18"/>
        <v>0</v>
      </c>
      <c r="N332" s="212">
        <f t="shared" si="18"/>
        <v>0</v>
      </c>
    </row>
    <row r="333" spans="1:14" s="407" customFormat="1" ht="12.75" x14ac:dyDescent="0.2">
      <c r="A333" s="152"/>
      <c r="B333" s="73"/>
      <c r="C333" s="51" t="s">
        <v>930</v>
      </c>
      <c r="D333" s="89"/>
      <c r="E333" s="89"/>
      <c r="F333" s="89"/>
      <c r="G333" s="89"/>
      <c r="H333" s="89"/>
      <c r="I333" s="89"/>
      <c r="J333" s="212"/>
      <c r="K333" s="212">
        <f t="shared" si="18"/>
        <v>0</v>
      </c>
      <c r="L333" s="212">
        <f t="shared" si="18"/>
        <v>0</v>
      </c>
      <c r="M333" s="212">
        <f t="shared" si="18"/>
        <v>0</v>
      </c>
      <c r="N333" s="212">
        <f t="shared" si="18"/>
        <v>0</v>
      </c>
    </row>
    <row r="334" spans="1:14" s="407" customFormat="1" ht="12.75" x14ac:dyDescent="0.2">
      <c r="A334" s="152"/>
      <c r="B334" s="73"/>
      <c r="C334" s="51" t="s">
        <v>931</v>
      </c>
      <c r="D334" s="89"/>
      <c r="E334" s="89"/>
      <c r="F334" s="89"/>
      <c r="G334" s="89"/>
      <c r="H334" s="89"/>
      <c r="I334" s="89"/>
      <c r="J334" s="212"/>
      <c r="K334" s="212">
        <f t="shared" si="18"/>
        <v>0</v>
      </c>
      <c r="L334" s="212">
        <f t="shared" si="18"/>
        <v>0</v>
      </c>
      <c r="M334" s="212">
        <f t="shared" si="18"/>
        <v>0</v>
      </c>
      <c r="N334" s="212">
        <f t="shared" si="18"/>
        <v>0</v>
      </c>
    </row>
    <row r="335" spans="1:14" s="407" customFormat="1" ht="12.75" x14ac:dyDescent="0.2">
      <c r="A335" s="152"/>
      <c r="B335" s="73"/>
      <c r="C335" s="51" t="s">
        <v>926</v>
      </c>
      <c r="D335" s="89"/>
      <c r="E335" s="89"/>
      <c r="F335" s="89"/>
      <c r="G335" s="89"/>
      <c r="H335" s="89"/>
      <c r="I335" s="89"/>
      <c r="J335" s="212"/>
      <c r="K335" s="212">
        <f t="shared" si="18"/>
        <v>0</v>
      </c>
      <c r="L335" s="212">
        <f t="shared" si="18"/>
        <v>0</v>
      </c>
      <c r="M335" s="212">
        <f t="shared" si="18"/>
        <v>0</v>
      </c>
      <c r="N335" s="212">
        <f t="shared" si="18"/>
        <v>0</v>
      </c>
    </row>
    <row r="336" spans="1:14" s="407" customFormat="1" ht="12.75" x14ac:dyDescent="0.2">
      <c r="A336" s="152"/>
      <c r="B336" s="73"/>
      <c r="C336" s="51" t="s">
        <v>110</v>
      </c>
      <c r="D336" s="89"/>
      <c r="E336" s="89"/>
      <c r="F336" s="89"/>
      <c r="G336" s="89"/>
      <c r="H336" s="89"/>
      <c r="I336" s="89"/>
      <c r="J336" s="212"/>
      <c r="K336" s="212">
        <f t="shared" si="18"/>
        <v>0</v>
      </c>
      <c r="L336" s="212">
        <f t="shared" si="18"/>
        <v>0</v>
      </c>
      <c r="M336" s="212">
        <f t="shared" si="18"/>
        <v>0</v>
      </c>
      <c r="N336" s="212">
        <f t="shared" si="18"/>
        <v>0</v>
      </c>
    </row>
    <row r="337" spans="1:14" s="407" customFormat="1" ht="12.75" x14ac:dyDescent="0.2">
      <c r="A337" s="152"/>
      <c r="B337" s="73"/>
      <c r="C337" s="51" t="s">
        <v>133</v>
      </c>
      <c r="D337" s="89"/>
      <c r="E337" s="89"/>
      <c r="F337" s="89"/>
      <c r="G337" s="89"/>
      <c r="H337" s="89"/>
      <c r="I337" s="89"/>
      <c r="J337" s="212"/>
      <c r="K337" s="212">
        <f t="shared" si="18"/>
        <v>0</v>
      </c>
      <c r="L337" s="212">
        <f t="shared" si="18"/>
        <v>0</v>
      </c>
      <c r="M337" s="212">
        <f t="shared" si="18"/>
        <v>0</v>
      </c>
      <c r="N337" s="212">
        <f t="shared" si="18"/>
        <v>0</v>
      </c>
    </row>
    <row r="338" spans="1:14" s="407" customFormat="1" ht="12.75" x14ac:dyDescent="0.2">
      <c r="A338" s="152"/>
      <c r="B338" s="73"/>
      <c r="C338" s="51" t="s">
        <v>134</v>
      </c>
      <c r="D338" s="89"/>
      <c r="E338" s="89"/>
      <c r="F338" s="89"/>
      <c r="G338" s="89"/>
      <c r="H338" s="89"/>
      <c r="I338" s="89"/>
      <c r="J338" s="212"/>
      <c r="K338" s="212">
        <f t="shared" si="18"/>
        <v>0</v>
      </c>
      <c r="L338" s="212">
        <f t="shared" si="18"/>
        <v>0</v>
      </c>
      <c r="M338" s="212">
        <f t="shared" si="18"/>
        <v>0</v>
      </c>
      <c r="N338" s="212">
        <f t="shared" si="18"/>
        <v>0</v>
      </c>
    </row>
    <row r="339" spans="1:14" s="407" customFormat="1" ht="12.75" x14ac:dyDescent="0.2">
      <c r="A339" s="152"/>
      <c r="B339" s="73"/>
      <c r="C339" s="51" t="s">
        <v>138</v>
      </c>
      <c r="D339" s="89"/>
      <c r="E339" s="89"/>
      <c r="F339" s="89"/>
      <c r="G339" s="89"/>
      <c r="H339" s="89"/>
      <c r="I339" s="89"/>
      <c r="J339" s="212"/>
      <c r="K339" s="212">
        <f t="shared" si="18"/>
        <v>0</v>
      </c>
      <c r="L339" s="212">
        <f t="shared" si="18"/>
        <v>0</v>
      </c>
      <c r="M339" s="212">
        <f t="shared" si="18"/>
        <v>0</v>
      </c>
      <c r="N339" s="212">
        <f t="shared" si="18"/>
        <v>0</v>
      </c>
    </row>
    <row r="340" spans="1:14" s="407" customFormat="1" ht="12.75" x14ac:dyDescent="0.2">
      <c r="A340" s="152"/>
      <c r="B340" s="73"/>
      <c r="C340" s="51" t="s">
        <v>106</v>
      </c>
      <c r="D340" s="89"/>
      <c r="E340" s="89"/>
      <c r="F340" s="89"/>
      <c r="G340" s="89"/>
      <c r="H340" s="89"/>
      <c r="I340" s="89"/>
      <c r="J340" s="212"/>
      <c r="K340" s="212">
        <f t="shared" si="18"/>
        <v>0</v>
      </c>
      <c r="L340" s="212">
        <f t="shared" si="18"/>
        <v>0</v>
      </c>
      <c r="M340" s="212">
        <f t="shared" si="18"/>
        <v>0</v>
      </c>
      <c r="N340" s="212">
        <f t="shared" si="18"/>
        <v>0</v>
      </c>
    </row>
    <row r="341" spans="1:14" s="407" customFormat="1" ht="12.75" x14ac:dyDescent="0.2">
      <c r="A341" s="152"/>
      <c r="B341" s="73"/>
      <c r="C341" s="51" t="s">
        <v>1024</v>
      </c>
      <c r="D341" s="89"/>
      <c r="E341" s="89"/>
      <c r="F341" s="89"/>
      <c r="G341" s="89"/>
      <c r="H341" s="89"/>
      <c r="I341" s="89"/>
      <c r="J341" s="212"/>
      <c r="K341" s="212">
        <f t="shared" si="18"/>
        <v>0</v>
      </c>
      <c r="L341" s="212">
        <f t="shared" si="18"/>
        <v>0</v>
      </c>
      <c r="M341" s="212">
        <f t="shared" si="18"/>
        <v>0</v>
      </c>
      <c r="N341" s="212">
        <f t="shared" si="18"/>
        <v>0</v>
      </c>
    </row>
    <row r="342" spans="1:14" s="407" customFormat="1" ht="12.75" x14ac:dyDescent="0.2">
      <c r="A342" s="152"/>
      <c r="B342" s="73"/>
      <c r="C342" s="51" t="s">
        <v>1025</v>
      </c>
      <c r="D342" s="89"/>
      <c r="E342" s="89"/>
      <c r="F342" s="89"/>
      <c r="G342" s="89"/>
      <c r="H342" s="89"/>
      <c r="I342" s="89"/>
      <c r="J342" s="212"/>
      <c r="K342" s="212">
        <f t="shared" si="18"/>
        <v>0</v>
      </c>
      <c r="L342" s="212">
        <f t="shared" si="18"/>
        <v>0</v>
      </c>
      <c r="M342" s="212">
        <f t="shared" si="18"/>
        <v>0</v>
      </c>
      <c r="N342" s="212">
        <f t="shared" si="18"/>
        <v>0</v>
      </c>
    </row>
    <row r="343" spans="1:14" s="407" customFormat="1" ht="12.75" x14ac:dyDescent="0.2">
      <c r="A343" s="152"/>
      <c r="B343" s="73"/>
      <c r="C343" s="51" t="s">
        <v>960</v>
      </c>
      <c r="D343" s="89"/>
      <c r="E343" s="89"/>
      <c r="F343" s="89"/>
      <c r="G343" s="89"/>
      <c r="H343" s="89"/>
      <c r="I343" s="89"/>
      <c r="J343" s="212"/>
      <c r="K343" s="212">
        <f t="shared" si="18"/>
        <v>0</v>
      </c>
      <c r="L343" s="212">
        <f t="shared" si="18"/>
        <v>0</v>
      </c>
      <c r="M343" s="212">
        <f t="shared" si="18"/>
        <v>0</v>
      </c>
      <c r="N343" s="212">
        <f t="shared" si="18"/>
        <v>0</v>
      </c>
    </row>
    <row r="344" spans="1:14" s="407" customFormat="1" ht="12.75" x14ac:dyDescent="0.2">
      <c r="A344" s="152"/>
      <c r="B344" s="73"/>
      <c r="C344" s="51" t="s">
        <v>961</v>
      </c>
      <c r="D344" s="89"/>
      <c r="E344" s="89"/>
      <c r="F344" s="89"/>
      <c r="G344" s="89"/>
      <c r="H344" s="89"/>
      <c r="I344" s="89"/>
      <c r="J344" s="212"/>
      <c r="K344" s="212">
        <f t="shared" si="18"/>
        <v>0</v>
      </c>
      <c r="L344" s="212">
        <f t="shared" si="18"/>
        <v>0</v>
      </c>
      <c r="M344" s="212">
        <f t="shared" si="18"/>
        <v>0</v>
      </c>
      <c r="N344" s="212">
        <f t="shared" si="18"/>
        <v>0</v>
      </c>
    </row>
    <row r="345" spans="1:14" s="407" customFormat="1" ht="12.75" x14ac:dyDescent="0.2">
      <c r="A345" s="152"/>
      <c r="B345" s="73"/>
      <c r="C345" s="51" t="s">
        <v>948</v>
      </c>
      <c r="D345" s="89"/>
      <c r="E345" s="89"/>
      <c r="F345" s="89"/>
      <c r="G345" s="89"/>
      <c r="H345" s="89"/>
      <c r="I345" s="89"/>
      <c r="J345" s="212"/>
      <c r="K345" s="212">
        <f t="shared" si="18"/>
        <v>0</v>
      </c>
      <c r="L345" s="212">
        <f t="shared" si="18"/>
        <v>0</v>
      </c>
      <c r="M345" s="212">
        <f t="shared" si="18"/>
        <v>0</v>
      </c>
      <c r="N345" s="212">
        <f t="shared" si="18"/>
        <v>0</v>
      </c>
    </row>
    <row r="346" spans="1:14" s="407" customFormat="1" ht="12.75" x14ac:dyDescent="0.2">
      <c r="A346" s="152"/>
      <c r="B346" s="73"/>
      <c r="C346" s="51" t="s">
        <v>949</v>
      </c>
      <c r="D346" s="89"/>
      <c r="E346" s="89"/>
      <c r="F346" s="89"/>
      <c r="G346" s="89"/>
      <c r="H346" s="89"/>
      <c r="I346" s="89"/>
      <c r="J346" s="212"/>
      <c r="K346" s="212">
        <f t="shared" si="18"/>
        <v>0</v>
      </c>
      <c r="L346" s="212">
        <f t="shared" si="18"/>
        <v>0</v>
      </c>
      <c r="M346" s="212">
        <f t="shared" si="18"/>
        <v>0</v>
      </c>
      <c r="N346" s="212">
        <f t="shared" si="18"/>
        <v>0</v>
      </c>
    </row>
    <row r="347" spans="1:14" s="407" customFormat="1" ht="12.75" x14ac:dyDescent="0.2">
      <c r="A347" s="152"/>
      <c r="B347" s="73"/>
      <c r="C347" s="51" t="s">
        <v>132</v>
      </c>
      <c r="D347" s="89"/>
      <c r="E347" s="89"/>
      <c r="F347" s="89"/>
      <c r="G347" s="89"/>
      <c r="H347" s="89"/>
      <c r="I347" s="89"/>
      <c r="J347" s="212"/>
      <c r="K347" s="212">
        <f t="shared" si="18"/>
        <v>0</v>
      </c>
      <c r="L347" s="212">
        <f t="shared" si="18"/>
        <v>0</v>
      </c>
      <c r="M347" s="212">
        <f t="shared" si="18"/>
        <v>0</v>
      </c>
      <c r="N347" s="212">
        <f t="shared" si="18"/>
        <v>0</v>
      </c>
    </row>
    <row r="348" spans="1:14" s="407" customFormat="1" ht="12.75" x14ac:dyDescent="0.2">
      <c r="A348" s="152"/>
      <c r="B348" s="73"/>
      <c r="C348" s="51" t="s">
        <v>121</v>
      </c>
      <c r="D348" s="89"/>
      <c r="E348" s="89"/>
      <c r="F348" s="89"/>
      <c r="G348" s="89"/>
      <c r="H348" s="89"/>
      <c r="I348" s="89"/>
      <c r="J348" s="212"/>
      <c r="K348" s="212">
        <f t="shared" ref="K348:N367" si="19">SUMIF($C$26:$C$100,$C348,K$26:K$100)</f>
        <v>0</v>
      </c>
      <c r="L348" s="212">
        <f t="shared" si="19"/>
        <v>0</v>
      </c>
      <c r="M348" s="212">
        <f t="shared" si="19"/>
        <v>0</v>
      </c>
      <c r="N348" s="212">
        <f t="shared" si="19"/>
        <v>0</v>
      </c>
    </row>
    <row r="349" spans="1:14" s="407" customFormat="1" ht="12.75" x14ac:dyDescent="0.2">
      <c r="A349" s="152"/>
      <c r="B349" s="73"/>
      <c r="C349" s="51" t="s">
        <v>131</v>
      </c>
      <c r="D349" s="89"/>
      <c r="E349" s="89"/>
      <c r="F349" s="89"/>
      <c r="G349" s="89"/>
      <c r="H349" s="89"/>
      <c r="I349" s="89"/>
      <c r="J349" s="212"/>
      <c r="K349" s="212">
        <f t="shared" si="19"/>
        <v>0</v>
      </c>
      <c r="L349" s="212">
        <f t="shared" si="19"/>
        <v>0</v>
      </c>
      <c r="M349" s="212">
        <f t="shared" si="19"/>
        <v>0</v>
      </c>
      <c r="N349" s="212">
        <f t="shared" si="19"/>
        <v>0</v>
      </c>
    </row>
    <row r="350" spans="1:14" s="407" customFormat="1" ht="12.75" x14ac:dyDescent="0.2">
      <c r="A350" s="152"/>
      <c r="B350" s="73"/>
      <c r="C350" s="51" t="s">
        <v>967</v>
      </c>
      <c r="D350" s="89"/>
      <c r="E350" s="89"/>
      <c r="F350" s="89"/>
      <c r="G350" s="89"/>
      <c r="H350" s="89"/>
      <c r="I350" s="89"/>
      <c r="J350" s="212"/>
      <c r="K350" s="212">
        <f t="shared" si="19"/>
        <v>0</v>
      </c>
      <c r="L350" s="212">
        <f t="shared" si="19"/>
        <v>0</v>
      </c>
      <c r="M350" s="212">
        <f t="shared" si="19"/>
        <v>0</v>
      </c>
      <c r="N350" s="212">
        <f t="shared" si="19"/>
        <v>0</v>
      </c>
    </row>
    <row r="351" spans="1:14" s="407" customFormat="1" ht="12.75" x14ac:dyDescent="0.2">
      <c r="A351" s="152"/>
      <c r="B351" s="73"/>
      <c r="C351" s="51" t="s">
        <v>118</v>
      </c>
      <c r="D351" s="89"/>
      <c r="E351" s="89"/>
      <c r="F351" s="89"/>
      <c r="G351" s="89"/>
      <c r="H351" s="89"/>
      <c r="I351" s="89"/>
      <c r="J351" s="212"/>
      <c r="K351" s="212">
        <f t="shared" si="19"/>
        <v>0</v>
      </c>
      <c r="L351" s="212">
        <f t="shared" si="19"/>
        <v>0</v>
      </c>
      <c r="M351" s="212">
        <f t="shared" si="19"/>
        <v>0</v>
      </c>
      <c r="N351" s="212">
        <f t="shared" si="19"/>
        <v>0</v>
      </c>
    </row>
    <row r="352" spans="1:14" s="407" customFormat="1" ht="12.75" x14ac:dyDescent="0.2">
      <c r="A352" s="152"/>
      <c r="B352" s="73"/>
      <c r="C352" s="51" t="s">
        <v>971</v>
      </c>
      <c r="D352" s="89"/>
      <c r="E352" s="89"/>
      <c r="F352" s="89"/>
      <c r="G352" s="89"/>
      <c r="H352" s="89"/>
      <c r="I352" s="89"/>
      <c r="J352" s="212"/>
      <c r="K352" s="212">
        <f t="shared" si="19"/>
        <v>0</v>
      </c>
      <c r="L352" s="212">
        <f t="shared" si="19"/>
        <v>0</v>
      </c>
      <c r="M352" s="212">
        <f t="shared" si="19"/>
        <v>0</v>
      </c>
      <c r="N352" s="212">
        <f t="shared" si="19"/>
        <v>0</v>
      </c>
    </row>
    <row r="353" spans="1:14" s="407" customFormat="1" ht="12.75" x14ac:dyDescent="0.2">
      <c r="A353" s="152"/>
      <c r="B353" s="73"/>
      <c r="C353" s="51" t="s">
        <v>957</v>
      </c>
      <c r="D353" s="89"/>
      <c r="E353" s="89"/>
      <c r="F353" s="89"/>
      <c r="G353" s="89"/>
      <c r="H353" s="89"/>
      <c r="I353" s="89"/>
      <c r="J353" s="212"/>
      <c r="K353" s="212">
        <f t="shared" si="19"/>
        <v>0</v>
      </c>
      <c r="L353" s="212">
        <f t="shared" si="19"/>
        <v>0</v>
      </c>
      <c r="M353" s="212">
        <f t="shared" si="19"/>
        <v>0</v>
      </c>
      <c r="N353" s="212">
        <f t="shared" si="19"/>
        <v>0</v>
      </c>
    </row>
    <row r="354" spans="1:14" s="407" customFormat="1" ht="12.75" x14ac:dyDescent="0.2">
      <c r="A354" s="152"/>
      <c r="B354" s="73"/>
      <c r="C354" s="51" t="s">
        <v>97</v>
      </c>
      <c r="D354" s="89"/>
      <c r="E354" s="89"/>
      <c r="F354" s="89"/>
      <c r="G354" s="89"/>
      <c r="H354" s="89"/>
      <c r="I354" s="89"/>
      <c r="J354" s="212"/>
      <c r="K354" s="212">
        <f t="shared" si="19"/>
        <v>0</v>
      </c>
      <c r="L354" s="212">
        <f t="shared" si="19"/>
        <v>0</v>
      </c>
      <c r="M354" s="212">
        <f t="shared" si="19"/>
        <v>0</v>
      </c>
      <c r="N354" s="212">
        <f t="shared" si="19"/>
        <v>0</v>
      </c>
    </row>
    <row r="355" spans="1:14" s="407" customFormat="1" ht="12.75" x14ac:dyDescent="0.2">
      <c r="A355" s="152"/>
      <c r="B355" s="73"/>
      <c r="C355" s="51" t="s">
        <v>49</v>
      </c>
      <c r="D355" s="89"/>
      <c r="E355" s="89"/>
      <c r="F355" s="89"/>
      <c r="G355" s="89"/>
      <c r="H355" s="89"/>
      <c r="I355" s="89"/>
      <c r="J355" s="212"/>
      <c r="K355" s="212">
        <f t="shared" si="19"/>
        <v>0</v>
      </c>
      <c r="L355" s="212">
        <f t="shared" si="19"/>
        <v>0</v>
      </c>
      <c r="M355" s="212">
        <f t="shared" si="19"/>
        <v>0</v>
      </c>
      <c r="N355" s="212">
        <f t="shared" si="19"/>
        <v>0</v>
      </c>
    </row>
    <row r="356" spans="1:14" s="407" customFormat="1" ht="12.75" x14ac:dyDescent="0.2">
      <c r="A356" s="152"/>
      <c r="B356" s="73"/>
      <c r="C356" s="51" t="s">
        <v>1017</v>
      </c>
      <c r="D356" s="89"/>
      <c r="E356" s="89"/>
      <c r="F356" s="89"/>
      <c r="G356" s="89"/>
      <c r="H356" s="89"/>
      <c r="I356" s="89"/>
      <c r="J356" s="212"/>
      <c r="K356" s="212">
        <f t="shared" si="19"/>
        <v>0</v>
      </c>
      <c r="L356" s="212">
        <f t="shared" si="19"/>
        <v>0</v>
      </c>
      <c r="M356" s="212">
        <f t="shared" si="19"/>
        <v>0</v>
      </c>
      <c r="N356" s="212">
        <f t="shared" si="19"/>
        <v>0</v>
      </c>
    </row>
    <row r="357" spans="1:14" s="407" customFormat="1" ht="12.75" x14ac:dyDescent="0.2">
      <c r="A357" s="152"/>
      <c r="B357" s="73"/>
      <c r="C357" s="51" t="s">
        <v>1018</v>
      </c>
      <c r="D357" s="89"/>
      <c r="E357" s="89"/>
      <c r="F357" s="89"/>
      <c r="G357" s="89"/>
      <c r="H357" s="89"/>
      <c r="I357" s="89"/>
      <c r="J357" s="212"/>
      <c r="K357" s="212">
        <f t="shared" si="19"/>
        <v>0</v>
      </c>
      <c r="L357" s="212">
        <f t="shared" si="19"/>
        <v>0</v>
      </c>
      <c r="M357" s="212">
        <f t="shared" si="19"/>
        <v>0</v>
      </c>
      <c r="N357" s="212">
        <f t="shared" si="19"/>
        <v>0</v>
      </c>
    </row>
    <row r="358" spans="1:14" s="407" customFormat="1" ht="12.75" x14ac:dyDescent="0.2">
      <c r="A358" s="152"/>
      <c r="B358" s="73"/>
      <c r="C358" s="51" t="s">
        <v>928</v>
      </c>
      <c r="D358" s="89"/>
      <c r="E358" s="89"/>
      <c r="F358" s="89"/>
      <c r="G358" s="89"/>
      <c r="H358" s="89"/>
      <c r="I358" s="89"/>
      <c r="J358" s="212"/>
      <c r="K358" s="212">
        <f t="shared" si="19"/>
        <v>0</v>
      </c>
      <c r="L358" s="212">
        <f t="shared" si="19"/>
        <v>0</v>
      </c>
      <c r="M358" s="212">
        <f t="shared" si="19"/>
        <v>0</v>
      </c>
      <c r="N358" s="212">
        <f t="shared" si="19"/>
        <v>0</v>
      </c>
    </row>
    <row r="359" spans="1:14" s="407" customFormat="1" ht="12.75" x14ac:dyDescent="0.2">
      <c r="A359" s="152"/>
      <c r="B359" s="73"/>
      <c r="C359" s="51" t="s">
        <v>946</v>
      </c>
      <c r="D359" s="89"/>
      <c r="E359" s="89"/>
      <c r="F359" s="89"/>
      <c r="G359" s="89"/>
      <c r="H359" s="89"/>
      <c r="I359" s="89"/>
      <c r="J359" s="212"/>
      <c r="K359" s="212">
        <f t="shared" si="19"/>
        <v>0</v>
      </c>
      <c r="L359" s="212">
        <f t="shared" si="19"/>
        <v>0</v>
      </c>
      <c r="M359" s="212">
        <f t="shared" si="19"/>
        <v>0</v>
      </c>
      <c r="N359" s="212">
        <f t="shared" si="19"/>
        <v>0</v>
      </c>
    </row>
    <row r="360" spans="1:14" s="407" customFormat="1" ht="12.75" x14ac:dyDescent="0.2">
      <c r="A360" s="152"/>
      <c r="B360" s="73"/>
      <c r="C360" s="51" t="s">
        <v>947</v>
      </c>
      <c r="D360" s="89"/>
      <c r="E360" s="89"/>
      <c r="F360" s="89"/>
      <c r="G360" s="89"/>
      <c r="H360" s="89"/>
      <c r="I360" s="89"/>
      <c r="J360" s="212"/>
      <c r="K360" s="212">
        <f t="shared" si="19"/>
        <v>0</v>
      </c>
      <c r="L360" s="212">
        <f t="shared" si="19"/>
        <v>0</v>
      </c>
      <c r="M360" s="212">
        <f t="shared" si="19"/>
        <v>0</v>
      </c>
      <c r="N360" s="212">
        <f t="shared" si="19"/>
        <v>0</v>
      </c>
    </row>
    <row r="361" spans="1:14" s="407" customFormat="1" ht="12.75" x14ac:dyDescent="0.2">
      <c r="A361" s="152"/>
      <c r="B361" s="73"/>
      <c r="C361" s="51" t="s">
        <v>1020</v>
      </c>
      <c r="D361" s="89"/>
      <c r="E361" s="89"/>
      <c r="F361" s="89"/>
      <c r="G361" s="89"/>
      <c r="H361" s="89"/>
      <c r="I361" s="89"/>
      <c r="J361" s="212"/>
      <c r="K361" s="212">
        <f t="shared" si="19"/>
        <v>0</v>
      </c>
      <c r="L361" s="212">
        <f t="shared" si="19"/>
        <v>0</v>
      </c>
      <c r="M361" s="212">
        <f t="shared" si="19"/>
        <v>0</v>
      </c>
      <c r="N361" s="212">
        <f t="shared" si="19"/>
        <v>0</v>
      </c>
    </row>
    <row r="362" spans="1:14" s="407" customFormat="1" ht="12.75" x14ac:dyDescent="0.2">
      <c r="A362" s="152"/>
      <c r="B362" s="73"/>
      <c r="C362" s="51" t="s">
        <v>1021</v>
      </c>
      <c r="D362" s="89"/>
      <c r="E362" s="89"/>
      <c r="F362" s="89"/>
      <c r="G362" s="89"/>
      <c r="H362" s="89"/>
      <c r="I362" s="89"/>
      <c r="J362" s="212"/>
      <c r="K362" s="212">
        <f t="shared" si="19"/>
        <v>0</v>
      </c>
      <c r="L362" s="212">
        <f t="shared" si="19"/>
        <v>0</v>
      </c>
      <c r="M362" s="212">
        <f t="shared" si="19"/>
        <v>0</v>
      </c>
      <c r="N362" s="212">
        <f t="shared" si="19"/>
        <v>0</v>
      </c>
    </row>
    <row r="363" spans="1:14" s="407" customFormat="1" ht="12.75" x14ac:dyDescent="0.2">
      <c r="A363" s="152"/>
      <c r="B363" s="73"/>
      <c r="C363" s="51" t="s">
        <v>489</v>
      </c>
      <c r="D363" s="89"/>
      <c r="E363" s="89"/>
      <c r="F363" s="89"/>
      <c r="G363" s="89"/>
      <c r="H363" s="89"/>
      <c r="I363" s="89"/>
      <c r="J363" s="212"/>
      <c r="K363" s="212">
        <f t="shared" si="19"/>
        <v>0</v>
      </c>
      <c r="L363" s="212">
        <f t="shared" si="19"/>
        <v>0</v>
      </c>
      <c r="M363" s="212">
        <f t="shared" si="19"/>
        <v>0</v>
      </c>
      <c r="N363" s="212">
        <f t="shared" si="19"/>
        <v>0</v>
      </c>
    </row>
    <row r="364" spans="1:14" s="407" customFormat="1" ht="12.75" x14ac:dyDescent="0.2">
      <c r="A364" s="152"/>
      <c r="B364" s="73"/>
      <c r="C364" s="51" t="s">
        <v>968</v>
      </c>
      <c r="D364" s="89"/>
      <c r="E364" s="89"/>
      <c r="F364" s="89"/>
      <c r="G364" s="89"/>
      <c r="H364" s="89"/>
      <c r="I364" s="89"/>
      <c r="J364" s="212"/>
      <c r="K364" s="212">
        <f t="shared" si="19"/>
        <v>0</v>
      </c>
      <c r="L364" s="212">
        <f t="shared" si="19"/>
        <v>0</v>
      </c>
      <c r="M364" s="212">
        <f t="shared" si="19"/>
        <v>0</v>
      </c>
      <c r="N364" s="212">
        <f t="shared" si="19"/>
        <v>0</v>
      </c>
    </row>
    <row r="365" spans="1:14" s="407" customFormat="1" ht="12.75" x14ac:dyDescent="0.2">
      <c r="A365" s="152"/>
      <c r="B365" s="73"/>
      <c r="C365" s="51" t="s">
        <v>98</v>
      </c>
      <c r="D365" s="89"/>
      <c r="E365" s="89"/>
      <c r="F365" s="89"/>
      <c r="G365" s="89"/>
      <c r="H365" s="89"/>
      <c r="I365" s="89"/>
      <c r="J365" s="212"/>
      <c r="K365" s="212">
        <f t="shared" si="19"/>
        <v>0</v>
      </c>
      <c r="L365" s="212">
        <f t="shared" si="19"/>
        <v>0</v>
      </c>
      <c r="M365" s="212">
        <f t="shared" si="19"/>
        <v>0</v>
      </c>
      <c r="N365" s="212">
        <f t="shared" si="19"/>
        <v>4049</v>
      </c>
    </row>
    <row r="366" spans="1:14" s="407" customFormat="1" ht="12.75" x14ac:dyDescent="0.2">
      <c r="A366" s="152"/>
      <c r="B366" s="73"/>
      <c r="C366" s="51" t="s">
        <v>1048</v>
      </c>
      <c r="D366" s="89"/>
      <c r="E366" s="89"/>
      <c r="F366" s="89"/>
      <c r="G366" s="89"/>
      <c r="H366" s="89"/>
      <c r="I366" s="89"/>
      <c r="J366" s="212"/>
      <c r="K366" s="212">
        <f t="shared" si="19"/>
        <v>0</v>
      </c>
      <c r="L366" s="212">
        <f t="shared" si="19"/>
        <v>0</v>
      </c>
      <c r="M366" s="212">
        <f t="shared" si="19"/>
        <v>0</v>
      </c>
      <c r="N366" s="212">
        <f t="shared" si="19"/>
        <v>0</v>
      </c>
    </row>
    <row r="367" spans="1:14" s="407" customFormat="1" ht="12.75" x14ac:dyDescent="0.2">
      <c r="A367" s="152"/>
      <c r="B367" s="73"/>
      <c r="C367" s="51" t="s">
        <v>1030</v>
      </c>
      <c r="D367" s="89"/>
      <c r="E367" s="89"/>
      <c r="F367" s="89"/>
      <c r="G367" s="89"/>
      <c r="H367" s="89"/>
      <c r="I367" s="89"/>
      <c r="J367" s="212"/>
      <c r="K367" s="212">
        <f t="shared" si="19"/>
        <v>0</v>
      </c>
      <c r="L367" s="212">
        <f t="shared" si="19"/>
        <v>0</v>
      </c>
      <c r="M367" s="212">
        <f t="shared" si="19"/>
        <v>0</v>
      </c>
      <c r="N367" s="212">
        <f t="shared" si="19"/>
        <v>0</v>
      </c>
    </row>
    <row r="368" spans="1:14" s="407" customFormat="1" ht="12.75" x14ac:dyDescent="0.2">
      <c r="A368" s="152"/>
      <c r="B368" s="73"/>
      <c r="C368" s="51" t="s">
        <v>977</v>
      </c>
      <c r="D368" s="89"/>
      <c r="E368" s="89"/>
      <c r="F368" s="89"/>
      <c r="G368" s="89"/>
      <c r="H368" s="89"/>
      <c r="I368" s="89"/>
      <c r="J368" s="212"/>
      <c r="K368" s="212">
        <f t="shared" ref="K368:N387" si="20">SUMIF($C$26:$C$100,$C368,K$26:K$100)</f>
        <v>0</v>
      </c>
      <c r="L368" s="212">
        <f t="shared" si="20"/>
        <v>0</v>
      </c>
      <c r="M368" s="212">
        <f t="shared" si="20"/>
        <v>0</v>
      </c>
      <c r="N368" s="212">
        <f t="shared" si="20"/>
        <v>300</v>
      </c>
    </row>
    <row r="369" spans="1:14" s="407" customFormat="1" ht="12.75" x14ac:dyDescent="0.2">
      <c r="A369" s="152"/>
      <c r="B369" s="73"/>
      <c r="C369" s="51" t="s">
        <v>99</v>
      </c>
      <c r="D369" s="89"/>
      <c r="E369" s="89"/>
      <c r="F369" s="89"/>
      <c r="G369" s="89"/>
      <c r="H369" s="89"/>
      <c r="I369" s="89"/>
      <c r="J369" s="212"/>
      <c r="K369" s="212">
        <f t="shared" si="20"/>
        <v>0</v>
      </c>
      <c r="L369" s="212">
        <f t="shared" si="20"/>
        <v>0</v>
      </c>
      <c r="M369" s="212">
        <f t="shared" si="20"/>
        <v>0</v>
      </c>
      <c r="N369" s="212">
        <f t="shared" si="20"/>
        <v>1750</v>
      </c>
    </row>
    <row r="370" spans="1:14" s="407" customFormat="1" ht="12.75" x14ac:dyDescent="0.2">
      <c r="A370" s="152"/>
      <c r="B370" s="73"/>
      <c r="C370" s="51" t="s">
        <v>1047</v>
      </c>
      <c r="D370" s="89"/>
      <c r="E370" s="89"/>
      <c r="F370" s="89"/>
      <c r="G370" s="89"/>
      <c r="H370" s="89"/>
      <c r="I370" s="89"/>
      <c r="J370" s="212"/>
      <c r="K370" s="212">
        <f t="shared" si="20"/>
        <v>0</v>
      </c>
      <c r="L370" s="212">
        <f t="shared" si="20"/>
        <v>0</v>
      </c>
      <c r="M370" s="212">
        <f t="shared" si="20"/>
        <v>0</v>
      </c>
      <c r="N370" s="212">
        <f t="shared" si="20"/>
        <v>0</v>
      </c>
    </row>
    <row r="371" spans="1:14" s="407" customFormat="1" ht="12.75" x14ac:dyDescent="0.2">
      <c r="A371" s="152"/>
      <c r="B371" s="73"/>
      <c r="C371" s="51" t="s">
        <v>1041</v>
      </c>
      <c r="D371" s="89"/>
      <c r="E371" s="89"/>
      <c r="F371" s="89"/>
      <c r="G371" s="89"/>
      <c r="H371" s="89"/>
      <c r="I371" s="89"/>
      <c r="J371" s="212"/>
      <c r="K371" s="212">
        <f t="shared" si="20"/>
        <v>0</v>
      </c>
      <c r="L371" s="212">
        <f t="shared" si="20"/>
        <v>0</v>
      </c>
      <c r="M371" s="212">
        <f t="shared" si="20"/>
        <v>0</v>
      </c>
      <c r="N371" s="212">
        <f t="shared" si="20"/>
        <v>0</v>
      </c>
    </row>
    <row r="372" spans="1:14" s="407" customFormat="1" ht="12.75" x14ac:dyDescent="0.2">
      <c r="A372" s="152"/>
      <c r="B372" s="73"/>
      <c r="C372" s="51" t="s">
        <v>102</v>
      </c>
      <c r="D372" s="89"/>
      <c r="E372" s="89"/>
      <c r="F372" s="89"/>
      <c r="G372" s="89"/>
      <c r="H372" s="89"/>
      <c r="I372" s="89"/>
      <c r="J372" s="212"/>
      <c r="K372" s="212">
        <f t="shared" si="20"/>
        <v>0</v>
      </c>
      <c r="L372" s="212">
        <f t="shared" si="20"/>
        <v>0</v>
      </c>
      <c r="M372" s="212">
        <f t="shared" si="20"/>
        <v>0</v>
      </c>
      <c r="N372" s="212">
        <f t="shared" si="20"/>
        <v>0</v>
      </c>
    </row>
    <row r="373" spans="1:14" s="407" customFormat="1" ht="12.75" x14ac:dyDescent="0.2">
      <c r="A373" s="152"/>
      <c r="B373" s="73"/>
      <c r="C373" s="51" t="s">
        <v>124</v>
      </c>
      <c r="D373" s="89"/>
      <c r="E373" s="89"/>
      <c r="F373" s="89"/>
      <c r="G373" s="89"/>
      <c r="H373" s="89"/>
      <c r="I373" s="89"/>
      <c r="J373" s="212"/>
      <c r="K373" s="212">
        <f t="shared" si="20"/>
        <v>0</v>
      </c>
      <c r="L373" s="212">
        <f t="shared" si="20"/>
        <v>0</v>
      </c>
      <c r="M373" s="212">
        <f t="shared" si="20"/>
        <v>0</v>
      </c>
      <c r="N373" s="212">
        <f t="shared" si="20"/>
        <v>0</v>
      </c>
    </row>
    <row r="374" spans="1:14" s="407" customFormat="1" ht="12.75" x14ac:dyDescent="0.2">
      <c r="A374" s="152"/>
      <c r="B374" s="73"/>
      <c r="C374" s="51" t="s">
        <v>103</v>
      </c>
      <c r="D374" s="89"/>
      <c r="E374" s="89"/>
      <c r="F374" s="89"/>
      <c r="G374" s="89"/>
      <c r="H374" s="89"/>
      <c r="I374" s="89"/>
      <c r="J374" s="212"/>
      <c r="K374" s="212">
        <f t="shared" si="20"/>
        <v>0</v>
      </c>
      <c r="L374" s="212">
        <f t="shared" si="20"/>
        <v>0</v>
      </c>
      <c r="M374" s="212">
        <f t="shared" si="20"/>
        <v>0</v>
      </c>
      <c r="N374" s="212">
        <f t="shared" si="20"/>
        <v>4900</v>
      </c>
    </row>
    <row r="375" spans="1:14" s="407" customFormat="1" ht="12.75" x14ac:dyDescent="0.2">
      <c r="A375" s="152"/>
      <c r="B375" s="73"/>
      <c r="C375" s="51" t="s">
        <v>104</v>
      </c>
      <c r="D375" s="89"/>
      <c r="E375" s="89"/>
      <c r="F375" s="89"/>
      <c r="G375" s="89"/>
      <c r="H375" s="89"/>
      <c r="I375" s="89"/>
      <c r="J375" s="212"/>
      <c r="K375" s="212">
        <f t="shared" si="20"/>
        <v>0</v>
      </c>
      <c r="L375" s="212">
        <f t="shared" si="20"/>
        <v>0</v>
      </c>
      <c r="M375" s="212">
        <f t="shared" si="20"/>
        <v>0</v>
      </c>
      <c r="N375" s="212">
        <f t="shared" si="20"/>
        <v>0</v>
      </c>
    </row>
    <row r="376" spans="1:14" s="407" customFormat="1" ht="12.75" x14ac:dyDescent="0.2">
      <c r="A376" s="152"/>
      <c r="B376" s="73"/>
      <c r="C376" s="51" t="s">
        <v>491</v>
      </c>
      <c r="D376" s="89"/>
      <c r="E376" s="89"/>
      <c r="F376" s="89"/>
      <c r="G376" s="89"/>
      <c r="H376" s="89"/>
      <c r="I376" s="89"/>
      <c r="J376" s="212"/>
      <c r="K376" s="212">
        <f t="shared" si="20"/>
        <v>0</v>
      </c>
      <c r="L376" s="212">
        <f t="shared" si="20"/>
        <v>0</v>
      </c>
      <c r="M376" s="212">
        <f t="shared" si="20"/>
        <v>0</v>
      </c>
      <c r="N376" s="212">
        <f t="shared" si="20"/>
        <v>0</v>
      </c>
    </row>
    <row r="377" spans="1:14" s="407" customFormat="1" ht="12.75" x14ac:dyDescent="0.2">
      <c r="A377" s="152"/>
      <c r="B377" s="73"/>
      <c r="C377" s="51" t="s">
        <v>105</v>
      </c>
      <c r="D377" s="89"/>
      <c r="E377" s="89"/>
      <c r="F377" s="89"/>
      <c r="G377" s="89"/>
      <c r="H377" s="89"/>
      <c r="I377" s="89"/>
      <c r="J377" s="212"/>
      <c r="K377" s="212">
        <f t="shared" si="20"/>
        <v>0</v>
      </c>
      <c r="L377" s="212">
        <f t="shared" si="20"/>
        <v>0</v>
      </c>
      <c r="M377" s="212">
        <f t="shared" si="20"/>
        <v>0</v>
      </c>
      <c r="N377" s="212">
        <f t="shared" si="20"/>
        <v>0</v>
      </c>
    </row>
    <row r="378" spans="1:14" s="407" customFormat="1" ht="12.75" x14ac:dyDescent="0.2">
      <c r="A378" s="152"/>
      <c r="B378" s="73"/>
      <c r="C378" s="51" t="s">
        <v>129</v>
      </c>
      <c r="D378" s="89"/>
      <c r="E378" s="89"/>
      <c r="F378" s="89"/>
      <c r="G378" s="89"/>
      <c r="H378" s="89"/>
      <c r="I378" s="89"/>
      <c r="J378" s="212"/>
      <c r="K378" s="212">
        <f t="shared" si="20"/>
        <v>0</v>
      </c>
      <c r="L378" s="212">
        <f t="shared" si="20"/>
        <v>0</v>
      </c>
      <c r="M378" s="212">
        <f t="shared" si="20"/>
        <v>0</v>
      </c>
      <c r="N378" s="212">
        <f t="shared" si="20"/>
        <v>0</v>
      </c>
    </row>
    <row r="379" spans="1:14" s="407" customFormat="1" ht="12.75" x14ac:dyDescent="0.2">
      <c r="A379" s="152"/>
      <c r="B379" s="73"/>
      <c r="C379" s="51" t="s">
        <v>108</v>
      </c>
      <c r="D379" s="89"/>
      <c r="E379" s="89"/>
      <c r="F379" s="89"/>
      <c r="G379" s="89"/>
      <c r="H379" s="89"/>
      <c r="I379" s="89"/>
      <c r="J379" s="212"/>
      <c r="K379" s="212">
        <f t="shared" si="20"/>
        <v>0</v>
      </c>
      <c r="L379" s="212">
        <f t="shared" si="20"/>
        <v>0</v>
      </c>
      <c r="M379" s="212">
        <f t="shared" si="20"/>
        <v>0</v>
      </c>
      <c r="N379" s="212">
        <f t="shared" si="20"/>
        <v>2750</v>
      </c>
    </row>
    <row r="380" spans="1:14" s="407" customFormat="1" ht="12.75" x14ac:dyDescent="0.2">
      <c r="A380" s="152"/>
      <c r="B380" s="73"/>
      <c r="C380" s="51" t="s">
        <v>119</v>
      </c>
      <c r="D380" s="89"/>
      <c r="E380" s="89"/>
      <c r="F380" s="89"/>
      <c r="G380" s="89"/>
      <c r="H380" s="89"/>
      <c r="I380" s="89"/>
      <c r="J380" s="212"/>
      <c r="K380" s="212">
        <f t="shared" si="20"/>
        <v>0</v>
      </c>
      <c r="L380" s="212">
        <f t="shared" si="20"/>
        <v>0</v>
      </c>
      <c r="M380" s="212">
        <f t="shared" si="20"/>
        <v>0</v>
      </c>
      <c r="N380" s="212">
        <f t="shared" si="20"/>
        <v>0</v>
      </c>
    </row>
    <row r="381" spans="1:14" s="407" customFormat="1" ht="12.75" x14ac:dyDescent="0.2">
      <c r="A381" s="152"/>
      <c r="B381" s="73"/>
      <c r="C381" s="51" t="s">
        <v>954</v>
      </c>
      <c r="D381" s="89"/>
      <c r="E381" s="89"/>
      <c r="F381" s="89"/>
      <c r="G381" s="89"/>
      <c r="H381" s="89"/>
      <c r="I381" s="89"/>
      <c r="J381" s="212"/>
      <c r="K381" s="212">
        <f t="shared" si="20"/>
        <v>0</v>
      </c>
      <c r="L381" s="212">
        <f t="shared" si="20"/>
        <v>0</v>
      </c>
      <c r="M381" s="212">
        <f t="shared" si="20"/>
        <v>0</v>
      </c>
      <c r="N381" s="212">
        <f t="shared" si="20"/>
        <v>870</v>
      </c>
    </row>
    <row r="382" spans="1:14" s="407" customFormat="1" ht="12.75" x14ac:dyDescent="0.2">
      <c r="A382" s="152"/>
      <c r="B382" s="73"/>
      <c r="C382" s="51" t="s">
        <v>1031</v>
      </c>
      <c r="D382" s="89"/>
      <c r="E382" s="89"/>
      <c r="F382" s="89"/>
      <c r="G382" s="89"/>
      <c r="H382" s="89"/>
      <c r="I382" s="89"/>
      <c r="J382" s="212"/>
      <c r="K382" s="212">
        <f t="shared" si="20"/>
        <v>0</v>
      </c>
      <c r="L382" s="212">
        <f t="shared" si="20"/>
        <v>0</v>
      </c>
      <c r="M382" s="212">
        <f t="shared" si="20"/>
        <v>0</v>
      </c>
      <c r="N382" s="212">
        <f t="shared" si="20"/>
        <v>0</v>
      </c>
    </row>
    <row r="383" spans="1:14" s="407" customFormat="1" ht="12.75" x14ac:dyDescent="0.2">
      <c r="A383" s="152"/>
      <c r="B383" s="73"/>
      <c r="C383" s="51" t="s">
        <v>1009</v>
      </c>
      <c r="D383" s="89"/>
      <c r="E383" s="89"/>
      <c r="F383" s="89"/>
      <c r="G383" s="89"/>
      <c r="H383" s="89"/>
      <c r="I383" s="89"/>
      <c r="J383" s="212"/>
      <c r="K383" s="212">
        <f t="shared" si="20"/>
        <v>0</v>
      </c>
      <c r="L383" s="212">
        <f t="shared" si="20"/>
        <v>0</v>
      </c>
      <c r="M383" s="212">
        <f t="shared" si="20"/>
        <v>0</v>
      </c>
      <c r="N383" s="212">
        <f t="shared" si="20"/>
        <v>0</v>
      </c>
    </row>
    <row r="384" spans="1:14" s="407" customFormat="1" ht="12.75" x14ac:dyDescent="0.2">
      <c r="A384" s="152"/>
      <c r="B384" s="73"/>
      <c r="C384" s="51" t="s">
        <v>107</v>
      </c>
      <c r="D384" s="89"/>
      <c r="E384" s="89"/>
      <c r="F384" s="89"/>
      <c r="G384" s="89"/>
      <c r="H384" s="89"/>
      <c r="I384" s="89"/>
      <c r="J384" s="212"/>
      <c r="K384" s="212">
        <f t="shared" si="20"/>
        <v>0</v>
      </c>
      <c r="L384" s="212">
        <f t="shared" si="20"/>
        <v>0</v>
      </c>
      <c r="M384" s="212">
        <f t="shared" si="20"/>
        <v>0</v>
      </c>
      <c r="N384" s="212">
        <f t="shared" si="20"/>
        <v>0</v>
      </c>
    </row>
    <row r="385" spans="1:14" s="407" customFormat="1" ht="12.75" x14ac:dyDescent="0.2">
      <c r="A385" s="152"/>
      <c r="B385" s="73"/>
      <c r="C385" s="51" t="s">
        <v>1026</v>
      </c>
      <c r="D385" s="89"/>
      <c r="E385" s="89"/>
      <c r="F385" s="89"/>
      <c r="G385" s="89"/>
      <c r="H385" s="89"/>
      <c r="I385" s="89"/>
      <c r="J385" s="212"/>
      <c r="K385" s="212">
        <f t="shared" si="20"/>
        <v>0</v>
      </c>
      <c r="L385" s="212">
        <f t="shared" si="20"/>
        <v>0</v>
      </c>
      <c r="M385" s="212">
        <f t="shared" si="20"/>
        <v>0</v>
      </c>
      <c r="N385" s="212">
        <f t="shared" si="20"/>
        <v>0</v>
      </c>
    </row>
    <row r="386" spans="1:14" s="407" customFormat="1" ht="12.75" x14ac:dyDescent="0.2">
      <c r="A386" s="152"/>
      <c r="B386" s="73"/>
      <c r="C386" s="51" t="s">
        <v>1027</v>
      </c>
      <c r="D386" s="89"/>
      <c r="E386" s="89"/>
      <c r="F386" s="89"/>
      <c r="G386" s="89"/>
      <c r="H386" s="89"/>
      <c r="I386" s="89"/>
      <c r="J386" s="212"/>
      <c r="K386" s="212">
        <f t="shared" si="20"/>
        <v>0</v>
      </c>
      <c r="L386" s="212">
        <f t="shared" si="20"/>
        <v>0</v>
      </c>
      <c r="M386" s="212">
        <f t="shared" si="20"/>
        <v>0</v>
      </c>
      <c r="N386" s="212">
        <f t="shared" si="20"/>
        <v>0</v>
      </c>
    </row>
    <row r="387" spans="1:14" s="407" customFormat="1" ht="12.75" x14ac:dyDescent="0.2">
      <c r="A387" s="152"/>
      <c r="B387" s="73"/>
      <c r="C387" s="51" t="s">
        <v>955</v>
      </c>
      <c r="D387" s="89"/>
      <c r="E387" s="89"/>
      <c r="F387" s="89"/>
      <c r="G387" s="89"/>
      <c r="H387" s="89"/>
      <c r="I387" s="89"/>
      <c r="J387" s="212"/>
      <c r="K387" s="212">
        <f t="shared" si="20"/>
        <v>0</v>
      </c>
      <c r="L387" s="212">
        <f t="shared" si="20"/>
        <v>0</v>
      </c>
      <c r="M387" s="212">
        <f t="shared" si="20"/>
        <v>0</v>
      </c>
      <c r="N387" s="212">
        <f t="shared" si="20"/>
        <v>0</v>
      </c>
    </row>
    <row r="388" spans="1:14" s="407" customFormat="1" ht="12.75" x14ac:dyDescent="0.2">
      <c r="A388" s="152"/>
      <c r="B388" s="73"/>
      <c r="C388" s="51" t="s">
        <v>958</v>
      </c>
      <c r="D388" s="89"/>
      <c r="E388" s="89"/>
      <c r="F388" s="89"/>
      <c r="G388" s="89"/>
      <c r="H388" s="89"/>
      <c r="I388" s="89"/>
      <c r="J388" s="212"/>
      <c r="K388" s="212">
        <f t="shared" ref="K388:N398" si="21">SUMIF($C$26:$C$100,$C388,K$26:K$100)</f>
        <v>0</v>
      </c>
      <c r="L388" s="212">
        <f t="shared" si="21"/>
        <v>0</v>
      </c>
      <c r="M388" s="212">
        <f t="shared" si="21"/>
        <v>0</v>
      </c>
      <c r="N388" s="212">
        <f t="shared" si="21"/>
        <v>0</v>
      </c>
    </row>
    <row r="389" spans="1:14" s="407" customFormat="1" ht="12.75" x14ac:dyDescent="0.2">
      <c r="A389" s="152"/>
      <c r="B389" s="73"/>
      <c r="C389" s="51" t="s">
        <v>1032</v>
      </c>
      <c r="D389" s="89"/>
      <c r="E389" s="89"/>
      <c r="F389" s="89"/>
      <c r="G389" s="89"/>
      <c r="H389" s="89"/>
      <c r="I389" s="89"/>
      <c r="J389" s="212"/>
      <c r="K389" s="212">
        <f t="shared" si="21"/>
        <v>0</v>
      </c>
      <c r="L389" s="212">
        <f t="shared" si="21"/>
        <v>0</v>
      </c>
      <c r="M389" s="212">
        <f t="shared" si="21"/>
        <v>0</v>
      </c>
      <c r="N389" s="212">
        <f t="shared" si="21"/>
        <v>0</v>
      </c>
    </row>
    <row r="390" spans="1:14" s="407" customFormat="1" ht="12.75" x14ac:dyDescent="0.2">
      <c r="A390" s="152"/>
      <c r="B390" s="73"/>
      <c r="C390" s="51" t="s">
        <v>109</v>
      </c>
      <c r="D390" s="89"/>
      <c r="E390" s="89"/>
      <c r="F390" s="89"/>
      <c r="G390" s="89"/>
      <c r="H390" s="89"/>
      <c r="I390" s="89"/>
      <c r="J390" s="212"/>
      <c r="K390" s="212">
        <f t="shared" si="21"/>
        <v>0</v>
      </c>
      <c r="L390" s="212">
        <f t="shared" si="21"/>
        <v>0</v>
      </c>
      <c r="M390" s="212">
        <f t="shared" si="21"/>
        <v>0</v>
      </c>
      <c r="N390" s="212">
        <f t="shared" si="21"/>
        <v>1170</v>
      </c>
    </row>
    <row r="391" spans="1:14" s="407" customFormat="1" ht="12.75" x14ac:dyDescent="0.2">
      <c r="A391" s="152"/>
      <c r="B391" s="73"/>
      <c r="C391" s="51" t="s">
        <v>966</v>
      </c>
      <c r="D391" s="89"/>
      <c r="E391" s="89"/>
      <c r="F391" s="89"/>
      <c r="G391" s="89"/>
      <c r="H391" s="89"/>
      <c r="I391" s="89"/>
      <c r="J391" s="212"/>
      <c r="K391" s="212">
        <f t="shared" si="21"/>
        <v>0</v>
      </c>
      <c r="L391" s="212">
        <f t="shared" si="21"/>
        <v>0</v>
      </c>
      <c r="M391" s="212">
        <f t="shared" si="21"/>
        <v>0</v>
      </c>
      <c r="N391" s="212">
        <f t="shared" si="21"/>
        <v>0</v>
      </c>
    </row>
    <row r="392" spans="1:14" s="407" customFormat="1" ht="12.75" x14ac:dyDescent="0.2">
      <c r="A392" s="152"/>
      <c r="B392" s="73"/>
      <c r="C392" s="51" t="s">
        <v>981</v>
      </c>
      <c r="D392" s="89"/>
      <c r="E392" s="89"/>
      <c r="F392" s="89"/>
      <c r="G392" s="89"/>
      <c r="H392" s="89"/>
      <c r="I392" s="89"/>
      <c r="J392" s="212"/>
      <c r="K392" s="212">
        <f t="shared" si="21"/>
        <v>0</v>
      </c>
      <c r="L392" s="212">
        <f t="shared" si="21"/>
        <v>0</v>
      </c>
      <c r="M392" s="212">
        <f t="shared" si="21"/>
        <v>0</v>
      </c>
      <c r="N392" s="212">
        <f t="shared" si="21"/>
        <v>0</v>
      </c>
    </row>
    <row r="393" spans="1:14" s="407" customFormat="1" ht="12.75" x14ac:dyDescent="0.2">
      <c r="A393" s="152"/>
      <c r="B393" s="73"/>
      <c r="C393" s="51" t="s">
        <v>963</v>
      </c>
      <c r="D393" s="89"/>
      <c r="E393" s="89"/>
      <c r="F393" s="89"/>
      <c r="G393" s="89"/>
      <c r="H393" s="89"/>
      <c r="I393" s="89"/>
      <c r="J393" s="212"/>
      <c r="K393" s="212">
        <f t="shared" si="21"/>
        <v>0</v>
      </c>
      <c r="L393" s="212">
        <f t="shared" si="21"/>
        <v>0</v>
      </c>
      <c r="M393" s="212">
        <f t="shared" si="21"/>
        <v>0</v>
      </c>
      <c r="N393" s="212">
        <f t="shared" si="21"/>
        <v>0</v>
      </c>
    </row>
    <row r="394" spans="1:14" s="407" customFormat="1" ht="12.75" x14ac:dyDescent="0.2">
      <c r="A394" s="152"/>
      <c r="B394" s="73"/>
      <c r="C394" s="51" t="s">
        <v>120</v>
      </c>
      <c r="D394" s="89"/>
      <c r="E394" s="89"/>
      <c r="F394" s="89"/>
      <c r="G394" s="89"/>
      <c r="H394" s="89"/>
      <c r="I394" s="89"/>
      <c r="J394" s="212"/>
      <c r="K394" s="212">
        <f t="shared" si="21"/>
        <v>0</v>
      </c>
      <c r="L394" s="212">
        <f t="shared" si="21"/>
        <v>0</v>
      </c>
      <c r="M394" s="212">
        <f t="shared" si="21"/>
        <v>0</v>
      </c>
      <c r="N394" s="212">
        <f t="shared" si="21"/>
        <v>167</v>
      </c>
    </row>
    <row r="395" spans="1:14" s="407" customFormat="1" ht="12.75" x14ac:dyDescent="0.2">
      <c r="A395" s="152"/>
      <c r="B395" s="73"/>
      <c r="C395" s="51" t="s">
        <v>989</v>
      </c>
      <c r="D395" s="89"/>
      <c r="E395" s="89"/>
      <c r="F395" s="89"/>
      <c r="G395" s="89"/>
      <c r="H395" s="89"/>
      <c r="I395" s="89"/>
      <c r="J395" s="212"/>
      <c r="K395" s="212">
        <f t="shared" si="21"/>
        <v>0</v>
      </c>
      <c r="L395" s="212">
        <f t="shared" si="21"/>
        <v>0</v>
      </c>
      <c r="M395" s="212">
        <f t="shared" si="21"/>
        <v>0</v>
      </c>
      <c r="N395" s="212">
        <f t="shared" si="21"/>
        <v>0</v>
      </c>
    </row>
    <row r="396" spans="1:14" s="407" customFormat="1" ht="12.75" x14ac:dyDescent="0.2">
      <c r="A396" s="152"/>
      <c r="B396" s="73"/>
      <c r="C396" s="51"/>
      <c r="D396" s="89"/>
      <c r="E396" s="89"/>
      <c r="F396" s="89"/>
      <c r="G396" s="89"/>
      <c r="H396" s="89"/>
      <c r="I396" s="89"/>
      <c r="J396" s="212"/>
      <c r="K396" s="212">
        <f t="shared" si="21"/>
        <v>0</v>
      </c>
      <c r="L396" s="212">
        <f t="shared" si="21"/>
        <v>0</v>
      </c>
      <c r="M396" s="212">
        <f t="shared" si="21"/>
        <v>0</v>
      </c>
      <c r="N396" s="212">
        <f t="shared" si="21"/>
        <v>0</v>
      </c>
    </row>
    <row r="397" spans="1:14" s="407" customFormat="1" ht="12.75" x14ac:dyDescent="0.2">
      <c r="A397" s="152"/>
      <c r="B397" s="73"/>
      <c r="C397" s="51"/>
      <c r="D397" s="89"/>
      <c r="E397" s="89"/>
      <c r="F397" s="89"/>
      <c r="G397" s="89"/>
      <c r="H397" s="89"/>
      <c r="I397" s="89"/>
      <c r="J397" s="212"/>
      <c r="K397" s="212">
        <f t="shared" si="21"/>
        <v>0</v>
      </c>
      <c r="L397" s="212">
        <f t="shared" si="21"/>
        <v>0</v>
      </c>
      <c r="M397" s="212">
        <f t="shared" si="21"/>
        <v>0</v>
      </c>
      <c r="N397" s="212">
        <f t="shared" si="21"/>
        <v>0</v>
      </c>
    </row>
    <row r="398" spans="1:14" ht="12.75" x14ac:dyDescent="0.2">
      <c r="A398" s="152"/>
      <c r="B398" s="73"/>
      <c r="C398" s="51"/>
      <c r="D398" s="89"/>
      <c r="E398" s="89"/>
      <c r="F398" s="89"/>
      <c r="G398" s="89"/>
      <c r="H398" s="89"/>
      <c r="I398" s="89"/>
      <c r="J398" s="212"/>
      <c r="K398" s="212">
        <f t="shared" si="21"/>
        <v>0</v>
      </c>
      <c r="L398" s="212">
        <f t="shared" si="21"/>
        <v>0</v>
      </c>
      <c r="M398" s="212">
        <f t="shared" si="21"/>
        <v>0</v>
      </c>
      <c r="N398" s="212">
        <f t="shared" si="21"/>
        <v>0</v>
      </c>
    </row>
    <row r="399" spans="1:14" ht="13.5" thickBot="1" x14ac:dyDescent="0.25">
      <c r="A399" s="204"/>
      <c r="B399" s="145"/>
      <c r="C399" s="242"/>
      <c r="D399" s="147"/>
      <c r="E399" s="147"/>
      <c r="F399" s="147"/>
      <c r="G399" s="147"/>
      <c r="H399" s="147"/>
      <c r="I399" s="147"/>
      <c r="J399" s="206"/>
      <c r="K399" s="206"/>
      <c r="L399" s="206"/>
      <c r="M399" s="206"/>
      <c r="N399" s="206"/>
    </row>
    <row r="400" spans="1:14" ht="13.5" thickBot="1" x14ac:dyDescent="0.25">
      <c r="A400" s="247"/>
      <c r="B400" s="248"/>
      <c r="C400" s="248"/>
      <c r="D400" s="249"/>
      <c r="E400" s="249"/>
      <c r="F400" s="249"/>
      <c r="G400" s="249"/>
      <c r="H400" s="249"/>
      <c r="I400" s="249"/>
      <c r="J400" s="250"/>
      <c r="K400" s="250">
        <f>K101-SUM(K208:K398)</f>
        <v>0</v>
      </c>
      <c r="L400" s="250">
        <f>L101-SUM(L208:L398)</f>
        <v>0</v>
      </c>
      <c r="M400" s="250">
        <f>M101-SUM(M208:M398)</f>
        <v>0</v>
      </c>
      <c r="N400" s="250">
        <f>N101-SUM(N208:N398)</f>
        <v>0</v>
      </c>
    </row>
    <row r="1509" spans="2:2" x14ac:dyDescent="0.25">
      <c r="B1509" s="684" t="s">
        <v>1588</v>
      </c>
    </row>
  </sheetData>
  <autoFilter ref="A25:N181"/>
  <sortState ref="B29:N89">
    <sortCondition ref="B29:B89"/>
  </sortState>
  <dataValidations count="13">
    <dataValidation allowBlank="1" showInputMessage="1" showErrorMessage="1" promptTitle="Contract Start Date" prompt="Enter the Contract Start Date." sqref="G101"/>
    <dataValidation allowBlank="1" showInputMessage="1" showErrorMessage="1" promptTitle="Contract End Date" prompt="Enter the Contract End Date" sqref="H101"/>
    <dataValidation allowBlank="1" showInputMessage="1" showErrorMessage="1" promptTitle="Old Contractor" prompt="Enter the old contractor's name if applicable." sqref="D101"/>
    <dataValidation errorStyle="warning" allowBlank="1" showInputMessage="1" showErrorMessage="1" errorTitle="Vendor/Supplier" error="Enter the vendor/supplier." promptTitle="Vendor/Supplier" prompt="Enter the supplier's name if applicable." sqref="F92:F100 F26:F90"/>
    <dataValidation type="list" allowBlank="1" showInputMessage="1" showErrorMessage="1" errorTitle="Error" error="You must choose Yes or No." promptTitle="Existing Contract" prompt="Yes or No" sqref="I101">
      <formula1>Existing</formula1>
    </dataValidation>
    <dataValidation allowBlank="1" showInputMessage="1" showErrorMessage="1" promptTitle="Description/Purpose" prompt="Enter a short description and purpose for the service." sqref="D91"/>
    <dataValidation allowBlank="1" showInputMessage="1" showErrorMessage="1" promptTitle="Contractor/Provider" prompt="Enter the old contractor's name if applicable." sqref="F91"/>
    <dataValidation type="list" allowBlank="1" showInputMessage="1" showErrorMessage="1" errorTitle="Error" error="You must choose a budget unit from the list." promptTitle="Budget Unit" prompt="Choose the appropriate budget unit." sqref="B26:B97">
      <formula1>Budgets</formula1>
    </dataValidation>
    <dataValidation type="list" allowBlank="1" showInputMessage="1" showErrorMessage="1" errorTitle="Error" error="You must choose a funding source from the list." promptTitle="Funding Source" prompt="Choose the appropriate funding source." sqref="C26:C97">
      <formula1>Funding</formula1>
    </dataValidation>
    <dataValidation type="list" errorStyle="warning" allowBlank="1" showInputMessage="1" showErrorMessage="1" errorTitle="Warning" error="Choose the appropriate option." promptTitle="Existing/State Contract" prompt="Select the most appropriate answer. If there is an existing LHC contract, enter the contract number (see Sharepoint)." sqref="E26:E100">
      <formula1>ContractStatus</formula1>
    </dataValidation>
    <dataValidation type="list" allowBlank="1" showInputMessage="1" showErrorMessage="1" errorTitle="Error" error="You must choose from the list." promptTitle="Type of Supply/Services" prompt="Chose the type of supply/service from the list." sqref="J26:J100">
      <formula1>SuppliesType</formula1>
    </dataValidation>
    <dataValidation type="date" errorStyle="warning" allowBlank="1" showInputMessage="1" showErrorMessage="1" errorTitle="Start Date" error="Enter the start date." promptTitle="Start Date" prompt="Enter the Start Date." sqref="H26:H100">
      <formula1>42552</formula1>
      <formula2>42916</formula2>
    </dataValidation>
    <dataValidation type="date" errorStyle="warning" allowBlank="1" showInputMessage="1" showErrorMessage="1" errorTitle="End Date" error="Enter the end date." promptTitle="End Date" prompt="Enter the End Date" sqref="I26:I100">
      <formula1>42552</formula1>
      <formula2>42916</formula2>
    </dataValidation>
  </dataValidations>
  <pageMargins left="0.45" right="0.45" top="0.75" bottom="0.75" header="0.3" footer="0.3"/>
  <pageSetup scale="65"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3"/>
  <sheetViews>
    <sheetView zoomScale="75" zoomScaleNormal="75" workbookViewId="0">
      <selection activeCell="L39" sqref="L39"/>
    </sheetView>
  </sheetViews>
  <sheetFormatPr defaultColWidth="11.5703125" defaultRowHeight="15" x14ac:dyDescent="0.25"/>
  <cols>
    <col min="1" max="1" width="17.7109375" style="4" customWidth="1"/>
    <col min="2" max="3" width="11.5703125" style="3"/>
    <col min="4" max="4" width="39.5703125" style="4" customWidth="1"/>
    <col min="5" max="5" width="17.7109375" style="4" customWidth="1"/>
    <col min="6" max="6" width="35.7109375" style="4" customWidth="1"/>
    <col min="7" max="16384" width="11.5703125" style="4"/>
  </cols>
  <sheetData>
    <row r="1" spans="1:14" ht="18.75" x14ac:dyDescent="0.3">
      <c r="B1" s="14" t="s">
        <v>280</v>
      </c>
      <c r="D1" s="3"/>
      <c r="E1" s="3"/>
      <c r="F1" s="3"/>
      <c r="G1" s="3"/>
      <c r="H1" s="3"/>
      <c r="I1" s="3"/>
      <c r="J1" s="3"/>
      <c r="K1" s="3"/>
      <c r="L1" s="3"/>
      <c r="M1" s="3"/>
      <c r="N1" s="3"/>
    </row>
    <row r="2" spans="1:14" ht="19.5" thickBot="1" x14ac:dyDescent="0.35">
      <c r="B2" s="14"/>
      <c r="D2" s="3"/>
      <c r="E2" s="3"/>
      <c r="F2" s="3"/>
      <c r="G2" s="3"/>
      <c r="H2" s="3"/>
      <c r="I2" s="3"/>
      <c r="J2" s="3"/>
      <c r="K2" s="3"/>
      <c r="L2" s="3"/>
      <c r="M2" s="3"/>
      <c r="N2" s="3"/>
    </row>
    <row r="3" spans="1:14" customFormat="1" ht="18.75" x14ac:dyDescent="0.3">
      <c r="A3" s="4"/>
      <c r="B3" s="61" t="str">
        <f>HR!C3</f>
        <v>Total FY 2026 Request</v>
      </c>
      <c r="C3" s="53"/>
      <c r="D3" s="54"/>
      <c r="E3" s="55">
        <f>SUM(E4:E23)</f>
        <v>0</v>
      </c>
      <c r="F3" s="597">
        <f>E3-N59</f>
        <v>0</v>
      </c>
    </row>
    <row r="4" spans="1:14" customFormat="1" ht="15" customHeight="1" x14ac:dyDescent="0.25">
      <c r="A4" s="4"/>
      <c r="B4" s="388"/>
      <c r="C4" s="389" t="s">
        <v>19</v>
      </c>
      <c r="D4" s="15"/>
      <c r="E4" s="56">
        <f>N60+N80+N100+N120+N140+N160+N180</f>
        <v>0</v>
      </c>
      <c r="F4" s="4"/>
    </row>
    <row r="5" spans="1:14" customFormat="1" ht="15" customHeight="1" x14ac:dyDescent="0.25">
      <c r="A5" s="4"/>
      <c r="B5" s="388"/>
      <c r="C5" s="389" t="s">
        <v>22</v>
      </c>
      <c r="D5" s="15"/>
      <c r="E5" s="56">
        <f>N62+N82+N102+N122+N142+N162+N182</f>
        <v>0</v>
      </c>
      <c r="F5" s="4"/>
    </row>
    <row r="6" spans="1:14" customFormat="1" ht="15" customHeight="1" x14ac:dyDescent="0.25">
      <c r="A6" s="4"/>
      <c r="B6" s="388"/>
      <c r="C6" s="389" t="s">
        <v>1182</v>
      </c>
      <c r="D6" s="15"/>
      <c r="E6" s="56">
        <f>N68+N88+N108+N128+N148+N168+N188</f>
        <v>0</v>
      </c>
      <c r="F6" s="4"/>
    </row>
    <row r="7" spans="1:14" customFormat="1" ht="15" customHeight="1" x14ac:dyDescent="0.25">
      <c r="A7" s="4"/>
      <c r="B7" s="388"/>
      <c r="C7" s="389" t="s">
        <v>272</v>
      </c>
      <c r="D7" s="15"/>
      <c r="E7" s="56">
        <f>N71+N91+N111+N131+N151+N171+N191</f>
        <v>0</v>
      </c>
      <c r="F7" s="4"/>
    </row>
    <row r="8" spans="1:14" customFormat="1" ht="15" customHeight="1" x14ac:dyDescent="0.25">
      <c r="A8" s="4"/>
      <c r="B8" s="388"/>
      <c r="C8" s="389" t="s">
        <v>810</v>
      </c>
      <c r="D8" s="15"/>
      <c r="E8" s="56">
        <f>N74+N94+N114+N134+N154+N174+N194</f>
        <v>0</v>
      </c>
      <c r="F8" s="4"/>
    </row>
    <row r="9" spans="1:14" customFormat="1" ht="15" customHeight="1" x14ac:dyDescent="0.25">
      <c r="A9" s="4"/>
      <c r="B9" s="388"/>
      <c r="C9" s="389" t="s">
        <v>23</v>
      </c>
      <c r="D9" s="15"/>
      <c r="E9" s="56">
        <f>N76+N96+N116+N136+N156+N176+N196</f>
        <v>0</v>
      </c>
      <c r="F9" s="4"/>
    </row>
    <row r="10" spans="1:14" customFormat="1" ht="15" customHeight="1" x14ac:dyDescent="0.25">
      <c r="A10" s="4"/>
      <c r="B10" s="388"/>
      <c r="C10" s="389" t="s">
        <v>920</v>
      </c>
      <c r="D10" s="15"/>
      <c r="E10" s="56">
        <f>N79+N99+N119+N139+N159+N179+N199</f>
        <v>0</v>
      </c>
      <c r="F10" s="4"/>
    </row>
    <row r="11" spans="1:14" customFormat="1" ht="15" customHeight="1" x14ac:dyDescent="0.25">
      <c r="A11" s="4"/>
      <c r="B11" s="388"/>
      <c r="C11" s="389" t="s">
        <v>24</v>
      </c>
      <c r="D11" s="15"/>
      <c r="E11" s="56">
        <f>N63+N83+N103+N123+N143+N163+N183</f>
        <v>0</v>
      </c>
      <c r="F11" s="4"/>
    </row>
    <row r="12" spans="1:14" customFormat="1" ht="15" customHeight="1" x14ac:dyDescent="0.25">
      <c r="A12" s="4"/>
      <c r="B12" s="388"/>
      <c r="C12" s="389" t="s">
        <v>260</v>
      </c>
      <c r="D12" s="15"/>
      <c r="E12" s="56">
        <f>N64+N84+N104+N124+N144+N164+N184</f>
        <v>0</v>
      </c>
      <c r="F12" s="4"/>
    </row>
    <row r="13" spans="1:14" s="236" customFormat="1" ht="15" customHeight="1" x14ac:dyDescent="0.25">
      <c r="A13" s="407"/>
      <c r="B13" s="388"/>
      <c r="C13" s="389" t="s">
        <v>508</v>
      </c>
      <c r="D13" s="15"/>
      <c r="E13" s="56">
        <f>N67+N87+N107+N127+N147+N167+N187</f>
        <v>0</v>
      </c>
      <c r="F13" s="407"/>
    </row>
    <row r="14" spans="1:14" customFormat="1" ht="15" customHeight="1" x14ac:dyDescent="0.25">
      <c r="A14" s="4"/>
      <c r="B14" s="388"/>
      <c r="C14" s="389" t="s">
        <v>258</v>
      </c>
      <c r="D14" s="15"/>
      <c r="E14" s="56">
        <f>N61+N81+N101+N121+N141+N161+N181</f>
        <v>0</v>
      </c>
      <c r="F14" s="4"/>
    </row>
    <row r="15" spans="1:14" customFormat="1" ht="15" customHeight="1" x14ac:dyDescent="0.25">
      <c r="A15" s="4"/>
      <c r="B15" s="388"/>
      <c r="C15" s="389" t="s">
        <v>20</v>
      </c>
      <c r="D15" s="15"/>
      <c r="E15" s="56">
        <f>N69+N89+N109+N129+N149+N169+N189</f>
        <v>0</v>
      </c>
      <c r="F15" s="4"/>
    </row>
    <row r="16" spans="1:14" customFormat="1" ht="15" customHeight="1" x14ac:dyDescent="0.25">
      <c r="A16" s="4"/>
      <c r="B16" s="388"/>
      <c r="C16" s="389" t="s">
        <v>21</v>
      </c>
      <c r="D16" s="15"/>
      <c r="E16" s="56">
        <f>N72+N92+N112+N132+N152+N172+N192</f>
        <v>0</v>
      </c>
      <c r="F16" s="4"/>
    </row>
    <row r="17" spans="1:17" customFormat="1" ht="15" customHeight="1" x14ac:dyDescent="0.25">
      <c r="A17" s="4"/>
      <c r="B17" s="388"/>
      <c r="C17" s="389" t="s">
        <v>394</v>
      </c>
      <c r="D17" s="15"/>
      <c r="E17" s="56">
        <f>N65+N85+N105+N125+N145+N165+N185</f>
        <v>0</v>
      </c>
      <c r="F17" s="4"/>
    </row>
    <row r="18" spans="1:17" customFormat="1" ht="15" customHeight="1" x14ac:dyDescent="0.25">
      <c r="A18" s="4"/>
      <c r="B18" s="388"/>
      <c r="C18" s="389" t="s">
        <v>350</v>
      </c>
      <c r="D18" s="15"/>
      <c r="E18" s="56">
        <f>N66+N86+N106+N126+N146+N166+N186</f>
        <v>0</v>
      </c>
      <c r="F18" s="4"/>
    </row>
    <row r="19" spans="1:17" s="236" customFormat="1" ht="15" customHeight="1" x14ac:dyDescent="0.25">
      <c r="A19" s="407"/>
      <c r="B19" s="388"/>
      <c r="C19" s="389" t="s">
        <v>510</v>
      </c>
      <c r="D19" s="15"/>
      <c r="E19" s="56">
        <f>N70+N90+N110+N130+N150+N170+N190</f>
        <v>0</v>
      </c>
      <c r="F19" s="407"/>
    </row>
    <row r="20" spans="1:17" customFormat="1" ht="15" customHeight="1" x14ac:dyDescent="0.25">
      <c r="A20" s="4"/>
      <c r="B20" s="388"/>
      <c r="C20" s="389" t="s">
        <v>1471</v>
      </c>
      <c r="D20" s="15"/>
      <c r="E20" s="56">
        <f>N73+N93+N113+N133+N153+N173+N193</f>
        <v>0</v>
      </c>
      <c r="F20" s="4"/>
    </row>
    <row r="21" spans="1:17" customFormat="1" ht="15" customHeight="1" x14ac:dyDescent="0.25">
      <c r="A21" s="4"/>
      <c r="B21" s="388"/>
      <c r="C21" s="389" t="s">
        <v>811</v>
      </c>
      <c r="D21" s="15"/>
      <c r="E21" s="56">
        <f>N75+N95+N115+N135+N155+N175+N195</f>
        <v>0</v>
      </c>
      <c r="F21" s="4"/>
    </row>
    <row r="22" spans="1:17" customFormat="1" ht="15" customHeight="1" x14ac:dyDescent="0.25">
      <c r="A22" s="4"/>
      <c r="B22" s="388"/>
      <c r="C22" s="389" t="s">
        <v>1453</v>
      </c>
      <c r="D22" s="15"/>
      <c r="E22" s="56">
        <f>N77+N97+N117+N137+N157+N177+N197</f>
        <v>0</v>
      </c>
      <c r="F22" s="4"/>
    </row>
    <row r="23" spans="1:17" customFormat="1" ht="15" customHeight="1" thickBot="1" x14ac:dyDescent="0.3">
      <c r="A23" s="4"/>
      <c r="B23" s="390"/>
      <c r="C23" s="391" t="s">
        <v>1472</v>
      </c>
      <c r="D23" s="59"/>
      <c r="E23" s="231">
        <f>N78+N98+N118+N138+N158+N178+N198</f>
        <v>0</v>
      </c>
      <c r="F23" s="4"/>
    </row>
    <row r="24" spans="1:17" ht="19.5" thickBot="1" x14ac:dyDescent="0.35">
      <c r="A24" s="14"/>
      <c r="D24" s="3"/>
      <c r="E24" s="3"/>
      <c r="F24" s="3"/>
      <c r="G24" s="3"/>
      <c r="H24" s="3"/>
      <c r="I24" s="3"/>
      <c r="J24" s="3"/>
      <c r="K24" s="3"/>
      <c r="L24" s="3"/>
      <c r="M24" s="3"/>
      <c r="N24" s="3"/>
      <c r="O24" s="3"/>
      <c r="P24" s="3"/>
      <c r="Q24" s="3"/>
    </row>
    <row r="25" spans="1:17" ht="45.75" thickTop="1" x14ac:dyDescent="0.25">
      <c r="A25" s="5" t="s">
        <v>219</v>
      </c>
      <c r="B25" s="8" t="s">
        <v>189</v>
      </c>
      <c r="C25" s="8" t="s">
        <v>13</v>
      </c>
      <c r="D25" s="6" t="s">
        <v>6</v>
      </c>
      <c r="E25" s="6" t="s">
        <v>250</v>
      </c>
      <c r="F25" s="6" t="s">
        <v>255</v>
      </c>
      <c r="G25" s="6" t="s">
        <v>8</v>
      </c>
      <c r="H25" s="6" t="s">
        <v>251</v>
      </c>
      <c r="I25" s="6" t="s">
        <v>252</v>
      </c>
      <c r="J25" s="6" t="s">
        <v>405</v>
      </c>
      <c r="K25" s="7" t="s">
        <v>253</v>
      </c>
      <c r="L25" s="6" t="s">
        <v>12</v>
      </c>
      <c r="M25" s="6" t="s">
        <v>806</v>
      </c>
      <c r="N25" s="8" t="s">
        <v>807</v>
      </c>
      <c r="P25" s="246"/>
    </row>
    <row r="26" spans="1:17" x14ac:dyDescent="0.25">
      <c r="A26" s="233" t="e">
        <f>VLOOKUP(J26,CapitalCodes,2)</f>
        <v>#N/A</v>
      </c>
      <c r="B26" s="288" t="s">
        <v>350</v>
      </c>
      <c r="C26" s="288" t="s">
        <v>1019</v>
      </c>
      <c r="D26" s="417"/>
      <c r="E26" s="417"/>
      <c r="F26" s="421"/>
      <c r="G26" s="421"/>
      <c r="H26" s="416"/>
      <c r="I26" s="416"/>
      <c r="J26" s="417"/>
      <c r="K26" s="420"/>
      <c r="L26" s="289"/>
      <c r="M26" s="289"/>
      <c r="N26" s="289"/>
      <c r="P26" s="407"/>
    </row>
    <row r="27" spans="1:17" x14ac:dyDescent="0.25">
      <c r="A27" s="240" t="e">
        <f>VLOOKUP(J27,CapitalCodes,2)</f>
        <v>#N/A</v>
      </c>
      <c r="B27" s="419" t="s">
        <v>810</v>
      </c>
      <c r="C27" s="419" t="s">
        <v>1019</v>
      </c>
      <c r="D27" s="417"/>
      <c r="E27" s="417"/>
      <c r="F27" s="421"/>
      <c r="G27" s="421"/>
      <c r="H27" s="416"/>
      <c r="I27" s="416"/>
      <c r="J27" s="417"/>
      <c r="K27" s="420"/>
      <c r="L27" s="408"/>
      <c r="M27" s="408"/>
      <c r="N27" s="408"/>
      <c r="P27" s="246"/>
    </row>
    <row r="28" spans="1:17" x14ac:dyDescent="0.25">
      <c r="A28" s="283" t="e">
        <f>VLOOKUP(J28,CapitalCodes,2)</f>
        <v>#N/A</v>
      </c>
      <c r="B28" s="419" t="s">
        <v>810</v>
      </c>
      <c r="C28" s="419" t="s">
        <v>1019</v>
      </c>
      <c r="D28" s="419"/>
      <c r="E28" s="419"/>
      <c r="F28" s="419"/>
      <c r="G28" s="419"/>
      <c r="H28" s="346"/>
      <c r="I28" s="346"/>
      <c r="J28" s="419"/>
      <c r="K28" s="408"/>
      <c r="L28" s="408"/>
      <c r="M28" s="408"/>
      <c r="N28" s="408"/>
      <c r="P28" s="407"/>
    </row>
    <row r="29" spans="1:17" x14ac:dyDescent="0.25">
      <c r="A29" s="409" t="e">
        <f>VLOOKUP(J29,CapitalCodes,2)</f>
        <v>#N/A</v>
      </c>
      <c r="B29" s="419" t="s">
        <v>810</v>
      </c>
      <c r="C29" s="419" t="s">
        <v>1019</v>
      </c>
      <c r="D29" s="417"/>
      <c r="E29" s="417"/>
      <c r="F29" s="421"/>
      <c r="G29" s="421"/>
      <c r="H29" s="416"/>
      <c r="I29" s="416"/>
      <c r="J29" s="417"/>
      <c r="K29" s="420"/>
      <c r="L29" s="408"/>
      <c r="M29" s="408"/>
      <c r="N29" s="408"/>
      <c r="P29" s="246"/>
    </row>
    <row r="30" spans="1:17" x14ac:dyDescent="0.25">
      <c r="A30" s="168" t="e">
        <f>VLOOKUP(J30,CapitalCodes,2)</f>
        <v>#N/A</v>
      </c>
      <c r="B30" s="419" t="s">
        <v>810</v>
      </c>
      <c r="C30" s="419" t="s">
        <v>1019</v>
      </c>
      <c r="D30" s="419"/>
      <c r="E30" s="419"/>
      <c r="F30" s="419"/>
      <c r="G30" s="419"/>
      <c r="H30" s="346"/>
      <c r="I30" s="346"/>
      <c r="J30" s="419"/>
      <c r="K30" s="408"/>
      <c r="L30" s="408"/>
      <c r="M30" s="408"/>
      <c r="N30" s="408"/>
    </row>
    <row r="31" spans="1:17" x14ac:dyDescent="0.25">
      <c r="A31" s="409" t="e">
        <f t="shared" ref="A31:A58" si="0">VLOOKUP(J31,CapitalCodes,2)</f>
        <v>#N/A</v>
      </c>
      <c r="B31" s="419" t="s">
        <v>810</v>
      </c>
      <c r="C31" s="419" t="s">
        <v>1019</v>
      </c>
      <c r="D31" s="417"/>
      <c r="E31" s="417"/>
      <c r="F31" s="421"/>
      <c r="G31" s="421"/>
      <c r="H31" s="416"/>
      <c r="I31" s="416"/>
      <c r="J31" s="417"/>
      <c r="K31" s="420"/>
      <c r="L31" s="408"/>
      <c r="M31" s="408"/>
      <c r="N31" s="408"/>
    </row>
    <row r="32" spans="1:17" x14ac:dyDescent="0.25">
      <c r="A32" s="168" t="e">
        <f t="shared" si="0"/>
        <v>#N/A</v>
      </c>
      <c r="B32" s="288" t="s">
        <v>920</v>
      </c>
      <c r="C32" s="288" t="s">
        <v>1019</v>
      </c>
      <c r="D32" s="260"/>
      <c r="E32" s="260"/>
      <c r="F32" s="347"/>
      <c r="G32" s="347"/>
      <c r="H32" s="346"/>
      <c r="I32" s="346"/>
      <c r="J32" s="288"/>
      <c r="K32" s="289"/>
      <c r="L32" s="289"/>
      <c r="M32" s="289"/>
      <c r="N32" s="289"/>
    </row>
    <row r="33" spans="1:14" x14ac:dyDescent="0.25">
      <c r="A33" s="168" t="e">
        <f t="shared" si="0"/>
        <v>#N/A</v>
      </c>
      <c r="B33" s="288"/>
      <c r="C33" s="288"/>
      <c r="D33" s="260"/>
      <c r="E33" s="260"/>
      <c r="F33" s="347"/>
      <c r="G33" s="347"/>
      <c r="H33" s="258"/>
      <c r="I33" s="258"/>
      <c r="J33" s="260"/>
      <c r="K33" s="348"/>
      <c r="L33" s="286"/>
      <c r="M33" s="286"/>
      <c r="N33" s="286"/>
    </row>
    <row r="34" spans="1:14" x14ac:dyDescent="0.25">
      <c r="A34" s="168" t="e">
        <f t="shared" si="0"/>
        <v>#N/A</v>
      </c>
      <c r="B34" s="288"/>
      <c r="C34" s="288"/>
      <c r="D34" s="260"/>
      <c r="E34" s="288"/>
      <c r="F34" s="288"/>
      <c r="G34" s="288"/>
      <c r="H34" s="346"/>
      <c r="I34" s="346"/>
      <c r="J34" s="288"/>
      <c r="K34" s="286"/>
      <c r="L34" s="286"/>
      <c r="M34" s="286"/>
      <c r="N34" s="286"/>
    </row>
    <row r="35" spans="1:14" x14ac:dyDescent="0.25">
      <c r="A35" s="168" t="e">
        <f t="shared" si="0"/>
        <v>#N/A</v>
      </c>
      <c r="B35" s="288"/>
      <c r="C35" s="288"/>
      <c r="D35" s="260"/>
      <c r="E35" s="288"/>
      <c r="F35" s="288"/>
      <c r="G35" s="288"/>
      <c r="H35" s="346"/>
      <c r="I35" s="346"/>
      <c r="J35" s="288"/>
      <c r="K35" s="286"/>
      <c r="L35" s="286"/>
      <c r="M35" s="286"/>
      <c r="N35" s="286"/>
    </row>
    <row r="36" spans="1:14" x14ac:dyDescent="0.25">
      <c r="A36" s="168" t="e">
        <f t="shared" si="0"/>
        <v>#N/A</v>
      </c>
      <c r="B36" s="288"/>
      <c r="C36" s="288"/>
      <c r="D36" s="260"/>
      <c r="E36" s="288"/>
      <c r="F36" s="288"/>
      <c r="G36" s="288"/>
      <c r="H36" s="346"/>
      <c r="I36" s="346"/>
      <c r="J36" s="288"/>
      <c r="K36" s="286"/>
      <c r="L36" s="286"/>
      <c r="M36" s="286"/>
      <c r="N36" s="286"/>
    </row>
    <row r="37" spans="1:14" x14ac:dyDescent="0.25">
      <c r="A37" s="168" t="e">
        <f t="shared" si="0"/>
        <v>#N/A</v>
      </c>
      <c r="B37" s="288"/>
      <c r="C37" s="288"/>
      <c r="D37" s="288"/>
      <c r="E37" s="288"/>
      <c r="F37" s="288"/>
      <c r="G37" s="288"/>
      <c r="H37" s="346"/>
      <c r="I37" s="346"/>
      <c r="J37" s="288"/>
      <c r="K37" s="286"/>
      <c r="L37" s="286"/>
      <c r="M37" s="286"/>
      <c r="N37" s="286"/>
    </row>
    <row r="38" spans="1:14" x14ac:dyDescent="0.25">
      <c r="A38" s="168" t="e">
        <f t="shared" si="0"/>
        <v>#N/A</v>
      </c>
      <c r="B38" s="288"/>
      <c r="C38" s="288"/>
      <c r="D38" s="288"/>
      <c r="E38" s="288"/>
      <c r="F38" s="260"/>
      <c r="G38" s="288"/>
      <c r="H38" s="346"/>
      <c r="I38" s="346"/>
      <c r="J38" s="288"/>
      <c r="K38" s="289"/>
      <c r="L38" s="289"/>
      <c r="M38" s="289"/>
      <c r="N38" s="289"/>
    </row>
    <row r="39" spans="1:14" x14ac:dyDescent="0.25">
      <c r="A39" s="168" t="e">
        <f t="shared" si="0"/>
        <v>#N/A</v>
      </c>
      <c r="B39" s="288"/>
      <c r="C39" s="288"/>
      <c r="D39" s="288"/>
      <c r="E39" s="288"/>
      <c r="F39" s="288"/>
      <c r="G39" s="288"/>
      <c r="H39" s="346"/>
      <c r="I39" s="346"/>
      <c r="J39" s="288"/>
      <c r="K39" s="286"/>
      <c r="L39" s="286"/>
      <c r="M39" s="286"/>
      <c r="N39" s="286"/>
    </row>
    <row r="40" spans="1:14" x14ac:dyDescent="0.25">
      <c r="A40" s="168" t="e">
        <f t="shared" si="0"/>
        <v>#N/A</v>
      </c>
      <c r="B40" s="288"/>
      <c r="C40" s="288"/>
      <c r="D40" s="288"/>
      <c r="E40" s="288"/>
      <c r="F40" s="288"/>
      <c r="G40" s="288"/>
      <c r="H40" s="346"/>
      <c r="I40" s="346"/>
      <c r="J40" s="288"/>
      <c r="K40" s="286"/>
      <c r="L40" s="286"/>
      <c r="M40" s="286"/>
      <c r="N40" s="286"/>
    </row>
    <row r="41" spans="1:14" x14ac:dyDescent="0.25">
      <c r="A41" s="168" t="e">
        <f t="shared" si="0"/>
        <v>#N/A</v>
      </c>
      <c r="B41" s="288"/>
      <c r="C41" s="288"/>
      <c r="D41" s="288"/>
      <c r="E41" s="288"/>
      <c r="F41" s="288"/>
      <c r="G41" s="288"/>
      <c r="H41" s="346"/>
      <c r="I41" s="346"/>
      <c r="J41" s="288"/>
      <c r="K41" s="286"/>
      <c r="L41" s="286"/>
      <c r="M41" s="286"/>
      <c r="N41" s="286"/>
    </row>
    <row r="42" spans="1:14" x14ac:dyDescent="0.25">
      <c r="A42" s="169" t="e">
        <f t="shared" si="0"/>
        <v>#N/A</v>
      </c>
      <c r="B42" s="288"/>
      <c r="C42" s="288"/>
      <c r="D42" s="260"/>
      <c r="E42" s="260"/>
      <c r="F42" s="260"/>
      <c r="G42" s="260"/>
      <c r="H42" s="258"/>
      <c r="I42" s="258"/>
      <c r="J42" s="260"/>
      <c r="K42" s="348"/>
      <c r="L42" s="286"/>
      <c r="M42" s="286"/>
      <c r="N42" s="286"/>
    </row>
    <row r="43" spans="1:14" x14ac:dyDescent="0.25">
      <c r="A43" s="169" t="e">
        <f t="shared" si="0"/>
        <v>#N/A</v>
      </c>
      <c r="B43" s="288"/>
      <c r="C43" s="288"/>
      <c r="D43" s="260"/>
      <c r="E43" s="260"/>
      <c r="F43" s="260"/>
      <c r="G43" s="260"/>
      <c r="H43" s="258"/>
      <c r="I43" s="258"/>
      <c r="J43" s="260"/>
      <c r="K43" s="348"/>
      <c r="L43" s="286"/>
      <c r="M43" s="286"/>
      <c r="N43" s="286"/>
    </row>
    <row r="44" spans="1:14" x14ac:dyDescent="0.25">
      <c r="A44" s="169" t="e">
        <f t="shared" si="0"/>
        <v>#N/A</v>
      </c>
      <c r="B44" s="288"/>
      <c r="C44" s="288"/>
      <c r="D44" s="260"/>
      <c r="E44" s="260"/>
      <c r="F44" s="260"/>
      <c r="G44" s="260"/>
      <c r="H44" s="258"/>
      <c r="I44" s="258"/>
      <c r="J44" s="260"/>
      <c r="K44" s="348"/>
      <c r="L44" s="286"/>
      <c r="M44" s="286"/>
      <c r="N44" s="286"/>
    </row>
    <row r="45" spans="1:14" x14ac:dyDescent="0.25">
      <c r="A45" s="169" t="e">
        <f t="shared" si="0"/>
        <v>#N/A</v>
      </c>
      <c r="B45" s="288"/>
      <c r="C45" s="288"/>
      <c r="D45" s="260"/>
      <c r="E45" s="260"/>
      <c r="F45" s="260"/>
      <c r="G45" s="260"/>
      <c r="H45" s="258"/>
      <c r="I45" s="258"/>
      <c r="J45" s="260"/>
      <c r="K45" s="348"/>
      <c r="L45" s="286"/>
      <c r="M45" s="286"/>
      <c r="N45" s="286"/>
    </row>
    <row r="46" spans="1:14" x14ac:dyDescent="0.25">
      <c r="A46" s="169" t="e">
        <f t="shared" si="0"/>
        <v>#N/A</v>
      </c>
      <c r="B46" s="288"/>
      <c r="C46" s="288"/>
      <c r="D46" s="260"/>
      <c r="E46" s="260"/>
      <c r="F46" s="260"/>
      <c r="G46" s="260"/>
      <c r="H46" s="258"/>
      <c r="I46" s="258"/>
      <c r="J46" s="260"/>
      <c r="K46" s="348"/>
      <c r="L46" s="286"/>
      <c r="M46" s="286"/>
      <c r="N46" s="286"/>
    </row>
    <row r="47" spans="1:14" x14ac:dyDescent="0.25">
      <c r="A47" s="169" t="e">
        <f t="shared" si="0"/>
        <v>#N/A</v>
      </c>
      <c r="B47" s="288"/>
      <c r="C47" s="288"/>
      <c r="D47" s="260"/>
      <c r="E47" s="260"/>
      <c r="F47" s="260"/>
      <c r="G47" s="260"/>
      <c r="H47" s="258"/>
      <c r="I47" s="258"/>
      <c r="J47" s="260"/>
      <c r="K47" s="348"/>
      <c r="L47" s="286"/>
      <c r="M47" s="286"/>
      <c r="N47" s="286"/>
    </row>
    <row r="48" spans="1:14" x14ac:dyDescent="0.25">
      <c r="A48" s="169" t="e">
        <f t="shared" si="0"/>
        <v>#N/A</v>
      </c>
      <c r="B48" s="288"/>
      <c r="C48" s="288"/>
      <c r="D48" s="260"/>
      <c r="E48" s="260"/>
      <c r="F48" s="260"/>
      <c r="G48" s="260"/>
      <c r="H48" s="258"/>
      <c r="I48" s="258"/>
      <c r="J48" s="260"/>
      <c r="K48" s="348"/>
      <c r="L48" s="286"/>
      <c r="M48" s="286"/>
      <c r="N48" s="286"/>
    </row>
    <row r="49" spans="1:14" x14ac:dyDescent="0.25">
      <c r="A49" s="169" t="e">
        <f t="shared" si="0"/>
        <v>#N/A</v>
      </c>
      <c r="B49" s="288"/>
      <c r="C49" s="288"/>
      <c r="D49" s="260"/>
      <c r="E49" s="260"/>
      <c r="F49" s="260"/>
      <c r="G49" s="260"/>
      <c r="H49" s="258"/>
      <c r="I49" s="258"/>
      <c r="J49" s="260"/>
      <c r="K49" s="348"/>
      <c r="L49" s="286"/>
      <c r="M49" s="286"/>
      <c r="N49" s="286"/>
    </row>
    <row r="50" spans="1:14" x14ac:dyDescent="0.25">
      <c r="A50" s="169" t="e">
        <f t="shared" si="0"/>
        <v>#N/A</v>
      </c>
      <c r="B50" s="288"/>
      <c r="C50" s="288"/>
      <c r="D50" s="260"/>
      <c r="E50" s="260"/>
      <c r="F50" s="260"/>
      <c r="G50" s="260"/>
      <c r="H50" s="258"/>
      <c r="I50" s="258"/>
      <c r="J50" s="260"/>
      <c r="K50" s="348"/>
      <c r="L50" s="286"/>
      <c r="M50" s="286"/>
      <c r="N50" s="286"/>
    </row>
    <row r="51" spans="1:14" x14ac:dyDescent="0.25">
      <c r="A51" s="169" t="e">
        <f t="shared" si="0"/>
        <v>#N/A</v>
      </c>
      <c r="B51" s="288"/>
      <c r="C51" s="288"/>
      <c r="D51" s="260"/>
      <c r="E51" s="260"/>
      <c r="F51" s="260"/>
      <c r="G51" s="260"/>
      <c r="H51" s="258"/>
      <c r="I51" s="258"/>
      <c r="J51" s="260"/>
      <c r="K51" s="348"/>
      <c r="L51" s="286"/>
      <c r="M51" s="286"/>
      <c r="N51" s="286"/>
    </row>
    <row r="52" spans="1:14" ht="16.5" customHeight="1" x14ac:dyDescent="0.25">
      <c r="A52" s="169" t="e">
        <f t="shared" si="0"/>
        <v>#N/A</v>
      </c>
      <c r="B52" s="288"/>
      <c r="C52" s="288"/>
      <c r="D52" s="260"/>
      <c r="E52" s="260"/>
      <c r="F52" s="260"/>
      <c r="G52" s="260"/>
      <c r="H52" s="258"/>
      <c r="I52" s="258"/>
      <c r="J52" s="260"/>
      <c r="K52" s="348"/>
      <c r="L52" s="286"/>
      <c r="M52" s="286"/>
      <c r="N52" s="286"/>
    </row>
    <row r="53" spans="1:14" x14ac:dyDescent="0.25">
      <c r="A53" s="169" t="e">
        <f t="shared" si="0"/>
        <v>#N/A</v>
      </c>
      <c r="B53" s="288"/>
      <c r="C53" s="288"/>
      <c r="D53" s="260"/>
      <c r="E53" s="260"/>
      <c r="F53" s="260"/>
      <c r="G53" s="260"/>
      <c r="H53" s="258"/>
      <c r="I53" s="258"/>
      <c r="J53" s="260"/>
      <c r="K53" s="348"/>
      <c r="L53" s="286"/>
      <c r="M53" s="286"/>
      <c r="N53" s="286"/>
    </row>
    <row r="54" spans="1:14" x14ac:dyDescent="0.25">
      <c r="A54" s="169" t="e">
        <f t="shared" si="0"/>
        <v>#N/A</v>
      </c>
      <c r="B54" s="288"/>
      <c r="C54" s="288"/>
      <c r="D54" s="260"/>
      <c r="E54" s="260"/>
      <c r="F54" s="260"/>
      <c r="G54" s="260"/>
      <c r="H54" s="258"/>
      <c r="I54" s="258"/>
      <c r="J54" s="260"/>
      <c r="K54" s="348"/>
      <c r="L54" s="286"/>
      <c r="M54" s="286"/>
      <c r="N54" s="286"/>
    </row>
    <row r="55" spans="1:14" x14ac:dyDescent="0.25">
      <c r="A55" s="169" t="e">
        <f t="shared" si="0"/>
        <v>#N/A</v>
      </c>
      <c r="B55" s="288"/>
      <c r="C55" s="288"/>
      <c r="D55" s="260"/>
      <c r="E55" s="260"/>
      <c r="F55" s="260"/>
      <c r="G55" s="260"/>
      <c r="H55" s="258"/>
      <c r="I55" s="258"/>
      <c r="J55" s="260"/>
      <c r="K55" s="348"/>
      <c r="L55" s="286"/>
      <c r="M55" s="286"/>
      <c r="N55" s="286"/>
    </row>
    <row r="56" spans="1:14" x14ac:dyDescent="0.25">
      <c r="A56" s="169" t="e">
        <f t="shared" si="0"/>
        <v>#N/A</v>
      </c>
      <c r="B56" s="288"/>
      <c r="C56" s="288"/>
      <c r="D56" s="260"/>
      <c r="E56" s="260"/>
      <c r="F56" s="260"/>
      <c r="G56" s="260"/>
      <c r="H56" s="258"/>
      <c r="I56" s="258"/>
      <c r="J56" s="260"/>
      <c r="K56" s="348"/>
      <c r="L56" s="286"/>
      <c r="M56" s="286"/>
      <c r="N56" s="286"/>
    </row>
    <row r="57" spans="1:14" x14ac:dyDescent="0.25">
      <c r="A57" s="169" t="e">
        <f t="shared" si="0"/>
        <v>#N/A</v>
      </c>
      <c r="B57" s="288"/>
      <c r="C57" s="288"/>
      <c r="D57" s="260"/>
      <c r="E57" s="260"/>
      <c r="F57" s="260"/>
      <c r="G57" s="260"/>
      <c r="H57" s="258"/>
      <c r="I57" s="258"/>
      <c r="J57" s="260"/>
      <c r="K57" s="348"/>
      <c r="L57" s="286"/>
      <c r="M57" s="286"/>
      <c r="N57" s="286"/>
    </row>
    <row r="58" spans="1:14" ht="15.75" thickBot="1" x14ac:dyDescent="0.3">
      <c r="A58" s="169" t="e">
        <f t="shared" si="0"/>
        <v>#N/A</v>
      </c>
      <c r="B58" s="288"/>
      <c r="C58" s="288"/>
      <c r="D58" s="260"/>
      <c r="E58" s="260"/>
      <c r="F58" s="260"/>
      <c r="G58" s="260"/>
      <c r="H58" s="258"/>
      <c r="I58" s="258"/>
      <c r="J58" s="260"/>
      <c r="K58" s="348"/>
      <c r="L58" s="286"/>
      <c r="M58" s="286"/>
      <c r="N58" s="286"/>
    </row>
    <row r="59" spans="1:14" ht="15.75" thickBot="1" x14ac:dyDescent="0.3">
      <c r="A59" s="74"/>
      <c r="B59" s="75"/>
      <c r="C59" s="75"/>
      <c r="D59" s="76">
        <f>COUNTA(D26:D58)</f>
        <v>0</v>
      </c>
      <c r="E59" s="77"/>
      <c r="F59" s="77"/>
      <c r="G59" s="78"/>
      <c r="H59" s="78"/>
      <c r="I59" s="77"/>
      <c r="J59" s="79"/>
      <c r="K59" s="79">
        <f>SUM(K26:K58)</f>
        <v>0</v>
      </c>
      <c r="L59" s="80">
        <f>SUM(L26:L58)</f>
        <v>0</v>
      </c>
      <c r="M59" s="81">
        <f>SUM(M26:M58)</f>
        <v>0</v>
      </c>
      <c r="N59" s="80">
        <f>SUM(N26:N58)</f>
        <v>0</v>
      </c>
    </row>
    <row r="60" spans="1:14" x14ac:dyDescent="0.25">
      <c r="A60" s="151">
        <v>1310000</v>
      </c>
      <c r="B60" s="84" t="s">
        <v>19</v>
      </c>
      <c r="C60" s="85"/>
      <c r="D60" s="86"/>
      <c r="E60" s="86"/>
      <c r="F60" s="86"/>
      <c r="G60" s="86"/>
      <c r="H60" s="86"/>
      <c r="I60" s="86"/>
      <c r="J60" s="86"/>
      <c r="K60" s="156">
        <f t="shared" ref="K60:N81" si="1">SUMIFS(K$26:K$58,$A$26:$A$58,$A60,$B$26:$B$58,$B60)</f>
        <v>0</v>
      </c>
      <c r="L60" s="156">
        <f t="shared" si="1"/>
        <v>0</v>
      </c>
      <c r="M60" s="156">
        <f t="shared" si="1"/>
        <v>0</v>
      </c>
      <c r="N60" s="156">
        <f t="shared" si="1"/>
        <v>0</v>
      </c>
    </row>
    <row r="61" spans="1:14" x14ac:dyDescent="0.25">
      <c r="A61" s="152">
        <v>1310000</v>
      </c>
      <c r="B61" s="73" t="s">
        <v>18</v>
      </c>
      <c r="C61" s="88"/>
      <c r="D61" s="89"/>
      <c r="E61" s="89"/>
      <c r="F61" s="89"/>
      <c r="G61" s="89"/>
      <c r="H61" s="89"/>
      <c r="I61" s="89"/>
      <c r="J61" s="89"/>
      <c r="K61" s="154">
        <f t="shared" si="1"/>
        <v>0</v>
      </c>
      <c r="L61" s="154">
        <f t="shared" si="1"/>
        <v>0</v>
      </c>
      <c r="M61" s="154">
        <f t="shared" si="1"/>
        <v>0</v>
      </c>
      <c r="N61" s="154">
        <f t="shared" si="1"/>
        <v>0</v>
      </c>
    </row>
    <row r="62" spans="1:14" x14ac:dyDescent="0.25">
      <c r="A62" s="152">
        <v>1310000</v>
      </c>
      <c r="B62" s="73" t="s">
        <v>22</v>
      </c>
      <c r="C62" s="88"/>
      <c r="D62" s="89"/>
      <c r="E62" s="89"/>
      <c r="F62" s="89"/>
      <c r="G62" s="89"/>
      <c r="H62" s="89"/>
      <c r="I62" s="89"/>
      <c r="J62" s="89"/>
      <c r="K62" s="154">
        <f t="shared" si="1"/>
        <v>0</v>
      </c>
      <c r="L62" s="154">
        <f t="shared" si="1"/>
        <v>0</v>
      </c>
      <c r="M62" s="154">
        <f t="shared" si="1"/>
        <v>0</v>
      </c>
      <c r="N62" s="154">
        <f t="shared" si="1"/>
        <v>0</v>
      </c>
    </row>
    <row r="63" spans="1:14" x14ac:dyDescent="0.25">
      <c r="A63" s="152">
        <v>1310000</v>
      </c>
      <c r="B63" s="73" t="s">
        <v>24</v>
      </c>
      <c r="C63" s="88"/>
      <c r="D63" s="89"/>
      <c r="E63" s="89"/>
      <c r="F63" s="89"/>
      <c r="G63" s="89"/>
      <c r="H63" s="89"/>
      <c r="I63" s="89"/>
      <c r="J63" s="89"/>
      <c r="K63" s="154">
        <f t="shared" si="1"/>
        <v>0</v>
      </c>
      <c r="L63" s="154">
        <f t="shared" si="1"/>
        <v>0</v>
      </c>
      <c r="M63" s="154">
        <f t="shared" si="1"/>
        <v>0</v>
      </c>
      <c r="N63" s="154">
        <f t="shared" si="1"/>
        <v>0</v>
      </c>
    </row>
    <row r="64" spans="1:14" x14ac:dyDescent="0.25">
      <c r="A64" s="152">
        <v>1310000</v>
      </c>
      <c r="B64" s="73" t="s">
        <v>25</v>
      </c>
      <c r="C64" s="88"/>
      <c r="D64" s="89"/>
      <c r="E64" s="89"/>
      <c r="F64" s="89"/>
      <c r="G64" s="89"/>
      <c r="H64" s="89"/>
      <c r="I64" s="89"/>
      <c r="J64" s="89"/>
      <c r="K64" s="154">
        <f t="shared" si="1"/>
        <v>0</v>
      </c>
      <c r="L64" s="154">
        <f t="shared" si="1"/>
        <v>0</v>
      </c>
      <c r="M64" s="154">
        <f t="shared" si="1"/>
        <v>0</v>
      </c>
      <c r="N64" s="154">
        <f t="shared" si="1"/>
        <v>0</v>
      </c>
    </row>
    <row r="65" spans="1:14" x14ac:dyDescent="0.25">
      <c r="A65" s="152">
        <v>1310000</v>
      </c>
      <c r="B65" s="73" t="s">
        <v>394</v>
      </c>
      <c r="C65" s="88"/>
      <c r="D65" s="89"/>
      <c r="E65" s="89"/>
      <c r="F65" s="89"/>
      <c r="G65" s="89"/>
      <c r="H65" s="89"/>
      <c r="I65" s="89"/>
      <c r="J65" s="89"/>
      <c r="K65" s="154">
        <f t="shared" si="1"/>
        <v>0</v>
      </c>
      <c r="L65" s="154">
        <f t="shared" si="1"/>
        <v>0</v>
      </c>
      <c r="M65" s="154">
        <f t="shared" si="1"/>
        <v>0</v>
      </c>
      <c r="N65" s="154">
        <f t="shared" si="1"/>
        <v>0</v>
      </c>
    </row>
    <row r="66" spans="1:14" x14ac:dyDescent="0.25">
      <c r="A66" s="152">
        <v>1310000</v>
      </c>
      <c r="B66" s="73" t="s">
        <v>350</v>
      </c>
      <c r="C66" s="88"/>
      <c r="D66" s="89"/>
      <c r="E66" s="89"/>
      <c r="F66" s="89"/>
      <c r="G66" s="89"/>
      <c r="H66" s="89"/>
      <c r="I66" s="89"/>
      <c r="J66" s="89"/>
      <c r="K66" s="154">
        <f t="shared" si="1"/>
        <v>0</v>
      </c>
      <c r="L66" s="154">
        <f t="shared" si="1"/>
        <v>0</v>
      </c>
      <c r="M66" s="154">
        <f t="shared" si="1"/>
        <v>0</v>
      </c>
      <c r="N66" s="154">
        <f t="shared" si="1"/>
        <v>0</v>
      </c>
    </row>
    <row r="67" spans="1:14" s="407" customFormat="1" x14ac:dyDescent="0.25">
      <c r="A67" s="152">
        <v>1310000</v>
      </c>
      <c r="B67" s="73" t="s">
        <v>1171</v>
      </c>
      <c r="C67" s="88"/>
      <c r="D67" s="89"/>
      <c r="E67" s="89"/>
      <c r="F67" s="89"/>
      <c r="G67" s="89"/>
      <c r="H67" s="89"/>
      <c r="I67" s="89"/>
      <c r="J67" s="89"/>
      <c r="K67" s="212">
        <f t="shared" si="1"/>
        <v>0</v>
      </c>
      <c r="L67" s="212">
        <f t="shared" si="1"/>
        <v>0</v>
      </c>
      <c r="M67" s="212">
        <f t="shared" si="1"/>
        <v>0</v>
      </c>
      <c r="N67" s="212">
        <f t="shared" si="1"/>
        <v>0</v>
      </c>
    </row>
    <row r="68" spans="1:14" x14ac:dyDescent="0.25">
      <c r="A68" s="152">
        <v>1310000</v>
      </c>
      <c r="B68" s="73" t="s">
        <v>1182</v>
      </c>
      <c r="C68" s="88"/>
      <c r="D68" s="89"/>
      <c r="E68" s="89"/>
      <c r="F68" s="89"/>
      <c r="G68" s="89"/>
      <c r="H68" s="89"/>
      <c r="I68" s="89"/>
      <c r="J68" s="89"/>
      <c r="K68" s="154">
        <f t="shared" si="1"/>
        <v>0</v>
      </c>
      <c r="L68" s="154">
        <f t="shared" si="1"/>
        <v>0</v>
      </c>
      <c r="M68" s="154">
        <f t="shared" si="1"/>
        <v>0</v>
      </c>
      <c r="N68" s="154">
        <f t="shared" si="1"/>
        <v>0</v>
      </c>
    </row>
    <row r="69" spans="1:14" s="407" customFormat="1" x14ac:dyDescent="0.25">
      <c r="A69" s="152">
        <v>1310000</v>
      </c>
      <c r="B69" s="73" t="s">
        <v>20</v>
      </c>
      <c r="C69" s="88"/>
      <c r="D69" s="89"/>
      <c r="E69" s="89"/>
      <c r="F69" s="89"/>
      <c r="G69" s="89"/>
      <c r="H69" s="89"/>
      <c r="I69" s="89"/>
      <c r="J69" s="89"/>
      <c r="K69" s="212">
        <f t="shared" si="1"/>
        <v>0</v>
      </c>
      <c r="L69" s="212">
        <f t="shared" si="1"/>
        <v>0</v>
      </c>
      <c r="M69" s="212">
        <f t="shared" si="1"/>
        <v>0</v>
      </c>
      <c r="N69" s="212">
        <f t="shared" si="1"/>
        <v>0</v>
      </c>
    </row>
    <row r="70" spans="1:14" x14ac:dyDescent="0.25">
      <c r="A70" s="152">
        <v>1310000</v>
      </c>
      <c r="B70" s="73" t="s">
        <v>510</v>
      </c>
      <c r="C70" s="88"/>
      <c r="D70" s="89"/>
      <c r="E70" s="89"/>
      <c r="F70" s="89"/>
      <c r="G70" s="89"/>
      <c r="H70" s="89"/>
      <c r="I70" s="89"/>
      <c r="J70" s="89"/>
      <c r="K70" s="154">
        <f t="shared" si="1"/>
        <v>0</v>
      </c>
      <c r="L70" s="154">
        <f t="shared" si="1"/>
        <v>0</v>
      </c>
      <c r="M70" s="154">
        <f t="shared" si="1"/>
        <v>0</v>
      </c>
      <c r="N70" s="154">
        <f t="shared" si="1"/>
        <v>0</v>
      </c>
    </row>
    <row r="71" spans="1:14" x14ac:dyDescent="0.25">
      <c r="A71" s="152">
        <v>1310000</v>
      </c>
      <c r="B71" s="73" t="s">
        <v>272</v>
      </c>
      <c r="C71" s="88"/>
      <c r="D71" s="89"/>
      <c r="E71" s="89"/>
      <c r="F71" s="89"/>
      <c r="G71" s="89"/>
      <c r="H71" s="89"/>
      <c r="I71" s="89"/>
      <c r="J71" s="89"/>
      <c r="K71" s="154">
        <f t="shared" si="1"/>
        <v>0</v>
      </c>
      <c r="L71" s="154">
        <f t="shared" si="1"/>
        <v>0</v>
      </c>
      <c r="M71" s="154">
        <f t="shared" si="1"/>
        <v>0</v>
      </c>
      <c r="N71" s="154">
        <f t="shared" si="1"/>
        <v>0</v>
      </c>
    </row>
    <row r="72" spans="1:14" x14ac:dyDescent="0.25">
      <c r="A72" s="152">
        <v>1310000</v>
      </c>
      <c r="B72" s="51" t="s">
        <v>21</v>
      </c>
      <c r="C72" s="88"/>
      <c r="D72" s="89"/>
      <c r="E72" s="89"/>
      <c r="F72" s="89"/>
      <c r="G72" s="89"/>
      <c r="H72" s="89"/>
      <c r="I72" s="89"/>
      <c r="J72" s="89"/>
      <c r="K72" s="154">
        <f t="shared" si="1"/>
        <v>0</v>
      </c>
      <c r="L72" s="154">
        <f t="shared" si="1"/>
        <v>0</v>
      </c>
      <c r="M72" s="154">
        <f t="shared" si="1"/>
        <v>0</v>
      </c>
      <c r="N72" s="154">
        <f t="shared" si="1"/>
        <v>0</v>
      </c>
    </row>
    <row r="73" spans="1:14" x14ac:dyDescent="0.25">
      <c r="A73" s="152">
        <v>1310000</v>
      </c>
      <c r="B73" s="51" t="s">
        <v>1172</v>
      </c>
      <c r="C73" s="88"/>
      <c r="D73" s="89"/>
      <c r="E73" s="89"/>
      <c r="F73" s="89"/>
      <c r="G73" s="89"/>
      <c r="H73" s="89"/>
      <c r="I73" s="89"/>
      <c r="J73" s="89"/>
      <c r="K73" s="154">
        <f t="shared" si="1"/>
        <v>0</v>
      </c>
      <c r="L73" s="154">
        <f t="shared" si="1"/>
        <v>0</v>
      </c>
      <c r="M73" s="154">
        <f t="shared" si="1"/>
        <v>0</v>
      </c>
      <c r="N73" s="154">
        <f t="shared" si="1"/>
        <v>0</v>
      </c>
    </row>
    <row r="74" spans="1:14" x14ac:dyDescent="0.25">
      <c r="A74" s="152">
        <v>1310000</v>
      </c>
      <c r="B74" s="73" t="s">
        <v>810</v>
      </c>
      <c r="C74" s="88"/>
      <c r="D74" s="89"/>
      <c r="E74" s="89"/>
      <c r="F74" s="89"/>
      <c r="G74" s="89"/>
      <c r="H74" s="89"/>
      <c r="I74" s="89"/>
      <c r="J74" s="89"/>
      <c r="K74" s="154">
        <f t="shared" si="1"/>
        <v>0</v>
      </c>
      <c r="L74" s="154">
        <f t="shared" si="1"/>
        <v>0</v>
      </c>
      <c r="M74" s="154">
        <f t="shared" si="1"/>
        <v>0</v>
      </c>
      <c r="N74" s="154">
        <f t="shared" si="1"/>
        <v>0</v>
      </c>
    </row>
    <row r="75" spans="1:14" x14ac:dyDescent="0.25">
      <c r="A75" s="152">
        <v>1310000</v>
      </c>
      <c r="B75" s="73" t="s">
        <v>811</v>
      </c>
      <c r="C75" s="88"/>
      <c r="D75" s="89"/>
      <c r="E75" s="89"/>
      <c r="F75" s="89"/>
      <c r="G75" s="89"/>
      <c r="H75" s="89"/>
      <c r="I75" s="89"/>
      <c r="J75" s="89"/>
      <c r="K75" s="154">
        <f t="shared" si="1"/>
        <v>0</v>
      </c>
      <c r="L75" s="154">
        <f t="shared" si="1"/>
        <v>0</v>
      </c>
      <c r="M75" s="154">
        <f t="shared" si="1"/>
        <v>0</v>
      </c>
      <c r="N75" s="154">
        <f t="shared" si="1"/>
        <v>0</v>
      </c>
    </row>
    <row r="76" spans="1:14" x14ac:dyDescent="0.25">
      <c r="A76" s="152">
        <v>1310000</v>
      </c>
      <c r="B76" s="51" t="s">
        <v>23</v>
      </c>
      <c r="C76" s="88"/>
      <c r="D76" s="89"/>
      <c r="E76" s="89"/>
      <c r="F76" s="89"/>
      <c r="G76" s="89"/>
      <c r="H76" s="89"/>
      <c r="I76" s="89"/>
      <c r="J76" s="89"/>
      <c r="K76" s="154">
        <f t="shared" si="1"/>
        <v>0</v>
      </c>
      <c r="L76" s="154">
        <f t="shared" si="1"/>
        <v>0</v>
      </c>
      <c r="M76" s="154">
        <f t="shared" si="1"/>
        <v>0</v>
      </c>
      <c r="N76" s="154">
        <f t="shared" si="1"/>
        <v>0</v>
      </c>
    </row>
    <row r="77" spans="1:14" x14ac:dyDescent="0.25">
      <c r="A77" s="152">
        <v>1310000</v>
      </c>
      <c r="B77" s="73" t="s">
        <v>268</v>
      </c>
      <c r="C77" s="88"/>
      <c r="D77" s="89"/>
      <c r="E77" s="89"/>
      <c r="F77" s="89"/>
      <c r="G77" s="89"/>
      <c r="H77" s="89"/>
      <c r="I77" s="89"/>
      <c r="J77" s="89"/>
      <c r="K77" s="154">
        <f t="shared" si="1"/>
        <v>0</v>
      </c>
      <c r="L77" s="154">
        <f t="shared" si="1"/>
        <v>0</v>
      </c>
      <c r="M77" s="154">
        <f t="shared" si="1"/>
        <v>0</v>
      </c>
      <c r="N77" s="154">
        <f t="shared" si="1"/>
        <v>0</v>
      </c>
    </row>
    <row r="78" spans="1:14" x14ac:dyDescent="0.25">
      <c r="A78" s="152">
        <v>1310000</v>
      </c>
      <c r="B78" s="73" t="s">
        <v>267</v>
      </c>
      <c r="C78" s="88"/>
      <c r="D78" s="89"/>
      <c r="E78" s="89"/>
      <c r="F78" s="89"/>
      <c r="G78" s="89"/>
      <c r="H78" s="89"/>
      <c r="I78" s="89"/>
      <c r="J78" s="89"/>
      <c r="K78" s="154">
        <f t="shared" si="1"/>
        <v>0</v>
      </c>
      <c r="L78" s="154">
        <f t="shared" si="1"/>
        <v>0</v>
      </c>
      <c r="M78" s="154">
        <f t="shared" si="1"/>
        <v>0</v>
      </c>
      <c r="N78" s="154">
        <f t="shared" si="1"/>
        <v>0</v>
      </c>
    </row>
    <row r="79" spans="1:14" ht="15.75" thickBot="1" x14ac:dyDescent="0.3">
      <c r="A79" s="152">
        <v>1310000</v>
      </c>
      <c r="B79" s="73" t="s">
        <v>920</v>
      </c>
      <c r="C79" s="88"/>
      <c r="D79" s="89"/>
      <c r="E79" s="89"/>
      <c r="F79" s="89"/>
      <c r="G79" s="89"/>
      <c r="H79" s="89"/>
      <c r="I79" s="89"/>
      <c r="J79" s="89"/>
      <c r="K79" s="154">
        <f t="shared" si="1"/>
        <v>0</v>
      </c>
      <c r="L79" s="154">
        <f t="shared" si="1"/>
        <v>0</v>
      </c>
      <c r="M79" s="154">
        <f t="shared" si="1"/>
        <v>0</v>
      </c>
      <c r="N79" s="154">
        <f t="shared" si="1"/>
        <v>0</v>
      </c>
    </row>
    <row r="80" spans="1:14" x14ac:dyDescent="0.25">
      <c r="A80" s="151">
        <v>1315005</v>
      </c>
      <c r="B80" s="84" t="s">
        <v>19</v>
      </c>
      <c r="C80" s="85"/>
      <c r="D80" s="86"/>
      <c r="E80" s="86"/>
      <c r="F80" s="86"/>
      <c r="G80" s="86"/>
      <c r="H80" s="86"/>
      <c r="I80" s="86"/>
      <c r="J80" s="86"/>
      <c r="K80" s="156">
        <f t="shared" si="1"/>
        <v>0</v>
      </c>
      <c r="L80" s="156">
        <f t="shared" si="1"/>
        <v>0</v>
      </c>
      <c r="M80" s="156">
        <f t="shared" si="1"/>
        <v>0</v>
      </c>
      <c r="N80" s="156">
        <f t="shared" si="1"/>
        <v>0</v>
      </c>
    </row>
    <row r="81" spans="1:14" x14ac:dyDescent="0.25">
      <c r="A81" s="152">
        <v>1315005</v>
      </c>
      <c r="B81" s="73" t="s">
        <v>18</v>
      </c>
      <c r="C81" s="88"/>
      <c r="D81" s="89"/>
      <c r="E81" s="89"/>
      <c r="F81" s="89"/>
      <c r="G81" s="89"/>
      <c r="H81" s="89"/>
      <c r="I81" s="89"/>
      <c r="J81" s="89"/>
      <c r="K81" s="154">
        <f t="shared" si="1"/>
        <v>0</v>
      </c>
      <c r="L81" s="154">
        <f t="shared" si="1"/>
        <v>0</v>
      </c>
      <c r="M81" s="154">
        <f t="shared" si="1"/>
        <v>0</v>
      </c>
      <c r="N81" s="154">
        <f t="shared" si="1"/>
        <v>0</v>
      </c>
    </row>
    <row r="82" spans="1:14" x14ac:dyDescent="0.25">
      <c r="A82" s="152">
        <v>1315005</v>
      </c>
      <c r="B82" s="73" t="s">
        <v>22</v>
      </c>
      <c r="C82" s="88"/>
      <c r="D82" s="89"/>
      <c r="E82" s="89"/>
      <c r="F82" s="89"/>
      <c r="G82" s="89"/>
      <c r="H82" s="89"/>
      <c r="I82" s="89"/>
      <c r="J82" s="89"/>
      <c r="K82" s="154">
        <f t="shared" ref="K82:N103" si="2">SUMIFS(K$26:K$58,$A$26:$A$58,$A82,$B$26:$B$58,$B82)</f>
        <v>0</v>
      </c>
      <c r="L82" s="154">
        <f t="shared" si="2"/>
        <v>0</v>
      </c>
      <c r="M82" s="154">
        <f t="shared" si="2"/>
        <v>0</v>
      </c>
      <c r="N82" s="154">
        <f t="shared" si="2"/>
        <v>0</v>
      </c>
    </row>
    <row r="83" spans="1:14" x14ac:dyDescent="0.25">
      <c r="A83" s="152">
        <v>1315005</v>
      </c>
      <c r="B83" s="73" t="s">
        <v>24</v>
      </c>
      <c r="C83" s="88"/>
      <c r="D83" s="89"/>
      <c r="E83" s="89"/>
      <c r="F83" s="89"/>
      <c r="G83" s="89"/>
      <c r="H83" s="89"/>
      <c r="I83" s="89"/>
      <c r="J83" s="89"/>
      <c r="K83" s="154">
        <f t="shared" si="2"/>
        <v>0</v>
      </c>
      <c r="L83" s="154">
        <f t="shared" si="2"/>
        <v>0</v>
      </c>
      <c r="M83" s="154">
        <f t="shared" si="2"/>
        <v>0</v>
      </c>
      <c r="N83" s="154">
        <f t="shared" si="2"/>
        <v>0</v>
      </c>
    </row>
    <row r="84" spans="1:14" x14ac:dyDescent="0.25">
      <c r="A84" s="152">
        <v>1315005</v>
      </c>
      <c r="B84" s="73" t="s">
        <v>25</v>
      </c>
      <c r="C84" s="88"/>
      <c r="D84" s="89"/>
      <c r="E84" s="89"/>
      <c r="F84" s="89"/>
      <c r="G84" s="89"/>
      <c r="H84" s="89"/>
      <c r="I84" s="89"/>
      <c r="J84" s="89"/>
      <c r="K84" s="154">
        <f t="shared" si="2"/>
        <v>0</v>
      </c>
      <c r="L84" s="154">
        <f t="shared" si="2"/>
        <v>0</v>
      </c>
      <c r="M84" s="154">
        <f t="shared" si="2"/>
        <v>0</v>
      </c>
      <c r="N84" s="154">
        <f t="shared" si="2"/>
        <v>0</v>
      </c>
    </row>
    <row r="85" spans="1:14" x14ac:dyDescent="0.25">
      <c r="A85" s="152">
        <v>1315005</v>
      </c>
      <c r="B85" s="73" t="s">
        <v>394</v>
      </c>
      <c r="C85" s="88"/>
      <c r="D85" s="89"/>
      <c r="E85" s="89"/>
      <c r="F85" s="89"/>
      <c r="G85" s="89"/>
      <c r="H85" s="89"/>
      <c r="I85" s="89"/>
      <c r="J85" s="89"/>
      <c r="K85" s="154">
        <f t="shared" si="2"/>
        <v>0</v>
      </c>
      <c r="L85" s="154">
        <f t="shared" si="2"/>
        <v>0</v>
      </c>
      <c r="M85" s="154">
        <f t="shared" si="2"/>
        <v>0</v>
      </c>
      <c r="N85" s="154">
        <f t="shared" si="2"/>
        <v>0</v>
      </c>
    </row>
    <row r="86" spans="1:14" x14ac:dyDescent="0.25">
      <c r="A86" s="152">
        <v>1315005</v>
      </c>
      <c r="B86" s="73" t="s">
        <v>350</v>
      </c>
      <c r="C86" s="88"/>
      <c r="D86" s="89"/>
      <c r="E86" s="89"/>
      <c r="F86" s="89"/>
      <c r="G86" s="89"/>
      <c r="H86" s="89"/>
      <c r="I86" s="89"/>
      <c r="J86" s="89"/>
      <c r="K86" s="154">
        <f t="shared" si="2"/>
        <v>0</v>
      </c>
      <c r="L86" s="154">
        <f t="shared" si="2"/>
        <v>0</v>
      </c>
      <c r="M86" s="154">
        <f t="shared" si="2"/>
        <v>0</v>
      </c>
      <c r="N86" s="154">
        <f t="shared" si="2"/>
        <v>0</v>
      </c>
    </row>
    <row r="87" spans="1:14" s="407" customFormat="1" x14ac:dyDescent="0.25">
      <c r="A87" s="152">
        <v>1315005</v>
      </c>
      <c r="B87" s="73" t="s">
        <v>1171</v>
      </c>
      <c r="C87" s="88"/>
      <c r="D87" s="89"/>
      <c r="E87" s="89"/>
      <c r="F87" s="89"/>
      <c r="G87" s="89"/>
      <c r="H87" s="89"/>
      <c r="I87" s="89"/>
      <c r="J87" s="89"/>
      <c r="K87" s="212">
        <f t="shared" si="2"/>
        <v>0</v>
      </c>
      <c r="L87" s="212">
        <f t="shared" si="2"/>
        <v>0</v>
      </c>
      <c r="M87" s="212">
        <f t="shared" si="2"/>
        <v>0</v>
      </c>
      <c r="N87" s="212">
        <f t="shared" si="2"/>
        <v>0</v>
      </c>
    </row>
    <row r="88" spans="1:14" s="407" customFormat="1" x14ac:dyDescent="0.25">
      <c r="A88" s="152">
        <v>1315005</v>
      </c>
      <c r="B88" s="73" t="s">
        <v>1182</v>
      </c>
      <c r="C88" s="88"/>
      <c r="D88" s="89"/>
      <c r="E88" s="89"/>
      <c r="F88" s="89"/>
      <c r="G88" s="89"/>
      <c r="H88" s="89"/>
      <c r="I88" s="89"/>
      <c r="J88" s="89"/>
      <c r="K88" s="212">
        <f t="shared" si="2"/>
        <v>0</v>
      </c>
      <c r="L88" s="212">
        <f t="shared" si="2"/>
        <v>0</v>
      </c>
      <c r="M88" s="212">
        <f t="shared" si="2"/>
        <v>0</v>
      </c>
      <c r="N88" s="212">
        <f t="shared" si="2"/>
        <v>0</v>
      </c>
    </row>
    <row r="89" spans="1:14" s="407" customFormat="1" x14ac:dyDescent="0.25">
      <c r="A89" s="152">
        <v>1315005</v>
      </c>
      <c r="B89" s="73" t="s">
        <v>20</v>
      </c>
      <c r="C89" s="88"/>
      <c r="D89" s="89"/>
      <c r="E89" s="89"/>
      <c r="F89" s="89"/>
      <c r="G89" s="89"/>
      <c r="H89" s="89"/>
      <c r="I89" s="89"/>
      <c r="J89" s="89"/>
      <c r="K89" s="212">
        <f t="shared" si="2"/>
        <v>0</v>
      </c>
      <c r="L89" s="212">
        <f t="shared" si="2"/>
        <v>0</v>
      </c>
      <c r="M89" s="212">
        <f t="shared" si="2"/>
        <v>0</v>
      </c>
      <c r="N89" s="212">
        <f t="shared" si="2"/>
        <v>0</v>
      </c>
    </row>
    <row r="90" spans="1:14" x14ac:dyDescent="0.25">
      <c r="A90" s="152">
        <v>1315005</v>
      </c>
      <c r="B90" s="73" t="s">
        <v>510</v>
      </c>
      <c r="C90" s="88"/>
      <c r="D90" s="89"/>
      <c r="E90" s="89"/>
      <c r="F90" s="89"/>
      <c r="G90" s="89"/>
      <c r="H90" s="89"/>
      <c r="I90" s="89"/>
      <c r="J90" s="89"/>
      <c r="K90" s="154">
        <f t="shared" si="2"/>
        <v>0</v>
      </c>
      <c r="L90" s="154">
        <f t="shared" si="2"/>
        <v>0</v>
      </c>
      <c r="M90" s="154">
        <f t="shared" si="2"/>
        <v>0</v>
      </c>
      <c r="N90" s="154">
        <f t="shared" si="2"/>
        <v>0</v>
      </c>
    </row>
    <row r="91" spans="1:14" x14ac:dyDescent="0.25">
      <c r="A91" s="152">
        <v>1315005</v>
      </c>
      <c r="B91" s="73" t="s">
        <v>272</v>
      </c>
      <c r="C91" s="88"/>
      <c r="D91" s="89"/>
      <c r="E91" s="89"/>
      <c r="F91" s="89"/>
      <c r="G91" s="89"/>
      <c r="H91" s="89"/>
      <c r="I91" s="89"/>
      <c r="J91" s="89"/>
      <c r="K91" s="154">
        <f t="shared" si="2"/>
        <v>0</v>
      </c>
      <c r="L91" s="154">
        <f t="shared" si="2"/>
        <v>0</v>
      </c>
      <c r="M91" s="154">
        <f t="shared" si="2"/>
        <v>0</v>
      </c>
      <c r="N91" s="154">
        <f t="shared" si="2"/>
        <v>0</v>
      </c>
    </row>
    <row r="92" spans="1:14" x14ac:dyDescent="0.25">
      <c r="A92" s="152">
        <v>1315005</v>
      </c>
      <c r="B92" s="51" t="s">
        <v>21</v>
      </c>
      <c r="C92" s="88"/>
      <c r="D92" s="89"/>
      <c r="E92" s="89"/>
      <c r="F92" s="89"/>
      <c r="G92" s="89"/>
      <c r="H92" s="89"/>
      <c r="I92" s="89"/>
      <c r="J92" s="89"/>
      <c r="K92" s="154">
        <f t="shared" si="2"/>
        <v>0</v>
      </c>
      <c r="L92" s="154">
        <f t="shared" si="2"/>
        <v>0</v>
      </c>
      <c r="M92" s="154">
        <f t="shared" si="2"/>
        <v>0</v>
      </c>
      <c r="N92" s="154">
        <f t="shared" si="2"/>
        <v>0</v>
      </c>
    </row>
    <row r="93" spans="1:14" x14ac:dyDescent="0.25">
      <c r="A93" s="152">
        <v>1315005</v>
      </c>
      <c r="B93" s="51" t="s">
        <v>1172</v>
      </c>
      <c r="C93" s="88"/>
      <c r="D93" s="89"/>
      <c r="E93" s="89"/>
      <c r="F93" s="89"/>
      <c r="G93" s="89"/>
      <c r="H93" s="89"/>
      <c r="I93" s="89"/>
      <c r="J93" s="89"/>
      <c r="K93" s="154">
        <f t="shared" si="2"/>
        <v>0</v>
      </c>
      <c r="L93" s="154">
        <f t="shared" si="2"/>
        <v>0</v>
      </c>
      <c r="M93" s="154">
        <f t="shared" si="2"/>
        <v>0</v>
      </c>
      <c r="N93" s="154">
        <f t="shared" si="2"/>
        <v>0</v>
      </c>
    </row>
    <row r="94" spans="1:14" x14ac:dyDescent="0.25">
      <c r="A94" s="152">
        <v>1315005</v>
      </c>
      <c r="B94" s="73" t="s">
        <v>810</v>
      </c>
      <c r="C94" s="88"/>
      <c r="D94" s="89"/>
      <c r="E94" s="89"/>
      <c r="F94" s="89"/>
      <c r="G94" s="89"/>
      <c r="H94" s="89"/>
      <c r="I94" s="89"/>
      <c r="J94" s="89"/>
      <c r="K94" s="154">
        <f t="shared" si="2"/>
        <v>0</v>
      </c>
      <c r="L94" s="154">
        <f t="shared" si="2"/>
        <v>0</v>
      </c>
      <c r="M94" s="154">
        <f t="shared" si="2"/>
        <v>0</v>
      </c>
      <c r="N94" s="154">
        <f t="shared" si="2"/>
        <v>0</v>
      </c>
    </row>
    <row r="95" spans="1:14" x14ac:dyDescent="0.25">
      <c r="A95" s="152">
        <v>1315005</v>
      </c>
      <c r="B95" s="73" t="s">
        <v>811</v>
      </c>
      <c r="C95" s="88"/>
      <c r="D95" s="89"/>
      <c r="E95" s="89"/>
      <c r="F95" s="89"/>
      <c r="G95" s="89"/>
      <c r="H95" s="89"/>
      <c r="I95" s="89"/>
      <c r="J95" s="89"/>
      <c r="K95" s="154">
        <f t="shared" si="2"/>
        <v>0</v>
      </c>
      <c r="L95" s="154">
        <f t="shared" si="2"/>
        <v>0</v>
      </c>
      <c r="M95" s="154">
        <f t="shared" si="2"/>
        <v>0</v>
      </c>
      <c r="N95" s="154">
        <f t="shared" si="2"/>
        <v>0</v>
      </c>
    </row>
    <row r="96" spans="1:14" x14ac:dyDescent="0.25">
      <c r="A96" s="152">
        <v>1315005</v>
      </c>
      <c r="B96" s="51" t="s">
        <v>23</v>
      </c>
      <c r="C96" s="88"/>
      <c r="D96" s="89"/>
      <c r="E96" s="89"/>
      <c r="F96" s="89"/>
      <c r="G96" s="89"/>
      <c r="H96" s="89"/>
      <c r="I96" s="89"/>
      <c r="J96" s="89"/>
      <c r="K96" s="154">
        <f t="shared" si="2"/>
        <v>0</v>
      </c>
      <c r="L96" s="154">
        <f t="shared" si="2"/>
        <v>0</v>
      </c>
      <c r="M96" s="154">
        <f t="shared" si="2"/>
        <v>0</v>
      </c>
      <c r="N96" s="154">
        <f t="shared" si="2"/>
        <v>0</v>
      </c>
    </row>
    <row r="97" spans="1:14" x14ac:dyDescent="0.25">
      <c r="A97" s="152">
        <v>1315005</v>
      </c>
      <c r="B97" s="73" t="s">
        <v>268</v>
      </c>
      <c r="C97" s="88"/>
      <c r="D97" s="89"/>
      <c r="E97" s="89"/>
      <c r="F97" s="89"/>
      <c r="G97" s="89"/>
      <c r="H97" s="89"/>
      <c r="I97" s="89"/>
      <c r="J97" s="89"/>
      <c r="K97" s="154">
        <f t="shared" si="2"/>
        <v>0</v>
      </c>
      <c r="L97" s="154">
        <f t="shared" si="2"/>
        <v>0</v>
      </c>
      <c r="M97" s="154">
        <f t="shared" si="2"/>
        <v>0</v>
      </c>
      <c r="N97" s="154">
        <f t="shared" si="2"/>
        <v>0</v>
      </c>
    </row>
    <row r="98" spans="1:14" x14ac:dyDescent="0.25">
      <c r="A98" s="152">
        <v>1315005</v>
      </c>
      <c r="B98" s="73" t="s">
        <v>267</v>
      </c>
      <c r="C98" s="88"/>
      <c r="D98" s="89"/>
      <c r="E98" s="89"/>
      <c r="F98" s="89"/>
      <c r="G98" s="89"/>
      <c r="H98" s="89"/>
      <c r="I98" s="89"/>
      <c r="J98" s="89"/>
      <c r="K98" s="154">
        <f t="shared" si="2"/>
        <v>0</v>
      </c>
      <c r="L98" s="154">
        <f t="shared" si="2"/>
        <v>0</v>
      </c>
      <c r="M98" s="154">
        <f t="shared" si="2"/>
        <v>0</v>
      </c>
      <c r="N98" s="154">
        <f t="shared" si="2"/>
        <v>0</v>
      </c>
    </row>
    <row r="99" spans="1:14" ht="15.75" thickBot="1" x14ac:dyDescent="0.3">
      <c r="A99" s="152">
        <v>1315005</v>
      </c>
      <c r="B99" s="73" t="s">
        <v>920</v>
      </c>
      <c r="C99" s="88"/>
      <c r="D99" s="89"/>
      <c r="E99" s="89"/>
      <c r="F99" s="89"/>
      <c r="G99" s="89"/>
      <c r="H99" s="89"/>
      <c r="I99" s="89"/>
      <c r="J99" s="89"/>
      <c r="K99" s="154">
        <f t="shared" si="2"/>
        <v>0</v>
      </c>
      <c r="L99" s="154">
        <f t="shared" si="2"/>
        <v>0</v>
      </c>
      <c r="M99" s="154">
        <f t="shared" si="2"/>
        <v>0</v>
      </c>
      <c r="N99" s="154">
        <f t="shared" si="2"/>
        <v>0</v>
      </c>
    </row>
    <row r="100" spans="1:14" x14ac:dyDescent="0.25">
      <c r="A100" s="151">
        <v>1320000</v>
      </c>
      <c r="B100" s="84" t="s">
        <v>19</v>
      </c>
      <c r="C100" s="85"/>
      <c r="D100" s="86"/>
      <c r="E100" s="86"/>
      <c r="F100" s="86"/>
      <c r="G100" s="86"/>
      <c r="H100" s="86"/>
      <c r="I100" s="86"/>
      <c r="J100" s="86"/>
      <c r="K100" s="156">
        <f t="shared" si="2"/>
        <v>0</v>
      </c>
      <c r="L100" s="156">
        <f t="shared" si="2"/>
        <v>0</v>
      </c>
      <c r="M100" s="156">
        <f t="shared" si="2"/>
        <v>0</v>
      </c>
      <c r="N100" s="156">
        <f t="shared" si="2"/>
        <v>0</v>
      </c>
    </row>
    <row r="101" spans="1:14" x14ac:dyDescent="0.25">
      <c r="A101" s="152">
        <v>1320000</v>
      </c>
      <c r="B101" s="73" t="s">
        <v>18</v>
      </c>
      <c r="C101" s="88"/>
      <c r="D101" s="89"/>
      <c r="E101" s="89"/>
      <c r="F101" s="89"/>
      <c r="G101" s="89"/>
      <c r="H101" s="89"/>
      <c r="I101" s="89"/>
      <c r="J101" s="89"/>
      <c r="K101" s="154">
        <f t="shared" si="2"/>
        <v>0</v>
      </c>
      <c r="L101" s="154">
        <f t="shared" si="2"/>
        <v>0</v>
      </c>
      <c r="M101" s="154">
        <f t="shared" si="2"/>
        <v>0</v>
      </c>
      <c r="N101" s="154">
        <f t="shared" si="2"/>
        <v>0</v>
      </c>
    </row>
    <row r="102" spans="1:14" x14ac:dyDescent="0.25">
      <c r="A102" s="152">
        <v>1320000</v>
      </c>
      <c r="B102" s="73" t="s">
        <v>22</v>
      </c>
      <c r="C102" s="88"/>
      <c r="D102" s="89"/>
      <c r="E102" s="89"/>
      <c r="F102" s="89"/>
      <c r="G102" s="89"/>
      <c r="H102" s="89"/>
      <c r="I102" s="89"/>
      <c r="J102" s="89"/>
      <c r="K102" s="154">
        <f t="shared" si="2"/>
        <v>0</v>
      </c>
      <c r="L102" s="154">
        <f t="shared" si="2"/>
        <v>0</v>
      </c>
      <c r="M102" s="154">
        <f t="shared" si="2"/>
        <v>0</v>
      </c>
      <c r="N102" s="154">
        <f t="shared" si="2"/>
        <v>0</v>
      </c>
    </row>
    <row r="103" spans="1:14" x14ac:dyDescent="0.25">
      <c r="A103" s="152">
        <v>1320000</v>
      </c>
      <c r="B103" s="73" t="s">
        <v>24</v>
      </c>
      <c r="C103" s="88"/>
      <c r="D103" s="89"/>
      <c r="E103" s="89"/>
      <c r="F103" s="89"/>
      <c r="G103" s="89"/>
      <c r="H103" s="89"/>
      <c r="I103" s="89"/>
      <c r="J103" s="89"/>
      <c r="K103" s="154">
        <f t="shared" si="2"/>
        <v>0</v>
      </c>
      <c r="L103" s="154">
        <f t="shared" si="2"/>
        <v>0</v>
      </c>
      <c r="M103" s="154">
        <f t="shared" si="2"/>
        <v>0</v>
      </c>
      <c r="N103" s="154">
        <f t="shared" si="2"/>
        <v>0</v>
      </c>
    </row>
    <row r="104" spans="1:14" x14ac:dyDescent="0.25">
      <c r="A104" s="152">
        <v>1320000</v>
      </c>
      <c r="B104" s="73" t="s">
        <v>25</v>
      </c>
      <c r="C104" s="88"/>
      <c r="D104" s="89"/>
      <c r="E104" s="89"/>
      <c r="F104" s="89"/>
      <c r="G104" s="89"/>
      <c r="H104" s="89"/>
      <c r="I104" s="89"/>
      <c r="J104" s="89"/>
      <c r="K104" s="154">
        <f t="shared" ref="K104:N127" si="3">SUMIFS(K$26:K$58,$A$26:$A$58,$A104,$B$26:$B$58,$B104)</f>
        <v>0</v>
      </c>
      <c r="L104" s="154">
        <f t="shared" si="3"/>
        <v>0</v>
      </c>
      <c r="M104" s="154">
        <f t="shared" si="3"/>
        <v>0</v>
      </c>
      <c r="N104" s="154">
        <f t="shared" si="3"/>
        <v>0</v>
      </c>
    </row>
    <row r="105" spans="1:14" x14ac:dyDescent="0.25">
      <c r="A105" s="152">
        <v>1320000</v>
      </c>
      <c r="B105" s="73" t="s">
        <v>394</v>
      </c>
      <c r="C105" s="88"/>
      <c r="D105" s="89"/>
      <c r="E105" s="89"/>
      <c r="F105" s="89"/>
      <c r="G105" s="89"/>
      <c r="H105" s="89"/>
      <c r="I105" s="89"/>
      <c r="J105" s="89"/>
      <c r="K105" s="154">
        <f t="shared" si="3"/>
        <v>0</v>
      </c>
      <c r="L105" s="154">
        <f t="shared" si="3"/>
        <v>0</v>
      </c>
      <c r="M105" s="154">
        <f t="shared" si="3"/>
        <v>0</v>
      </c>
      <c r="N105" s="154">
        <f t="shared" si="3"/>
        <v>0</v>
      </c>
    </row>
    <row r="106" spans="1:14" x14ac:dyDescent="0.25">
      <c r="A106" s="152">
        <v>1320000</v>
      </c>
      <c r="B106" s="73" t="s">
        <v>350</v>
      </c>
      <c r="C106" s="88"/>
      <c r="D106" s="89"/>
      <c r="E106" s="89"/>
      <c r="F106" s="89"/>
      <c r="G106" s="89"/>
      <c r="H106" s="89"/>
      <c r="I106" s="89"/>
      <c r="J106" s="89"/>
      <c r="K106" s="154">
        <f t="shared" si="3"/>
        <v>0</v>
      </c>
      <c r="L106" s="154">
        <f t="shared" si="3"/>
        <v>0</v>
      </c>
      <c r="M106" s="154">
        <f t="shared" si="3"/>
        <v>0</v>
      </c>
      <c r="N106" s="154">
        <f t="shared" si="3"/>
        <v>0</v>
      </c>
    </row>
    <row r="107" spans="1:14" s="407" customFormat="1" x14ac:dyDescent="0.25">
      <c r="A107" s="152">
        <v>1320000</v>
      </c>
      <c r="B107" s="73" t="s">
        <v>1171</v>
      </c>
      <c r="C107" s="88"/>
      <c r="D107" s="89"/>
      <c r="E107" s="89"/>
      <c r="F107" s="89"/>
      <c r="G107" s="89"/>
      <c r="H107" s="89"/>
      <c r="I107" s="89"/>
      <c r="J107" s="89"/>
      <c r="K107" s="212">
        <f t="shared" si="3"/>
        <v>0</v>
      </c>
      <c r="L107" s="212">
        <f t="shared" si="3"/>
        <v>0</v>
      </c>
      <c r="M107" s="212">
        <f t="shared" si="3"/>
        <v>0</v>
      </c>
      <c r="N107" s="212">
        <f t="shared" si="3"/>
        <v>0</v>
      </c>
    </row>
    <row r="108" spans="1:14" s="407" customFormat="1" x14ac:dyDescent="0.25">
      <c r="A108" s="152">
        <v>1320000</v>
      </c>
      <c r="B108" s="73" t="s">
        <v>1182</v>
      </c>
      <c r="C108" s="88"/>
      <c r="D108" s="89"/>
      <c r="E108" s="89"/>
      <c r="F108" s="89"/>
      <c r="G108" s="89"/>
      <c r="H108" s="89"/>
      <c r="I108" s="89"/>
      <c r="J108" s="89"/>
      <c r="K108" s="212">
        <f t="shared" si="3"/>
        <v>0</v>
      </c>
      <c r="L108" s="212">
        <f t="shared" si="3"/>
        <v>0</v>
      </c>
      <c r="M108" s="212">
        <f t="shared" si="3"/>
        <v>0</v>
      </c>
      <c r="N108" s="212">
        <f t="shared" si="3"/>
        <v>0</v>
      </c>
    </row>
    <row r="109" spans="1:14" x14ac:dyDescent="0.25">
      <c r="A109" s="152">
        <v>1320000</v>
      </c>
      <c r="B109" s="73" t="s">
        <v>20</v>
      </c>
      <c r="C109" s="88"/>
      <c r="D109" s="89"/>
      <c r="E109" s="89"/>
      <c r="F109" s="89"/>
      <c r="G109" s="89"/>
      <c r="H109" s="89"/>
      <c r="I109" s="89"/>
      <c r="J109" s="89"/>
      <c r="K109" s="154">
        <f t="shared" si="3"/>
        <v>0</v>
      </c>
      <c r="L109" s="154">
        <f t="shared" si="3"/>
        <v>0</v>
      </c>
      <c r="M109" s="154">
        <f t="shared" si="3"/>
        <v>0</v>
      </c>
      <c r="N109" s="154">
        <f t="shared" si="3"/>
        <v>0</v>
      </c>
    </row>
    <row r="110" spans="1:14" x14ac:dyDescent="0.25">
      <c r="A110" s="152">
        <v>1320000</v>
      </c>
      <c r="B110" s="73" t="s">
        <v>510</v>
      </c>
      <c r="C110" s="88"/>
      <c r="D110" s="89"/>
      <c r="E110" s="89"/>
      <c r="F110" s="89"/>
      <c r="G110" s="89"/>
      <c r="H110" s="89"/>
      <c r="I110" s="89"/>
      <c r="J110" s="89"/>
      <c r="K110" s="154">
        <f t="shared" si="3"/>
        <v>0</v>
      </c>
      <c r="L110" s="154">
        <f t="shared" si="3"/>
        <v>0</v>
      </c>
      <c r="M110" s="154">
        <f t="shared" si="3"/>
        <v>0</v>
      </c>
      <c r="N110" s="154">
        <f t="shared" si="3"/>
        <v>0</v>
      </c>
    </row>
    <row r="111" spans="1:14" x14ac:dyDescent="0.25">
      <c r="A111" s="152">
        <v>1320000</v>
      </c>
      <c r="B111" s="73" t="s">
        <v>272</v>
      </c>
      <c r="C111" s="88"/>
      <c r="D111" s="89"/>
      <c r="E111" s="89"/>
      <c r="F111" s="89"/>
      <c r="G111" s="89"/>
      <c r="H111" s="89"/>
      <c r="I111" s="89"/>
      <c r="J111" s="89"/>
      <c r="K111" s="154">
        <f t="shared" si="3"/>
        <v>0</v>
      </c>
      <c r="L111" s="154">
        <f t="shared" si="3"/>
        <v>0</v>
      </c>
      <c r="M111" s="154">
        <f t="shared" si="3"/>
        <v>0</v>
      </c>
      <c r="N111" s="154">
        <f t="shared" si="3"/>
        <v>0</v>
      </c>
    </row>
    <row r="112" spans="1:14" x14ac:dyDescent="0.25">
      <c r="A112" s="152">
        <v>1320000</v>
      </c>
      <c r="B112" s="51" t="s">
        <v>21</v>
      </c>
      <c r="C112" s="88"/>
      <c r="D112" s="89"/>
      <c r="E112" s="89"/>
      <c r="F112" s="89"/>
      <c r="G112" s="89"/>
      <c r="H112" s="89"/>
      <c r="I112" s="89"/>
      <c r="J112" s="89"/>
      <c r="K112" s="154">
        <f t="shared" si="3"/>
        <v>0</v>
      </c>
      <c r="L112" s="154">
        <f t="shared" si="3"/>
        <v>0</v>
      </c>
      <c r="M112" s="154">
        <f t="shared" si="3"/>
        <v>0</v>
      </c>
      <c r="N112" s="154">
        <f t="shared" si="3"/>
        <v>0</v>
      </c>
    </row>
    <row r="113" spans="1:14" x14ac:dyDescent="0.25">
      <c r="A113" s="152">
        <v>1320000</v>
      </c>
      <c r="B113" s="51" t="s">
        <v>1172</v>
      </c>
      <c r="C113" s="88"/>
      <c r="D113" s="89"/>
      <c r="E113" s="89"/>
      <c r="F113" s="89"/>
      <c r="G113" s="89"/>
      <c r="H113" s="89"/>
      <c r="I113" s="89"/>
      <c r="J113" s="89"/>
      <c r="K113" s="154">
        <f t="shared" si="3"/>
        <v>0</v>
      </c>
      <c r="L113" s="154">
        <f t="shared" si="3"/>
        <v>0</v>
      </c>
      <c r="M113" s="154">
        <f t="shared" si="3"/>
        <v>0</v>
      </c>
      <c r="N113" s="154">
        <f t="shared" si="3"/>
        <v>0</v>
      </c>
    </row>
    <row r="114" spans="1:14" x14ac:dyDescent="0.25">
      <c r="A114" s="152">
        <v>1320000</v>
      </c>
      <c r="B114" s="73" t="s">
        <v>810</v>
      </c>
      <c r="C114" s="88"/>
      <c r="D114" s="89"/>
      <c r="E114" s="89"/>
      <c r="F114" s="89"/>
      <c r="G114" s="89"/>
      <c r="H114" s="89"/>
      <c r="I114" s="89"/>
      <c r="J114" s="89"/>
      <c r="K114" s="154">
        <f t="shared" si="3"/>
        <v>0</v>
      </c>
      <c r="L114" s="154">
        <f t="shared" si="3"/>
        <v>0</v>
      </c>
      <c r="M114" s="154">
        <f t="shared" si="3"/>
        <v>0</v>
      </c>
      <c r="N114" s="154">
        <f t="shared" si="3"/>
        <v>0</v>
      </c>
    </row>
    <row r="115" spans="1:14" x14ac:dyDescent="0.25">
      <c r="A115" s="152">
        <v>1320000</v>
      </c>
      <c r="B115" s="73" t="s">
        <v>811</v>
      </c>
      <c r="C115" s="88"/>
      <c r="D115" s="89"/>
      <c r="E115" s="89"/>
      <c r="F115" s="89"/>
      <c r="G115" s="89"/>
      <c r="H115" s="89"/>
      <c r="I115" s="89"/>
      <c r="J115" s="89"/>
      <c r="K115" s="154">
        <f t="shared" si="3"/>
        <v>0</v>
      </c>
      <c r="L115" s="154">
        <f t="shared" si="3"/>
        <v>0</v>
      </c>
      <c r="M115" s="154">
        <f t="shared" si="3"/>
        <v>0</v>
      </c>
      <c r="N115" s="154">
        <f t="shared" si="3"/>
        <v>0</v>
      </c>
    </row>
    <row r="116" spans="1:14" x14ac:dyDescent="0.25">
      <c r="A116" s="152">
        <v>1320000</v>
      </c>
      <c r="B116" s="51" t="s">
        <v>23</v>
      </c>
      <c r="C116" s="88"/>
      <c r="D116" s="89"/>
      <c r="E116" s="89"/>
      <c r="F116" s="89"/>
      <c r="G116" s="89"/>
      <c r="H116" s="89"/>
      <c r="I116" s="89"/>
      <c r="J116" s="89"/>
      <c r="K116" s="154">
        <f t="shared" si="3"/>
        <v>0</v>
      </c>
      <c r="L116" s="154">
        <f t="shared" si="3"/>
        <v>0</v>
      </c>
      <c r="M116" s="154">
        <f t="shared" si="3"/>
        <v>0</v>
      </c>
      <c r="N116" s="154">
        <f t="shared" si="3"/>
        <v>0</v>
      </c>
    </row>
    <row r="117" spans="1:14" x14ac:dyDescent="0.25">
      <c r="A117" s="152">
        <v>1320000</v>
      </c>
      <c r="B117" s="73" t="s">
        <v>268</v>
      </c>
      <c r="C117" s="88"/>
      <c r="D117" s="89"/>
      <c r="E117" s="89"/>
      <c r="F117" s="89"/>
      <c r="G117" s="89"/>
      <c r="H117" s="89"/>
      <c r="I117" s="89"/>
      <c r="J117" s="89"/>
      <c r="K117" s="154">
        <f t="shared" si="3"/>
        <v>0</v>
      </c>
      <c r="L117" s="154">
        <f t="shared" si="3"/>
        <v>0</v>
      </c>
      <c r="M117" s="154">
        <f t="shared" si="3"/>
        <v>0</v>
      </c>
      <c r="N117" s="154">
        <f t="shared" si="3"/>
        <v>0</v>
      </c>
    </row>
    <row r="118" spans="1:14" x14ac:dyDescent="0.25">
      <c r="A118" s="152">
        <v>1320000</v>
      </c>
      <c r="B118" s="73" t="s">
        <v>267</v>
      </c>
      <c r="C118" s="88"/>
      <c r="D118" s="89"/>
      <c r="E118" s="89"/>
      <c r="F118" s="89"/>
      <c r="G118" s="89"/>
      <c r="H118" s="89"/>
      <c r="I118" s="89"/>
      <c r="J118" s="89"/>
      <c r="K118" s="154">
        <f t="shared" si="3"/>
        <v>0</v>
      </c>
      <c r="L118" s="154">
        <f t="shared" si="3"/>
        <v>0</v>
      </c>
      <c r="M118" s="154">
        <f t="shared" si="3"/>
        <v>0</v>
      </c>
      <c r="N118" s="154">
        <f t="shared" si="3"/>
        <v>0</v>
      </c>
    </row>
    <row r="119" spans="1:14" ht="15.75" thickBot="1" x14ac:dyDescent="0.3">
      <c r="A119" s="152">
        <v>1320000</v>
      </c>
      <c r="B119" s="73" t="s">
        <v>920</v>
      </c>
      <c r="C119" s="88"/>
      <c r="D119" s="89"/>
      <c r="E119" s="89"/>
      <c r="F119" s="89"/>
      <c r="G119" s="89"/>
      <c r="H119" s="89"/>
      <c r="I119" s="89"/>
      <c r="J119" s="89"/>
      <c r="K119" s="154">
        <f t="shared" si="3"/>
        <v>0</v>
      </c>
      <c r="L119" s="154">
        <f t="shared" si="3"/>
        <v>0</v>
      </c>
      <c r="M119" s="154">
        <f t="shared" si="3"/>
        <v>0</v>
      </c>
      <c r="N119" s="154">
        <f t="shared" si="3"/>
        <v>0</v>
      </c>
    </row>
    <row r="120" spans="1:14" x14ac:dyDescent="0.25">
      <c r="A120" s="151">
        <v>1325000</v>
      </c>
      <c r="B120" s="84" t="s">
        <v>19</v>
      </c>
      <c r="C120" s="85"/>
      <c r="D120" s="86"/>
      <c r="E120" s="86"/>
      <c r="F120" s="86"/>
      <c r="G120" s="86"/>
      <c r="H120" s="86"/>
      <c r="I120" s="86"/>
      <c r="J120" s="86"/>
      <c r="K120" s="156">
        <f t="shared" si="3"/>
        <v>0</v>
      </c>
      <c r="L120" s="156">
        <f t="shared" si="3"/>
        <v>0</v>
      </c>
      <c r="M120" s="156">
        <f t="shared" si="3"/>
        <v>0</v>
      </c>
      <c r="N120" s="156">
        <f t="shared" si="3"/>
        <v>0</v>
      </c>
    </row>
    <row r="121" spans="1:14" x14ac:dyDescent="0.25">
      <c r="A121" s="152">
        <v>1325000</v>
      </c>
      <c r="B121" s="73" t="s">
        <v>18</v>
      </c>
      <c r="C121" s="88"/>
      <c r="D121" s="89"/>
      <c r="E121" s="89"/>
      <c r="F121" s="89"/>
      <c r="G121" s="89"/>
      <c r="H121" s="89"/>
      <c r="I121" s="89"/>
      <c r="J121" s="89"/>
      <c r="K121" s="154">
        <f t="shared" si="3"/>
        <v>0</v>
      </c>
      <c r="L121" s="154">
        <f t="shared" si="3"/>
        <v>0</v>
      </c>
      <c r="M121" s="154">
        <f t="shared" si="3"/>
        <v>0</v>
      </c>
      <c r="N121" s="154">
        <f t="shared" si="3"/>
        <v>0</v>
      </c>
    </row>
    <row r="122" spans="1:14" x14ac:dyDescent="0.25">
      <c r="A122" s="152">
        <v>1325000</v>
      </c>
      <c r="B122" s="73" t="s">
        <v>22</v>
      </c>
      <c r="C122" s="88"/>
      <c r="D122" s="89"/>
      <c r="E122" s="89"/>
      <c r="F122" s="89"/>
      <c r="G122" s="89"/>
      <c r="H122" s="89"/>
      <c r="I122" s="89"/>
      <c r="J122" s="89"/>
      <c r="K122" s="154">
        <f t="shared" si="3"/>
        <v>0</v>
      </c>
      <c r="L122" s="154">
        <f t="shared" si="3"/>
        <v>0</v>
      </c>
      <c r="M122" s="154">
        <f t="shared" si="3"/>
        <v>0</v>
      </c>
      <c r="N122" s="154">
        <f t="shared" si="3"/>
        <v>0</v>
      </c>
    </row>
    <row r="123" spans="1:14" x14ac:dyDescent="0.25">
      <c r="A123" s="152">
        <v>1325000</v>
      </c>
      <c r="B123" s="73" t="s">
        <v>24</v>
      </c>
      <c r="C123" s="88"/>
      <c r="D123" s="89"/>
      <c r="E123" s="89"/>
      <c r="F123" s="89"/>
      <c r="G123" s="89"/>
      <c r="H123" s="89"/>
      <c r="I123" s="89"/>
      <c r="J123" s="89"/>
      <c r="K123" s="154">
        <f t="shared" si="3"/>
        <v>0</v>
      </c>
      <c r="L123" s="154">
        <f t="shared" si="3"/>
        <v>0</v>
      </c>
      <c r="M123" s="154">
        <f t="shared" si="3"/>
        <v>0</v>
      </c>
      <c r="N123" s="154">
        <f t="shared" si="3"/>
        <v>0</v>
      </c>
    </row>
    <row r="124" spans="1:14" x14ac:dyDescent="0.25">
      <c r="A124" s="152">
        <v>1325000</v>
      </c>
      <c r="B124" s="73" t="s">
        <v>25</v>
      </c>
      <c r="C124" s="88"/>
      <c r="D124" s="89"/>
      <c r="E124" s="89"/>
      <c r="F124" s="89"/>
      <c r="G124" s="89"/>
      <c r="H124" s="89"/>
      <c r="I124" s="89"/>
      <c r="J124" s="89"/>
      <c r="K124" s="154">
        <f t="shared" si="3"/>
        <v>0</v>
      </c>
      <c r="L124" s="154">
        <f t="shared" si="3"/>
        <v>0</v>
      </c>
      <c r="M124" s="154">
        <f t="shared" si="3"/>
        <v>0</v>
      </c>
      <c r="N124" s="154">
        <f t="shared" si="3"/>
        <v>0</v>
      </c>
    </row>
    <row r="125" spans="1:14" x14ac:dyDescent="0.25">
      <c r="A125" s="152">
        <v>1325000</v>
      </c>
      <c r="B125" s="73" t="s">
        <v>394</v>
      </c>
      <c r="C125" s="88"/>
      <c r="D125" s="89"/>
      <c r="E125" s="89"/>
      <c r="F125" s="89"/>
      <c r="G125" s="89"/>
      <c r="H125" s="89"/>
      <c r="I125" s="89"/>
      <c r="J125" s="89"/>
      <c r="K125" s="154">
        <f t="shared" si="3"/>
        <v>0</v>
      </c>
      <c r="L125" s="154">
        <f t="shared" si="3"/>
        <v>0</v>
      </c>
      <c r="M125" s="154">
        <f t="shared" si="3"/>
        <v>0</v>
      </c>
      <c r="N125" s="154">
        <f t="shared" si="3"/>
        <v>0</v>
      </c>
    </row>
    <row r="126" spans="1:14" x14ac:dyDescent="0.25">
      <c r="A126" s="152">
        <v>1325000</v>
      </c>
      <c r="B126" s="73" t="s">
        <v>350</v>
      </c>
      <c r="C126" s="88"/>
      <c r="D126" s="89"/>
      <c r="E126" s="89"/>
      <c r="F126" s="89"/>
      <c r="G126" s="89"/>
      <c r="H126" s="89"/>
      <c r="I126" s="89"/>
      <c r="J126" s="89"/>
      <c r="K126" s="154">
        <f t="shared" ref="K126:N149" si="4">SUMIFS(K$26:K$58,$A$26:$A$58,$A126,$B$26:$B$58,$B126)</f>
        <v>0</v>
      </c>
      <c r="L126" s="154">
        <f t="shared" si="4"/>
        <v>0</v>
      </c>
      <c r="M126" s="154">
        <f t="shared" si="4"/>
        <v>0</v>
      </c>
      <c r="N126" s="154">
        <f t="shared" si="4"/>
        <v>0</v>
      </c>
    </row>
    <row r="127" spans="1:14" s="407" customFormat="1" x14ac:dyDescent="0.25">
      <c r="A127" s="152">
        <v>1325000</v>
      </c>
      <c r="B127" s="73" t="s">
        <v>1171</v>
      </c>
      <c r="C127" s="88"/>
      <c r="D127" s="89"/>
      <c r="E127" s="89"/>
      <c r="F127" s="89"/>
      <c r="G127" s="89"/>
      <c r="H127" s="89"/>
      <c r="I127" s="89"/>
      <c r="J127" s="89"/>
      <c r="K127" s="212">
        <f t="shared" si="3"/>
        <v>0</v>
      </c>
      <c r="L127" s="212">
        <f t="shared" si="3"/>
        <v>0</v>
      </c>
      <c r="M127" s="212">
        <f t="shared" si="3"/>
        <v>0</v>
      </c>
      <c r="N127" s="212">
        <f t="shared" si="3"/>
        <v>0</v>
      </c>
    </row>
    <row r="128" spans="1:14" s="407" customFormat="1" x14ac:dyDescent="0.25">
      <c r="A128" s="152">
        <v>1325000</v>
      </c>
      <c r="B128" s="73" t="s">
        <v>1182</v>
      </c>
      <c r="C128" s="88"/>
      <c r="D128" s="89"/>
      <c r="E128" s="89"/>
      <c r="F128" s="89"/>
      <c r="G128" s="89"/>
      <c r="H128" s="89"/>
      <c r="I128" s="89"/>
      <c r="J128" s="89"/>
      <c r="K128" s="212">
        <f>SUMIFS(K$26:K$58,$A$26:$A$58,$A128,$B$26:$B$58,$B128)</f>
        <v>0</v>
      </c>
      <c r="L128" s="212">
        <f>SUMIFS(L$26:L$58,$A$26:$A$58,$A128,$B$26:$B$58,$B128)</f>
        <v>0</v>
      </c>
      <c r="M128" s="212">
        <f>SUMIFS(M$26:M$58,$A$26:$A$58,$A128,$B$26:$B$58,$B128)</f>
        <v>0</v>
      </c>
      <c r="N128" s="212">
        <f>SUMIFS(N$26:N$58,$A$26:$A$58,$A128,$B$26:$B$58,$B128)</f>
        <v>0</v>
      </c>
    </row>
    <row r="129" spans="1:14" x14ac:dyDescent="0.25">
      <c r="A129" s="152">
        <v>1325000</v>
      </c>
      <c r="B129" s="73" t="s">
        <v>20</v>
      </c>
      <c r="C129" s="88"/>
      <c r="D129" s="89"/>
      <c r="E129" s="89"/>
      <c r="F129" s="89"/>
      <c r="G129" s="89"/>
      <c r="H129" s="89"/>
      <c r="I129" s="89"/>
      <c r="J129" s="89"/>
      <c r="K129" s="154">
        <f t="shared" si="4"/>
        <v>0</v>
      </c>
      <c r="L129" s="154">
        <f t="shared" si="4"/>
        <v>0</v>
      </c>
      <c r="M129" s="154">
        <f t="shared" si="4"/>
        <v>0</v>
      </c>
      <c r="N129" s="154">
        <f t="shared" si="4"/>
        <v>0</v>
      </c>
    </row>
    <row r="130" spans="1:14" x14ac:dyDescent="0.25">
      <c r="A130" s="152">
        <v>1325000</v>
      </c>
      <c r="B130" s="73" t="s">
        <v>510</v>
      </c>
      <c r="C130" s="88"/>
      <c r="D130" s="89"/>
      <c r="E130" s="89"/>
      <c r="F130" s="89"/>
      <c r="G130" s="89"/>
      <c r="H130" s="89"/>
      <c r="I130" s="89"/>
      <c r="J130" s="89"/>
      <c r="K130" s="154">
        <f t="shared" si="4"/>
        <v>0</v>
      </c>
      <c r="L130" s="154">
        <f t="shared" si="4"/>
        <v>0</v>
      </c>
      <c r="M130" s="154">
        <f t="shared" si="4"/>
        <v>0</v>
      </c>
      <c r="N130" s="154">
        <f t="shared" si="4"/>
        <v>0</v>
      </c>
    </row>
    <row r="131" spans="1:14" x14ac:dyDescent="0.25">
      <c r="A131" s="152">
        <v>1325000</v>
      </c>
      <c r="B131" s="73" t="s">
        <v>272</v>
      </c>
      <c r="C131" s="88"/>
      <c r="D131" s="89"/>
      <c r="E131" s="89"/>
      <c r="F131" s="89"/>
      <c r="G131" s="89"/>
      <c r="H131" s="89"/>
      <c r="I131" s="89"/>
      <c r="J131" s="89"/>
      <c r="K131" s="154">
        <f t="shared" si="4"/>
        <v>0</v>
      </c>
      <c r="L131" s="154">
        <f t="shared" si="4"/>
        <v>0</v>
      </c>
      <c r="M131" s="154">
        <f t="shared" si="4"/>
        <v>0</v>
      </c>
      <c r="N131" s="154">
        <f t="shared" si="4"/>
        <v>0</v>
      </c>
    </row>
    <row r="132" spans="1:14" x14ac:dyDescent="0.25">
      <c r="A132" s="152">
        <v>1325000</v>
      </c>
      <c r="B132" s="51" t="s">
        <v>21</v>
      </c>
      <c r="C132" s="88"/>
      <c r="D132" s="89"/>
      <c r="E132" s="89"/>
      <c r="F132" s="89"/>
      <c r="G132" s="89"/>
      <c r="H132" s="89"/>
      <c r="I132" s="89"/>
      <c r="J132" s="89"/>
      <c r="K132" s="154">
        <f t="shared" si="4"/>
        <v>0</v>
      </c>
      <c r="L132" s="154">
        <f t="shared" si="4"/>
        <v>0</v>
      </c>
      <c r="M132" s="154">
        <f t="shared" si="4"/>
        <v>0</v>
      </c>
      <c r="N132" s="154">
        <f t="shared" si="4"/>
        <v>0</v>
      </c>
    </row>
    <row r="133" spans="1:14" x14ac:dyDescent="0.25">
      <c r="A133" s="152">
        <v>1325000</v>
      </c>
      <c r="B133" s="51" t="s">
        <v>1172</v>
      </c>
      <c r="C133" s="88"/>
      <c r="D133" s="89"/>
      <c r="E133" s="89"/>
      <c r="F133" s="89"/>
      <c r="G133" s="89"/>
      <c r="H133" s="89"/>
      <c r="I133" s="89"/>
      <c r="J133" s="89"/>
      <c r="K133" s="154">
        <f t="shared" si="4"/>
        <v>0</v>
      </c>
      <c r="L133" s="154">
        <f t="shared" si="4"/>
        <v>0</v>
      </c>
      <c r="M133" s="154">
        <f t="shared" si="4"/>
        <v>0</v>
      </c>
      <c r="N133" s="154">
        <f t="shared" si="4"/>
        <v>0</v>
      </c>
    </row>
    <row r="134" spans="1:14" x14ac:dyDescent="0.25">
      <c r="A134" s="152">
        <v>1325000</v>
      </c>
      <c r="B134" s="73" t="s">
        <v>810</v>
      </c>
      <c r="C134" s="88"/>
      <c r="D134" s="89"/>
      <c r="E134" s="89"/>
      <c r="F134" s="89"/>
      <c r="G134" s="89"/>
      <c r="H134" s="89"/>
      <c r="I134" s="89"/>
      <c r="J134" s="89"/>
      <c r="K134" s="154">
        <f t="shared" si="4"/>
        <v>0</v>
      </c>
      <c r="L134" s="154">
        <f t="shared" si="4"/>
        <v>0</v>
      </c>
      <c r="M134" s="154">
        <f t="shared" si="4"/>
        <v>0</v>
      </c>
      <c r="N134" s="154">
        <f t="shared" si="4"/>
        <v>0</v>
      </c>
    </row>
    <row r="135" spans="1:14" x14ac:dyDescent="0.25">
      <c r="A135" s="152">
        <v>1325000</v>
      </c>
      <c r="B135" s="73" t="s">
        <v>811</v>
      </c>
      <c r="C135" s="88"/>
      <c r="D135" s="89"/>
      <c r="E135" s="89"/>
      <c r="F135" s="89"/>
      <c r="G135" s="89"/>
      <c r="H135" s="89"/>
      <c r="I135" s="89"/>
      <c r="J135" s="89"/>
      <c r="K135" s="154">
        <f t="shared" si="4"/>
        <v>0</v>
      </c>
      <c r="L135" s="154">
        <f t="shared" si="4"/>
        <v>0</v>
      </c>
      <c r="M135" s="154">
        <f t="shared" si="4"/>
        <v>0</v>
      </c>
      <c r="N135" s="154">
        <f t="shared" si="4"/>
        <v>0</v>
      </c>
    </row>
    <row r="136" spans="1:14" x14ac:dyDescent="0.25">
      <c r="A136" s="152">
        <v>1325000</v>
      </c>
      <c r="B136" s="51" t="s">
        <v>23</v>
      </c>
      <c r="C136" s="88"/>
      <c r="D136" s="89"/>
      <c r="E136" s="89"/>
      <c r="F136" s="89"/>
      <c r="G136" s="89"/>
      <c r="H136" s="89"/>
      <c r="I136" s="89"/>
      <c r="J136" s="89"/>
      <c r="K136" s="154">
        <f t="shared" si="4"/>
        <v>0</v>
      </c>
      <c r="L136" s="154">
        <f t="shared" si="4"/>
        <v>0</v>
      </c>
      <c r="M136" s="154">
        <f t="shared" si="4"/>
        <v>0</v>
      </c>
      <c r="N136" s="154">
        <f t="shared" si="4"/>
        <v>0</v>
      </c>
    </row>
    <row r="137" spans="1:14" x14ac:dyDescent="0.25">
      <c r="A137" s="152">
        <v>1325000</v>
      </c>
      <c r="B137" s="73" t="s">
        <v>268</v>
      </c>
      <c r="C137" s="88"/>
      <c r="D137" s="89"/>
      <c r="E137" s="89"/>
      <c r="F137" s="89"/>
      <c r="G137" s="89"/>
      <c r="H137" s="89"/>
      <c r="I137" s="89"/>
      <c r="J137" s="89"/>
      <c r="K137" s="154">
        <f t="shared" si="4"/>
        <v>0</v>
      </c>
      <c r="L137" s="154">
        <f t="shared" si="4"/>
        <v>0</v>
      </c>
      <c r="M137" s="154">
        <f t="shared" si="4"/>
        <v>0</v>
      </c>
      <c r="N137" s="154">
        <f t="shared" si="4"/>
        <v>0</v>
      </c>
    </row>
    <row r="138" spans="1:14" x14ac:dyDescent="0.25">
      <c r="A138" s="152">
        <v>1325000</v>
      </c>
      <c r="B138" s="73" t="s">
        <v>267</v>
      </c>
      <c r="C138" s="88"/>
      <c r="D138" s="89"/>
      <c r="E138" s="89"/>
      <c r="F138" s="89"/>
      <c r="G138" s="89"/>
      <c r="H138" s="89"/>
      <c r="I138" s="89"/>
      <c r="J138" s="89"/>
      <c r="K138" s="154">
        <f t="shared" si="4"/>
        <v>0</v>
      </c>
      <c r="L138" s="154">
        <f t="shared" si="4"/>
        <v>0</v>
      </c>
      <c r="M138" s="154">
        <f t="shared" si="4"/>
        <v>0</v>
      </c>
      <c r="N138" s="154">
        <f t="shared" si="4"/>
        <v>0</v>
      </c>
    </row>
    <row r="139" spans="1:14" ht="15.75" thickBot="1" x14ac:dyDescent="0.3">
      <c r="A139" s="152">
        <v>1325000</v>
      </c>
      <c r="B139" s="73" t="s">
        <v>920</v>
      </c>
      <c r="C139" s="88"/>
      <c r="D139" s="89"/>
      <c r="E139" s="89"/>
      <c r="F139" s="89"/>
      <c r="G139" s="89"/>
      <c r="H139" s="89"/>
      <c r="I139" s="89"/>
      <c r="J139" s="89"/>
      <c r="K139" s="154">
        <f t="shared" si="4"/>
        <v>0</v>
      </c>
      <c r="L139" s="154">
        <f t="shared" si="4"/>
        <v>0</v>
      </c>
      <c r="M139" s="154">
        <f t="shared" si="4"/>
        <v>0</v>
      </c>
      <c r="N139" s="154">
        <f t="shared" si="4"/>
        <v>0</v>
      </c>
    </row>
    <row r="140" spans="1:14" x14ac:dyDescent="0.25">
      <c r="A140" s="151">
        <v>1330005</v>
      </c>
      <c r="B140" s="84" t="s">
        <v>19</v>
      </c>
      <c r="C140" s="85"/>
      <c r="D140" s="86"/>
      <c r="E140" s="86"/>
      <c r="F140" s="86"/>
      <c r="G140" s="86"/>
      <c r="H140" s="86"/>
      <c r="I140" s="86"/>
      <c r="J140" s="86"/>
      <c r="K140" s="156">
        <f t="shared" si="4"/>
        <v>0</v>
      </c>
      <c r="L140" s="156">
        <f t="shared" si="4"/>
        <v>0</v>
      </c>
      <c r="M140" s="156">
        <f t="shared" si="4"/>
        <v>0</v>
      </c>
      <c r="N140" s="156">
        <f t="shared" si="4"/>
        <v>0</v>
      </c>
    </row>
    <row r="141" spans="1:14" x14ac:dyDescent="0.25">
      <c r="A141" s="152">
        <v>1330005</v>
      </c>
      <c r="B141" s="73" t="s">
        <v>18</v>
      </c>
      <c r="C141" s="88"/>
      <c r="D141" s="89"/>
      <c r="E141" s="89"/>
      <c r="F141" s="89"/>
      <c r="G141" s="89"/>
      <c r="H141" s="89"/>
      <c r="I141" s="89"/>
      <c r="J141" s="89"/>
      <c r="K141" s="154">
        <f t="shared" si="4"/>
        <v>0</v>
      </c>
      <c r="L141" s="154">
        <f t="shared" si="4"/>
        <v>0</v>
      </c>
      <c r="M141" s="154">
        <f t="shared" si="4"/>
        <v>0</v>
      </c>
      <c r="N141" s="154">
        <f t="shared" si="4"/>
        <v>0</v>
      </c>
    </row>
    <row r="142" spans="1:14" x14ac:dyDescent="0.25">
      <c r="A142" s="152">
        <v>1330005</v>
      </c>
      <c r="B142" s="73" t="s">
        <v>22</v>
      </c>
      <c r="C142" s="88"/>
      <c r="D142" s="89"/>
      <c r="E142" s="89"/>
      <c r="F142" s="89"/>
      <c r="G142" s="89"/>
      <c r="H142" s="89"/>
      <c r="I142" s="89"/>
      <c r="J142" s="89"/>
      <c r="K142" s="154">
        <f t="shared" si="4"/>
        <v>0</v>
      </c>
      <c r="L142" s="154">
        <f t="shared" si="4"/>
        <v>0</v>
      </c>
      <c r="M142" s="154">
        <f t="shared" si="4"/>
        <v>0</v>
      </c>
      <c r="N142" s="154">
        <f t="shared" si="4"/>
        <v>0</v>
      </c>
    </row>
    <row r="143" spans="1:14" x14ac:dyDescent="0.25">
      <c r="A143" s="152">
        <v>1330005</v>
      </c>
      <c r="B143" s="73" t="s">
        <v>24</v>
      </c>
      <c r="C143" s="88"/>
      <c r="D143" s="89"/>
      <c r="E143" s="89"/>
      <c r="F143" s="89"/>
      <c r="G143" s="89"/>
      <c r="H143" s="89"/>
      <c r="I143" s="89"/>
      <c r="J143" s="89"/>
      <c r="K143" s="154">
        <f t="shared" si="4"/>
        <v>0</v>
      </c>
      <c r="L143" s="154">
        <f t="shared" si="4"/>
        <v>0</v>
      </c>
      <c r="M143" s="154">
        <f t="shared" si="4"/>
        <v>0</v>
      </c>
      <c r="N143" s="154">
        <f t="shared" si="4"/>
        <v>0</v>
      </c>
    </row>
    <row r="144" spans="1:14" x14ac:dyDescent="0.25">
      <c r="A144" s="152">
        <v>1330005</v>
      </c>
      <c r="B144" s="73" t="s">
        <v>25</v>
      </c>
      <c r="C144" s="88"/>
      <c r="D144" s="89"/>
      <c r="E144" s="89"/>
      <c r="F144" s="89"/>
      <c r="G144" s="89"/>
      <c r="H144" s="89"/>
      <c r="I144" s="89"/>
      <c r="J144" s="89"/>
      <c r="K144" s="154">
        <f t="shared" si="4"/>
        <v>0</v>
      </c>
      <c r="L144" s="154">
        <f t="shared" si="4"/>
        <v>0</v>
      </c>
      <c r="M144" s="154">
        <f t="shared" si="4"/>
        <v>0</v>
      </c>
      <c r="N144" s="154">
        <f t="shared" si="4"/>
        <v>0</v>
      </c>
    </row>
    <row r="145" spans="1:14" x14ac:dyDescent="0.25">
      <c r="A145" s="152">
        <v>1330005</v>
      </c>
      <c r="B145" s="73" t="s">
        <v>394</v>
      </c>
      <c r="C145" s="88"/>
      <c r="D145" s="89"/>
      <c r="E145" s="89"/>
      <c r="F145" s="89"/>
      <c r="G145" s="89"/>
      <c r="H145" s="89"/>
      <c r="I145" s="89"/>
      <c r="J145" s="89"/>
      <c r="K145" s="154">
        <f t="shared" si="4"/>
        <v>0</v>
      </c>
      <c r="L145" s="154">
        <f t="shared" si="4"/>
        <v>0</v>
      </c>
      <c r="M145" s="154">
        <f t="shared" si="4"/>
        <v>0</v>
      </c>
      <c r="N145" s="154">
        <f t="shared" si="4"/>
        <v>0</v>
      </c>
    </row>
    <row r="146" spans="1:14" x14ac:dyDescent="0.25">
      <c r="A146" s="152">
        <v>1330005</v>
      </c>
      <c r="B146" s="73" t="s">
        <v>350</v>
      </c>
      <c r="C146" s="88"/>
      <c r="D146" s="89"/>
      <c r="E146" s="89"/>
      <c r="F146" s="89"/>
      <c r="G146" s="89"/>
      <c r="H146" s="89"/>
      <c r="I146" s="89"/>
      <c r="J146" s="89"/>
      <c r="K146" s="154">
        <f t="shared" si="4"/>
        <v>0</v>
      </c>
      <c r="L146" s="154">
        <f t="shared" si="4"/>
        <v>0</v>
      </c>
      <c r="M146" s="154">
        <f t="shared" si="4"/>
        <v>0</v>
      </c>
      <c r="N146" s="154">
        <f t="shared" si="4"/>
        <v>0</v>
      </c>
    </row>
    <row r="147" spans="1:14" s="407" customFormat="1" x14ac:dyDescent="0.25">
      <c r="A147" s="152">
        <v>1330005</v>
      </c>
      <c r="B147" s="73" t="s">
        <v>1171</v>
      </c>
      <c r="C147" s="88"/>
      <c r="D147" s="89"/>
      <c r="E147" s="89"/>
      <c r="F147" s="89"/>
      <c r="G147" s="89"/>
      <c r="H147" s="89"/>
      <c r="I147" s="89"/>
      <c r="J147" s="89"/>
      <c r="K147" s="212">
        <f t="shared" si="4"/>
        <v>0</v>
      </c>
      <c r="L147" s="212">
        <f t="shared" si="4"/>
        <v>0</v>
      </c>
      <c r="M147" s="212">
        <f t="shared" si="4"/>
        <v>0</v>
      </c>
      <c r="N147" s="212">
        <f t="shared" si="4"/>
        <v>0</v>
      </c>
    </row>
    <row r="148" spans="1:14" s="407" customFormat="1" x14ac:dyDescent="0.25">
      <c r="A148" s="152">
        <v>1330005</v>
      </c>
      <c r="B148" s="73" t="s">
        <v>1182</v>
      </c>
      <c r="C148" s="88"/>
      <c r="D148" s="89"/>
      <c r="E148" s="89"/>
      <c r="F148" s="89"/>
      <c r="G148" s="89"/>
      <c r="H148" s="89"/>
      <c r="I148" s="89"/>
      <c r="J148" s="89"/>
      <c r="K148" s="212">
        <f t="shared" si="4"/>
        <v>0</v>
      </c>
      <c r="L148" s="212">
        <f t="shared" si="4"/>
        <v>0</v>
      </c>
      <c r="M148" s="212">
        <f t="shared" si="4"/>
        <v>0</v>
      </c>
      <c r="N148" s="212">
        <f t="shared" si="4"/>
        <v>0</v>
      </c>
    </row>
    <row r="149" spans="1:14" x14ac:dyDescent="0.25">
      <c r="A149" s="152">
        <v>1330005</v>
      </c>
      <c r="B149" s="73" t="s">
        <v>20</v>
      </c>
      <c r="C149" s="88"/>
      <c r="D149" s="89"/>
      <c r="E149" s="89"/>
      <c r="F149" s="89"/>
      <c r="G149" s="89"/>
      <c r="H149" s="89"/>
      <c r="I149" s="89"/>
      <c r="J149" s="89"/>
      <c r="K149" s="154">
        <f t="shared" si="4"/>
        <v>0</v>
      </c>
      <c r="L149" s="154">
        <f t="shared" si="4"/>
        <v>0</v>
      </c>
      <c r="M149" s="154">
        <f t="shared" si="4"/>
        <v>0</v>
      </c>
      <c r="N149" s="154">
        <f t="shared" si="4"/>
        <v>0</v>
      </c>
    </row>
    <row r="150" spans="1:14" x14ac:dyDescent="0.25">
      <c r="A150" s="152">
        <v>1330005</v>
      </c>
      <c r="B150" s="73" t="s">
        <v>510</v>
      </c>
      <c r="C150" s="88"/>
      <c r="D150" s="89"/>
      <c r="E150" s="89"/>
      <c r="F150" s="89"/>
      <c r="G150" s="89"/>
      <c r="H150" s="89"/>
      <c r="I150" s="89"/>
      <c r="J150" s="89"/>
      <c r="K150" s="154">
        <f t="shared" ref="K150:N166" si="5">SUMIFS(K$26:K$58,$A$26:$A$58,$A150,$B$26:$B$58,$B150)</f>
        <v>0</v>
      </c>
      <c r="L150" s="154">
        <f t="shared" si="5"/>
        <v>0</v>
      </c>
      <c r="M150" s="154">
        <f t="shared" si="5"/>
        <v>0</v>
      </c>
      <c r="N150" s="154">
        <f t="shared" si="5"/>
        <v>0</v>
      </c>
    </row>
    <row r="151" spans="1:14" x14ac:dyDescent="0.25">
      <c r="A151" s="152">
        <v>1330005</v>
      </c>
      <c r="B151" s="73" t="s">
        <v>272</v>
      </c>
      <c r="C151" s="88"/>
      <c r="D151" s="89"/>
      <c r="E151" s="89"/>
      <c r="F151" s="89"/>
      <c r="G151" s="89"/>
      <c r="H151" s="89"/>
      <c r="I151" s="89"/>
      <c r="J151" s="89"/>
      <c r="K151" s="154">
        <f t="shared" si="5"/>
        <v>0</v>
      </c>
      <c r="L151" s="154">
        <f t="shared" si="5"/>
        <v>0</v>
      </c>
      <c r="M151" s="154">
        <f t="shared" si="5"/>
        <v>0</v>
      </c>
      <c r="N151" s="154">
        <f t="shared" si="5"/>
        <v>0</v>
      </c>
    </row>
    <row r="152" spans="1:14" x14ac:dyDescent="0.25">
      <c r="A152" s="152">
        <v>1330005</v>
      </c>
      <c r="B152" s="51" t="s">
        <v>21</v>
      </c>
      <c r="C152" s="88"/>
      <c r="D152" s="89"/>
      <c r="E152" s="89"/>
      <c r="F152" s="89"/>
      <c r="G152" s="89"/>
      <c r="H152" s="89"/>
      <c r="I152" s="89"/>
      <c r="J152" s="89"/>
      <c r="K152" s="154">
        <f t="shared" si="5"/>
        <v>0</v>
      </c>
      <c r="L152" s="154">
        <f t="shared" si="5"/>
        <v>0</v>
      </c>
      <c r="M152" s="154">
        <f t="shared" si="5"/>
        <v>0</v>
      </c>
      <c r="N152" s="154">
        <f t="shared" si="5"/>
        <v>0</v>
      </c>
    </row>
    <row r="153" spans="1:14" x14ac:dyDescent="0.25">
      <c r="A153" s="152">
        <v>1330005</v>
      </c>
      <c r="B153" s="51" t="s">
        <v>1172</v>
      </c>
      <c r="C153" s="88"/>
      <c r="D153" s="89"/>
      <c r="E153" s="89"/>
      <c r="F153" s="89"/>
      <c r="G153" s="89"/>
      <c r="H153" s="89"/>
      <c r="I153" s="89"/>
      <c r="J153" s="89"/>
      <c r="K153" s="154">
        <f t="shared" si="5"/>
        <v>0</v>
      </c>
      <c r="L153" s="154">
        <f t="shared" si="5"/>
        <v>0</v>
      </c>
      <c r="M153" s="154">
        <f t="shared" si="5"/>
        <v>0</v>
      </c>
      <c r="N153" s="154">
        <f t="shared" si="5"/>
        <v>0</v>
      </c>
    </row>
    <row r="154" spans="1:14" x14ac:dyDescent="0.25">
      <c r="A154" s="152">
        <v>1330005</v>
      </c>
      <c r="B154" s="73" t="s">
        <v>810</v>
      </c>
      <c r="C154" s="88"/>
      <c r="D154" s="89"/>
      <c r="E154" s="89"/>
      <c r="F154" s="89"/>
      <c r="G154" s="89"/>
      <c r="H154" s="89"/>
      <c r="I154" s="89"/>
      <c r="J154" s="89"/>
      <c r="K154" s="154">
        <f t="shared" si="5"/>
        <v>0</v>
      </c>
      <c r="L154" s="154">
        <f t="shared" si="5"/>
        <v>0</v>
      </c>
      <c r="M154" s="154">
        <f t="shared" si="5"/>
        <v>0</v>
      </c>
      <c r="N154" s="154">
        <f t="shared" si="5"/>
        <v>0</v>
      </c>
    </row>
    <row r="155" spans="1:14" x14ac:dyDescent="0.25">
      <c r="A155" s="152">
        <v>1330005</v>
      </c>
      <c r="B155" s="73" t="s">
        <v>811</v>
      </c>
      <c r="C155" s="88"/>
      <c r="D155" s="89"/>
      <c r="E155" s="89"/>
      <c r="F155" s="89"/>
      <c r="G155" s="89"/>
      <c r="H155" s="89"/>
      <c r="I155" s="89"/>
      <c r="J155" s="89"/>
      <c r="K155" s="154">
        <f t="shared" si="5"/>
        <v>0</v>
      </c>
      <c r="L155" s="154">
        <f t="shared" si="5"/>
        <v>0</v>
      </c>
      <c r="M155" s="154">
        <f t="shared" si="5"/>
        <v>0</v>
      </c>
      <c r="N155" s="154">
        <f t="shared" si="5"/>
        <v>0</v>
      </c>
    </row>
    <row r="156" spans="1:14" x14ac:dyDescent="0.25">
      <c r="A156" s="152">
        <v>1330005</v>
      </c>
      <c r="B156" s="51" t="s">
        <v>23</v>
      </c>
      <c r="C156" s="88"/>
      <c r="D156" s="89"/>
      <c r="E156" s="89"/>
      <c r="F156" s="89"/>
      <c r="G156" s="89"/>
      <c r="H156" s="89"/>
      <c r="I156" s="89"/>
      <c r="J156" s="89"/>
      <c r="K156" s="154">
        <f t="shared" si="5"/>
        <v>0</v>
      </c>
      <c r="L156" s="154">
        <f t="shared" si="5"/>
        <v>0</v>
      </c>
      <c r="M156" s="154">
        <f t="shared" si="5"/>
        <v>0</v>
      </c>
      <c r="N156" s="154">
        <f t="shared" si="5"/>
        <v>0</v>
      </c>
    </row>
    <row r="157" spans="1:14" x14ac:dyDescent="0.25">
      <c r="A157" s="152">
        <v>1330005</v>
      </c>
      <c r="B157" s="73" t="s">
        <v>268</v>
      </c>
      <c r="C157" s="88"/>
      <c r="D157" s="89"/>
      <c r="E157" s="89"/>
      <c r="F157" s="89"/>
      <c r="G157" s="89"/>
      <c r="H157" s="89"/>
      <c r="I157" s="89"/>
      <c r="J157" s="89"/>
      <c r="K157" s="154">
        <f t="shared" si="5"/>
        <v>0</v>
      </c>
      <c r="L157" s="154">
        <f t="shared" si="5"/>
        <v>0</v>
      </c>
      <c r="M157" s="154">
        <f t="shared" si="5"/>
        <v>0</v>
      </c>
      <c r="N157" s="154">
        <f t="shared" si="5"/>
        <v>0</v>
      </c>
    </row>
    <row r="158" spans="1:14" x14ac:dyDescent="0.25">
      <c r="A158" s="152">
        <v>1330005</v>
      </c>
      <c r="B158" s="73" t="s">
        <v>267</v>
      </c>
      <c r="C158" s="88"/>
      <c r="D158" s="89"/>
      <c r="E158" s="89"/>
      <c r="F158" s="89"/>
      <c r="G158" s="89"/>
      <c r="H158" s="89"/>
      <c r="I158" s="89"/>
      <c r="J158" s="89"/>
      <c r="K158" s="154">
        <f t="shared" si="5"/>
        <v>0</v>
      </c>
      <c r="L158" s="154">
        <f t="shared" si="5"/>
        <v>0</v>
      </c>
      <c r="M158" s="154">
        <f t="shared" si="5"/>
        <v>0</v>
      </c>
      <c r="N158" s="154">
        <f t="shared" si="5"/>
        <v>0</v>
      </c>
    </row>
    <row r="159" spans="1:14" ht="15.75" thickBot="1" x14ac:dyDescent="0.3">
      <c r="A159" s="152">
        <v>1330005</v>
      </c>
      <c r="B159" s="73" t="s">
        <v>920</v>
      </c>
      <c r="C159" s="88"/>
      <c r="D159" s="89"/>
      <c r="E159" s="89"/>
      <c r="F159" s="89"/>
      <c r="G159" s="89"/>
      <c r="H159" s="89"/>
      <c r="I159" s="89"/>
      <c r="J159" s="89"/>
      <c r="K159" s="154">
        <f t="shared" si="5"/>
        <v>0</v>
      </c>
      <c r="L159" s="154">
        <f t="shared" si="5"/>
        <v>0</v>
      </c>
      <c r="M159" s="154">
        <f t="shared" si="5"/>
        <v>0</v>
      </c>
      <c r="N159" s="154">
        <f t="shared" si="5"/>
        <v>0</v>
      </c>
    </row>
    <row r="160" spans="1:14" x14ac:dyDescent="0.25">
      <c r="A160" s="151">
        <v>1335005</v>
      </c>
      <c r="B160" s="84" t="s">
        <v>19</v>
      </c>
      <c r="C160" s="85"/>
      <c r="D160" s="86"/>
      <c r="E160" s="86"/>
      <c r="F160" s="86"/>
      <c r="G160" s="86"/>
      <c r="H160" s="86"/>
      <c r="I160" s="86"/>
      <c r="J160" s="86"/>
      <c r="K160" s="156">
        <f t="shared" si="5"/>
        <v>0</v>
      </c>
      <c r="L160" s="156">
        <f t="shared" si="5"/>
        <v>0</v>
      </c>
      <c r="M160" s="156">
        <f t="shared" si="5"/>
        <v>0</v>
      </c>
      <c r="N160" s="156">
        <f t="shared" si="5"/>
        <v>0</v>
      </c>
    </row>
    <row r="161" spans="1:14" x14ac:dyDescent="0.25">
      <c r="A161" s="152">
        <v>1335005</v>
      </c>
      <c r="B161" s="73" t="s">
        <v>18</v>
      </c>
      <c r="C161" s="88"/>
      <c r="D161" s="89"/>
      <c r="E161" s="89"/>
      <c r="F161" s="89"/>
      <c r="G161" s="89"/>
      <c r="H161" s="89"/>
      <c r="I161" s="89"/>
      <c r="J161" s="89"/>
      <c r="K161" s="154">
        <f t="shared" si="5"/>
        <v>0</v>
      </c>
      <c r="L161" s="154">
        <f t="shared" si="5"/>
        <v>0</v>
      </c>
      <c r="M161" s="154">
        <f t="shared" si="5"/>
        <v>0</v>
      </c>
      <c r="N161" s="154">
        <f t="shared" si="5"/>
        <v>0</v>
      </c>
    </row>
    <row r="162" spans="1:14" x14ac:dyDescent="0.25">
      <c r="A162" s="152">
        <v>1335005</v>
      </c>
      <c r="B162" s="73" t="s">
        <v>22</v>
      </c>
      <c r="C162" s="88"/>
      <c r="D162" s="89"/>
      <c r="E162" s="89"/>
      <c r="F162" s="89"/>
      <c r="G162" s="89"/>
      <c r="H162" s="89"/>
      <c r="I162" s="89"/>
      <c r="J162" s="89"/>
      <c r="K162" s="154">
        <f t="shared" si="5"/>
        <v>0</v>
      </c>
      <c r="L162" s="154">
        <f t="shared" si="5"/>
        <v>0</v>
      </c>
      <c r="M162" s="154">
        <f t="shared" si="5"/>
        <v>0</v>
      </c>
      <c r="N162" s="154">
        <f t="shared" si="5"/>
        <v>0</v>
      </c>
    </row>
    <row r="163" spans="1:14" x14ac:dyDescent="0.25">
      <c r="A163" s="152">
        <v>1335005</v>
      </c>
      <c r="B163" s="73" t="s">
        <v>24</v>
      </c>
      <c r="C163" s="88"/>
      <c r="D163" s="89"/>
      <c r="E163" s="89"/>
      <c r="F163" s="89"/>
      <c r="G163" s="89"/>
      <c r="H163" s="89"/>
      <c r="I163" s="89"/>
      <c r="J163" s="89"/>
      <c r="K163" s="154">
        <f t="shared" si="5"/>
        <v>0</v>
      </c>
      <c r="L163" s="154">
        <f t="shared" si="5"/>
        <v>0</v>
      </c>
      <c r="M163" s="154">
        <f t="shared" si="5"/>
        <v>0</v>
      </c>
      <c r="N163" s="154">
        <f t="shared" si="5"/>
        <v>0</v>
      </c>
    </row>
    <row r="164" spans="1:14" x14ac:dyDescent="0.25">
      <c r="A164" s="152">
        <v>1335005</v>
      </c>
      <c r="B164" s="73" t="s">
        <v>25</v>
      </c>
      <c r="C164" s="88"/>
      <c r="D164" s="89"/>
      <c r="E164" s="89"/>
      <c r="F164" s="89"/>
      <c r="G164" s="89"/>
      <c r="H164" s="89"/>
      <c r="I164" s="89"/>
      <c r="J164" s="89"/>
      <c r="K164" s="154">
        <f t="shared" si="5"/>
        <v>0</v>
      </c>
      <c r="L164" s="154">
        <f t="shared" si="5"/>
        <v>0</v>
      </c>
      <c r="M164" s="154">
        <f t="shared" si="5"/>
        <v>0</v>
      </c>
      <c r="N164" s="154">
        <f t="shared" si="5"/>
        <v>0</v>
      </c>
    </row>
    <row r="165" spans="1:14" x14ac:dyDescent="0.25">
      <c r="A165" s="152">
        <v>1335005</v>
      </c>
      <c r="B165" s="73" t="s">
        <v>394</v>
      </c>
      <c r="C165" s="88"/>
      <c r="D165" s="89"/>
      <c r="E165" s="89"/>
      <c r="F165" s="89"/>
      <c r="G165" s="89"/>
      <c r="H165" s="89"/>
      <c r="I165" s="89"/>
      <c r="J165" s="89"/>
      <c r="K165" s="154">
        <f t="shared" si="5"/>
        <v>0</v>
      </c>
      <c r="L165" s="154">
        <f t="shared" si="5"/>
        <v>0</v>
      </c>
      <c r="M165" s="154">
        <f t="shared" si="5"/>
        <v>0</v>
      </c>
      <c r="N165" s="154">
        <f t="shared" si="5"/>
        <v>0</v>
      </c>
    </row>
    <row r="166" spans="1:14" x14ac:dyDescent="0.25">
      <c r="A166" s="152">
        <v>1335005</v>
      </c>
      <c r="B166" s="73" t="s">
        <v>350</v>
      </c>
      <c r="C166" s="88"/>
      <c r="D166" s="89"/>
      <c r="E166" s="89"/>
      <c r="F166" s="89"/>
      <c r="G166" s="89"/>
      <c r="H166" s="89"/>
      <c r="I166" s="89"/>
      <c r="J166" s="89"/>
      <c r="K166" s="154">
        <f t="shared" si="5"/>
        <v>0</v>
      </c>
      <c r="L166" s="154">
        <f t="shared" si="5"/>
        <v>0</v>
      </c>
      <c r="M166" s="154">
        <f t="shared" si="5"/>
        <v>0</v>
      </c>
      <c r="N166" s="154">
        <f t="shared" si="5"/>
        <v>0</v>
      </c>
    </row>
    <row r="167" spans="1:14" s="407" customFormat="1" x14ac:dyDescent="0.25">
      <c r="A167" s="152">
        <v>1335005</v>
      </c>
      <c r="B167" s="73" t="s">
        <v>1171</v>
      </c>
      <c r="C167" s="88"/>
      <c r="D167" s="89"/>
      <c r="E167" s="89"/>
      <c r="F167" s="89"/>
      <c r="G167" s="89"/>
      <c r="H167" s="89"/>
      <c r="I167" s="89"/>
      <c r="J167" s="89"/>
      <c r="K167" s="212">
        <f t="shared" ref="K167:N168" si="6">SUMIFS(K$26:K$58,$A$26:$A$58,$A167,$B$26:$B$58,$B167)</f>
        <v>0</v>
      </c>
      <c r="L167" s="212">
        <f t="shared" si="6"/>
        <v>0</v>
      </c>
      <c r="M167" s="212">
        <f t="shared" si="6"/>
        <v>0</v>
      </c>
      <c r="N167" s="212">
        <f t="shared" si="6"/>
        <v>0</v>
      </c>
    </row>
    <row r="168" spans="1:14" s="407" customFormat="1" x14ac:dyDescent="0.25">
      <c r="A168" s="152">
        <v>1335005</v>
      </c>
      <c r="B168" s="73" t="s">
        <v>1182</v>
      </c>
      <c r="C168" s="88"/>
      <c r="D168" s="89"/>
      <c r="E168" s="89"/>
      <c r="F168" s="89"/>
      <c r="G168" s="89"/>
      <c r="H168" s="89"/>
      <c r="I168" s="89"/>
      <c r="J168" s="89"/>
      <c r="K168" s="212">
        <f t="shared" si="6"/>
        <v>0</v>
      </c>
      <c r="L168" s="212">
        <f t="shared" si="6"/>
        <v>0</v>
      </c>
      <c r="M168" s="212">
        <f t="shared" si="6"/>
        <v>0</v>
      </c>
      <c r="N168" s="212">
        <f t="shared" si="6"/>
        <v>0</v>
      </c>
    </row>
    <row r="169" spans="1:14" x14ac:dyDescent="0.25">
      <c r="A169" s="152">
        <v>1335005</v>
      </c>
      <c r="B169" s="73" t="s">
        <v>20</v>
      </c>
      <c r="C169" s="88"/>
      <c r="D169" s="89"/>
      <c r="E169" s="89"/>
      <c r="F169" s="89"/>
      <c r="G169" s="89"/>
      <c r="H169" s="89"/>
      <c r="I169" s="89"/>
      <c r="J169" s="89"/>
      <c r="K169" s="154">
        <f t="shared" ref="K169:N173" si="7">SUMIFS(K$26:K$58,$A$26:$A$58,$A169,$B$26:$B$58,$B169)</f>
        <v>0</v>
      </c>
      <c r="L169" s="154">
        <f t="shared" si="7"/>
        <v>0</v>
      </c>
      <c r="M169" s="154">
        <f t="shared" si="7"/>
        <v>0</v>
      </c>
      <c r="N169" s="154">
        <f t="shared" si="7"/>
        <v>0</v>
      </c>
    </row>
    <row r="170" spans="1:14" x14ac:dyDescent="0.25">
      <c r="A170" s="152">
        <v>1335005</v>
      </c>
      <c r="B170" s="73" t="s">
        <v>510</v>
      </c>
      <c r="C170" s="88"/>
      <c r="D170" s="89"/>
      <c r="E170" s="89"/>
      <c r="F170" s="89"/>
      <c r="G170" s="89"/>
      <c r="H170" s="89"/>
      <c r="I170" s="89"/>
      <c r="J170" s="89"/>
      <c r="K170" s="154">
        <f t="shared" si="7"/>
        <v>0</v>
      </c>
      <c r="L170" s="154">
        <f t="shared" si="7"/>
        <v>0</v>
      </c>
      <c r="M170" s="154">
        <f t="shared" si="7"/>
        <v>0</v>
      </c>
      <c r="N170" s="154">
        <f t="shared" si="7"/>
        <v>0</v>
      </c>
    </row>
    <row r="171" spans="1:14" x14ac:dyDescent="0.25">
      <c r="A171" s="152">
        <v>1335005</v>
      </c>
      <c r="B171" s="73" t="s">
        <v>272</v>
      </c>
      <c r="C171" s="88"/>
      <c r="D171" s="89"/>
      <c r="E171" s="89"/>
      <c r="F171" s="89"/>
      <c r="G171" s="89"/>
      <c r="H171" s="89"/>
      <c r="I171" s="89"/>
      <c r="J171" s="89"/>
      <c r="K171" s="154">
        <f t="shared" si="7"/>
        <v>0</v>
      </c>
      <c r="L171" s="154">
        <f t="shared" si="7"/>
        <v>0</v>
      </c>
      <c r="M171" s="154">
        <f t="shared" si="7"/>
        <v>0</v>
      </c>
      <c r="N171" s="154">
        <f t="shared" si="7"/>
        <v>0</v>
      </c>
    </row>
    <row r="172" spans="1:14" x14ac:dyDescent="0.25">
      <c r="A172" s="152">
        <v>1335005</v>
      </c>
      <c r="B172" s="51" t="s">
        <v>21</v>
      </c>
      <c r="C172" s="88"/>
      <c r="D172" s="89"/>
      <c r="E172" s="89"/>
      <c r="F172" s="89"/>
      <c r="G172" s="89"/>
      <c r="H172" s="89"/>
      <c r="I172" s="89"/>
      <c r="J172" s="89"/>
      <c r="K172" s="154">
        <f t="shared" si="7"/>
        <v>0</v>
      </c>
      <c r="L172" s="154">
        <f t="shared" si="7"/>
        <v>0</v>
      </c>
      <c r="M172" s="154">
        <f t="shared" si="7"/>
        <v>0</v>
      </c>
      <c r="N172" s="154">
        <f t="shared" si="7"/>
        <v>0</v>
      </c>
    </row>
    <row r="173" spans="1:14" x14ac:dyDescent="0.25">
      <c r="A173" s="152">
        <v>1335005</v>
      </c>
      <c r="B173" s="51" t="s">
        <v>1172</v>
      </c>
      <c r="C173" s="88"/>
      <c r="D173" s="89"/>
      <c r="E173" s="89"/>
      <c r="F173" s="89"/>
      <c r="G173" s="89"/>
      <c r="H173" s="89"/>
      <c r="I173" s="89"/>
      <c r="J173" s="89"/>
      <c r="K173" s="154">
        <f t="shared" si="7"/>
        <v>0</v>
      </c>
      <c r="L173" s="154">
        <f t="shared" si="7"/>
        <v>0</v>
      </c>
      <c r="M173" s="154">
        <f t="shared" si="7"/>
        <v>0</v>
      </c>
      <c r="N173" s="154">
        <f t="shared" si="7"/>
        <v>0</v>
      </c>
    </row>
    <row r="174" spans="1:14" x14ac:dyDescent="0.25">
      <c r="A174" s="152">
        <v>1335005</v>
      </c>
      <c r="B174" s="73" t="s">
        <v>810</v>
      </c>
      <c r="C174" s="88"/>
      <c r="D174" s="89"/>
      <c r="E174" s="89"/>
      <c r="F174" s="89"/>
      <c r="G174" s="89"/>
      <c r="H174" s="89"/>
      <c r="I174" s="89"/>
      <c r="J174" s="89"/>
      <c r="K174" s="154">
        <f t="shared" ref="K174:N199" si="8">SUMIFS(K$26:K$58,$A$26:$A$58,$A174,$B$26:$B$58,$B174)</f>
        <v>0</v>
      </c>
      <c r="L174" s="154">
        <f t="shared" si="8"/>
        <v>0</v>
      </c>
      <c r="M174" s="154">
        <f t="shared" si="8"/>
        <v>0</v>
      </c>
      <c r="N174" s="154">
        <f t="shared" si="8"/>
        <v>0</v>
      </c>
    </row>
    <row r="175" spans="1:14" x14ac:dyDescent="0.25">
      <c r="A175" s="152">
        <v>1335005</v>
      </c>
      <c r="B175" s="73" t="s">
        <v>811</v>
      </c>
      <c r="C175" s="88"/>
      <c r="D175" s="89"/>
      <c r="E175" s="89"/>
      <c r="F175" s="89"/>
      <c r="G175" s="89"/>
      <c r="H175" s="89"/>
      <c r="I175" s="89"/>
      <c r="J175" s="89"/>
      <c r="K175" s="154">
        <f t="shared" si="8"/>
        <v>0</v>
      </c>
      <c r="L175" s="154">
        <f t="shared" si="8"/>
        <v>0</v>
      </c>
      <c r="M175" s="154">
        <f t="shared" si="8"/>
        <v>0</v>
      </c>
      <c r="N175" s="154">
        <f t="shared" si="8"/>
        <v>0</v>
      </c>
    </row>
    <row r="176" spans="1:14" x14ac:dyDescent="0.25">
      <c r="A176" s="152">
        <v>1335005</v>
      </c>
      <c r="B176" s="51" t="s">
        <v>23</v>
      </c>
      <c r="C176" s="88"/>
      <c r="D176" s="89"/>
      <c r="E176" s="89"/>
      <c r="F176" s="89"/>
      <c r="G176" s="89"/>
      <c r="H176" s="89"/>
      <c r="I176" s="89"/>
      <c r="J176" s="89"/>
      <c r="K176" s="154">
        <f t="shared" si="8"/>
        <v>0</v>
      </c>
      <c r="L176" s="154">
        <f t="shared" si="8"/>
        <v>0</v>
      </c>
      <c r="M176" s="154">
        <f t="shared" si="8"/>
        <v>0</v>
      </c>
      <c r="N176" s="154">
        <f t="shared" si="8"/>
        <v>0</v>
      </c>
    </row>
    <row r="177" spans="1:14" x14ac:dyDescent="0.25">
      <c r="A177" s="152">
        <v>1335005</v>
      </c>
      <c r="B177" s="73" t="s">
        <v>268</v>
      </c>
      <c r="C177" s="88"/>
      <c r="D177" s="89"/>
      <c r="E177" s="89"/>
      <c r="F177" s="89"/>
      <c r="G177" s="89"/>
      <c r="H177" s="89"/>
      <c r="I177" s="89"/>
      <c r="J177" s="89"/>
      <c r="K177" s="154">
        <f t="shared" si="8"/>
        <v>0</v>
      </c>
      <c r="L177" s="154">
        <f t="shared" si="8"/>
        <v>0</v>
      </c>
      <c r="M177" s="154">
        <f t="shared" si="8"/>
        <v>0</v>
      </c>
      <c r="N177" s="154">
        <f t="shared" si="8"/>
        <v>0</v>
      </c>
    </row>
    <row r="178" spans="1:14" x14ac:dyDescent="0.25">
      <c r="A178" s="152">
        <v>1335005</v>
      </c>
      <c r="B178" s="73" t="s">
        <v>267</v>
      </c>
      <c r="C178" s="88"/>
      <c r="D178" s="89"/>
      <c r="E178" s="89"/>
      <c r="F178" s="89"/>
      <c r="G178" s="89"/>
      <c r="H178" s="89"/>
      <c r="I178" s="89"/>
      <c r="J178" s="89"/>
      <c r="K178" s="154">
        <f t="shared" si="8"/>
        <v>0</v>
      </c>
      <c r="L178" s="154">
        <f t="shared" si="8"/>
        <v>0</v>
      </c>
      <c r="M178" s="154">
        <f t="shared" si="8"/>
        <v>0</v>
      </c>
      <c r="N178" s="154">
        <f t="shared" si="8"/>
        <v>0</v>
      </c>
    </row>
    <row r="179" spans="1:14" ht="15.75" thickBot="1" x14ac:dyDescent="0.3">
      <c r="A179" s="152">
        <v>1335005</v>
      </c>
      <c r="B179" s="73" t="s">
        <v>920</v>
      </c>
      <c r="C179" s="88"/>
      <c r="D179" s="89"/>
      <c r="E179" s="89"/>
      <c r="F179" s="89"/>
      <c r="G179" s="89"/>
      <c r="H179" s="89"/>
      <c r="I179" s="89"/>
      <c r="J179" s="89"/>
      <c r="K179" s="154">
        <f t="shared" si="8"/>
        <v>0</v>
      </c>
      <c r="L179" s="154">
        <f t="shared" si="8"/>
        <v>0</v>
      </c>
      <c r="M179" s="154">
        <f t="shared" si="8"/>
        <v>0</v>
      </c>
      <c r="N179" s="154">
        <f t="shared" si="8"/>
        <v>0</v>
      </c>
    </row>
    <row r="180" spans="1:14" x14ac:dyDescent="0.25">
      <c r="A180" s="151">
        <v>1340000</v>
      </c>
      <c r="B180" s="84" t="s">
        <v>19</v>
      </c>
      <c r="C180" s="85"/>
      <c r="D180" s="86"/>
      <c r="E180" s="86"/>
      <c r="F180" s="86"/>
      <c r="G180" s="86"/>
      <c r="H180" s="86"/>
      <c r="I180" s="86"/>
      <c r="J180" s="86"/>
      <c r="K180" s="156">
        <f t="shared" si="8"/>
        <v>0</v>
      </c>
      <c r="L180" s="156">
        <f t="shared" si="8"/>
        <v>0</v>
      </c>
      <c r="M180" s="156">
        <f t="shared" si="8"/>
        <v>0</v>
      </c>
      <c r="N180" s="156">
        <f t="shared" si="8"/>
        <v>0</v>
      </c>
    </row>
    <row r="181" spans="1:14" x14ac:dyDescent="0.25">
      <c r="A181" s="152">
        <v>1340000</v>
      </c>
      <c r="B181" s="73" t="s">
        <v>18</v>
      </c>
      <c r="C181" s="88"/>
      <c r="D181" s="89"/>
      <c r="E181" s="89"/>
      <c r="F181" s="89"/>
      <c r="G181" s="89"/>
      <c r="H181" s="89"/>
      <c r="I181" s="89"/>
      <c r="J181" s="89"/>
      <c r="K181" s="154">
        <f t="shared" si="8"/>
        <v>0</v>
      </c>
      <c r="L181" s="154">
        <f t="shared" si="8"/>
        <v>0</v>
      </c>
      <c r="M181" s="154">
        <f t="shared" si="8"/>
        <v>0</v>
      </c>
      <c r="N181" s="154">
        <f t="shared" si="8"/>
        <v>0</v>
      </c>
    </row>
    <row r="182" spans="1:14" x14ac:dyDescent="0.25">
      <c r="A182" s="152">
        <v>1340000</v>
      </c>
      <c r="B182" s="73" t="s">
        <v>22</v>
      </c>
      <c r="C182" s="88"/>
      <c r="D182" s="89"/>
      <c r="E182" s="89"/>
      <c r="F182" s="89"/>
      <c r="G182" s="89"/>
      <c r="H182" s="89"/>
      <c r="I182" s="89"/>
      <c r="J182" s="89"/>
      <c r="K182" s="154">
        <f t="shared" si="8"/>
        <v>0</v>
      </c>
      <c r="L182" s="154">
        <f t="shared" si="8"/>
        <v>0</v>
      </c>
      <c r="M182" s="154">
        <f t="shared" si="8"/>
        <v>0</v>
      </c>
      <c r="N182" s="154">
        <f t="shared" si="8"/>
        <v>0</v>
      </c>
    </row>
    <row r="183" spans="1:14" x14ac:dyDescent="0.25">
      <c r="A183" s="152">
        <v>1340000</v>
      </c>
      <c r="B183" s="73" t="s">
        <v>24</v>
      </c>
      <c r="C183" s="88"/>
      <c r="D183" s="89"/>
      <c r="E183" s="89"/>
      <c r="F183" s="89"/>
      <c r="G183" s="89"/>
      <c r="H183" s="89"/>
      <c r="I183" s="89"/>
      <c r="J183" s="89"/>
      <c r="K183" s="154">
        <f t="shared" si="8"/>
        <v>0</v>
      </c>
      <c r="L183" s="154">
        <f t="shared" si="8"/>
        <v>0</v>
      </c>
      <c r="M183" s="154">
        <f t="shared" si="8"/>
        <v>0</v>
      </c>
      <c r="N183" s="154">
        <f t="shared" si="8"/>
        <v>0</v>
      </c>
    </row>
    <row r="184" spans="1:14" x14ac:dyDescent="0.25">
      <c r="A184" s="152">
        <v>1340000</v>
      </c>
      <c r="B184" s="73" t="s">
        <v>25</v>
      </c>
      <c r="C184" s="88"/>
      <c r="D184" s="89"/>
      <c r="E184" s="89"/>
      <c r="F184" s="89"/>
      <c r="G184" s="89"/>
      <c r="H184" s="89"/>
      <c r="I184" s="89"/>
      <c r="J184" s="89"/>
      <c r="K184" s="154">
        <f t="shared" si="8"/>
        <v>0</v>
      </c>
      <c r="L184" s="154">
        <f t="shared" si="8"/>
        <v>0</v>
      </c>
      <c r="M184" s="154">
        <f t="shared" si="8"/>
        <v>0</v>
      </c>
      <c r="N184" s="154">
        <f t="shared" si="8"/>
        <v>0</v>
      </c>
    </row>
    <row r="185" spans="1:14" x14ac:dyDescent="0.25">
      <c r="A185" s="152">
        <v>1340000</v>
      </c>
      <c r="B185" s="73" t="s">
        <v>394</v>
      </c>
      <c r="C185" s="88"/>
      <c r="D185" s="89"/>
      <c r="E185" s="89"/>
      <c r="F185" s="89"/>
      <c r="G185" s="89"/>
      <c r="H185" s="89"/>
      <c r="I185" s="89"/>
      <c r="J185" s="89"/>
      <c r="K185" s="154">
        <f t="shared" si="8"/>
        <v>0</v>
      </c>
      <c r="L185" s="154">
        <f t="shared" si="8"/>
        <v>0</v>
      </c>
      <c r="M185" s="154">
        <f t="shared" si="8"/>
        <v>0</v>
      </c>
      <c r="N185" s="154">
        <f t="shared" si="8"/>
        <v>0</v>
      </c>
    </row>
    <row r="186" spans="1:14" x14ac:dyDescent="0.25">
      <c r="A186" s="152">
        <v>1340000</v>
      </c>
      <c r="B186" s="73" t="s">
        <v>350</v>
      </c>
      <c r="C186" s="88"/>
      <c r="D186" s="89"/>
      <c r="E186" s="89"/>
      <c r="F186" s="89"/>
      <c r="G186" s="89"/>
      <c r="H186" s="89"/>
      <c r="I186" s="89"/>
      <c r="J186" s="89"/>
      <c r="K186" s="154">
        <f t="shared" si="8"/>
        <v>0</v>
      </c>
      <c r="L186" s="154">
        <f t="shared" si="8"/>
        <v>0</v>
      </c>
      <c r="M186" s="154">
        <f t="shared" si="8"/>
        <v>0</v>
      </c>
      <c r="N186" s="154">
        <f t="shared" si="8"/>
        <v>0</v>
      </c>
    </row>
    <row r="187" spans="1:14" s="407" customFormat="1" x14ac:dyDescent="0.25">
      <c r="A187" s="152">
        <v>1340000</v>
      </c>
      <c r="B187" s="73" t="s">
        <v>1171</v>
      </c>
      <c r="C187" s="88"/>
      <c r="D187" s="89"/>
      <c r="E187" s="89"/>
      <c r="F187" s="89"/>
      <c r="G187" s="89"/>
      <c r="H187" s="89"/>
      <c r="I187" s="89"/>
      <c r="J187" s="89"/>
      <c r="K187" s="212">
        <f t="shared" si="8"/>
        <v>0</v>
      </c>
      <c r="L187" s="212">
        <f t="shared" si="8"/>
        <v>0</v>
      </c>
      <c r="M187" s="212">
        <f t="shared" si="8"/>
        <v>0</v>
      </c>
      <c r="N187" s="212">
        <f t="shared" si="8"/>
        <v>0</v>
      </c>
    </row>
    <row r="188" spans="1:14" s="407" customFormat="1" x14ac:dyDescent="0.25">
      <c r="A188" s="152">
        <v>1340000</v>
      </c>
      <c r="B188" s="73" t="s">
        <v>1182</v>
      </c>
      <c r="C188" s="88"/>
      <c r="D188" s="89"/>
      <c r="E188" s="89"/>
      <c r="F188" s="89"/>
      <c r="G188" s="89"/>
      <c r="H188" s="89"/>
      <c r="I188" s="89"/>
      <c r="J188" s="89"/>
      <c r="K188" s="212">
        <f t="shared" si="8"/>
        <v>0</v>
      </c>
      <c r="L188" s="212">
        <f t="shared" si="8"/>
        <v>0</v>
      </c>
      <c r="M188" s="212">
        <f t="shared" si="8"/>
        <v>0</v>
      </c>
      <c r="N188" s="212">
        <f t="shared" si="8"/>
        <v>0</v>
      </c>
    </row>
    <row r="189" spans="1:14" x14ac:dyDescent="0.25">
      <c r="A189" s="152">
        <v>1340000</v>
      </c>
      <c r="B189" s="73" t="s">
        <v>20</v>
      </c>
      <c r="C189" s="88"/>
      <c r="D189" s="89"/>
      <c r="E189" s="89"/>
      <c r="F189" s="89"/>
      <c r="G189" s="89"/>
      <c r="H189" s="89"/>
      <c r="I189" s="89"/>
      <c r="J189" s="89"/>
      <c r="K189" s="154">
        <f t="shared" si="8"/>
        <v>0</v>
      </c>
      <c r="L189" s="154">
        <f t="shared" si="8"/>
        <v>0</v>
      </c>
      <c r="M189" s="154">
        <f t="shared" si="8"/>
        <v>0</v>
      </c>
      <c r="N189" s="154">
        <f t="shared" si="8"/>
        <v>0</v>
      </c>
    </row>
    <row r="190" spans="1:14" x14ac:dyDescent="0.25">
      <c r="A190" s="152">
        <v>1340000</v>
      </c>
      <c r="B190" s="73" t="s">
        <v>510</v>
      </c>
      <c r="C190" s="88"/>
      <c r="D190" s="89"/>
      <c r="E190" s="89"/>
      <c r="F190" s="89"/>
      <c r="G190" s="89"/>
      <c r="H190" s="89"/>
      <c r="I190" s="89"/>
      <c r="J190" s="89"/>
      <c r="K190" s="154">
        <f t="shared" si="8"/>
        <v>0</v>
      </c>
      <c r="L190" s="154">
        <f t="shared" si="8"/>
        <v>0</v>
      </c>
      <c r="M190" s="154">
        <f t="shared" si="8"/>
        <v>0</v>
      </c>
      <c r="N190" s="154">
        <f t="shared" si="8"/>
        <v>0</v>
      </c>
    </row>
    <row r="191" spans="1:14" x14ac:dyDescent="0.25">
      <c r="A191" s="152">
        <v>1340000</v>
      </c>
      <c r="B191" s="73" t="s">
        <v>272</v>
      </c>
      <c r="C191" s="88"/>
      <c r="D191" s="89"/>
      <c r="E191" s="89"/>
      <c r="F191" s="89"/>
      <c r="G191" s="89"/>
      <c r="H191" s="89"/>
      <c r="I191" s="89"/>
      <c r="J191" s="89"/>
      <c r="K191" s="154">
        <f t="shared" si="8"/>
        <v>0</v>
      </c>
      <c r="L191" s="154">
        <f t="shared" si="8"/>
        <v>0</v>
      </c>
      <c r="M191" s="154">
        <f t="shared" si="8"/>
        <v>0</v>
      </c>
      <c r="N191" s="154">
        <f t="shared" si="8"/>
        <v>0</v>
      </c>
    </row>
    <row r="192" spans="1:14" x14ac:dyDescent="0.25">
      <c r="A192" s="152">
        <v>1340000</v>
      </c>
      <c r="B192" s="51" t="s">
        <v>21</v>
      </c>
      <c r="C192" s="88"/>
      <c r="D192" s="89"/>
      <c r="E192" s="89"/>
      <c r="F192" s="89"/>
      <c r="G192" s="89"/>
      <c r="H192" s="89"/>
      <c r="I192" s="89"/>
      <c r="J192" s="89"/>
      <c r="K192" s="154">
        <f t="shared" si="8"/>
        <v>0</v>
      </c>
      <c r="L192" s="154">
        <f t="shared" si="8"/>
        <v>0</v>
      </c>
      <c r="M192" s="154">
        <f t="shared" si="8"/>
        <v>0</v>
      </c>
      <c r="N192" s="154">
        <f t="shared" si="8"/>
        <v>0</v>
      </c>
    </row>
    <row r="193" spans="1:14" x14ac:dyDescent="0.25">
      <c r="A193" s="152">
        <v>1340000</v>
      </c>
      <c r="B193" s="73" t="s">
        <v>1172</v>
      </c>
      <c r="C193" s="88"/>
      <c r="D193" s="89"/>
      <c r="E193" s="89"/>
      <c r="F193" s="89"/>
      <c r="G193" s="89"/>
      <c r="H193" s="89"/>
      <c r="I193" s="89"/>
      <c r="J193" s="89"/>
      <c r="K193" s="154">
        <f t="shared" si="8"/>
        <v>0</v>
      </c>
      <c r="L193" s="154">
        <f t="shared" si="8"/>
        <v>0</v>
      </c>
      <c r="M193" s="154">
        <f t="shared" si="8"/>
        <v>0</v>
      </c>
      <c r="N193" s="154">
        <f t="shared" si="8"/>
        <v>0</v>
      </c>
    </row>
    <row r="194" spans="1:14" x14ac:dyDescent="0.25">
      <c r="A194" s="152">
        <v>1340000</v>
      </c>
      <c r="B194" s="73" t="s">
        <v>810</v>
      </c>
      <c r="C194" s="88"/>
      <c r="D194" s="89"/>
      <c r="E194" s="89"/>
      <c r="F194" s="89"/>
      <c r="G194" s="89"/>
      <c r="H194" s="89"/>
      <c r="I194" s="89"/>
      <c r="J194" s="89"/>
      <c r="K194" s="154">
        <f t="shared" si="8"/>
        <v>0</v>
      </c>
      <c r="L194" s="154">
        <f t="shared" si="8"/>
        <v>0</v>
      </c>
      <c r="M194" s="154">
        <f t="shared" si="8"/>
        <v>0</v>
      </c>
      <c r="N194" s="154">
        <f t="shared" si="8"/>
        <v>0</v>
      </c>
    </row>
    <row r="195" spans="1:14" x14ac:dyDescent="0.25">
      <c r="A195" s="152">
        <v>1340000</v>
      </c>
      <c r="B195" s="73" t="s">
        <v>811</v>
      </c>
      <c r="C195" s="88"/>
      <c r="D195" s="89"/>
      <c r="E195" s="89"/>
      <c r="F195" s="89"/>
      <c r="G195" s="89"/>
      <c r="H195" s="89"/>
      <c r="I195" s="89"/>
      <c r="J195" s="89"/>
      <c r="K195" s="154">
        <f t="shared" si="8"/>
        <v>0</v>
      </c>
      <c r="L195" s="154">
        <f t="shared" si="8"/>
        <v>0</v>
      </c>
      <c r="M195" s="154">
        <f t="shared" si="8"/>
        <v>0</v>
      </c>
      <c r="N195" s="154">
        <f t="shared" si="8"/>
        <v>0</v>
      </c>
    </row>
    <row r="196" spans="1:14" x14ac:dyDescent="0.25">
      <c r="A196" s="152">
        <v>1340000</v>
      </c>
      <c r="B196" s="51" t="s">
        <v>23</v>
      </c>
      <c r="C196" s="88"/>
      <c r="D196" s="89"/>
      <c r="E196" s="89"/>
      <c r="F196" s="89"/>
      <c r="G196" s="89"/>
      <c r="H196" s="89"/>
      <c r="I196" s="89"/>
      <c r="J196" s="89"/>
      <c r="K196" s="154">
        <f t="shared" si="8"/>
        <v>0</v>
      </c>
      <c r="L196" s="154">
        <f t="shared" si="8"/>
        <v>0</v>
      </c>
      <c r="M196" s="154">
        <f t="shared" si="8"/>
        <v>0</v>
      </c>
      <c r="N196" s="154">
        <f t="shared" si="8"/>
        <v>0</v>
      </c>
    </row>
    <row r="197" spans="1:14" x14ac:dyDescent="0.25">
      <c r="A197" s="152">
        <v>1340000</v>
      </c>
      <c r="B197" s="73" t="s">
        <v>268</v>
      </c>
      <c r="C197" s="88"/>
      <c r="D197" s="89"/>
      <c r="E197" s="89"/>
      <c r="F197" s="89"/>
      <c r="G197" s="89"/>
      <c r="H197" s="89"/>
      <c r="I197" s="89"/>
      <c r="J197" s="89"/>
      <c r="K197" s="154">
        <f t="shared" si="8"/>
        <v>0</v>
      </c>
      <c r="L197" s="154">
        <f t="shared" si="8"/>
        <v>0</v>
      </c>
      <c r="M197" s="154">
        <f t="shared" si="8"/>
        <v>0</v>
      </c>
      <c r="N197" s="154">
        <f t="shared" si="8"/>
        <v>0</v>
      </c>
    </row>
    <row r="198" spans="1:14" x14ac:dyDescent="0.25">
      <c r="A198" s="152">
        <v>1340000</v>
      </c>
      <c r="B198" s="73" t="s">
        <v>267</v>
      </c>
      <c r="C198" s="88"/>
      <c r="D198" s="89"/>
      <c r="E198" s="89"/>
      <c r="F198" s="89"/>
      <c r="G198" s="89"/>
      <c r="H198" s="89"/>
      <c r="I198" s="89"/>
      <c r="J198" s="89"/>
      <c r="K198" s="154">
        <f t="shared" si="8"/>
        <v>0</v>
      </c>
      <c r="L198" s="154">
        <f t="shared" si="8"/>
        <v>0</v>
      </c>
      <c r="M198" s="154">
        <f t="shared" si="8"/>
        <v>0</v>
      </c>
      <c r="N198" s="154">
        <f t="shared" si="8"/>
        <v>0</v>
      </c>
    </row>
    <row r="199" spans="1:14" x14ac:dyDescent="0.25">
      <c r="A199" s="152">
        <v>1340000</v>
      </c>
      <c r="B199" s="73" t="s">
        <v>920</v>
      </c>
      <c r="C199" s="88"/>
      <c r="D199" s="89"/>
      <c r="E199" s="89"/>
      <c r="F199" s="89"/>
      <c r="G199" s="89"/>
      <c r="H199" s="89"/>
      <c r="I199" s="89"/>
      <c r="J199" s="89"/>
      <c r="K199" s="154">
        <f t="shared" si="8"/>
        <v>0</v>
      </c>
      <c r="L199" s="154">
        <f t="shared" si="8"/>
        <v>0</v>
      </c>
      <c r="M199" s="154">
        <f t="shared" si="8"/>
        <v>0</v>
      </c>
      <c r="N199" s="154">
        <f t="shared" si="8"/>
        <v>0</v>
      </c>
    </row>
    <row r="200" spans="1:14" ht="15.75" thickBot="1" x14ac:dyDescent="0.3"/>
    <row r="201" spans="1:14" ht="15.75" thickBot="1" x14ac:dyDescent="0.3">
      <c r="A201" s="148"/>
      <c r="B201" s="149"/>
      <c r="C201" s="149"/>
      <c r="D201" s="148"/>
      <c r="E201" s="148"/>
      <c r="F201" s="148"/>
      <c r="G201" s="148"/>
      <c r="H201" s="148"/>
      <c r="I201" s="148"/>
      <c r="J201" s="148"/>
      <c r="K201" s="160">
        <f>K59-SUM(K60:K199)</f>
        <v>0</v>
      </c>
      <c r="L201" s="160">
        <f>L59-SUM(L60:L199)</f>
        <v>0</v>
      </c>
      <c r="M201" s="160">
        <f>M59-SUM(M60:M199)</f>
        <v>0</v>
      </c>
      <c r="N201" s="160">
        <f>N59-SUM(N60:N199)</f>
        <v>0</v>
      </c>
    </row>
    <row r="257" spans="1:15" ht="15.75" thickBot="1" x14ac:dyDescent="0.3"/>
    <row r="258" spans="1:15" ht="15.75" thickBot="1" x14ac:dyDescent="0.3">
      <c r="A258" s="148"/>
      <c r="B258" s="149"/>
      <c r="C258" s="149"/>
      <c r="D258" s="148"/>
      <c r="E258" s="148"/>
      <c r="F258" s="148"/>
      <c r="G258" s="148"/>
      <c r="H258" s="148"/>
      <c r="I258" s="148"/>
      <c r="J258" s="148"/>
      <c r="K258" s="160">
        <f>K59-SUM(K60:K199)</f>
        <v>0</v>
      </c>
      <c r="L258" s="160">
        <f>L59-SUM(L60:L199)</f>
        <v>0</v>
      </c>
      <c r="M258" s="160">
        <f>M59-SUM(M60:M199)</f>
        <v>0</v>
      </c>
      <c r="N258" s="160">
        <f>N59-SUM(N60:N199)</f>
        <v>0</v>
      </c>
    </row>
    <row r="260" spans="1:15" customFormat="1" ht="12.75" x14ac:dyDescent="0.2">
      <c r="A260" s="21" t="s">
        <v>186</v>
      </c>
      <c r="B260" s="21"/>
      <c r="E260" s="21"/>
    </row>
    <row r="261" spans="1:15" customFormat="1" ht="12.75" x14ac:dyDescent="0.2"/>
    <row r="262" spans="1:15" customFormat="1" ht="12.75" x14ac:dyDescent="0.2">
      <c r="A262" s="1" t="s">
        <v>187</v>
      </c>
      <c r="B262" s="1"/>
      <c r="E262" s="1"/>
    </row>
    <row r="263" spans="1:15" customFormat="1" ht="12.75" x14ac:dyDescent="0.2">
      <c r="A263" s="1" t="s">
        <v>188</v>
      </c>
      <c r="B263" s="1"/>
      <c r="E263" s="1"/>
    </row>
    <row r="264" spans="1:15" customFormat="1" ht="12.75" x14ac:dyDescent="0.2"/>
    <row r="265" spans="1:15" customFormat="1" ht="12.75" x14ac:dyDescent="0.2"/>
    <row r="266" spans="1:15" customFormat="1" ht="12.75" x14ac:dyDescent="0.2"/>
    <row r="267" spans="1:15" customFormat="1" ht="12.75" x14ac:dyDescent="0.2"/>
    <row r="268" spans="1:15" customFormat="1" ht="12.75" x14ac:dyDescent="0.2"/>
    <row r="269" spans="1:15" customFormat="1" ht="12.75" x14ac:dyDescent="0.2"/>
    <row r="270" spans="1:15" customFormat="1" ht="12.75" x14ac:dyDescent="0.2">
      <c r="A270" s="21" t="s">
        <v>190</v>
      </c>
      <c r="D270" s="23" t="s">
        <v>191</v>
      </c>
      <c r="F270" s="23" t="s">
        <v>192</v>
      </c>
      <c r="K270" s="23"/>
      <c r="L270" s="23"/>
      <c r="M270" s="23"/>
      <c r="N270" s="23"/>
      <c r="O270" s="23"/>
    </row>
    <row r="271" spans="1:15" customFormat="1" ht="12.75" x14ac:dyDescent="0.2">
      <c r="A271" s="1" t="s">
        <v>187</v>
      </c>
    </row>
    <row r="272" spans="1:15" customFormat="1" ht="12.75" x14ac:dyDescent="0.2">
      <c r="A272" s="1" t="s">
        <v>188</v>
      </c>
    </row>
    <row r="273" customFormat="1" ht="12.75" x14ac:dyDescent="0.2"/>
  </sheetData>
  <autoFilter ref="A25:N199"/>
  <sortState ref="B29:P33">
    <sortCondition ref="B29:B33"/>
  </sortState>
  <dataValidations count="11">
    <dataValidation type="list" allowBlank="1" showInputMessage="1" showErrorMessage="1" errorTitle="Error" error="You must choose Yes or No." promptTitle="Existing Contract" prompt="Yes or No" sqref="I59">
      <formula1>Existing</formula1>
    </dataValidation>
    <dataValidation allowBlank="1" showInputMessage="1" showErrorMessage="1" promptTitle="Old Contractor" prompt="Enter the old contractor's name if applicable." sqref="D59"/>
    <dataValidation allowBlank="1" showInputMessage="1" showErrorMessage="1" promptTitle="Contract End Date" prompt="Enter the Contract End Date" sqref="H59"/>
    <dataValidation allowBlank="1" showInputMessage="1" showErrorMessage="1" promptTitle="Contract Start Date" prompt="Enter the Contract Start Date." sqref="G59"/>
    <dataValidation type="date" errorStyle="warning" allowBlank="1" showInputMessage="1" showErrorMessage="1" errorTitle="End Date" error="Enter the end date." promptTitle="End Date" prompt="Enter the End Date" sqref="I26:I58">
      <formula1>42552</formula1>
      <formula2>42916</formula2>
    </dataValidation>
    <dataValidation type="date" errorStyle="warning" allowBlank="1" showInputMessage="1" showErrorMessage="1" errorTitle="Start Date" error="Enter the start date." promptTitle="Start Date" prompt="Enter the Start Date." sqref="H26:H58">
      <formula1>42552</formula1>
      <formula2>42916</formula2>
    </dataValidation>
    <dataValidation type="list" allowBlank="1" showInputMessage="1" showErrorMessage="1" errorTitle="Error" error="You must choose a funding source from the list." promptTitle="Funding Source" prompt="Choose the appropriate funding source." sqref="C26:C58">
      <formula1>Funding</formula1>
    </dataValidation>
    <dataValidation type="list" allowBlank="1" showInputMessage="1" showErrorMessage="1" errorTitle="Error" error="You must choose a budget unit from the list." promptTitle="Budget Unit" prompt="Choose the appropriate budget unit." sqref="B26:B58">
      <formula1>Budgets</formula1>
    </dataValidation>
    <dataValidation type="list" allowBlank="1" showInputMessage="1" showErrorMessage="1" errorTitle="Error" error="You must choose from the list." promptTitle="Type of Fixed Asset" prompt="Chose the type of fixed asset from the list." sqref="J26:J58">
      <formula1>Capital</formula1>
    </dataValidation>
    <dataValidation errorStyle="warning" allowBlank="1" showInputMessage="1" showErrorMessage="1" errorTitle="Vendor/Supplier" error="Enter the vendor/supplier." promptTitle="Vendor/Supplier" prompt="Enter the supplier's name if applicable." sqref="F26:F58"/>
    <dataValidation type="list" errorStyle="warning" allowBlank="1" showInputMessage="1" showErrorMessage="1" errorTitle="Warning" error="Choose the appropriate option." promptTitle="Existing/State Contract" prompt="Select the most appropriate answer. If there is an existing LHC contract, enter the contract number (see Sharepoint)." sqref="E26:E58">
      <formula1>ContractStatus</formula1>
    </dataValidation>
  </dataValidations>
  <pageMargins left="0.7" right="0.7" top="0.75" bottom="0.75" header="0.3" footer="0.3"/>
  <pageSetup scale="54"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zoomScale="85" zoomScaleNormal="85" workbookViewId="0">
      <selection activeCell="B5" sqref="B5"/>
    </sheetView>
  </sheetViews>
  <sheetFormatPr defaultRowHeight="12.75" x14ac:dyDescent="0.2"/>
  <cols>
    <col min="1" max="1" width="25.5703125" customWidth="1"/>
    <col min="2" max="2" width="14" customWidth="1"/>
    <col min="3" max="3" width="155.5703125" customWidth="1"/>
  </cols>
  <sheetData>
    <row r="1" spans="1:3" ht="60" customHeight="1" x14ac:dyDescent="0.25">
      <c r="A1" s="105" t="s">
        <v>288</v>
      </c>
      <c r="B1" s="104" t="s">
        <v>289</v>
      </c>
      <c r="C1" s="105" t="s">
        <v>290</v>
      </c>
    </row>
    <row r="2" spans="1:3" ht="60" customHeight="1" x14ac:dyDescent="0.25">
      <c r="A2" s="105" t="s">
        <v>291</v>
      </c>
      <c r="B2" s="104" t="s">
        <v>292</v>
      </c>
      <c r="C2" s="105" t="s">
        <v>293</v>
      </c>
    </row>
    <row r="3" spans="1:3" ht="60" customHeight="1" x14ac:dyDescent="0.25">
      <c r="A3" s="105" t="s">
        <v>294</v>
      </c>
      <c r="B3" s="104" t="s">
        <v>295</v>
      </c>
      <c r="C3" s="105" t="s">
        <v>296</v>
      </c>
    </row>
    <row r="4" spans="1:3" ht="60" customHeight="1" x14ac:dyDescent="0.25">
      <c r="A4" s="105" t="s">
        <v>297</v>
      </c>
      <c r="B4" s="104" t="s">
        <v>298</v>
      </c>
      <c r="C4" s="105" t="s">
        <v>299</v>
      </c>
    </row>
    <row r="5" spans="1:3" ht="60" customHeight="1" x14ac:dyDescent="0.25">
      <c r="A5" s="105" t="s">
        <v>300</v>
      </c>
      <c r="B5" s="104" t="s">
        <v>301</v>
      </c>
      <c r="C5" s="105" t="s">
        <v>302</v>
      </c>
    </row>
    <row r="6" spans="1:3" ht="54" customHeight="1" x14ac:dyDescent="0.25">
      <c r="A6" s="105" t="s">
        <v>303</v>
      </c>
      <c r="B6" s="104" t="s">
        <v>304</v>
      </c>
      <c r="C6" s="105" t="s">
        <v>305</v>
      </c>
    </row>
    <row r="7" spans="1:3" ht="66.75" customHeight="1" x14ac:dyDescent="0.25">
      <c r="A7" s="105" t="s">
        <v>306</v>
      </c>
      <c r="B7" s="104" t="s">
        <v>306</v>
      </c>
      <c r="C7" s="105" t="s">
        <v>307</v>
      </c>
    </row>
    <row r="8" spans="1:3" ht="45" customHeight="1" x14ac:dyDescent="0.25">
      <c r="A8" s="105" t="s">
        <v>308</v>
      </c>
      <c r="B8" s="104" t="s">
        <v>309</v>
      </c>
      <c r="C8" s="105" t="s">
        <v>310</v>
      </c>
    </row>
    <row r="9" spans="1:3" ht="72" customHeight="1" x14ac:dyDescent="0.25">
      <c r="A9" s="105" t="s">
        <v>311</v>
      </c>
      <c r="B9" s="104" t="s">
        <v>312</v>
      </c>
      <c r="C9" s="105" t="s">
        <v>313</v>
      </c>
    </row>
    <row r="10" spans="1:3" ht="46.5" customHeight="1" x14ac:dyDescent="0.25">
      <c r="A10" s="105"/>
      <c r="B10" s="104" t="s">
        <v>314</v>
      </c>
      <c r="C10" s="107" t="s">
        <v>353</v>
      </c>
    </row>
    <row r="11" spans="1:3" ht="60" customHeight="1" x14ac:dyDescent="0.25">
      <c r="A11" s="105" t="s">
        <v>315</v>
      </c>
      <c r="B11" s="104" t="s">
        <v>316</v>
      </c>
      <c r="C11" s="105" t="s">
        <v>317</v>
      </c>
    </row>
    <row r="12" spans="1:3" ht="60" customHeight="1" x14ac:dyDescent="0.25">
      <c r="A12" s="105" t="s">
        <v>318</v>
      </c>
      <c r="B12" s="104" t="s">
        <v>319</v>
      </c>
      <c r="C12" s="105" t="s">
        <v>320</v>
      </c>
    </row>
    <row r="13" spans="1:3" ht="60" customHeight="1" x14ac:dyDescent="0.25">
      <c r="A13" s="105" t="s">
        <v>321</v>
      </c>
      <c r="B13" s="104" t="s">
        <v>98</v>
      </c>
      <c r="C13" s="105" t="s">
        <v>322</v>
      </c>
    </row>
    <row r="14" spans="1:3" ht="60" customHeight="1" x14ac:dyDescent="0.25">
      <c r="A14" s="105" t="s">
        <v>323</v>
      </c>
      <c r="B14" s="104" t="s">
        <v>324</v>
      </c>
      <c r="C14" s="105" t="s">
        <v>325</v>
      </c>
    </row>
    <row r="15" spans="1:3" ht="60" customHeight="1" x14ac:dyDescent="0.25">
      <c r="A15" s="105" t="s">
        <v>326</v>
      </c>
      <c r="B15" s="104" t="s">
        <v>327</v>
      </c>
      <c r="C15" s="105" t="s">
        <v>328</v>
      </c>
    </row>
    <row r="16" spans="1:3" ht="60" customHeight="1" x14ac:dyDescent="0.25">
      <c r="A16" s="105" t="s">
        <v>329</v>
      </c>
      <c r="B16" s="104" t="s">
        <v>330</v>
      </c>
      <c r="C16" s="105" t="s">
        <v>331</v>
      </c>
    </row>
    <row r="17" spans="1:3" ht="143.25" customHeight="1" x14ac:dyDescent="0.25">
      <c r="A17" s="105" t="s">
        <v>332</v>
      </c>
      <c r="B17" s="104" t="s">
        <v>333</v>
      </c>
      <c r="C17" s="105" t="s">
        <v>334</v>
      </c>
    </row>
    <row r="18" spans="1:3" ht="74.25" customHeight="1" x14ac:dyDescent="0.25">
      <c r="A18" s="105" t="s">
        <v>335</v>
      </c>
      <c r="B18" s="104" t="s">
        <v>336</v>
      </c>
      <c r="C18" s="105" t="s">
        <v>337</v>
      </c>
    </row>
    <row r="19" spans="1:3" ht="72.75" customHeight="1" x14ac:dyDescent="0.25">
      <c r="A19" s="105" t="s">
        <v>338</v>
      </c>
      <c r="B19" s="104" t="s">
        <v>339</v>
      </c>
      <c r="C19" s="105" t="s">
        <v>340</v>
      </c>
    </row>
    <row r="20" spans="1:3" ht="72.75" customHeight="1" x14ac:dyDescent="0.25">
      <c r="A20" s="105" t="s">
        <v>341</v>
      </c>
      <c r="B20" s="104" t="s">
        <v>342</v>
      </c>
      <c r="C20" s="105" t="s">
        <v>343</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6"/>
  <sheetViews>
    <sheetView topLeftCell="A17" workbookViewId="0">
      <selection activeCell="A37" sqref="A37"/>
    </sheetView>
  </sheetViews>
  <sheetFormatPr defaultRowHeight="12.75" x14ac:dyDescent="0.2"/>
  <cols>
    <col min="1" max="1" width="56.5703125" customWidth="1"/>
    <col min="2" max="2" width="14.28515625" customWidth="1"/>
    <col min="4" max="4" width="22.5703125" customWidth="1"/>
  </cols>
  <sheetData>
    <row r="1" spans="1:2" ht="15" x14ac:dyDescent="0.25">
      <c r="A1" s="18" t="s">
        <v>44</v>
      </c>
      <c r="B1" s="18" t="s">
        <v>45</v>
      </c>
    </row>
    <row r="2" spans="1:2" x14ac:dyDescent="0.2">
      <c r="A2" s="1" t="s">
        <v>19</v>
      </c>
      <c r="B2" t="s">
        <v>27</v>
      </c>
    </row>
    <row r="3" spans="1:2" x14ac:dyDescent="0.2">
      <c r="A3" s="1" t="s">
        <v>18</v>
      </c>
      <c r="B3" s="402" t="s">
        <v>507</v>
      </c>
    </row>
    <row r="4" spans="1:2" x14ac:dyDescent="0.2">
      <c r="A4" s="19" t="s">
        <v>22</v>
      </c>
      <c r="B4" s="16" t="s">
        <v>31</v>
      </c>
    </row>
    <row r="5" spans="1:2" x14ac:dyDescent="0.2">
      <c r="A5" s="13" t="s">
        <v>24</v>
      </c>
      <c r="B5" s="399" t="s">
        <v>42</v>
      </c>
    </row>
    <row r="6" spans="1:2" x14ac:dyDescent="0.2">
      <c r="A6" s="13" t="s">
        <v>25</v>
      </c>
      <c r="B6" s="399" t="s">
        <v>43</v>
      </c>
    </row>
    <row r="7" spans="1:2" x14ac:dyDescent="0.2">
      <c r="A7" s="13" t="s">
        <v>394</v>
      </c>
      <c r="B7" s="400" t="s">
        <v>38</v>
      </c>
    </row>
    <row r="8" spans="1:2" x14ac:dyDescent="0.2">
      <c r="A8" s="13" t="s">
        <v>350</v>
      </c>
      <c r="B8" s="400" t="s">
        <v>39</v>
      </c>
    </row>
    <row r="9" spans="1:2" x14ac:dyDescent="0.2">
      <c r="A9" s="237" t="s">
        <v>1171</v>
      </c>
      <c r="B9" s="400" t="s">
        <v>509</v>
      </c>
    </row>
    <row r="10" spans="1:2" x14ac:dyDescent="0.2">
      <c r="A10" s="1" t="s">
        <v>1182</v>
      </c>
      <c r="B10" s="224" t="s">
        <v>29</v>
      </c>
    </row>
    <row r="11" spans="1:2" x14ac:dyDescent="0.2">
      <c r="A11" s="224" t="s">
        <v>20</v>
      </c>
      <c r="B11" s="224" t="s">
        <v>28</v>
      </c>
    </row>
    <row r="12" spans="1:2" x14ac:dyDescent="0.2">
      <c r="A12" s="224" t="s">
        <v>510</v>
      </c>
      <c r="B12" s="443">
        <v>150</v>
      </c>
    </row>
    <row r="13" spans="1:2" x14ac:dyDescent="0.2">
      <c r="A13" s="13" t="s">
        <v>272</v>
      </c>
      <c r="B13" s="399" t="s">
        <v>50</v>
      </c>
    </row>
    <row r="14" spans="1:2" x14ac:dyDescent="0.2">
      <c r="A14" s="237" t="s">
        <v>21</v>
      </c>
      <c r="B14" s="224" t="s">
        <v>30</v>
      </c>
    </row>
    <row r="15" spans="1:2" x14ac:dyDescent="0.2">
      <c r="A15" s="19" t="s">
        <v>1172</v>
      </c>
      <c r="B15" s="342" t="s">
        <v>33</v>
      </c>
    </row>
    <row r="16" spans="1:2" x14ac:dyDescent="0.2">
      <c r="A16" s="237" t="s">
        <v>810</v>
      </c>
      <c r="B16" s="400" t="s">
        <v>36</v>
      </c>
    </row>
    <row r="17" spans="1:2" x14ac:dyDescent="0.2">
      <c r="A17" s="238" t="s">
        <v>811</v>
      </c>
      <c r="B17" s="399" t="s">
        <v>32</v>
      </c>
    </row>
    <row r="18" spans="1:2" x14ac:dyDescent="0.2">
      <c r="A18" s="237" t="s">
        <v>23</v>
      </c>
      <c r="B18" s="400" t="s">
        <v>35</v>
      </c>
    </row>
    <row r="19" spans="1:2" x14ac:dyDescent="0.2">
      <c r="A19" s="13" t="s">
        <v>268</v>
      </c>
      <c r="B19" s="399" t="s">
        <v>41</v>
      </c>
    </row>
    <row r="20" spans="1:2" x14ac:dyDescent="0.2">
      <c r="A20" s="13" t="s">
        <v>267</v>
      </c>
      <c r="B20" s="400" t="s">
        <v>34</v>
      </c>
    </row>
    <row r="21" spans="1:2" x14ac:dyDescent="0.2">
      <c r="A21" s="237" t="s">
        <v>920</v>
      </c>
      <c r="B21" s="400" t="s">
        <v>37</v>
      </c>
    </row>
    <row r="24" spans="1:2" ht="15" x14ac:dyDescent="0.25">
      <c r="A24" s="20" t="s">
        <v>13</v>
      </c>
      <c r="B24" s="20" t="s">
        <v>92</v>
      </c>
    </row>
    <row r="25" spans="1:2" x14ac:dyDescent="0.2">
      <c r="A25" s="19" t="s">
        <v>986</v>
      </c>
      <c r="B25" t="s">
        <v>1110</v>
      </c>
    </row>
    <row r="26" spans="1:2" x14ac:dyDescent="0.2">
      <c r="A26" s="19" t="s">
        <v>988</v>
      </c>
      <c r="B26" t="s">
        <v>1112</v>
      </c>
    </row>
    <row r="27" spans="1:2" x14ac:dyDescent="0.2">
      <c r="A27" s="19" t="s">
        <v>1058</v>
      </c>
      <c r="B27" t="s">
        <v>1170</v>
      </c>
    </row>
    <row r="28" spans="1:2" s="236" customFormat="1" x14ac:dyDescent="0.2">
      <c r="A28" s="19" t="s">
        <v>972</v>
      </c>
      <c r="B28" t="s">
        <v>1099</v>
      </c>
    </row>
    <row r="29" spans="1:2" s="236" customFormat="1" x14ac:dyDescent="0.2">
      <c r="A29" s="19" t="s">
        <v>973</v>
      </c>
      <c r="B29" t="s">
        <v>1100</v>
      </c>
    </row>
    <row r="30" spans="1:2" x14ac:dyDescent="0.2">
      <c r="A30" s="19" t="s">
        <v>980</v>
      </c>
      <c r="B30" s="236" t="s">
        <v>1105</v>
      </c>
    </row>
    <row r="31" spans="1:2" x14ac:dyDescent="0.2">
      <c r="A31" s="19" t="s">
        <v>982</v>
      </c>
      <c r="B31" s="236" t="s">
        <v>1107</v>
      </c>
    </row>
    <row r="32" spans="1:2" x14ac:dyDescent="0.2">
      <c r="A32" s="224" t="s">
        <v>46</v>
      </c>
      <c r="B32" t="s">
        <v>26</v>
      </c>
    </row>
    <row r="33" spans="1:2" x14ac:dyDescent="0.2">
      <c r="A33" s="19" t="s">
        <v>1019</v>
      </c>
      <c r="B33" t="s">
        <v>90</v>
      </c>
    </row>
    <row r="34" spans="1:2" x14ac:dyDescent="0.2">
      <c r="A34" s="19" t="s">
        <v>1050</v>
      </c>
      <c r="B34" t="s">
        <v>91</v>
      </c>
    </row>
    <row r="35" spans="1:2" x14ac:dyDescent="0.2">
      <c r="A35" s="19" t="s">
        <v>100</v>
      </c>
      <c r="B35" t="s">
        <v>53</v>
      </c>
    </row>
    <row r="36" spans="1:2" x14ac:dyDescent="0.2">
      <c r="A36" s="19" t="s">
        <v>101</v>
      </c>
      <c r="B36" t="s">
        <v>54</v>
      </c>
    </row>
    <row r="37" spans="1:2" x14ac:dyDescent="0.2">
      <c r="A37" s="19" t="s">
        <v>1056</v>
      </c>
      <c r="B37" t="s">
        <v>1168</v>
      </c>
    </row>
    <row r="38" spans="1:2" x14ac:dyDescent="0.2">
      <c r="A38" s="19" t="s">
        <v>1057</v>
      </c>
      <c r="B38" t="s">
        <v>1169</v>
      </c>
    </row>
    <row r="39" spans="1:2" x14ac:dyDescent="0.2">
      <c r="A39" s="19" t="s">
        <v>1631</v>
      </c>
      <c r="B39" s="402" t="s">
        <v>1629</v>
      </c>
    </row>
    <row r="40" spans="1:2" x14ac:dyDescent="0.2">
      <c r="A40" s="19" t="s">
        <v>1632</v>
      </c>
      <c r="B40" s="402" t="s">
        <v>1630</v>
      </c>
    </row>
    <row r="41" spans="1:2" x14ac:dyDescent="0.2">
      <c r="A41" s="19" t="s">
        <v>965</v>
      </c>
      <c r="B41" t="s">
        <v>1095</v>
      </c>
    </row>
    <row r="42" spans="1:2" x14ac:dyDescent="0.2">
      <c r="A42" s="19" t="s">
        <v>1011</v>
      </c>
      <c r="B42" s="236" t="s">
        <v>1129</v>
      </c>
    </row>
    <row r="43" spans="1:2" x14ac:dyDescent="0.2">
      <c r="A43" s="19" t="s">
        <v>1010</v>
      </c>
      <c r="B43" t="s">
        <v>43</v>
      </c>
    </row>
    <row r="44" spans="1:2" x14ac:dyDescent="0.2">
      <c r="A44" s="19" t="s">
        <v>1013</v>
      </c>
      <c r="B44" t="s">
        <v>1131</v>
      </c>
    </row>
    <row r="45" spans="1:2" x14ac:dyDescent="0.2">
      <c r="A45" s="19" t="s">
        <v>1012</v>
      </c>
      <c r="B45" s="236" t="s">
        <v>1130</v>
      </c>
    </row>
    <row r="46" spans="1:2" x14ac:dyDescent="0.2">
      <c r="A46" s="19" t="s">
        <v>1052</v>
      </c>
      <c r="B46" s="236" t="s">
        <v>1164</v>
      </c>
    </row>
    <row r="47" spans="1:2" x14ac:dyDescent="0.2">
      <c r="A47" s="19" t="s">
        <v>1053</v>
      </c>
      <c r="B47" t="s">
        <v>1165</v>
      </c>
    </row>
    <row r="48" spans="1:2" x14ac:dyDescent="0.2">
      <c r="A48" s="19" t="s">
        <v>984</v>
      </c>
      <c r="B48" t="s">
        <v>1108</v>
      </c>
    </row>
    <row r="49" spans="1:2" x14ac:dyDescent="0.2">
      <c r="A49" s="19" t="s">
        <v>985</v>
      </c>
      <c r="B49" t="s">
        <v>1109</v>
      </c>
    </row>
    <row r="50" spans="1:2" x14ac:dyDescent="0.2">
      <c r="A50" s="19" t="s">
        <v>1005</v>
      </c>
      <c r="B50" t="s">
        <v>42</v>
      </c>
    </row>
    <row r="51" spans="1:2" x14ac:dyDescent="0.2">
      <c r="A51" s="19" t="s">
        <v>1004</v>
      </c>
      <c r="B51" t="s">
        <v>1124</v>
      </c>
    </row>
    <row r="52" spans="1:2" x14ac:dyDescent="0.2">
      <c r="A52" s="19" t="s">
        <v>1008</v>
      </c>
      <c r="B52" t="s">
        <v>1127</v>
      </c>
    </row>
    <row r="53" spans="1:2" x14ac:dyDescent="0.2">
      <c r="A53" s="19" t="s">
        <v>1006</v>
      </c>
      <c r="B53" t="s">
        <v>1125</v>
      </c>
    </row>
    <row r="54" spans="1:2" x14ac:dyDescent="0.2">
      <c r="A54" s="19" t="s">
        <v>1034</v>
      </c>
      <c r="B54" t="s">
        <v>1147</v>
      </c>
    </row>
    <row r="55" spans="1:2" x14ac:dyDescent="0.2">
      <c r="A55" s="19" t="s">
        <v>1035</v>
      </c>
      <c r="B55" t="s">
        <v>1148</v>
      </c>
    </row>
    <row r="56" spans="1:2" x14ac:dyDescent="0.2">
      <c r="A56" s="19" t="s">
        <v>922</v>
      </c>
      <c r="B56" t="s">
        <v>1059</v>
      </c>
    </row>
    <row r="57" spans="1:2" x14ac:dyDescent="0.2">
      <c r="A57" s="19" t="s">
        <v>942</v>
      </c>
      <c r="B57" t="s">
        <v>1077</v>
      </c>
    </row>
    <row r="58" spans="1:2" x14ac:dyDescent="0.2">
      <c r="A58" s="19" t="s">
        <v>943</v>
      </c>
      <c r="B58" s="236" t="s">
        <v>1078</v>
      </c>
    </row>
    <row r="59" spans="1:2" x14ac:dyDescent="0.2">
      <c r="A59" s="19" t="s">
        <v>938</v>
      </c>
      <c r="B59" s="236" t="s">
        <v>1073</v>
      </c>
    </row>
    <row r="60" spans="1:2" x14ac:dyDescent="0.2">
      <c r="A60" s="19" t="s">
        <v>1602</v>
      </c>
      <c r="B60" t="s">
        <v>1074</v>
      </c>
    </row>
    <row r="61" spans="1:2" x14ac:dyDescent="0.2">
      <c r="A61" s="19" t="s">
        <v>934</v>
      </c>
      <c r="B61" t="s">
        <v>1069</v>
      </c>
    </row>
    <row r="62" spans="1:2" x14ac:dyDescent="0.2">
      <c r="A62" s="19" t="s">
        <v>935</v>
      </c>
      <c r="B62" s="236" t="s">
        <v>1070</v>
      </c>
    </row>
    <row r="63" spans="1:2" s="236" customFormat="1" x14ac:dyDescent="0.2">
      <c r="A63" s="19" t="s">
        <v>1663</v>
      </c>
      <c r="B63" s="402" t="s">
        <v>1664</v>
      </c>
    </row>
    <row r="64" spans="1:2" s="236" customFormat="1" x14ac:dyDescent="0.2">
      <c r="A64" s="19" t="s">
        <v>1661</v>
      </c>
      <c r="B64" s="402" t="s">
        <v>1662</v>
      </c>
    </row>
    <row r="65" spans="1:2" x14ac:dyDescent="0.2">
      <c r="A65" s="19" t="s">
        <v>953</v>
      </c>
      <c r="B65" s="236" t="s">
        <v>1085</v>
      </c>
    </row>
    <row r="66" spans="1:2" x14ac:dyDescent="0.2">
      <c r="A66" s="19" t="s">
        <v>924</v>
      </c>
      <c r="B66" t="s">
        <v>1061</v>
      </c>
    </row>
    <row r="67" spans="1:2" x14ac:dyDescent="0.2">
      <c r="A67" s="19" t="s">
        <v>927</v>
      </c>
      <c r="B67" t="s">
        <v>1063</v>
      </c>
    </row>
    <row r="68" spans="1:2" s="236" customFormat="1" x14ac:dyDescent="0.2">
      <c r="A68" s="19" t="s">
        <v>951</v>
      </c>
      <c r="B68" s="12" t="s">
        <v>1083</v>
      </c>
    </row>
    <row r="69" spans="1:2" x14ac:dyDescent="0.2">
      <c r="A69" s="19" t="s">
        <v>1055</v>
      </c>
      <c r="B69" t="s">
        <v>1167</v>
      </c>
    </row>
    <row r="70" spans="1:2" x14ac:dyDescent="0.2">
      <c r="A70" s="19" t="s">
        <v>1474</v>
      </c>
      <c r="B70" s="236" t="s">
        <v>1065</v>
      </c>
    </row>
    <row r="71" spans="1:2" x14ac:dyDescent="0.2">
      <c r="A71" s="19" t="s">
        <v>940</v>
      </c>
      <c r="B71" s="12" t="s">
        <v>1075</v>
      </c>
    </row>
    <row r="72" spans="1:2" x14ac:dyDescent="0.2">
      <c r="A72" s="19" t="s">
        <v>941</v>
      </c>
      <c r="B72" t="s">
        <v>1076</v>
      </c>
    </row>
    <row r="73" spans="1:2" x14ac:dyDescent="0.2">
      <c r="A73" s="19" t="s">
        <v>936</v>
      </c>
      <c r="B73" s="236" t="s">
        <v>1071</v>
      </c>
    </row>
    <row r="74" spans="1:2" x14ac:dyDescent="0.2">
      <c r="A74" s="19" t="s">
        <v>1603</v>
      </c>
      <c r="B74" s="12" t="s">
        <v>1072</v>
      </c>
    </row>
    <row r="75" spans="1:2" s="236" customFormat="1" x14ac:dyDescent="0.2">
      <c r="A75" s="19" t="s">
        <v>932</v>
      </c>
      <c r="B75" t="s">
        <v>1067</v>
      </c>
    </row>
    <row r="76" spans="1:2" x14ac:dyDescent="0.2">
      <c r="A76" s="19" t="s">
        <v>933</v>
      </c>
      <c r="B76" t="s">
        <v>1068</v>
      </c>
    </row>
    <row r="77" spans="1:2" x14ac:dyDescent="0.2">
      <c r="A77" s="19" t="s">
        <v>952</v>
      </c>
      <c r="B77" s="236" t="s">
        <v>1084</v>
      </c>
    </row>
    <row r="78" spans="1:2" x14ac:dyDescent="0.2">
      <c r="A78" s="19" t="s">
        <v>923</v>
      </c>
      <c r="B78" s="236" t="s">
        <v>1060</v>
      </c>
    </row>
    <row r="79" spans="1:2" x14ac:dyDescent="0.2">
      <c r="A79" s="19" t="s">
        <v>925</v>
      </c>
      <c r="B79" s="12" t="s">
        <v>1062</v>
      </c>
    </row>
    <row r="80" spans="1:2" x14ac:dyDescent="0.2">
      <c r="A80" s="19" t="s">
        <v>950</v>
      </c>
      <c r="B80" t="s">
        <v>1082</v>
      </c>
    </row>
    <row r="81" spans="1:2" x14ac:dyDescent="0.2">
      <c r="A81" s="19" t="s">
        <v>1054</v>
      </c>
      <c r="B81" t="s">
        <v>1166</v>
      </c>
    </row>
    <row r="82" spans="1:2" x14ac:dyDescent="0.2">
      <c r="A82" s="19" t="s">
        <v>921</v>
      </c>
      <c r="B82" t="s">
        <v>27</v>
      </c>
    </row>
    <row r="83" spans="1:2" x14ac:dyDescent="0.2">
      <c r="A83" s="19" t="s">
        <v>1022</v>
      </c>
      <c r="B83" t="s">
        <v>1139</v>
      </c>
    </row>
    <row r="84" spans="1:2" x14ac:dyDescent="0.2">
      <c r="A84" s="19" t="s">
        <v>1023</v>
      </c>
      <c r="B84" t="s">
        <v>1140</v>
      </c>
    </row>
    <row r="85" spans="1:2" x14ac:dyDescent="0.2">
      <c r="A85" s="19" t="s">
        <v>137</v>
      </c>
      <c r="B85" t="s">
        <v>41</v>
      </c>
    </row>
    <row r="86" spans="1:2" x14ac:dyDescent="0.2">
      <c r="A86" s="19" t="s">
        <v>956</v>
      </c>
      <c r="B86" t="s">
        <v>1087</v>
      </c>
    </row>
    <row r="87" spans="1:2" x14ac:dyDescent="0.2">
      <c r="A87" s="19" t="s">
        <v>1045</v>
      </c>
      <c r="B87" s="236" t="s">
        <v>1158</v>
      </c>
    </row>
    <row r="88" spans="1:2" x14ac:dyDescent="0.2">
      <c r="A88" s="19" t="s">
        <v>1046</v>
      </c>
      <c r="B88" t="s">
        <v>1159</v>
      </c>
    </row>
    <row r="89" spans="1:2" x14ac:dyDescent="0.2">
      <c r="A89" s="19" t="s">
        <v>1036</v>
      </c>
      <c r="B89" t="s">
        <v>1149</v>
      </c>
    </row>
    <row r="90" spans="1:2" s="236" customFormat="1" x14ac:dyDescent="0.2">
      <c r="A90" s="19" t="s">
        <v>1037</v>
      </c>
      <c r="B90" s="236" t="s">
        <v>1150</v>
      </c>
    </row>
    <row r="91" spans="1:2" s="236" customFormat="1" x14ac:dyDescent="0.2">
      <c r="A91" s="19" t="s">
        <v>990</v>
      </c>
      <c r="B91" s="236" t="s">
        <v>1113</v>
      </c>
    </row>
    <row r="92" spans="1:2" s="236" customFormat="1" x14ac:dyDescent="0.2">
      <c r="A92" s="19" t="s">
        <v>1040</v>
      </c>
      <c r="B92" s="236" t="s">
        <v>1153</v>
      </c>
    </row>
    <row r="93" spans="1:2" s="236" customFormat="1" x14ac:dyDescent="0.2">
      <c r="A93" s="19" t="s">
        <v>991</v>
      </c>
      <c r="B93" s="236" t="s">
        <v>1114</v>
      </c>
    </row>
    <row r="94" spans="1:2" s="236" customFormat="1" x14ac:dyDescent="0.2">
      <c r="A94" s="19" t="s">
        <v>959</v>
      </c>
      <c r="B94" s="236" t="s">
        <v>1090</v>
      </c>
    </row>
    <row r="95" spans="1:2" s="236" customFormat="1" x14ac:dyDescent="0.2">
      <c r="A95" s="19" t="s">
        <v>964</v>
      </c>
      <c r="B95" s="236" t="s">
        <v>1094</v>
      </c>
    </row>
    <row r="96" spans="1:2" s="236" customFormat="1" x14ac:dyDescent="0.2">
      <c r="A96" s="19" t="s">
        <v>1003</v>
      </c>
      <c r="B96" s="236" t="s">
        <v>1123</v>
      </c>
    </row>
    <row r="97" spans="1:2" s="236" customFormat="1" x14ac:dyDescent="0.2">
      <c r="A97" s="19" t="s">
        <v>992</v>
      </c>
      <c r="B97" s="236" t="s">
        <v>1115</v>
      </c>
    </row>
    <row r="98" spans="1:2" s="236" customFormat="1" x14ac:dyDescent="0.2">
      <c r="A98" s="19" t="s">
        <v>994</v>
      </c>
      <c r="B98" s="236" t="s">
        <v>425</v>
      </c>
    </row>
    <row r="99" spans="1:2" s="236" customFormat="1" x14ac:dyDescent="0.2">
      <c r="A99" s="19" t="s">
        <v>993</v>
      </c>
      <c r="B99" s="236" t="s">
        <v>1116</v>
      </c>
    </row>
    <row r="100" spans="1:2" s="236" customFormat="1" x14ac:dyDescent="0.2">
      <c r="A100" s="19" t="s">
        <v>995</v>
      </c>
      <c r="B100" s="236" t="s">
        <v>1117</v>
      </c>
    </row>
    <row r="101" spans="1:2" s="236" customFormat="1" x14ac:dyDescent="0.2">
      <c r="A101" s="19" t="s">
        <v>1001</v>
      </c>
      <c r="B101" s="236" t="s">
        <v>1121</v>
      </c>
    </row>
    <row r="102" spans="1:2" s="236" customFormat="1" x14ac:dyDescent="0.2">
      <c r="A102" s="19" t="s">
        <v>978</v>
      </c>
      <c r="B102" s="236" t="s">
        <v>1104</v>
      </c>
    </row>
    <row r="103" spans="1:2" s="236" customFormat="1" x14ac:dyDescent="0.2">
      <c r="A103" s="19" t="s">
        <v>494</v>
      </c>
      <c r="B103" s="236" t="s">
        <v>495</v>
      </c>
    </row>
    <row r="104" spans="1:2" s="236" customFormat="1" x14ac:dyDescent="0.2">
      <c r="A104" s="19" t="s">
        <v>976</v>
      </c>
      <c r="B104" s="236" t="s">
        <v>509</v>
      </c>
    </row>
    <row r="105" spans="1:2" s="236" customFormat="1" x14ac:dyDescent="0.2">
      <c r="A105" s="19" t="s">
        <v>1002</v>
      </c>
      <c r="B105" s="236" t="s">
        <v>1122</v>
      </c>
    </row>
    <row r="106" spans="1:2" s="236" customFormat="1" x14ac:dyDescent="0.2">
      <c r="A106" s="19" t="s">
        <v>1014</v>
      </c>
      <c r="B106" s="236" t="s">
        <v>1132</v>
      </c>
    </row>
    <row r="107" spans="1:2" s="236" customFormat="1" x14ac:dyDescent="0.2">
      <c r="A107" s="19" t="s">
        <v>998</v>
      </c>
      <c r="B107" s="236" t="s">
        <v>1119</v>
      </c>
    </row>
    <row r="108" spans="1:2" s="236" customFormat="1" x14ac:dyDescent="0.2">
      <c r="A108" s="19" t="s">
        <v>996</v>
      </c>
      <c r="B108" s="236" t="s">
        <v>36</v>
      </c>
    </row>
    <row r="109" spans="1:2" s="236" customFormat="1" x14ac:dyDescent="0.2">
      <c r="A109" s="19" t="s">
        <v>1043</v>
      </c>
      <c r="B109" s="236" t="s">
        <v>1156</v>
      </c>
    </row>
    <row r="110" spans="1:2" s="236" customFormat="1" x14ac:dyDescent="0.2">
      <c r="A110" s="19" t="s">
        <v>1044</v>
      </c>
      <c r="B110" s="236" t="s">
        <v>1157</v>
      </c>
    </row>
    <row r="111" spans="1:2" s="236" customFormat="1" x14ac:dyDescent="0.2">
      <c r="A111" s="19" t="s">
        <v>1039</v>
      </c>
      <c r="B111" s="236" t="s">
        <v>1152</v>
      </c>
    </row>
    <row r="112" spans="1:2" s="236" customFormat="1" x14ac:dyDescent="0.2">
      <c r="A112" s="19" t="s">
        <v>113</v>
      </c>
      <c r="B112" s="236" t="s">
        <v>67</v>
      </c>
    </row>
    <row r="113" spans="1:2" s="236" customFormat="1" x14ac:dyDescent="0.2">
      <c r="A113" s="19" t="s">
        <v>1038</v>
      </c>
      <c r="B113" s="236" t="s">
        <v>1151</v>
      </c>
    </row>
    <row r="114" spans="1:2" s="236" customFormat="1" x14ac:dyDescent="0.2">
      <c r="A114" s="19" t="s">
        <v>1033</v>
      </c>
      <c r="B114" s="236" t="s">
        <v>1146</v>
      </c>
    </row>
    <row r="115" spans="1:2" s="236" customFormat="1" x14ac:dyDescent="0.2">
      <c r="A115" s="19" t="s">
        <v>1007</v>
      </c>
      <c r="B115" s="236" t="s">
        <v>1126</v>
      </c>
    </row>
    <row r="116" spans="1:2" s="236" customFormat="1" x14ac:dyDescent="0.2">
      <c r="A116" s="19" t="s">
        <v>969</v>
      </c>
      <c r="B116" s="236" t="s">
        <v>1096</v>
      </c>
    </row>
    <row r="117" spans="1:2" s="236" customFormat="1" x14ac:dyDescent="0.2">
      <c r="A117" s="19" t="s">
        <v>987</v>
      </c>
      <c r="B117" s="236" t="s">
        <v>1111</v>
      </c>
    </row>
    <row r="118" spans="1:2" s="236" customFormat="1" x14ac:dyDescent="0.2">
      <c r="A118" s="19" t="s">
        <v>1000</v>
      </c>
      <c r="B118" s="12" t="s">
        <v>140</v>
      </c>
    </row>
    <row r="119" spans="1:2" s="236" customFormat="1" x14ac:dyDescent="0.2">
      <c r="A119" s="19" t="s">
        <v>116</v>
      </c>
      <c r="B119" s="236" t="s">
        <v>71</v>
      </c>
    </row>
    <row r="120" spans="1:2" s="236" customFormat="1" x14ac:dyDescent="0.2">
      <c r="A120" s="19" t="s">
        <v>114</v>
      </c>
      <c r="B120" s="236" t="s">
        <v>68</v>
      </c>
    </row>
    <row r="121" spans="1:2" s="236" customFormat="1" x14ac:dyDescent="0.2">
      <c r="A121" s="19" t="s">
        <v>111</v>
      </c>
      <c r="B121" s="236" t="s">
        <v>65</v>
      </c>
    </row>
    <row r="122" spans="1:2" s="236" customFormat="1" x14ac:dyDescent="0.2">
      <c r="A122" s="19" t="s">
        <v>117</v>
      </c>
      <c r="B122" s="236" t="s">
        <v>72</v>
      </c>
    </row>
    <row r="123" spans="1:2" s="236" customFormat="1" x14ac:dyDescent="0.2">
      <c r="A123" s="224" t="s">
        <v>112</v>
      </c>
      <c r="B123" s="12" t="s">
        <v>66</v>
      </c>
    </row>
    <row r="124" spans="1:2" s="236" customFormat="1" x14ac:dyDescent="0.2">
      <c r="A124" s="19" t="s">
        <v>136</v>
      </c>
      <c r="B124" s="236" t="s">
        <v>88</v>
      </c>
    </row>
    <row r="125" spans="1:2" s="236" customFormat="1" x14ac:dyDescent="0.2">
      <c r="A125" s="19" t="s">
        <v>962</v>
      </c>
      <c r="B125" s="236" t="s">
        <v>1093</v>
      </c>
    </row>
    <row r="126" spans="1:2" s="236" customFormat="1" x14ac:dyDescent="0.2">
      <c r="A126" s="19" t="s">
        <v>115</v>
      </c>
      <c r="B126" s="236" t="s">
        <v>69</v>
      </c>
    </row>
    <row r="127" spans="1:2" s="236" customFormat="1" x14ac:dyDescent="0.2">
      <c r="A127" s="19" t="s">
        <v>997</v>
      </c>
      <c r="B127" s="236" t="s">
        <v>1118</v>
      </c>
    </row>
    <row r="128" spans="1:2" s="236" customFormat="1" x14ac:dyDescent="0.2">
      <c r="A128" s="19" t="s">
        <v>999</v>
      </c>
      <c r="B128" s="236" t="s">
        <v>1120</v>
      </c>
    </row>
    <row r="129" spans="1:2" s="236" customFormat="1" x14ac:dyDescent="0.2">
      <c r="A129" s="19" t="s">
        <v>1049</v>
      </c>
      <c r="B129" s="236" t="s">
        <v>1162</v>
      </c>
    </row>
    <row r="130" spans="1:2" s="236" customFormat="1" x14ac:dyDescent="0.2">
      <c r="A130" s="19" t="s">
        <v>1797</v>
      </c>
      <c r="B130" s="402" t="s">
        <v>1798</v>
      </c>
    </row>
    <row r="131" spans="1:2" s="236" customFormat="1" x14ac:dyDescent="0.2">
      <c r="A131" s="19" t="s">
        <v>96</v>
      </c>
      <c r="B131" s="12" t="s">
        <v>50</v>
      </c>
    </row>
    <row r="132" spans="1:2" s="236" customFormat="1" x14ac:dyDescent="0.2">
      <c r="A132" s="19" t="s">
        <v>983</v>
      </c>
      <c r="B132" s="12" t="s">
        <v>93</v>
      </c>
    </row>
    <row r="133" spans="1:2" s="236" customFormat="1" x14ac:dyDescent="0.2">
      <c r="A133" s="19" t="s">
        <v>1042</v>
      </c>
      <c r="B133" s="236" t="s">
        <v>1155</v>
      </c>
    </row>
    <row r="134" spans="1:2" s="236" customFormat="1" x14ac:dyDescent="0.2">
      <c r="A134" s="19" t="s">
        <v>979</v>
      </c>
      <c r="B134" s="12" t="s">
        <v>397</v>
      </c>
    </row>
    <row r="135" spans="1:2" s="236" customFormat="1" x14ac:dyDescent="0.2">
      <c r="A135" s="19" t="s">
        <v>47</v>
      </c>
      <c r="B135" s="236" t="s">
        <v>83</v>
      </c>
    </row>
    <row r="136" spans="1:2" s="236" customFormat="1" x14ac:dyDescent="0.2">
      <c r="A136" s="19" t="s">
        <v>48</v>
      </c>
      <c r="B136" s="236" t="s">
        <v>84</v>
      </c>
    </row>
    <row r="137" spans="1:2" s="236" customFormat="1" x14ac:dyDescent="0.2">
      <c r="A137" s="19" t="s">
        <v>1051</v>
      </c>
      <c r="B137" s="236" t="s">
        <v>1163</v>
      </c>
    </row>
    <row r="138" spans="1:2" s="236" customFormat="1" x14ac:dyDescent="0.2">
      <c r="A138" s="19" t="s">
        <v>970</v>
      </c>
      <c r="B138" s="236" t="s">
        <v>1097</v>
      </c>
    </row>
    <row r="139" spans="1:2" s="236" customFormat="1" x14ac:dyDescent="0.2">
      <c r="A139" s="19" t="s">
        <v>122</v>
      </c>
      <c r="B139" s="12" t="s">
        <v>95</v>
      </c>
    </row>
    <row r="140" spans="1:2" s="236" customFormat="1" x14ac:dyDescent="0.2">
      <c r="A140" s="19" t="s">
        <v>135</v>
      </c>
      <c r="B140" s="236" t="s">
        <v>33</v>
      </c>
    </row>
    <row r="141" spans="1:2" s="236" customFormat="1" x14ac:dyDescent="0.2">
      <c r="A141" s="19" t="s">
        <v>123</v>
      </c>
      <c r="B141" s="236" t="s">
        <v>79</v>
      </c>
    </row>
    <row r="142" spans="1:2" s="236" customFormat="1" x14ac:dyDescent="0.2">
      <c r="A142" s="19" t="s">
        <v>974</v>
      </c>
      <c r="B142" s="236" t="s">
        <v>1101</v>
      </c>
    </row>
    <row r="143" spans="1:2" s="236" customFormat="1" x14ac:dyDescent="0.2">
      <c r="A143" s="19" t="s">
        <v>975</v>
      </c>
      <c r="B143" s="236" t="s">
        <v>1102</v>
      </c>
    </row>
    <row r="144" spans="1:2" s="236" customFormat="1" x14ac:dyDescent="0.2">
      <c r="A144" s="19" t="s">
        <v>126</v>
      </c>
      <c r="B144" s="236" t="s">
        <v>82</v>
      </c>
    </row>
    <row r="145" spans="1:2" s="236" customFormat="1" x14ac:dyDescent="0.2">
      <c r="A145" s="19" t="s">
        <v>127</v>
      </c>
      <c r="B145" s="236" t="s">
        <v>35</v>
      </c>
    </row>
    <row r="146" spans="1:2" s="236" customFormat="1" x14ac:dyDescent="0.2">
      <c r="A146" s="19" t="s">
        <v>130</v>
      </c>
      <c r="B146" s="236" t="s">
        <v>39</v>
      </c>
    </row>
    <row r="147" spans="1:2" s="236" customFormat="1" x14ac:dyDescent="0.2">
      <c r="A147" s="19" t="s">
        <v>125</v>
      </c>
      <c r="B147" s="236" t="s">
        <v>81</v>
      </c>
    </row>
    <row r="148" spans="1:2" s="236" customFormat="1" x14ac:dyDescent="0.2">
      <c r="A148" s="19" t="s">
        <v>128</v>
      </c>
      <c r="B148" s="236" t="s">
        <v>37</v>
      </c>
    </row>
    <row r="149" spans="1:2" s="236" customFormat="1" x14ac:dyDescent="0.2">
      <c r="A149" s="19" t="s">
        <v>1016</v>
      </c>
      <c r="B149" s="236" t="s">
        <v>1134</v>
      </c>
    </row>
    <row r="150" spans="1:2" s="236" customFormat="1" x14ac:dyDescent="0.2">
      <c r="A150" s="19" t="s">
        <v>1015</v>
      </c>
      <c r="B150" s="236" t="s">
        <v>1133</v>
      </c>
    </row>
    <row r="151" spans="1:2" s="236" customFormat="1" x14ac:dyDescent="0.2">
      <c r="A151" s="19" t="s">
        <v>930</v>
      </c>
      <c r="B151" s="236" t="s">
        <v>29</v>
      </c>
    </row>
    <row r="152" spans="1:2" s="236" customFormat="1" x14ac:dyDescent="0.2">
      <c r="A152" s="19" t="s">
        <v>931</v>
      </c>
      <c r="B152" s="236" t="s">
        <v>1066</v>
      </c>
    </row>
    <row r="153" spans="1:2" s="236" customFormat="1" x14ac:dyDescent="0.2">
      <c r="A153" s="19" t="s">
        <v>926</v>
      </c>
      <c r="B153" s="12" t="s">
        <v>28</v>
      </c>
    </row>
    <row r="154" spans="1:2" s="236" customFormat="1" x14ac:dyDescent="0.2">
      <c r="A154" s="224" t="s">
        <v>110</v>
      </c>
      <c r="B154" s="236" t="s">
        <v>64</v>
      </c>
    </row>
    <row r="155" spans="1:2" s="236" customFormat="1" x14ac:dyDescent="0.2">
      <c r="A155" s="19" t="s">
        <v>133</v>
      </c>
      <c r="B155" s="236" t="s">
        <v>86</v>
      </c>
    </row>
    <row r="156" spans="1:2" s="236" customFormat="1" x14ac:dyDescent="0.2">
      <c r="A156" s="19" t="s">
        <v>134</v>
      </c>
      <c r="B156" s="236" t="s">
        <v>87</v>
      </c>
    </row>
    <row r="157" spans="1:2" s="236" customFormat="1" x14ac:dyDescent="0.2">
      <c r="A157" s="19" t="s">
        <v>138</v>
      </c>
      <c r="B157" s="12" t="s">
        <v>139</v>
      </c>
    </row>
    <row r="158" spans="1:2" s="236" customFormat="1" x14ac:dyDescent="0.2">
      <c r="A158" s="19" t="s">
        <v>106</v>
      </c>
      <c r="B158" s="12" t="s">
        <v>59</v>
      </c>
    </row>
    <row r="159" spans="1:2" s="236" customFormat="1" x14ac:dyDescent="0.2">
      <c r="A159" s="19" t="s">
        <v>1024</v>
      </c>
      <c r="B159" s="236" t="s">
        <v>1141</v>
      </c>
    </row>
    <row r="160" spans="1:2" s="236" customFormat="1" x14ac:dyDescent="0.2">
      <c r="A160" s="19" t="s">
        <v>1025</v>
      </c>
      <c r="B160" s="236" t="s">
        <v>1142</v>
      </c>
    </row>
    <row r="161" spans="1:2" s="236" customFormat="1" x14ac:dyDescent="0.2">
      <c r="A161" s="19" t="s">
        <v>960</v>
      </c>
      <c r="B161" s="236" t="s">
        <v>1091</v>
      </c>
    </row>
    <row r="162" spans="1:2" s="236" customFormat="1" x14ac:dyDescent="0.2">
      <c r="A162" s="19" t="s">
        <v>961</v>
      </c>
      <c r="B162" s="236" t="s">
        <v>1092</v>
      </c>
    </row>
    <row r="163" spans="1:2" s="236" customFormat="1" x14ac:dyDescent="0.2">
      <c r="A163" s="19" t="s">
        <v>948</v>
      </c>
      <c r="B163" s="236" t="s">
        <v>60</v>
      </c>
    </row>
    <row r="164" spans="1:2" s="236" customFormat="1" x14ac:dyDescent="0.2">
      <c r="A164" s="19" t="s">
        <v>949</v>
      </c>
      <c r="B164" s="236" t="s">
        <v>1081</v>
      </c>
    </row>
    <row r="165" spans="1:2" s="236" customFormat="1" x14ac:dyDescent="0.2">
      <c r="A165" s="19" t="s">
        <v>132</v>
      </c>
      <c r="B165" s="236" t="s">
        <v>85</v>
      </c>
    </row>
    <row r="166" spans="1:2" s="236" customFormat="1" x14ac:dyDescent="0.2">
      <c r="A166" s="19" t="s">
        <v>121</v>
      </c>
      <c r="B166" s="12" t="s">
        <v>94</v>
      </c>
    </row>
    <row r="167" spans="1:2" s="236" customFormat="1" x14ac:dyDescent="0.2">
      <c r="A167" s="19" t="s">
        <v>131</v>
      </c>
      <c r="B167" s="236" t="s">
        <v>40</v>
      </c>
    </row>
    <row r="168" spans="1:2" s="236" customFormat="1" x14ac:dyDescent="0.2">
      <c r="A168" s="19" t="s">
        <v>967</v>
      </c>
      <c r="B168" s="236" t="s">
        <v>74</v>
      </c>
    </row>
    <row r="169" spans="1:2" s="236" customFormat="1" x14ac:dyDescent="0.2">
      <c r="A169" s="19" t="s">
        <v>118</v>
      </c>
      <c r="B169" s="236" t="s">
        <v>73</v>
      </c>
    </row>
    <row r="170" spans="1:2" s="236" customFormat="1" x14ac:dyDescent="0.2">
      <c r="A170" s="19" t="s">
        <v>971</v>
      </c>
      <c r="B170" s="236" t="s">
        <v>1098</v>
      </c>
    </row>
    <row r="171" spans="1:2" s="236" customFormat="1" x14ac:dyDescent="0.2">
      <c r="A171" s="19" t="s">
        <v>957</v>
      </c>
      <c r="B171" s="402" t="s">
        <v>1088</v>
      </c>
    </row>
    <row r="172" spans="1:2" s="236" customFormat="1" x14ac:dyDescent="0.2">
      <c r="A172" s="19" t="s">
        <v>97</v>
      </c>
      <c r="B172" s="236" t="s">
        <v>31</v>
      </c>
    </row>
    <row r="173" spans="1:2" s="236" customFormat="1" x14ac:dyDescent="0.2">
      <c r="A173" s="19" t="s">
        <v>49</v>
      </c>
      <c r="B173" s="236" t="s">
        <v>89</v>
      </c>
    </row>
    <row r="174" spans="1:2" s="236" customFormat="1" x14ac:dyDescent="0.2">
      <c r="A174" s="19" t="s">
        <v>1017</v>
      </c>
      <c r="B174" s="236" t="s">
        <v>1135</v>
      </c>
    </row>
    <row r="175" spans="1:2" s="236" customFormat="1" x14ac:dyDescent="0.2">
      <c r="A175" s="19" t="s">
        <v>1018</v>
      </c>
      <c r="B175" s="236" t="s">
        <v>1136</v>
      </c>
    </row>
    <row r="176" spans="1:2" s="236" customFormat="1" x14ac:dyDescent="0.2">
      <c r="A176" s="19" t="s">
        <v>928</v>
      </c>
      <c r="B176" s="236" t="s">
        <v>1064</v>
      </c>
    </row>
    <row r="177" spans="1:2" s="236" customFormat="1" x14ac:dyDescent="0.2">
      <c r="A177" s="19" t="s">
        <v>946</v>
      </c>
      <c r="B177" s="236" t="s">
        <v>1079</v>
      </c>
    </row>
    <row r="178" spans="1:2" s="236" customFormat="1" x14ac:dyDescent="0.2">
      <c r="A178" s="19" t="s">
        <v>947</v>
      </c>
      <c r="B178" s="236" t="s">
        <v>1080</v>
      </c>
    </row>
    <row r="179" spans="1:2" s="236" customFormat="1" x14ac:dyDescent="0.2">
      <c r="A179" s="19" t="s">
        <v>1020</v>
      </c>
      <c r="B179" s="236" t="s">
        <v>1137</v>
      </c>
    </row>
    <row r="180" spans="1:2" s="236" customFormat="1" x14ac:dyDescent="0.2">
      <c r="A180" s="19" t="s">
        <v>1021</v>
      </c>
      <c r="B180" s="236" t="s">
        <v>1138</v>
      </c>
    </row>
    <row r="181" spans="1:2" s="236" customFormat="1" x14ac:dyDescent="0.2">
      <c r="A181" s="19" t="s">
        <v>489</v>
      </c>
      <c r="B181" s="236" t="s">
        <v>490</v>
      </c>
    </row>
    <row r="182" spans="1:2" s="236" customFormat="1" x14ac:dyDescent="0.2">
      <c r="A182" s="19" t="s">
        <v>968</v>
      </c>
      <c r="B182" s="236" t="s">
        <v>75</v>
      </c>
    </row>
    <row r="183" spans="1:2" s="236" customFormat="1" x14ac:dyDescent="0.2">
      <c r="A183" s="19" t="s">
        <v>98</v>
      </c>
      <c r="B183" s="236" t="s">
        <v>51</v>
      </c>
    </row>
    <row r="184" spans="1:2" s="236" customFormat="1" x14ac:dyDescent="0.2">
      <c r="A184" s="19" t="s">
        <v>1048</v>
      </c>
      <c r="B184" s="236" t="s">
        <v>1161</v>
      </c>
    </row>
    <row r="185" spans="1:2" s="236" customFormat="1" x14ac:dyDescent="0.2">
      <c r="A185" s="19" t="s">
        <v>1030</v>
      </c>
      <c r="B185" s="236" t="s">
        <v>1143</v>
      </c>
    </row>
    <row r="186" spans="1:2" s="236" customFormat="1" x14ac:dyDescent="0.2">
      <c r="A186" s="19" t="s">
        <v>977</v>
      </c>
      <c r="B186" s="236" t="s">
        <v>1103</v>
      </c>
    </row>
    <row r="187" spans="1:2" s="236" customFormat="1" x14ac:dyDescent="0.2">
      <c r="A187" s="19" t="s">
        <v>99</v>
      </c>
      <c r="B187" s="236" t="s">
        <v>52</v>
      </c>
    </row>
    <row r="188" spans="1:2" s="236" customFormat="1" x14ac:dyDescent="0.2">
      <c r="A188" s="19" t="s">
        <v>1047</v>
      </c>
      <c r="B188" s="236" t="s">
        <v>1160</v>
      </c>
    </row>
    <row r="189" spans="1:2" s="236" customFormat="1" x14ac:dyDescent="0.2">
      <c r="A189" s="19" t="s">
        <v>1041</v>
      </c>
      <c r="B189" s="236" t="s">
        <v>1154</v>
      </c>
    </row>
    <row r="190" spans="1:2" s="236" customFormat="1" x14ac:dyDescent="0.2">
      <c r="A190" s="19" t="s">
        <v>102</v>
      </c>
      <c r="B190" s="12" t="s">
        <v>55</v>
      </c>
    </row>
    <row r="191" spans="1:2" s="236" customFormat="1" x14ac:dyDescent="0.2">
      <c r="A191" s="19" t="s">
        <v>124</v>
      </c>
      <c r="B191" s="236" t="s">
        <v>80</v>
      </c>
    </row>
    <row r="192" spans="1:2" s="236" customFormat="1" x14ac:dyDescent="0.2">
      <c r="A192" s="19" t="s">
        <v>103</v>
      </c>
      <c r="B192" s="236" t="s">
        <v>56</v>
      </c>
    </row>
    <row r="193" spans="1:2" s="236" customFormat="1" x14ac:dyDescent="0.2">
      <c r="A193" s="224" t="s">
        <v>104</v>
      </c>
      <c r="B193" s="236" t="s">
        <v>57</v>
      </c>
    </row>
    <row r="194" spans="1:2" s="236" customFormat="1" x14ac:dyDescent="0.2">
      <c r="A194" s="19" t="s">
        <v>491</v>
      </c>
      <c r="B194" s="236" t="s">
        <v>492</v>
      </c>
    </row>
    <row r="195" spans="1:2" s="236" customFormat="1" x14ac:dyDescent="0.2">
      <c r="A195" s="19" t="s">
        <v>105</v>
      </c>
      <c r="B195" s="236" t="s">
        <v>58</v>
      </c>
    </row>
    <row r="196" spans="1:2" s="236" customFormat="1" x14ac:dyDescent="0.2">
      <c r="A196" s="19" t="s">
        <v>129</v>
      </c>
      <c r="B196" s="236" t="s">
        <v>38</v>
      </c>
    </row>
    <row r="197" spans="1:2" s="236" customFormat="1" x14ac:dyDescent="0.2">
      <c r="A197" s="19" t="s">
        <v>108</v>
      </c>
      <c r="B197" s="236" t="s">
        <v>32</v>
      </c>
    </row>
    <row r="198" spans="1:2" s="236" customFormat="1" x14ac:dyDescent="0.2">
      <c r="A198" s="19" t="s">
        <v>119</v>
      </c>
      <c r="B198" s="236" t="s">
        <v>76</v>
      </c>
    </row>
    <row r="199" spans="1:2" s="236" customFormat="1" x14ac:dyDescent="0.2">
      <c r="A199" s="19" t="s">
        <v>954</v>
      </c>
      <c r="B199" s="236" t="s">
        <v>62</v>
      </c>
    </row>
    <row r="200" spans="1:2" s="236" customFormat="1" x14ac:dyDescent="0.2">
      <c r="A200" s="19" t="s">
        <v>1031</v>
      </c>
      <c r="B200" s="236" t="s">
        <v>1144</v>
      </c>
    </row>
    <row r="201" spans="1:2" s="236" customFormat="1" x14ac:dyDescent="0.2">
      <c r="A201" s="19" t="s">
        <v>1705</v>
      </c>
      <c r="B201" s="402" t="s">
        <v>41</v>
      </c>
    </row>
    <row r="202" spans="1:2" s="236" customFormat="1" x14ac:dyDescent="0.2">
      <c r="A202" s="19" t="s">
        <v>1009</v>
      </c>
      <c r="B202" s="236" t="s">
        <v>1128</v>
      </c>
    </row>
    <row r="203" spans="1:2" s="236" customFormat="1" x14ac:dyDescent="0.2">
      <c r="A203" s="19" t="s">
        <v>107</v>
      </c>
      <c r="B203" s="236" t="s">
        <v>61</v>
      </c>
    </row>
    <row r="204" spans="1:2" s="236" customFormat="1" x14ac:dyDescent="0.2">
      <c r="A204" s="19" t="s">
        <v>955</v>
      </c>
      <c r="B204" s="236" t="s">
        <v>1086</v>
      </c>
    </row>
    <row r="205" spans="1:2" s="236" customFormat="1" x14ac:dyDescent="0.2">
      <c r="A205" s="19" t="s">
        <v>958</v>
      </c>
      <c r="B205" s="12" t="s">
        <v>1089</v>
      </c>
    </row>
    <row r="206" spans="1:2" s="236" customFormat="1" x14ac:dyDescent="0.2">
      <c r="A206" s="19" t="s">
        <v>1032</v>
      </c>
      <c r="B206" s="236" t="s">
        <v>1145</v>
      </c>
    </row>
    <row r="207" spans="1:2" s="236" customFormat="1" x14ac:dyDescent="0.2">
      <c r="A207" s="19" t="s">
        <v>109</v>
      </c>
      <c r="B207" s="236" t="s">
        <v>63</v>
      </c>
    </row>
    <row r="208" spans="1:2" s="236" customFormat="1" x14ac:dyDescent="0.2">
      <c r="A208" s="19" t="s">
        <v>966</v>
      </c>
      <c r="B208" s="236" t="s">
        <v>70</v>
      </c>
    </row>
    <row r="209" spans="1:2" s="236" customFormat="1" x14ac:dyDescent="0.2">
      <c r="A209" s="19" t="s">
        <v>981</v>
      </c>
      <c r="B209" s="236" t="s">
        <v>1106</v>
      </c>
    </row>
    <row r="210" spans="1:2" s="236" customFormat="1" x14ac:dyDescent="0.2">
      <c r="A210" s="19" t="s">
        <v>963</v>
      </c>
      <c r="B210" s="236" t="s">
        <v>34</v>
      </c>
    </row>
    <row r="211" spans="1:2" s="236" customFormat="1" x14ac:dyDescent="0.2">
      <c r="A211" s="19" t="s">
        <v>120</v>
      </c>
      <c r="B211" s="236" t="s">
        <v>77</v>
      </c>
    </row>
    <row r="212" spans="1:2" s="236" customFormat="1" x14ac:dyDescent="0.2">
      <c r="A212" s="19" t="s">
        <v>989</v>
      </c>
      <c r="B212" s="236" t="s">
        <v>78</v>
      </c>
    </row>
    <row r="213" spans="1:2" s="236" customFormat="1" x14ac:dyDescent="0.2">
      <c r="A213" s="19"/>
    </row>
    <row r="214" spans="1:2" s="236" customFormat="1" x14ac:dyDescent="0.2">
      <c r="A214" s="19"/>
    </row>
    <row r="215" spans="1:2" s="236" customFormat="1" x14ac:dyDescent="0.2">
      <c r="A215" s="19"/>
    </row>
    <row r="216" spans="1:2" s="236" customFormat="1" x14ac:dyDescent="0.2">
      <c r="A216" s="19"/>
    </row>
    <row r="217" spans="1:2" s="236" customFormat="1" x14ac:dyDescent="0.2">
      <c r="A217" s="19"/>
    </row>
    <row r="218" spans="1:2" s="236" customFormat="1" x14ac:dyDescent="0.2">
      <c r="A218" s="19"/>
    </row>
    <row r="219" spans="1:2" s="236" customFormat="1" x14ac:dyDescent="0.2">
      <c r="A219" s="19"/>
    </row>
    <row r="220" spans="1:2" s="236" customFormat="1" x14ac:dyDescent="0.2">
      <c r="A220" s="19"/>
    </row>
    <row r="221" spans="1:2" s="236" customFormat="1" x14ac:dyDescent="0.2">
      <c r="A221" s="19"/>
    </row>
    <row r="222" spans="1:2" s="236" customFormat="1" x14ac:dyDescent="0.2">
      <c r="A222" s="19"/>
    </row>
    <row r="223" spans="1:2" s="236" customFormat="1" x14ac:dyDescent="0.2">
      <c r="A223" s="19"/>
    </row>
    <row r="224" spans="1:2" s="236" customFormat="1" x14ac:dyDescent="0.2">
      <c r="A224" s="19"/>
    </row>
    <row r="225" spans="1:2" x14ac:dyDescent="0.2">
      <c r="A225" s="19"/>
    </row>
    <row r="228" spans="1:2" x14ac:dyDescent="0.2">
      <c r="A228" s="17" t="s">
        <v>141</v>
      </c>
      <c r="B228" s="17" t="s">
        <v>142</v>
      </c>
    </row>
    <row r="229" spans="1:2" x14ac:dyDescent="0.2">
      <c r="A229" s="1" t="s">
        <v>144</v>
      </c>
      <c r="B229" s="12" t="s">
        <v>511</v>
      </c>
    </row>
    <row r="230" spans="1:2" x14ac:dyDescent="0.2">
      <c r="A230" s="1" t="s">
        <v>150</v>
      </c>
      <c r="B230" s="12" t="s">
        <v>512</v>
      </c>
    </row>
    <row r="231" spans="1:2" x14ac:dyDescent="0.2">
      <c r="A231" s="1" t="s">
        <v>151</v>
      </c>
      <c r="B231" s="12" t="s">
        <v>167</v>
      </c>
    </row>
    <row r="232" spans="1:2" x14ac:dyDescent="0.2">
      <c r="A232" s="1" t="s">
        <v>152</v>
      </c>
      <c r="B232" s="12" t="s">
        <v>168</v>
      </c>
    </row>
    <row r="233" spans="1:2" x14ac:dyDescent="0.2">
      <c r="A233" s="1" t="s">
        <v>163</v>
      </c>
      <c r="B233" s="12" t="s">
        <v>169</v>
      </c>
    </row>
    <row r="234" spans="1:2" x14ac:dyDescent="0.2">
      <c r="A234" s="1" t="s">
        <v>149</v>
      </c>
      <c r="B234" s="12" t="s">
        <v>170</v>
      </c>
    </row>
    <row r="235" spans="1:2" x14ac:dyDescent="0.2">
      <c r="A235" s="1" t="s">
        <v>143</v>
      </c>
      <c r="B235" s="12" t="s">
        <v>221</v>
      </c>
    </row>
    <row r="236" spans="1:2" x14ac:dyDescent="0.2">
      <c r="A236" s="1" t="s">
        <v>143</v>
      </c>
      <c r="B236" s="12" t="s">
        <v>220</v>
      </c>
    </row>
    <row r="237" spans="1:2" x14ac:dyDescent="0.2">
      <c r="A237" s="1" t="s">
        <v>146</v>
      </c>
      <c r="B237" s="12" t="s">
        <v>172</v>
      </c>
    </row>
    <row r="238" spans="1:2" x14ac:dyDescent="0.2">
      <c r="A238" s="1" t="s">
        <v>145</v>
      </c>
      <c r="B238" s="12" t="s">
        <v>171</v>
      </c>
    </row>
    <row r="239" spans="1:2" x14ac:dyDescent="0.2">
      <c r="A239" s="1" t="s">
        <v>153</v>
      </c>
      <c r="B239" s="12" t="s">
        <v>173</v>
      </c>
    </row>
    <row r="240" spans="1:2" x14ac:dyDescent="0.2">
      <c r="A240" s="1" t="s">
        <v>166</v>
      </c>
      <c r="B240" s="12" t="s">
        <v>174</v>
      </c>
    </row>
    <row r="241" spans="1:3" x14ac:dyDescent="0.2">
      <c r="A241" s="1" t="s">
        <v>154</v>
      </c>
      <c r="B241" s="12" t="s">
        <v>175</v>
      </c>
    </row>
    <row r="242" spans="1:3" s="236" customFormat="1" x14ac:dyDescent="0.2">
      <c r="A242" s="1" t="s">
        <v>164</v>
      </c>
      <c r="B242" s="12" t="s">
        <v>176</v>
      </c>
    </row>
    <row r="243" spans="1:3" x14ac:dyDescent="0.2">
      <c r="A243" s="1" t="s">
        <v>147</v>
      </c>
      <c r="B243" s="12" t="s">
        <v>177</v>
      </c>
    </row>
    <row r="244" spans="1:3" s="236" customFormat="1" x14ac:dyDescent="0.2">
      <c r="A244" s="224" t="s">
        <v>498</v>
      </c>
      <c r="B244" s="12" t="s">
        <v>410</v>
      </c>
    </row>
    <row r="245" spans="1:3" x14ac:dyDescent="0.2">
      <c r="A245" s="1" t="s">
        <v>165</v>
      </c>
      <c r="B245" s="12" t="s">
        <v>178</v>
      </c>
    </row>
    <row r="246" spans="1:3" x14ac:dyDescent="0.2">
      <c r="A246" s="224" t="s">
        <v>411</v>
      </c>
      <c r="B246" s="12" t="s">
        <v>168</v>
      </c>
      <c r="C246" s="236"/>
    </row>
    <row r="247" spans="1:3" x14ac:dyDescent="0.2">
      <c r="A247" s="1" t="s">
        <v>148</v>
      </c>
      <c r="B247" s="12" t="s">
        <v>179</v>
      </c>
      <c r="C247" s="236"/>
    </row>
    <row r="248" spans="1:3" x14ac:dyDescent="0.2">
      <c r="A248" s="1" t="s">
        <v>161</v>
      </c>
      <c r="B248" s="12" t="s">
        <v>222</v>
      </c>
      <c r="C248">
        <v>146</v>
      </c>
    </row>
    <row r="249" spans="1:3" x14ac:dyDescent="0.2">
      <c r="A249" s="1" t="s">
        <v>158</v>
      </c>
      <c r="B249" s="12" t="s">
        <v>222</v>
      </c>
      <c r="C249">
        <v>143</v>
      </c>
    </row>
    <row r="250" spans="1:3" x14ac:dyDescent="0.2">
      <c r="A250" s="1" t="s">
        <v>162</v>
      </c>
      <c r="B250" s="12" t="s">
        <v>222</v>
      </c>
      <c r="C250">
        <v>147</v>
      </c>
    </row>
    <row r="251" spans="1:3" x14ac:dyDescent="0.2">
      <c r="A251" s="1" t="s">
        <v>159</v>
      </c>
      <c r="B251" s="12" t="s">
        <v>222</v>
      </c>
      <c r="C251">
        <v>144</v>
      </c>
    </row>
    <row r="252" spans="1:3" x14ac:dyDescent="0.2">
      <c r="A252" s="1" t="s">
        <v>156</v>
      </c>
      <c r="B252" s="12" t="s">
        <v>222</v>
      </c>
      <c r="C252">
        <v>141</v>
      </c>
    </row>
    <row r="253" spans="1:3" s="236" customFormat="1" x14ac:dyDescent="0.2">
      <c r="A253" s="1" t="s">
        <v>160</v>
      </c>
      <c r="B253" s="12" t="s">
        <v>222</v>
      </c>
      <c r="C253">
        <v>145</v>
      </c>
    </row>
    <row r="254" spans="1:3" x14ac:dyDescent="0.2">
      <c r="A254" s="1" t="s">
        <v>157</v>
      </c>
      <c r="B254" s="12" t="s">
        <v>222</v>
      </c>
      <c r="C254">
        <v>142</v>
      </c>
    </row>
    <row r="255" spans="1:3" x14ac:dyDescent="0.2">
      <c r="A255" s="224" t="s">
        <v>409</v>
      </c>
      <c r="B255" s="12" t="s">
        <v>410</v>
      </c>
      <c r="C255" s="236"/>
    </row>
    <row r="256" spans="1:3" x14ac:dyDescent="0.2">
      <c r="A256" s="1" t="s">
        <v>155</v>
      </c>
      <c r="B256" s="12" t="s">
        <v>180</v>
      </c>
    </row>
    <row r="258" spans="1:4" x14ac:dyDescent="0.2">
      <c r="D258" s="1"/>
    </row>
    <row r="259" spans="1:4" x14ac:dyDescent="0.2">
      <c r="A259" s="17" t="s">
        <v>181</v>
      </c>
      <c r="B259" s="17" t="s">
        <v>184</v>
      </c>
      <c r="C259" s="17" t="s">
        <v>185</v>
      </c>
      <c r="D259" s="1"/>
    </row>
    <row r="260" spans="1:4" x14ac:dyDescent="0.2">
      <c r="A260" s="237" t="s">
        <v>583</v>
      </c>
      <c r="B260" s="28" t="s">
        <v>719</v>
      </c>
      <c r="C260" s="30" t="s">
        <v>758</v>
      </c>
      <c r="D260" s="1"/>
    </row>
    <row r="261" spans="1:4" x14ac:dyDescent="0.2">
      <c r="A261" s="237" t="s">
        <v>599</v>
      </c>
      <c r="B261" s="28" t="s">
        <v>721</v>
      </c>
      <c r="C261" s="30" t="s">
        <v>770</v>
      </c>
      <c r="D261" s="1"/>
    </row>
    <row r="262" spans="1:4" s="236" customFormat="1" x14ac:dyDescent="0.2">
      <c r="A262" s="237" t="s">
        <v>1634</v>
      </c>
      <c r="B262" s="28" t="s">
        <v>713</v>
      </c>
      <c r="C262" s="30" t="s">
        <v>751</v>
      </c>
      <c r="D262" s="224"/>
    </row>
    <row r="263" spans="1:4" s="236" customFormat="1" x14ac:dyDescent="0.2">
      <c r="A263" s="237" t="s">
        <v>642</v>
      </c>
      <c r="B263" s="28" t="s">
        <v>733</v>
      </c>
      <c r="C263" s="31" t="s">
        <v>788</v>
      </c>
      <c r="D263" s="224"/>
    </row>
    <row r="264" spans="1:4" s="236" customFormat="1" x14ac:dyDescent="0.2">
      <c r="A264" s="237" t="s">
        <v>1567</v>
      </c>
      <c r="B264" s="139" t="s">
        <v>714</v>
      </c>
      <c r="C264" s="31" t="s">
        <v>738</v>
      </c>
      <c r="D264" s="224"/>
    </row>
    <row r="265" spans="1:4" x14ac:dyDescent="0.2">
      <c r="A265" s="237" t="s">
        <v>600</v>
      </c>
      <c r="B265" s="28" t="s">
        <v>714</v>
      </c>
      <c r="C265" s="30" t="s">
        <v>767</v>
      </c>
      <c r="D265" s="1"/>
    </row>
    <row r="266" spans="1:4" x14ac:dyDescent="0.2">
      <c r="A266" s="237" t="s">
        <v>643</v>
      </c>
      <c r="B266" s="28" t="s">
        <v>734</v>
      </c>
      <c r="C266" s="31" t="s">
        <v>781</v>
      </c>
      <c r="D266" s="1"/>
    </row>
    <row r="267" spans="1:4" x14ac:dyDescent="0.2">
      <c r="A267" s="237" t="s">
        <v>656</v>
      </c>
      <c r="B267" s="28" t="s">
        <v>714</v>
      </c>
      <c r="C267" s="30" t="s">
        <v>767</v>
      </c>
      <c r="D267" s="236"/>
    </row>
    <row r="268" spans="1:4" x14ac:dyDescent="0.2">
      <c r="A268" s="237" t="s">
        <v>650</v>
      </c>
      <c r="B268" s="28" t="s">
        <v>714</v>
      </c>
      <c r="C268" s="30" t="s">
        <v>767</v>
      </c>
      <c r="D268" s="1"/>
    </row>
    <row r="269" spans="1:4" x14ac:dyDescent="0.2">
      <c r="A269" s="237" t="s">
        <v>634</v>
      </c>
      <c r="B269" s="28" t="s">
        <v>182</v>
      </c>
      <c r="C269" s="31" t="s">
        <v>182</v>
      </c>
      <c r="D269" s="1"/>
    </row>
    <row r="270" spans="1:4" s="236" customFormat="1" x14ac:dyDescent="0.2">
      <c r="A270" s="237" t="s">
        <v>1635</v>
      </c>
      <c r="B270" s="28" t="s">
        <v>732</v>
      </c>
      <c r="C270" s="30" t="s">
        <v>787</v>
      </c>
      <c r="D270" s="224"/>
    </row>
    <row r="271" spans="1:4" x14ac:dyDescent="0.2">
      <c r="A271" s="237" t="s">
        <v>683</v>
      </c>
      <c r="B271" s="28" t="s">
        <v>723</v>
      </c>
      <c r="C271" s="30" t="s">
        <v>778</v>
      </c>
      <c r="D271" s="236"/>
    </row>
    <row r="272" spans="1:4" x14ac:dyDescent="0.2">
      <c r="A272" s="237" t="s">
        <v>1649</v>
      </c>
      <c r="B272" s="28" t="s">
        <v>182</v>
      </c>
      <c r="C272" s="31" t="s">
        <v>789</v>
      </c>
      <c r="D272" s="1"/>
    </row>
    <row r="273" spans="1:4" x14ac:dyDescent="0.2">
      <c r="A273" s="237" t="s">
        <v>687</v>
      </c>
      <c r="B273" s="28" t="s">
        <v>725</v>
      </c>
      <c r="C273" s="30" t="s">
        <v>774</v>
      </c>
      <c r="D273" s="236"/>
    </row>
    <row r="274" spans="1:4" s="236" customFormat="1" x14ac:dyDescent="0.2">
      <c r="A274" s="237" t="s">
        <v>1561</v>
      </c>
      <c r="B274" s="28" t="s">
        <v>715</v>
      </c>
      <c r="C274" s="30" t="s">
        <v>739</v>
      </c>
    </row>
    <row r="275" spans="1:4" x14ac:dyDescent="0.2">
      <c r="A275" s="237" t="s">
        <v>588</v>
      </c>
      <c r="B275" s="28" t="s">
        <v>717</v>
      </c>
      <c r="C275" s="30" t="s">
        <v>761</v>
      </c>
      <c r="D275" s="1"/>
    </row>
    <row r="276" spans="1:4" x14ac:dyDescent="0.2">
      <c r="A276" s="237" t="s">
        <v>684</v>
      </c>
      <c r="B276" s="28" t="s">
        <v>714</v>
      </c>
      <c r="C276" s="30" t="s">
        <v>767</v>
      </c>
      <c r="D276" s="236"/>
    </row>
    <row r="277" spans="1:4" x14ac:dyDescent="0.2">
      <c r="A277" s="237" t="s">
        <v>594</v>
      </c>
      <c r="B277" s="28" t="s">
        <v>714</v>
      </c>
      <c r="C277" s="30" t="s">
        <v>766</v>
      </c>
      <c r="D277" s="1"/>
    </row>
    <row r="278" spans="1:4" x14ac:dyDescent="0.2">
      <c r="A278" s="237" t="s">
        <v>584</v>
      </c>
      <c r="B278" s="28" t="s">
        <v>724</v>
      </c>
      <c r="C278" s="30" t="s">
        <v>759</v>
      </c>
      <c r="D278" s="1"/>
    </row>
    <row r="279" spans="1:4" x14ac:dyDescent="0.2">
      <c r="A279" s="237" t="s">
        <v>1643</v>
      </c>
      <c r="B279" s="28" t="s">
        <v>722</v>
      </c>
      <c r="C279" s="30" t="s">
        <v>755</v>
      </c>
      <c r="D279" s="236"/>
    </row>
    <row r="280" spans="1:4" x14ac:dyDescent="0.2">
      <c r="A280" s="237" t="s">
        <v>578</v>
      </c>
      <c r="B280" s="28" t="s">
        <v>720</v>
      </c>
      <c r="C280" s="30" t="s">
        <v>753</v>
      </c>
      <c r="D280" s="1"/>
    </row>
    <row r="281" spans="1:4" x14ac:dyDescent="0.2">
      <c r="A281" s="237" t="s">
        <v>657</v>
      </c>
      <c r="B281" s="28" t="s">
        <v>720</v>
      </c>
      <c r="C281" s="30" t="s">
        <v>771</v>
      </c>
      <c r="D281" s="236"/>
    </row>
    <row r="282" spans="1:4" x14ac:dyDescent="0.2">
      <c r="A282" s="138" t="s">
        <v>559</v>
      </c>
      <c r="B282" s="139" t="s">
        <v>714</v>
      </c>
      <c r="C282" s="32" t="s">
        <v>738</v>
      </c>
      <c r="D282" s="1"/>
    </row>
    <row r="283" spans="1:4" x14ac:dyDescent="0.2">
      <c r="A283" s="237" t="s">
        <v>589</v>
      </c>
      <c r="B283" s="28" t="s">
        <v>718</v>
      </c>
      <c r="C283" s="31" t="s">
        <v>762</v>
      </c>
      <c r="D283" s="1"/>
    </row>
    <row r="284" spans="1:4" x14ac:dyDescent="0.2">
      <c r="A284" s="237" t="s">
        <v>569</v>
      </c>
      <c r="B284" s="28" t="s">
        <v>713</v>
      </c>
      <c r="C284" s="31" t="s">
        <v>746</v>
      </c>
      <c r="D284" s="1"/>
    </row>
    <row r="285" spans="1:4" s="236" customFormat="1" x14ac:dyDescent="0.2">
      <c r="A285" s="237" t="s">
        <v>1566</v>
      </c>
      <c r="B285" s="28" t="s">
        <v>715</v>
      </c>
      <c r="C285" s="31" t="s">
        <v>739</v>
      </c>
      <c r="D285" s="224"/>
    </row>
    <row r="286" spans="1:4" x14ac:dyDescent="0.2">
      <c r="A286" s="237" t="s">
        <v>693</v>
      </c>
      <c r="B286" s="28" t="s">
        <v>725</v>
      </c>
      <c r="C286" s="30" t="s">
        <v>799</v>
      </c>
      <c r="D286" s="236"/>
    </row>
    <row r="287" spans="1:4" x14ac:dyDescent="0.2">
      <c r="A287" s="237" t="s">
        <v>644</v>
      </c>
      <c r="B287" s="28" t="s">
        <v>735</v>
      </c>
      <c r="C287" s="30" t="s">
        <v>790</v>
      </c>
      <c r="D287" s="1"/>
    </row>
    <row r="288" spans="1:4" x14ac:dyDescent="0.2">
      <c r="A288" s="237" t="s">
        <v>688</v>
      </c>
      <c r="B288" s="28" t="s">
        <v>714</v>
      </c>
      <c r="C288" s="30" t="s">
        <v>767</v>
      </c>
      <c r="D288" s="236"/>
    </row>
    <row r="289" spans="1:4" x14ac:dyDescent="0.2">
      <c r="A289" s="237" t="s">
        <v>668</v>
      </c>
      <c r="B289" s="28" t="s">
        <v>719</v>
      </c>
      <c r="C289" s="30" t="s">
        <v>768</v>
      </c>
      <c r="D289" s="236"/>
    </row>
    <row r="290" spans="1:4" x14ac:dyDescent="0.2">
      <c r="A290" s="237" t="s">
        <v>615</v>
      </c>
      <c r="B290" s="28" t="s">
        <v>714</v>
      </c>
      <c r="C290" s="30" t="s">
        <v>767</v>
      </c>
      <c r="D290" s="1"/>
    </row>
    <row r="291" spans="1:4" x14ac:dyDescent="0.2">
      <c r="A291" s="237" t="s">
        <v>560</v>
      </c>
      <c r="B291" s="28" t="s">
        <v>715</v>
      </c>
      <c r="C291" s="30" t="s">
        <v>739</v>
      </c>
      <c r="D291" s="1"/>
    </row>
    <row r="292" spans="1:4" x14ac:dyDescent="0.2">
      <c r="A292" s="237" t="s">
        <v>570</v>
      </c>
      <c r="B292" s="28" t="s">
        <v>713</v>
      </c>
      <c r="C292" s="30" t="s">
        <v>747</v>
      </c>
      <c r="D292" s="1"/>
    </row>
    <row r="293" spans="1:4" x14ac:dyDescent="0.2">
      <c r="A293" s="237" t="s">
        <v>658</v>
      </c>
      <c r="B293" s="28" t="s">
        <v>718</v>
      </c>
      <c r="C293" s="30" t="s">
        <v>773</v>
      </c>
      <c r="D293" s="236"/>
    </row>
    <row r="294" spans="1:4" x14ac:dyDescent="0.2">
      <c r="A294" s="237" t="s">
        <v>610</v>
      </c>
      <c r="B294" s="28" t="s">
        <v>726</v>
      </c>
      <c r="C294" s="30" t="s">
        <v>775</v>
      </c>
      <c r="D294" s="1"/>
    </row>
    <row r="295" spans="1:4" x14ac:dyDescent="0.2">
      <c r="A295" s="237" t="s">
        <v>669</v>
      </c>
      <c r="B295" s="28" t="s">
        <v>715</v>
      </c>
      <c r="C295" s="30" t="s">
        <v>792</v>
      </c>
      <c r="D295" s="236"/>
    </row>
    <row r="296" spans="1:4" x14ac:dyDescent="0.2">
      <c r="A296" s="707" t="s">
        <v>549</v>
      </c>
      <c r="B296" s="708" t="s">
        <v>713</v>
      </c>
      <c r="C296" s="709" t="s">
        <v>737</v>
      </c>
      <c r="D296" s="710"/>
    </row>
    <row r="297" spans="1:4" s="236" customFormat="1" x14ac:dyDescent="0.2">
      <c r="A297" s="237" t="s">
        <v>670</v>
      </c>
      <c r="B297" s="28" t="s">
        <v>720</v>
      </c>
      <c r="C297" s="30" t="s">
        <v>771</v>
      </c>
    </row>
    <row r="298" spans="1:4" x14ac:dyDescent="0.2">
      <c r="A298" s="237" t="s">
        <v>616</v>
      </c>
      <c r="B298" s="28" t="s">
        <v>723</v>
      </c>
      <c r="C298" s="30" t="s">
        <v>778</v>
      </c>
      <c r="D298" s="1"/>
    </row>
    <row r="299" spans="1:4" x14ac:dyDescent="0.2">
      <c r="A299" s="237" t="s">
        <v>617</v>
      </c>
      <c r="B299" s="28" t="s">
        <v>719</v>
      </c>
      <c r="C299" s="30" t="s">
        <v>779</v>
      </c>
      <c r="D299" s="1"/>
    </row>
    <row r="300" spans="1:4" x14ac:dyDescent="0.2">
      <c r="A300" s="31" t="s">
        <v>601</v>
      </c>
      <c r="B300" s="28" t="s">
        <v>720</v>
      </c>
      <c r="C300" s="30" t="s">
        <v>771</v>
      </c>
      <c r="D300" s="1"/>
    </row>
    <row r="301" spans="1:4" x14ac:dyDescent="0.2">
      <c r="A301" s="237" t="s">
        <v>571</v>
      </c>
      <c r="B301" s="28" t="s">
        <v>721</v>
      </c>
      <c r="C301" s="30" t="s">
        <v>748</v>
      </c>
      <c r="D301" s="1"/>
    </row>
    <row r="302" spans="1:4" s="236" customFormat="1" x14ac:dyDescent="0.2">
      <c r="A302" s="237" t="s">
        <v>1636</v>
      </c>
      <c r="B302" s="28" t="s">
        <v>713</v>
      </c>
      <c r="C302" s="30" t="s">
        <v>1637</v>
      </c>
      <c r="D302" s="224"/>
    </row>
    <row r="303" spans="1:4" x14ac:dyDescent="0.2">
      <c r="A303" s="237" t="s">
        <v>689</v>
      </c>
      <c r="B303" s="28" t="s">
        <v>719</v>
      </c>
      <c r="C303" s="30" t="s">
        <v>779</v>
      </c>
      <c r="D303" s="236"/>
    </row>
    <row r="304" spans="1:4" x14ac:dyDescent="0.2">
      <c r="A304" s="237" t="s">
        <v>618</v>
      </c>
      <c r="B304" s="28" t="s">
        <v>720</v>
      </c>
      <c r="C304" s="30" t="s">
        <v>771</v>
      </c>
      <c r="D304" s="1"/>
    </row>
    <row r="305" spans="1:4" x14ac:dyDescent="0.2">
      <c r="A305" s="237" t="s">
        <v>602</v>
      </c>
      <c r="B305" s="28" t="s">
        <v>717</v>
      </c>
      <c r="C305" s="30" t="s">
        <v>772</v>
      </c>
      <c r="D305" s="1"/>
    </row>
    <row r="306" spans="1:4" x14ac:dyDescent="0.2">
      <c r="A306" s="237" t="s">
        <v>651</v>
      </c>
      <c r="B306" s="28" t="s">
        <v>725</v>
      </c>
      <c r="C306" s="30" t="s">
        <v>774</v>
      </c>
      <c r="D306" s="1"/>
    </row>
    <row r="307" spans="1:4" x14ac:dyDescent="0.2">
      <c r="A307" s="237" t="s">
        <v>694</v>
      </c>
      <c r="B307" s="28" t="s">
        <v>714</v>
      </c>
      <c r="C307" s="30" t="s">
        <v>800</v>
      </c>
      <c r="D307" s="236"/>
    </row>
    <row r="308" spans="1:4" x14ac:dyDescent="0.2">
      <c r="A308" s="237" t="s">
        <v>695</v>
      </c>
      <c r="B308" s="28" t="s">
        <v>714</v>
      </c>
      <c r="C308" s="30" t="s">
        <v>767</v>
      </c>
      <c r="D308" s="236"/>
    </row>
    <row r="309" spans="1:4" x14ac:dyDescent="0.2">
      <c r="A309" s="237" t="s">
        <v>550</v>
      </c>
      <c r="B309" s="28" t="s">
        <v>713</v>
      </c>
      <c r="C309" s="30" t="s">
        <v>737</v>
      </c>
      <c r="D309" s="1"/>
    </row>
    <row r="310" spans="1:4" x14ac:dyDescent="0.2">
      <c r="A310" s="237" t="s">
        <v>709</v>
      </c>
      <c r="B310" s="28" t="s">
        <v>717</v>
      </c>
      <c r="C310" s="30" t="s">
        <v>804</v>
      </c>
      <c r="D310" s="236"/>
    </row>
    <row r="311" spans="1:4" x14ac:dyDescent="0.2">
      <c r="A311" s="237" t="s">
        <v>671</v>
      </c>
      <c r="B311" s="28" t="s">
        <v>714</v>
      </c>
      <c r="C311" s="30" t="s">
        <v>767</v>
      </c>
      <c r="D311" s="236"/>
    </row>
    <row r="312" spans="1:4" x14ac:dyDescent="0.2">
      <c r="A312" s="237" t="s">
        <v>672</v>
      </c>
      <c r="B312" s="28" t="s">
        <v>718</v>
      </c>
      <c r="C312" s="30" t="s">
        <v>773</v>
      </c>
      <c r="D312" s="236"/>
    </row>
    <row r="313" spans="1:4" x14ac:dyDescent="0.2">
      <c r="A313" s="237" t="s">
        <v>590</v>
      </c>
      <c r="B313" s="28" t="s">
        <v>718</v>
      </c>
      <c r="C313" s="30" t="s">
        <v>762</v>
      </c>
      <c r="D313" s="1"/>
    </row>
    <row r="314" spans="1:4" x14ac:dyDescent="0.2">
      <c r="A314" s="237" t="s">
        <v>572</v>
      </c>
      <c r="B314" s="28" t="s">
        <v>713</v>
      </c>
      <c r="C314" s="30" t="s">
        <v>749</v>
      </c>
      <c r="D314" s="1"/>
    </row>
    <row r="315" spans="1:4" x14ac:dyDescent="0.2">
      <c r="A315" s="237" t="s">
        <v>573</v>
      </c>
      <c r="B315" s="28" t="s">
        <v>717</v>
      </c>
      <c r="C315" s="30" t="s">
        <v>750</v>
      </c>
      <c r="D315" s="1"/>
    </row>
    <row r="316" spans="1:4" x14ac:dyDescent="0.2">
      <c r="A316" s="237" t="s">
        <v>690</v>
      </c>
      <c r="B316" s="28" t="s">
        <v>714</v>
      </c>
      <c r="C316" s="30" t="s">
        <v>767</v>
      </c>
      <c r="D316" s="236"/>
    </row>
    <row r="317" spans="1:4" x14ac:dyDescent="0.2">
      <c r="A317" s="237" t="s">
        <v>696</v>
      </c>
      <c r="B317" s="28" t="s">
        <v>723</v>
      </c>
      <c r="C317" s="30" t="s">
        <v>779</v>
      </c>
      <c r="D317" s="236"/>
    </row>
    <row r="318" spans="1:4" x14ac:dyDescent="0.2">
      <c r="A318" s="237" t="s">
        <v>574</v>
      </c>
      <c r="B318" s="28" t="s">
        <v>713</v>
      </c>
      <c r="C318" s="30" t="s">
        <v>751</v>
      </c>
      <c r="D318" s="1"/>
    </row>
    <row r="319" spans="1:4" x14ac:dyDescent="0.2">
      <c r="A319" s="237" t="s">
        <v>561</v>
      </c>
      <c r="B319" s="28" t="s">
        <v>717</v>
      </c>
      <c r="C319" s="30" t="s">
        <v>741</v>
      </c>
      <c r="D319" s="1"/>
    </row>
    <row r="320" spans="1:4" x14ac:dyDescent="0.2">
      <c r="A320" s="237" t="s">
        <v>673</v>
      </c>
      <c r="B320" s="28" t="s">
        <v>714</v>
      </c>
      <c r="C320" s="30" t="s">
        <v>767</v>
      </c>
      <c r="D320" s="236"/>
    </row>
    <row r="321" spans="1:4" x14ac:dyDescent="0.2">
      <c r="A321" s="237" t="s">
        <v>697</v>
      </c>
      <c r="B321" s="28" t="s">
        <v>719</v>
      </c>
      <c r="C321" s="30" t="s">
        <v>797</v>
      </c>
      <c r="D321" s="236"/>
    </row>
    <row r="322" spans="1:4" x14ac:dyDescent="0.2">
      <c r="A322" s="237" t="s">
        <v>611</v>
      </c>
      <c r="B322" s="28" t="s">
        <v>727</v>
      </c>
      <c r="C322" s="30" t="s">
        <v>776</v>
      </c>
      <c r="D322" s="1"/>
    </row>
    <row r="323" spans="1:4" x14ac:dyDescent="0.2">
      <c r="A323" s="237" t="s">
        <v>659</v>
      </c>
      <c r="B323" s="28" t="s">
        <v>715</v>
      </c>
      <c r="C323" s="30" t="s">
        <v>792</v>
      </c>
      <c r="D323" s="236"/>
    </row>
    <row r="324" spans="1:4" x14ac:dyDescent="0.2">
      <c r="A324" s="707" t="s">
        <v>551</v>
      </c>
      <c r="B324" s="708" t="s">
        <v>713</v>
      </c>
      <c r="C324" s="709" t="s">
        <v>737</v>
      </c>
      <c r="D324" s="710"/>
    </row>
    <row r="325" spans="1:4" x14ac:dyDescent="0.2">
      <c r="A325" s="237" t="s">
        <v>612</v>
      </c>
      <c r="B325" s="28" t="s">
        <v>728</v>
      </c>
      <c r="C325" s="30" t="s">
        <v>777</v>
      </c>
      <c r="D325" s="1"/>
    </row>
    <row r="326" spans="1:4" x14ac:dyDescent="0.2">
      <c r="A326" s="237" t="s">
        <v>639</v>
      </c>
      <c r="B326" s="28" t="s">
        <v>730</v>
      </c>
      <c r="C326" s="31" t="s">
        <v>784</v>
      </c>
      <c r="D326" s="1"/>
    </row>
    <row r="327" spans="1:4" s="236" customFormat="1" x14ac:dyDescent="0.2">
      <c r="A327" s="140" t="s">
        <v>603</v>
      </c>
      <c r="B327" s="28" t="s">
        <v>721</v>
      </c>
      <c r="C327" s="30" t="s">
        <v>770</v>
      </c>
      <c r="D327" s="224"/>
    </row>
    <row r="328" spans="1:4" x14ac:dyDescent="0.2">
      <c r="A328" s="237" t="s">
        <v>681</v>
      </c>
      <c r="B328" s="28" t="s">
        <v>723</v>
      </c>
      <c r="C328" s="30" t="s">
        <v>796</v>
      </c>
      <c r="D328" s="236"/>
    </row>
    <row r="329" spans="1:4" x14ac:dyDescent="0.2">
      <c r="A329" s="237" t="s">
        <v>674</v>
      </c>
      <c r="B329" s="28" t="s">
        <v>714</v>
      </c>
      <c r="C329" s="30" t="s">
        <v>767</v>
      </c>
      <c r="D329" s="236"/>
    </row>
    <row r="330" spans="1:4" x14ac:dyDescent="0.2">
      <c r="A330" s="237" t="s">
        <v>698</v>
      </c>
      <c r="B330" s="28" t="s">
        <v>183</v>
      </c>
      <c r="C330" s="30" t="s">
        <v>801</v>
      </c>
      <c r="D330" s="236"/>
    </row>
    <row r="331" spans="1:4" x14ac:dyDescent="0.2">
      <c r="A331" s="237" t="s">
        <v>619</v>
      </c>
      <c r="B331" s="28" t="s">
        <v>715</v>
      </c>
      <c r="C331" s="30" t="s">
        <v>780</v>
      </c>
      <c r="D331" s="1"/>
    </row>
    <row r="332" spans="1:4" x14ac:dyDescent="0.2">
      <c r="A332" s="707" t="s">
        <v>552</v>
      </c>
      <c r="B332" s="708" t="s">
        <v>713</v>
      </c>
      <c r="C332" s="709" t="s">
        <v>737</v>
      </c>
      <c r="D332" s="710"/>
    </row>
    <row r="333" spans="1:4" x14ac:dyDescent="0.2">
      <c r="A333" s="237" t="s">
        <v>562</v>
      </c>
      <c r="B333" s="29" t="s">
        <v>718</v>
      </c>
      <c r="C333" s="33" t="s">
        <v>742</v>
      </c>
      <c r="D333" s="1"/>
    </row>
    <row r="334" spans="1:4" x14ac:dyDescent="0.2">
      <c r="A334" s="237" t="s">
        <v>699</v>
      </c>
      <c r="B334" s="28" t="s">
        <v>715</v>
      </c>
      <c r="C334" s="30" t="s">
        <v>767</v>
      </c>
      <c r="D334" s="236"/>
    </row>
    <row r="335" spans="1:4" x14ac:dyDescent="0.2">
      <c r="A335" s="707" t="s">
        <v>553</v>
      </c>
      <c r="B335" s="708" t="s">
        <v>713</v>
      </c>
      <c r="C335" s="711" t="s">
        <v>737</v>
      </c>
      <c r="D335" s="1"/>
    </row>
    <row r="336" spans="1:4" x14ac:dyDescent="0.2">
      <c r="A336" s="237" t="s">
        <v>604</v>
      </c>
      <c r="B336" s="28" t="s">
        <v>718</v>
      </c>
      <c r="C336" s="30" t="s">
        <v>773</v>
      </c>
      <c r="D336" s="1"/>
    </row>
    <row r="337" spans="1:4" x14ac:dyDescent="0.2">
      <c r="A337" s="237" t="s">
        <v>591</v>
      </c>
      <c r="B337" s="28" t="s">
        <v>719</v>
      </c>
      <c r="C337" s="30" t="s">
        <v>763</v>
      </c>
      <c r="D337" s="1"/>
    </row>
    <row r="338" spans="1:4" x14ac:dyDescent="0.2">
      <c r="A338" s="237" t="s">
        <v>700</v>
      </c>
      <c r="B338" s="28" t="s">
        <v>714</v>
      </c>
      <c r="C338" s="30" t="s">
        <v>767</v>
      </c>
      <c r="D338" s="236"/>
    </row>
    <row r="339" spans="1:4" x14ac:dyDescent="0.2">
      <c r="A339" s="237" t="s">
        <v>620</v>
      </c>
      <c r="B339" s="28" t="s">
        <v>717</v>
      </c>
      <c r="C339" s="30" t="s">
        <v>750</v>
      </c>
      <c r="D339" s="1"/>
    </row>
    <row r="340" spans="1:4" x14ac:dyDescent="0.2">
      <c r="A340" s="31" t="s">
        <v>585</v>
      </c>
      <c r="B340" s="28" t="s">
        <v>719</v>
      </c>
      <c r="C340" s="30" t="s">
        <v>758</v>
      </c>
      <c r="D340" s="1"/>
    </row>
    <row r="341" spans="1:4" x14ac:dyDescent="0.2">
      <c r="A341" s="237" t="s">
        <v>660</v>
      </c>
      <c r="B341" s="28" t="s">
        <v>723</v>
      </c>
      <c r="C341" s="30" t="s">
        <v>778</v>
      </c>
      <c r="D341" s="236"/>
    </row>
    <row r="342" spans="1:4" x14ac:dyDescent="0.2">
      <c r="A342" s="237" t="s">
        <v>661</v>
      </c>
      <c r="B342" s="28" t="s">
        <v>725</v>
      </c>
      <c r="C342" s="30" t="s">
        <v>774</v>
      </c>
      <c r="D342" s="236"/>
    </row>
    <row r="343" spans="1:4" x14ac:dyDescent="0.2">
      <c r="A343" s="237" t="s">
        <v>621</v>
      </c>
      <c r="B343" s="28" t="s">
        <v>714</v>
      </c>
      <c r="C343" s="30" t="s">
        <v>767</v>
      </c>
      <c r="D343" s="1"/>
    </row>
    <row r="344" spans="1:4" x14ac:dyDescent="0.2">
      <c r="A344" s="237" t="s">
        <v>645</v>
      </c>
      <c r="B344" s="28" t="s">
        <v>735</v>
      </c>
      <c r="C344" s="30" t="s">
        <v>790</v>
      </c>
      <c r="D344" s="1"/>
    </row>
    <row r="345" spans="1:4" x14ac:dyDescent="0.2">
      <c r="A345" s="237" t="s">
        <v>646</v>
      </c>
      <c r="B345" s="28" t="s">
        <v>729</v>
      </c>
      <c r="C345" s="30" t="s">
        <v>789</v>
      </c>
      <c r="D345" s="1"/>
    </row>
    <row r="346" spans="1:4" x14ac:dyDescent="0.2">
      <c r="A346" s="237" t="s">
        <v>605</v>
      </c>
      <c r="B346" s="28" t="s">
        <v>714</v>
      </c>
      <c r="C346" s="30" t="s">
        <v>767</v>
      </c>
      <c r="D346" s="1"/>
    </row>
    <row r="347" spans="1:4" x14ac:dyDescent="0.2">
      <c r="A347" s="237" t="s">
        <v>638</v>
      </c>
      <c r="B347" s="28" t="s">
        <v>719</v>
      </c>
      <c r="C347" s="30" t="s">
        <v>768</v>
      </c>
      <c r="D347" s="1"/>
    </row>
    <row r="348" spans="1:4" x14ac:dyDescent="0.2">
      <c r="A348" s="237" t="s">
        <v>685</v>
      </c>
      <c r="B348" s="28" t="s">
        <v>714</v>
      </c>
      <c r="C348" s="30" t="s">
        <v>767</v>
      </c>
      <c r="D348" s="236"/>
    </row>
    <row r="349" spans="1:4" x14ac:dyDescent="0.2">
      <c r="A349" s="237" t="s">
        <v>622</v>
      </c>
      <c r="B349" s="28" t="s">
        <v>714</v>
      </c>
      <c r="C349" s="30" t="s">
        <v>767</v>
      </c>
      <c r="D349" s="1"/>
    </row>
    <row r="350" spans="1:4" x14ac:dyDescent="0.2">
      <c r="A350" s="237" t="s">
        <v>635</v>
      </c>
      <c r="B350" s="28" t="s">
        <v>714</v>
      </c>
      <c r="C350" s="30" t="s">
        <v>767</v>
      </c>
      <c r="D350" s="1"/>
    </row>
    <row r="351" spans="1:4" x14ac:dyDescent="0.2">
      <c r="A351" s="237" t="s">
        <v>623</v>
      </c>
      <c r="B351" s="28" t="s">
        <v>729</v>
      </c>
      <c r="C351" s="30" t="s">
        <v>781</v>
      </c>
      <c r="D351" s="1"/>
    </row>
    <row r="352" spans="1:4" x14ac:dyDescent="0.2">
      <c r="A352" s="31" t="s">
        <v>575</v>
      </c>
      <c r="B352" s="28" t="s">
        <v>717</v>
      </c>
      <c r="C352" s="30" t="s">
        <v>750</v>
      </c>
      <c r="D352" s="1"/>
    </row>
    <row r="353" spans="1:4" x14ac:dyDescent="0.2">
      <c r="A353" s="237" t="s">
        <v>579</v>
      </c>
      <c r="B353" s="28" t="s">
        <v>720</v>
      </c>
      <c r="C353" s="30" t="s">
        <v>753</v>
      </c>
      <c r="D353" s="1"/>
    </row>
    <row r="354" spans="1:4" x14ac:dyDescent="0.2">
      <c r="A354" s="237" t="s">
        <v>701</v>
      </c>
      <c r="B354" s="28" t="s">
        <v>714</v>
      </c>
      <c r="C354" s="30" t="s">
        <v>767</v>
      </c>
      <c r="D354" s="236"/>
    </row>
    <row r="355" spans="1:4" s="236" customFormat="1" x14ac:dyDescent="0.2">
      <c r="A355" s="237" t="s">
        <v>624</v>
      </c>
      <c r="B355" s="28" t="s">
        <v>725</v>
      </c>
      <c r="C355" s="30" t="s">
        <v>774</v>
      </c>
      <c r="D355" s="224"/>
    </row>
    <row r="356" spans="1:4" x14ac:dyDescent="0.2">
      <c r="A356" s="237" t="s">
        <v>710</v>
      </c>
      <c r="B356" s="28" t="s">
        <v>717</v>
      </c>
      <c r="C356" s="30" t="s">
        <v>804</v>
      </c>
      <c r="D356" s="236"/>
    </row>
    <row r="357" spans="1:4" x14ac:dyDescent="0.2">
      <c r="A357" s="237" t="s">
        <v>625</v>
      </c>
      <c r="B357" s="28" t="s">
        <v>714</v>
      </c>
      <c r="C357" s="30" t="s">
        <v>767</v>
      </c>
      <c r="D357" s="1"/>
    </row>
    <row r="358" spans="1:4" x14ac:dyDescent="0.2">
      <c r="A358" s="237" t="s">
        <v>652</v>
      </c>
      <c r="B358" s="28" t="s">
        <v>719</v>
      </c>
      <c r="C358" s="30" t="s">
        <v>768</v>
      </c>
      <c r="D358" s="1"/>
    </row>
    <row r="359" spans="1:4" x14ac:dyDescent="0.2">
      <c r="A359" s="31" t="s">
        <v>613</v>
      </c>
      <c r="B359" s="28" t="s">
        <v>728</v>
      </c>
      <c r="C359" s="30" t="s">
        <v>777</v>
      </c>
      <c r="D359" s="1"/>
    </row>
    <row r="360" spans="1:4" x14ac:dyDescent="0.2">
      <c r="A360" s="237" t="s">
        <v>626</v>
      </c>
      <c r="B360" s="28" t="s">
        <v>718</v>
      </c>
      <c r="C360" s="30" t="s">
        <v>773</v>
      </c>
      <c r="D360" s="1"/>
    </row>
    <row r="361" spans="1:4" x14ac:dyDescent="0.2">
      <c r="A361" s="237" t="s">
        <v>662</v>
      </c>
      <c r="B361" s="28" t="s">
        <v>714</v>
      </c>
      <c r="C361" s="30" t="s">
        <v>767</v>
      </c>
      <c r="D361" s="236"/>
    </row>
    <row r="362" spans="1:4" x14ac:dyDescent="0.2">
      <c r="A362" s="237" t="s">
        <v>702</v>
      </c>
      <c r="B362" s="28" t="s">
        <v>714</v>
      </c>
      <c r="C362" s="30" t="s">
        <v>800</v>
      </c>
      <c r="D362" s="236"/>
    </row>
    <row r="363" spans="1:4" s="236" customFormat="1" x14ac:dyDescent="0.2">
      <c r="A363" s="237" t="s">
        <v>1599</v>
      </c>
      <c r="B363" s="28" t="s">
        <v>713</v>
      </c>
      <c r="C363" s="30" t="s">
        <v>737</v>
      </c>
      <c r="D363" s="224"/>
    </row>
    <row r="364" spans="1:4" x14ac:dyDescent="0.2">
      <c r="A364" s="237" t="s">
        <v>703</v>
      </c>
      <c r="B364" s="28" t="s">
        <v>715</v>
      </c>
      <c r="C364" s="30" t="s">
        <v>792</v>
      </c>
      <c r="D364" s="236"/>
    </row>
    <row r="365" spans="1:4" x14ac:dyDescent="0.2">
      <c r="A365" s="707" t="s">
        <v>554</v>
      </c>
      <c r="B365" s="708" t="s">
        <v>713</v>
      </c>
      <c r="C365" s="709" t="s">
        <v>737</v>
      </c>
      <c r="D365" s="1"/>
    </row>
    <row r="366" spans="1:4" s="236" customFormat="1" x14ac:dyDescent="0.2">
      <c r="A366" s="237" t="s">
        <v>704</v>
      </c>
      <c r="B366" s="28" t="s">
        <v>714</v>
      </c>
      <c r="C366" s="30" t="s">
        <v>767</v>
      </c>
    </row>
    <row r="367" spans="1:4" s="236" customFormat="1" x14ac:dyDescent="0.2">
      <c r="A367" s="237" t="s">
        <v>1644</v>
      </c>
      <c r="B367" s="28" t="s">
        <v>724</v>
      </c>
      <c r="C367" s="30" t="s">
        <v>1645</v>
      </c>
    </row>
    <row r="368" spans="1:4" x14ac:dyDescent="0.2">
      <c r="A368" s="237" t="s">
        <v>675</v>
      </c>
      <c r="B368" s="28" t="s">
        <v>714</v>
      </c>
      <c r="C368" s="30" t="s">
        <v>767</v>
      </c>
      <c r="D368" s="236"/>
    </row>
    <row r="369" spans="1:4" x14ac:dyDescent="0.2">
      <c r="A369" s="237" t="s">
        <v>592</v>
      </c>
      <c r="B369" s="28" t="s">
        <v>716</v>
      </c>
      <c r="C369" s="30" t="s">
        <v>764</v>
      </c>
      <c r="D369" s="1"/>
    </row>
    <row r="370" spans="1:4" x14ac:dyDescent="0.2">
      <c r="A370" s="237" t="s">
        <v>563</v>
      </c>
      <c r="B370" s="28" t="s">
        <v>718</v>
      </c>
      <c r="C370" s="30" t="s">
        <v>742</v>
      </c>
      <c r="D370" s="1"/>
    </row>
    <row r="371" spans="1:4" x14ac:dyDescent="0.2">
      <c r="A371" s="237" t="s">
        <v>627</v>
      </c>
      <c r="B371" s="28" t="s">
        <v>719</v>
      </c>
      <c r="C371" s="30" t="s">
        <v>779</v>
      </c>
      <c r="D371" s="1"/>
    </row>
    <row r="372" spans="1:4" x14ac:dyDescent="0.2">
      <c r="A372" s="237" t="s">
        <v>606</v>
      </c>
      <c r="B372" s="28" t="s">
        <v>715</v>
      </c>
      <c r="C372" s="31" t="s">
        <v>767</v>
      </c>
      <c r="D372" s="1"/>
    </row>
    <row r="373" spans="1:4" x14ac:dyDescent="0.2">
      <c r="A373" s="237" t="s">
        <v>711</v>
      </c>
      <c r="B373" s="28" t="s">
        <v>714</v>
      </c>
      <c r="C373" s="30" t="s">
        <v>805</v>
      </c>
      <c r="D373" s="236"/>
    </row>
    <row r="374" spans="1:4" x14ac:dyDescent="0.2">
      <c r="A374" s="237" t="s">
        <v>653</v>
      </c>
      <c r="B374" s="28" t="s">
        <v>714</v>
      </c>
      <c r="C374" s="30" t="s">
        <v>767</v>
      </c>
      <c r="D374" s="236"/>
    </row>
    <row r="375" spans="1:4" s="236" customFormat="1" x14ac:dyDescent="0.2">
      <c r="A375" s="237" t="s">
        <v>691</v>
      </c>
      <c r="B375" s="28" t="s">
        <v>714</v>
      </c>
      <c r="C375" s="30" t="s">
        <v>767</v>
      </c>
    </row>
    <row r="376" spans="1:4" x14ac:dyDescent="0.2">
      <c r="A376" s="237" t="s">
        <v>663</v>
      </c>
      <c r="B376" s="28" t="s">
        <v>714</v>
      </c>
      <c r="C376" s="30" t="s">
        <v>767</v>
      </c>
      <c r="D376" s="236"/>
    </row>
    <row r="377" spans="1:4" x14ac:dyDescent="0.2">
      <c r="A377" s="237" t="s">
        <v>580</v>
      </c>
      <c r="B377" s="28" t="s">
        <v>719</v>
      </c>
      <c r="C377" s="30" t="s">
        <v>754</v>
      </c>
      <c r="D377" s="1"/>
    </row>
    <row r="378" spans="1:4" x14ac:dyDescent="0.2">
      <c r="A378" s="237" t="s">
        <v>686</v>
      </c>
      <c r="B378" s="28" t="s">
        <v>718</v>
      </c>
      <c r="C378" s="30" t="s">
        <v>773</v>
      </c>
      <c r="D378" s="236"/>
    </row>
    <row r="379" spans="1:4" x14ac:dyDescent="0.2">
      <c r="A379" s="237" t="s">
        <v>664</v>
      </c>
      <c r="B379" s="28" t="s">
        <v>714</v>
      </c>
      <c r="C379" s="30" t="s">
        <v>767</v>
      </c>
      <c r="D379" s="236"/>
    </row>
    <row r="380" spans="1:4" x14ac:dyDescent="0.2">
      <c r="A380" s="237" t="s">
        <v>607</v>
      </c>
      <c r="B380" s="28" t="s">
        <v>725</v>
      </c>
      <c r="C380" s="30" t="s">
        <v>774</v>
      </c>
      <c r="D380" s="1"/>
    </row>
    <row r="381" spans="1:4" x14ac:dyDescent="0.2">
      <c r="A381" s="237" t="s">
        <v>595</v>
      </c>
      <c r="B381" s="28" t="s">
        <v>714</v>
      </c>
      <c r="C381" s="30" t="s">
        <v>767</v>
      </c>
      <c r="D381" s="1"/>
    </row>
    <row r="382" spans="1:4" s="236" customFormat="1" x14ac:dyDescent="0.2">
      <c r="A382" s="707" t="s">
        <v>1633</v>
      </c>
      <c r="B382" s="708" t="s">
        <v>713</v>
      </c>
      <c r="C382" s="709" t="s">
        <v>737</v>
      </c>
      <c r="D382" s="710"/>
    </row>
    <row r="383" spans="1:4" x14ac:dyDescent="0.2">
      <c r="A383" s="237" t="s">
        <v>712</v>
      </c>
      <c r="B383" s="28" t="s">
        <v>723</v>
      </c>
      <c r="C383" s="30" t="s">
        <v>778</v>
      </c>
      <c r="D383" s="236"/>
    </row>
    <row r="384" spans="1:4" s="236" customFormat="1" x14ac:dyDescent="0.2">
      <c r="A384" s="237" t="s">
        <v>1640</v>
      </c>
      <c r="B384" s="28" t="s">
        <v>720</v>
      </c>
      <c r="C384" s="30" t="s">
        <v>1641</v>
      </c>
    </row>
    <row r="385" spans="1:4" x14ac:dyDescent="0.2">
      <c r="A385" s="237" t="s">
        <v>564</v>
      </c>
      <c r="B385" s="28" t="s">
        <v>714</v>
      </c>
      <c r="C385" s="30" t="s">
        <v>743</v>
      </c>
      <c r="D385" s="1"/>
    </row>
    <row r="386" spans="1:4" x14ac:dyDescent="0.2">
      <c r="A386" s="237" t="s">
        <v>676</v>
      </c>
      <c r="B386" s="28" t="s">
        <v>714</v>
      </c>
      <c r="C386" s="30" t="s">
        <v>767</v>
      </c>
      <c r="D386" s="236"/>
    </row>
    <row r="387" spans="1:4" x14ac:dyDescent="0.2">
      <c r="A387" s="237" t="s">
        <v>682</v>
      </c>
      <c r="B387" s="28" t="s">
        <v>718</v>
      </c>
      <c r="C387" s="30" t="s">
        <v>769</v>
      </c>
      <c r="D387" s="236"/>
    </row>
    <row r="388" spans="1:4" s="236" customFormat="1" x14ac:dyDescent="0.2">
      <c r="A388" s="707" t="s">
        <v>1598</v>
      </c>
      <c r="B388" s="708" t="s">
        <v>713</v>
      </c>
      <c r="C388" s="709" t="s">
        <v>737</v>
      </c>
      <c r="D388" s="438"/>
    </row>
    <row r="389" spans="1:4" x14ac:dyDescent="0.2">
      <c r="A389" s="31" t="s">
        <v>647</v>
      </c>
      <c r="B389" s="28" t="s">
        <v>729</v>
      </c>
      <c r="C389" s="30" t="s">
        <v>791</v>
      </c>
      <c r="D389" s="1"/>
    </row>
    <row r="390" spans="1:4" x14ac:dyDescent="0.2">
      <c r="A390" s="13" t="s">
        <v>628</v>
      </c>
      <c r="B390" s="28" t="s">
        <v>719</v>
      </c>
      <c r="C390" s="31" t="s">
        <v>779</v>
      </c>
      <c r="D390" s="224"/>
    </row>
    <row r="391" spans="1:4" s="236" customFormat="1" x14ac:dyDescent="0.2">
      <c r="A391" s="237" t="s">
        <v>628</v>
      </c>
      <c r="B391" s="28" t="s">
        <v>714</v>
      </c>
      <c r="C391" s="30" t="s">
        <v>767</v>
      </c>
      <c r="D391" s="224"/>
    </row>
    <row r="392" spans="1:4" s="236" customFormat="1" x14ac:dyDescent="0.2">
      <c r="A392" s="237" t="s">
        <v>628</v>
      </c>
      <c r="B392" s="28" t="s">
        <v>714</v>
      </c>
      <c r="C392" s="30" t="s">
        <v>767</v>
      </c>
      <c r="D392" s="224"/>
    </row>
    <row r="393" spans="1:4" s="236" customFormat="1" x14ac:dyDescent="0.2">
      <c r="A393" s="237" t="s">
        <v>629</v>
      </c>
      <c r="B393" s="28" t="s">
        <v>714</v>
      </c>
      <c r="C393" s="30" t="s">
        <v>767</v>
      </c>
      <c r="D393" s="224"/>
    </row>
    <row r="394" spans="1:4" s="236" customFormat="1" x14ac:dyDescent="0.2">
      <c r="A394" s="237" t="s">
        <v>630</v>
      </c>
      <c r="B394" s="28" t="s">
        <v>720</v>
      </c>
      <c r="C394" s="30" t="s">
        <v>771</v>
      </c>
      <c r="D394" s="224"/>
    </row>
    <row r="395" spans="1:4" s="236" customFormat="1" x14ac:dyDescent="0.2">
      <c r="A395" s="237" t="s">
        <v>665</v>
      </c>
      <c r="B395" s="28" t="s">
        <v>714</v>
      </c>
      <c r="C395" s="30" t="s">
        <v>767</v>
      </c>
    </row>
    <row r="396" spans="1:4" s="236" customFormat="1" x14ac:dyDescent="0.2">
      <c r="A396" s="31" t="s">
        <v>596</v>
      </c>
      <c r="B396" s="28" t="s">
        <v>714</v>
      </c>
      <c r="C396" s="30" t="s">
        <v>767</v>
      </c>
      <c r="D396" s="224"/>
    </row>
    <row r="397" spans="1:4" s="236" customFormat="1" x14ac:dyDescent="0.2">
      <c r="A397" s="237" t="s">
        <v>631</v>
      </c>
      <c r="B397" s="28" t="s">
        <v>718</v>
      </c>
      <c r="C397" s="30" t="s">
        <v>773</v>
      </c>
      <c r="D397" s="224"/>
    </row>
    <row r="398" spans="1:4" s="236" customFormat="1" x14ac:dyDescent="0.2">
      <c r="A398" s="237" t="s">
        <v>597</v>
      </c>
      <c r="B398" s="28" t="s">
        <v>719</v>
      </c>
      <c r="C398" s="31" t="s">
        <v>768</v>
      </c>
      <c r="D398" s="224"/>
    </row>
    <row r="399" spans="1:4" s="236" customFormat="1" x14ac:dyDescent="0.2">
      <c r="A399" s="31" t="s">
        <v>640</v>
      </c>
      <c r="B399" s="28" t="s">
        <v>720</v>
      </c>
      <c r="C399" s="30" t="s">
        <v>785</v>
      </c>
      <c r="D399" s="224"/>
    </row>
    <row r="400" spans="1:4" s="236" customFormat="1" x14ac:dyDescent="0.2">
      <c r="A400" s="237" t="s">
        <v>608</v>
      </c>
      <c r="B400" s="28" t="s">
        <v>720</v>
      </c>
      <c r="C400" s="30" t="s">
        <v>771</v>
      </c>
      <c r="D400" s="224"/>
    </row>
    <row r="401" spans="1:4" s="236" customFormat="1" x14ac:dyDescent="0.2">
      <c r="A401" s="237" t="s">
        <v>555</v>
      </c>
      <c r="B401" s="28" t="s">
        <v>713</v>
      </c>
      <c r="C401" s="31" t="s">
        <v>737</v>
      </c>
      <c r="D401" s="224"/>
    </row>
    <row r="402" spans="1:4" s="236" customFormat="1" x14ac:dyDescent="0.2">
      <c r="A402" s="31" t="s">
        <v>598</v>
      </c>
      <c r="B402" s="28" t="s">
        <v>718</v>
      </c>
      <c r="C402" s="30" t="s">
        <v>769</v>
      </c>
      <c r="D402" s="224"/>
    </row>
    <row r="403" spans="1:4" s="236" customFormat="1" x14ac:dyDescent="0.2">
      <c r="A403" s="237" t="s">
        <v>632</v>
      </c>
      <c r="B403" s="28" t="s">
        <v>714</v>
      </c>
      <c r="C403" s="30" t="s">
        <v>782</v>
      </c>
      <c r="D403" s="224"/>
    </row>
    <row r="404" spans="1:4" s="236" customFormat="1" x14ac:dyDescent="0.2">
      <c r="A404" s="237" t="s">
        <v>614</v>
      </c>
      <c r="B404" s="28" t="s">
        <v>723</v>
      </c>
      <c r="C404" s="30" t="s">
        <v>778</v>
      </c>
      <c r="D404" s="224"/>
    </row>
    <row r="405" spans="1:4" s="236" customFormat="1" x14ac:dyDescent="0.2">
      <c r="A405" s="237" t="s">
        <v>380</v>
      </c>
      <c r="B405" s="28"/>
      <c r="C405" s="30" t="s">
        <v>380</v>
      </c>
      <c r="D405" s="224"/>
    </row>
    <row r="406" spans="1:4" s="236" customFormat="1" x14ac:dyDescent="0.2">
      <c r="A406" s="237" t="s">
        <v>581</v>
      </c>
      <c r="B406" s="28" t="s">
        <v>722</v>
      </c>
      <c r="C406" s="30" t="s">
        <v>755</v>
      </c>
      <c r="D406" s="224"/>
    </row>
    <row r="407" spans="1:4" s="236" customFormat="1" x14ac:dyDescent="0.2">
      <c r="A407" s="237" t="s">
        <v>593</v>
      </c>
      <c r="B407" s="28" t="s">
        <v>719</v>
      </c>
      <c r="C407" s="30" t="s">
        <v>763</v>
      </c>
      <c r="D407" s="224"/>
    </row>
    <row r="408" spans="1:4" s="236" customFormat="1" x14ac:dyDescent="0.2">
      <c r="A408" s="237" t="s">
        <v>565</v>
      </c>
      <c r="B408" s="28" t="s">
        <v>719</v>
      </c>
      <c r="C408" s="30" t="s">
        <v>744</v>
      </c>
      <c r="D408" s="224"/>
    </row>
    <row r="409" spans="1:4" s="236" customFormat="1" x14ac:dyDescent="0.2">
      <c r="A409" s="143" t="s">
        <v>648</v>
      </c>
      <c r="B409" s="28" t="s">
        <v>729</v>
      </c>
      <c r="C409" s="30" t="s">
        <v>789</v>
      </c>
      <c r="D409" s="224"/>
    </row>
    <row r="410" spans="1:4" s="236" customFormat="1" x14ac:dyDescent="0.2">
      <c r="A410" s="237" t="s">
        <v>566</v>
      </c>
      <c r="B410" s="28" t="s">
        <v>719</v>
      </c>
      <c r="C410" s="30" t="s">
        <v>744</v>
      </c>
      <c r="D410" s="224"/>
    </row>
    <row r="411" spans="1:4" s="236" customFormat="1" x14ac:dyDescent="0.2">
      <c r="A411" s="237" t="s">
        <v>654</v>
      </c>
      <c r="B411" s="28" t="s">
        <v>723</v>
      </c>
      <c r="C411" s="30" t="s">
        <v>778</v>
      </c>
    </row>
    <row r="412" spans="1:4" s="236" customFormat="1" x14ac:dyDescent="0.2">
      <c r="A412" s="237" t="s">
        <v>1638</v>
      </c>
      <c r="B412" s="28" t="s">
        <v>713</v>
      </c>
      <c r="C412" s="30" t="s">
        <v>1505</v>
      </c>
    </row>
    <row r="413" spans="1:4" s="236" customFormat="1" x14ac:dyDescent="0.2">
      <c r="A413" s="237" t="s">
        <v>641</v>
      </c>
      <c r="B413" s="28" t="s">
        <v>731</v>
      </c>
      <c r="C413" s="31" t="s">
        <v>786</v>
      </c>
      <c r="D413" s="224"/>
    </row>
    <row r="414" spans="1:4" s="236" customFormat="1" x14ac:dyDescent="0.2">
      <c r="A414" s="141" t="s">
        <v>576</v>
      </c>
      <c r="B414" s="142" t="s">
        <v>723</v>
      </c>
      <c r="C414" s="34" t="s">
        <v>778</v>
      </c>
      <c r="D414" s="224"/>
    </row>
    <row r="415" spans="1:4" s="236" customFormat="1" x14ac:dyDescent="0.2">
      <c r="A415" s="237" t="s">
        <v>705</v>
      </c>
      <c r="B415" s="28" t="s">
        <v>736</v>
      </c>
      <c r="C415" s="30" t="s">
        <v>798</v>
      </c>
    </row>
    <row r="416" spans="1:4" s="236" customFormat="1" x14ac:dyDescent="0.2">
      <c r="A416" s="237" t="s">
        <v>655</v>
      </c>
      <c r="B416" s="28" t="s">
        <v>718</v>
      </c>
      <c r="C416" s="30" t="s">
        <v>773</v>
      </c>
    </row>
    <row r="417" spans="1:4" s="236" customFormat="1" x14ac:dyDescent="0.2">
      <c r="A417" s="237" t="s">
        <v>636</v>
      </c>
      <c r="B417" s="28" t="s">
        <v>720</v>
      </c>
      <c r="C417" s="30" t="s">
        <v>783</v>
      </c>
      <c r="D417" s="224"/>
    </row>
    <row r="418" spans="1:4" s="236" customFormat="1" x14ac:dyDescent="0.2">
      <c r="A418" s="237" t="s">
        <v>677</v>
      </c>
      <c r="B418" s="28" t="s">
        <v>723</v>
      </c>
      <c r="C418" s="30" t="s">
        <v>778</v>
      </c>
    </row>
    <row r="419" spans="1:4" s="236" customFormat="1" x14ac:dyDescent="0.2">
      <c r="A419" s="237" t="s">
        <v>706</v>
      </c>
      <c r="B419" s="28" t="s">
        <v>725</v>
      </c>
      <c r="C419" s="30" t="s">
        <v>802</v>
      </c>
    </row>
    <row r="420" spans="1:4" s="236" customFormat="1" x14ac:dyDescent="0.2">
      <c r="A420" s="237" t="s">
        <v>586</v>
      </c>
      <c r="B420" s="28" t="s">
        <v>720</v>
      </c>
      <c r="C420" s="30" t="s">
        <v>760</v>
      </c>
      <c r="D420" s="224"/>
    </row>
    <row r="421" spans="1:4" s="236" customFormat="1" x14ac:dyDescent="0.2">
      <c r="A421" s="237" t="s">
        <v>633</v>
      </c>
      <c r="B421" s="28" t="s">
        <v>714</v>
      </c>
      <c r="C421" s="30" t="s">
        <v>767</v>
      </c>
      <c r="D421" s="224"/>
    </row>
    <row r="422" spans="1:4" s="236" customFormat="1" x14ac:dyDescent="0.2">
      <c r="A422" s="237" t="s">
        <v>666</v>
      </c>
      <c r="B422" s="28" t="s">
        <v>714</v>
      </c>
      <c r="C422" s="30" t="s">
        <v>767</v>
      </c>
    </row>
    <row r="423" spans="1:4" s="236" customFormat="1" x14ac:dyDescent="0.2">
      <c r="A423" s="237" t="s">
        <v>667</v>
      </c>
      <c r="B423" s="28" t="s">
        <v>714</v>
      </c>
      <c r="C423" s="30" t="s">
        <v>767</v>
      </c>
    </row>
    <row r="424" spans="1:4" s="236" customFormat="1" x14ac:dyDescent="0.2">
      <c r="A424" s="237" t="s">
        <v>678</v>
      </c>
      <c r="B424" s="28" t="s">
        <v>725</v>
      </c>
      <c r="C424" s="30" t="s">
        <v>774</v>
      </c>
    </row>
    <row r="425" spans="1:4" s="236" customFormat="1" x14ac:dyDescent="0.2">
      <c r="A425" s="237" t="s">
        <v>182</v>
      </c>
      <c r="B425" s="28" t="s">
        <v>182</v>
      </c>
      <c r="C425" s="30" t="s">
        <v>182</v>
      </c>
    </row>
    <row r="426" spans="1:4" s="236" customFormat="1" x14ac:dyDescent="0.2">
      <c r="A426" s="237" t="s">
        <v>679</v>
      </c>
      <c r="B426" s="28" t="s">
        <v>720</v>
      </c>
      <c r="C426" s="30" t="s">
        <v>771</v>
      </c>
    </row>
    <row r="427" spans="1:4" s="236" customFormat="1" x14ac:dyDescent="0.2">
      <c r="A427" s="237" t="s">
        <v>4</v>
      </c>
      <c r="B427" s="28" t="s">
        <v>714</v>
      </c>
      <c r="C427" s="30" t="s">
        <v>743</v>
      </c>
      <c r="D427" s="224"/>
    </row>
    <row r="428" spans="1:4" s="236" customFormat="1" x14ac:dyDescent="0.2">
      <c r="A428" s="237" t="s">
        <v>4</v>
      </c>
      <c r="B428" s="28" t="s">
        <v>714</v>
      </c>
      <c r="C428" s="30" t="s">
        <v>743</v>
      </c>
      <c r="D428" s="224"/>
    </row>
    <row r="429" spans="1:4" s="236" customFormat="1" x14ac:dyDescent="0.2">
      <c r="A429" s="237" t="s">
        <v>4</v>
      </c>
      <c r="B429" s="28" t="s">
        <v>716</v>
      </c>
      <c r="C429" s="30" t="s">
        <v>756</v>
      </c>
      <c r="D429" s="224"/>
    </row>
    <row r="430" spans="1:4" s="236" customFormat="1" x14ac:dyDescent="0.2">
      <c r="A430" s="237" t="s">
        <v>4</v>
      </c>
      <c r="B430" s="28" t="s">
        <v>719</v>
      </c>
      <c r="C430" s="30" t="s">
        <v>765</v>
      </c>
      <c r="D430" s="224"/>
    </row>
    <row r="431" spans="1:4" s="236" customFormat="1" x14ac:dyDescent="0.2">
      <c r="A431" s="237" t="s">
        <v>4</v>
      </c>
      <c r="B431" s="28" t="s">
        <v>720</v>
      </c>
      <c r="C431" s="30" t="s">
        <v>771</v>
      </c>
      <c r="D431" s="224"/>
    </row>
    <row r="432" spans="1:4" s="236" customFormat="1" x14ac:dyDescent="0.2">
      <c r="A432" s="237" t="s">
        <v>4</v>
      </c>
      <c r="B432" s="28" t="s">
        <v>726</v>
      </c>
      <c r="C432" s="30" t="s">
        <v>767</v>
      </c>
      <c r="D432" s="224"/>
    </row>
    <row r="433" spans="1:4" s="236" customFormat="1" x14ac:dyDescent="0.2">
      <c r="A433" s="237" t="s">
        <v>4</v>
      </c>
      <c r="B433" s="28" t="s">
        <v>714</v>
      </c>
      <c r="C433" s="30" t="s">
        <v>767</v>
      </c>
      <c r="D433" s="224"/>
    </row>
    <row r="434" spans="1:4" s="236" customFormat="1" x14ac:dyDescent="0.2">
      <c r="A434" s="237" t="s">
        <v>4</v>
      </c>
      <c r="B434" s="28" t="s">
        <v>720</v>
      </c>
      <c r="C434" s="31" t="s">
        <v>783</v>
      </c>
      <c r="D434" s="224"/>
    </row>
    <row r="435" spans="1:4" s="236" customFormat="1" x14ac:dyDescent="0.2">
      <c r="A435" s="237" t="s">
        <v>4</v>
      </c>
      <c r="B435" s="28" t="s">
        <v>732</v>
      </c>
      <c r="C435" s="31" t="s">
        <v>787</v>
      </c>
      <c r="D435" s="224"/>
    </row>
    <row r="436" spans="1:4" s="236" customFormat="1" x14ac:dyDescent="0.2">
      <c r="A436" s="237" t="s">
        <v>4</v>
      </c>
      <c r="B436" s="28" t="s">
        <v>725</v>
      </c>
      <c r="C436" s="30" t="s">
        <v>793</v>
      </c>
    </row>
    <row r="437" spans="1:4" s="236" customFormat="1" x14ac:dyDescent="0.2">
      <c r="A437" s="237" t="s">
        <v>4</v>
      </c>
      <c r="B437" s="28" t="s">
        <v>715</v>
      </c>
      <c r="C437" s="30" t="s">
        <v>794</v>
      </c>
    </row>
    <row r="438" spans="1:4" s="236" customFormat="1" x14ac:dyDescent="0.2">
      <c r="A438" s="237" t="s">
        <v>4</v>
      </c>
      <c r="B438" s="28" t="s">
        <v>714</v>
      </c>
      <c r="C438" s="30" t="s">
        <v>767</v>
      </c>
    </row>
    <row r="439" spans="1:4" s="236" customFormat="1" x14ac:dyDescent="0.2">
      <c r="A439" s="237" t="s">
        <v>4</v>
      </c>
      <c r="B439" s="28" t="s">
        <v>719</v>
      </c>
      <c r="C439" s="30" t="s">
        <v>797</v>
      </c>
    </row>
    <row r="440" spans="1:4" s="236" customFormat="1" x14ac:dyDescent="0.2">
      <c r="A440" s="237" t="s">
        <v>4</v>
      </c>
      <c r="B440" s="28" t="s">
        <v>715</v>
      </c>
      <c r="C440" s="30" t="s">
        <v>792</v>
      </c>
    </row>
    <row r="441" spans="1:4" s="236" customFormat="1" x14ac:dyDescent="0.2">
      <c r="A441" s="237" t="s">
        <v>4</v>
      </c>
      <c r="B441" s="28" t="s">
        <v>720</v>
      </c>
      <c r="C441" s="30" t="s">
        <v>803</v>
      </c>
    </row>
    <row r="442" spans="1:4" s="236" customFormat="1" x14ac:dyDescent="0.2">
      <c r="A442" s="707" t="s">
        <v>556</v>
      </c>
      <c r="B442" s="708" t="s">
        <v>713</v>
      </c>
      <c r="C442" s="709" t="s">
        <v>737</v>
      </c>
      <c r="D442" s="224"/>
    </row>
    <row r="443" spans="1:4" s="236" customFormat="1" x14ac:dyDescent="0.2">
      <c r="A443" s="237" t="s">
        <v>1646</v>
      </c>
      <c r="B443" s="28" t="s">
        <v>1647</v>
      </c>
      <c r="C443" s="30" t="s">
        <v>1648</v>
      </c>
      <c r="D443" s="19"/>
    </row>
    <row r="444" spans="1:4" s="236" customFormat="1" x14ac:dyDescent="0.2">
      <c r="A444" s="237" t="s">
        <v>637</v>
      </c>
      <c r="B444" s="28" t="s">
        <v>713</v>
      </c>
      <c r="C444" s="30" t="s">
        <v>751</v>
      </c>
      <c r="D444" s="224"/>
    </row>
    <row r="445" spans="1:4" s="236" customFormat="1" x14ac:dyDescent="0.2">
      <c r="A445" s="237" t="s">
        <v>692</v>
      </c>
      <c r="B445" s="28" t="s">
        <v>715</v>
      </c>
      <c r="C445" s="30" t="s">
        <v>792</v>
      </c>
    </row>
    <row r="446" spans="1:4" s="236" customFormat="1" x14ac:dyDescent="0.2">
      <c r="A446" s="237" t="s">
        <v>567</v>
      </c>
      <c r="B446" s="28" t="s">
        <v>720</v>
      </c>
      <c r="C446" s="30" t="s">
        <v>745</v>
      </c>
      <c r="D446" s="224"/>
    </row>
    <row r="447" spans="1:4" s="236" customFormat="1" x14ac:dyDescent="0.2">
      <c r="A447" s="237" t="s">
        <v>649</v>
      </c>
      <c r="B447" s="28" t="s">
        <v>729</v>
      </c>
      <c r="C447" s="30" t="s">
        <v>791</v>
      </c>
      <c r="D447" s="224"/>
    </row>
    <row r="448" spans="1:4" s="236" customFormat="1" x14ac:dyDescent="0.2">
      <c r="A448" s="237" t="s">
        <v>707</v>
      </c>
      <c r="B448" s="28" t="s">
        <v>718</v>
      </c>
      <c r="C448" s="30" t="s">
        <v>769</v>
      </c>
    </row>
    <row r="449" spans="1:4" s="236" customFormat="1" x14ac:dyDescent="0.2">
      <c r="A449" s="237" t="s">
        <v>587</v>
      </c>
      <c r="B449" s="28" t="s">
        <v>182</v>
      </c>
      <c r="C449" s="30" t="s">
        <v>182</v>
      </c>
      <c r="D449" s="224"/>
    </row>
    <row r="450" spans="1:4" s="236" customFormat="1" x14ac:dyDescent="0.2">
      <c r="A450" s="237" t="s">
        <v>582</v>
      </c>
      <c r="B450" s="28" t="s">
        <v>723</v>
      </c>
      <c r="C450" s="30" t="s">
        <v>757</v>
      </c>
      <c r="D450" s="224"/>
    </row>
    <row r="451" spans="1:4" s="236" customFormat="1" x14ac:dyDescent="0.2">
      <c r="A451" s="237" t="s">
        <v>708</v>
      </c>
      <c r="B451" s="28" t="s">
        <v>720</v>
      </c>
      <c r="C451" s="30" t="s">
        <v>771</v>
      </c>
    </row>
    <row r="452" spans="1:4" s="236" customFormat="1" x14ac:dyDescent="0.2">
      <c r="A452" s="237" t="s">
        <v>680</v>
      </c>
      <c r="B452" s="28" t="s">
        <v>721</v>
      </c>
      <c r="C452" s="30" t="s">
        <v>795</v>
      </c>
    </row>
    <row r="453" spans="1:4" s="236" customFormat="1" x14ac:dyDescent="0.2">
      <c r="A453" s="711" t="s">
        <v>557</v>
      </c>
      <c r="B453" s="708" t="s">
        <v>713</v>
      </c>
      <c r="C453" s="711" t="s">
        <v>737</v>
      </c>
      <c r="D453" s="224"/>
    </row>
    <row r="454" spans="1:4" s="236" customFormat="1" x14ac:dyDescent="0.2">
      <c r="A454" s="237" t="s">
        <v>577</v>
      </c>
      <c r="B454" s="28" t="s">
        <v>713</v>
      </c>
      <c r="C454" s="30" t="s">
        <v>752</v>
      </c>
      <c r="D454" s="224"/>
    </row>
    <row r="455" spans="1:4" s="236" customFormat="1" x14ac:dyDescent="0.2">
      <c r="A455" s="707" t="s">
        <v>558</v>
      </c>
      <c r="B455" s="708" t="s">
        <v>713</v>
      </c>
      <c r="C455" s="709" t="s">
        <v>737</v>
      </c>
      <c r="D455" s="224"/>
    </row>
    <row r="456" spans="1:4" s="236" customFormat="1" x14ac:dyDescent="0.2">
      <c r="A456" s="237" t="s">
        <v>609</v>
      </c>
      <c r="B456" s="28" t="s">
        <v>714</v>
      </c>
      <c r="C456" s="30" t="s">
        <v>767</v>
      </c>
      <c r="D456" s="224"/>
    </row>
    <row r="457" spans="1:4" s="236" customFormat="1" x14ac:dyDescent="0.2">
      <c r="A457" s="237" t="s">
        <v>568</v>
      </c>
      <c r="B457" s="28" t="s">
        <v>714</v>
      </c>
      <c r="C457" s="31" t="s">
        <v>743</v>
      </c>
      <c r="D457" s="224"/>
    </row>
    <row r="460" spans="1:4" x14ac:dyDescent="0.2">
      <c r="A460" s="17" t="s">
        <v>206</v>
      </c>
    </row>
    <row r="461" spans="1:4" x14ac:dyDescent="0.2">
      <c r="A461" s="1" t="s">
        <v>203</v>
      </c>
    </row>
    <row r="462" spans="1:4" x14ac:dyDescent="0.2">
      <c r="A462" s="1" t="s">
        <v>202</v>
      </c>
    </row>
    <row r="463" spans="1:4" x14ac:dyDescent="0.2">
      <c r="A463" s="1" t="s">
        <v>200</v>
      </c>
    </row>
    <row r="464" spans="1:4" x14ac:dyDescent="0.2">
      <c r="A464" s="1" t="s">
        <v>201</v>
      </c>
    </row>
    <row r="466" spans="1:3" x14ac:dyDescent="0.2">
      <c r="A466" s="17" t="s">
        <v>207</v>
      </c>
    </row>
    <row r="467" spans="1:3" x14ac:dyDescent="0.2">
      <c r="A467" s="1" t="s">
        <v>5</v>
      </c>
    </row>
    <row r="468" spans="1:3" x14ac:dyDescent="0.2">
      <c r="A468" s="1" t="s">
        <v>213</v>
      </c>
    </row>
    <row r="469" spans="1:3" x14ac:dyDescent="0.2">
      <c r="A469" s="1" t="s">
        <v>208</v>
      </c>
    </row>
    <row r="471" spans="1:3" s="236" customFormat="1" x14ac:dyDescent="0.2">
      <c r="A471" s="17" t="s">
        <v>204</v>
      </c>
      <c r="B471"/>
      <c r="C471"/>
    </row>
    <row r="472" spans="1:3" x14ac:dyDescent="0.2">
      <c r="A472" s="224" t="s">
        <v>493</v>
      </c>
    </row>
    <row r="473" spans="1:3" x14ac:dyDescent="0.2">
      <c r="A473" s="224" t="s">
        <v>210</v>
      </c>
      <c r="B473" s="236"/>
      <c r="C473" s="236"/>
    </row>
    <row r="474" spans="1:3" x14ac:dyDescent="0.2">
      <c r="A474" s="1" t="s">
        <v>212</v>
      </c>
    </row>
    <row r="475" spans="1:3" x14ac:dyDescent="0.2">
      <c r="A475" s="1" t="s">
        <v>209</v>
      </c>
    </row>
    <row r="476" spans="1:3" x14ac:dyDescent="0.2">
      <c r="A476" s="1" t="s">
        <v>211</v>
      </c>
    </row>
    <row r="477" spans="1:3" x14ac:dyDescent="0.2">
      <c r="A477" s="1" t="s">
        <v>396</v>
      </c>
    </row>
    <row r="478" spans="1:3" x14ac:dyDescent="0.2">
      <c r="A478" s="1" t="s">
        <v>213</v>
      </c>
    </row>
    <row r="480" spans="1:3" x14ac:dyDescent="0.2">
      <c r="A480" s="17" t="s">
        <v>214</v>
      </c>
    </row>
    <row r="481" spans="1:2" x14ac:dyDescent="0.2">
      <c r="A481" s="194" t="s">
        <v>215</v>
      </c>
    </row>
    <row r="482" spans="1:2" x14ac:dyDescent="0.2">
      <c r="A482" s="194" t="s">
        <v>216</v>
      </c>
    </row>
    <row r="484" spans="1:2" x14ac:dyDescent="0.2">
      <c r="A484" s="17" t="s">
        <v>218</v>
      </c>
    </row>
    <row r="485" spans="1:2" s="236" customFormat="1" x14ac:dyDescent="0.2">
      <c r="A485" s="224" t="s">
        <v>513</v>
      </c>
      <c r="B485" s="236">
        <v>6300005</v>
      </c>
    </row>
    <row r="486" spans="1:2" s="236" customFormat="1" x14ac:dyDescent="0.2">
      <c r="A486" s="224" t="s">
        <v>548</v>
      </c>
      <c r="B486" s="236">
        <v>6400000</v>
      </c>
    </row>
    <row r="487" spans="1:2" x14ac:dyDescent="0.2">
      <c r="A487" s="1" t="s">
        <v>223</v>
      </c>
      <c r="B487">
        <v>6410000</v>
      </c>
    </row>
    <row r="488" spans="1:2" x14ac:dyDescent="0.2">
      <c r="A488" s="1" t="s">
        <v>224</v>
      </c>
      <c r="B488">
        <v>6420000</v>
      </c>
    </row>
    <row r="489" spans="1:2" x14ac:dyDescent="0.2">
      <c r="A489" s="1" t="s">
        <v>245</v>
      </c>
      <c r="B489">
        <v>6305000</v>
      </c>
    </row>
    <row r="490" spans="1:2" s="236" customFormat="1" x14ac:dyDescent="0.2">
      <c r="A490" s="224" t="s">
        <v>497</v>
      </c>
      <c r="B490" s="236">
        <v>6300010</v>
      </c>
    </row>
    <row r="491" spans="1:2" x14ac:dyDescent="0.2">
      <c r="A491" s="1" t="s">
        <v>369</v>
      </c>
      <c r="B491">
        <v>6303000</v>
      </c>
    </row>
    <row r="493" spans="1:2" x14ac:dyDescent="0.2">
      <c r="A493" s="17" t="s">
        <v>284</v>
      </c>
    </row>
    <row r="494" spans="1:2" x14ac:dyDescent="0.2">
      <c r="A494" s="1" t="s">
        <v>283</v>
      </c>
    </row>
    <row r="495" spans="1:2" x14ac:dyDescent="0.2">
      <c r="A495" s="1" t="s">
        <v>282</v>
      </c>
    </row>
    <row r="496" spans="1:2" x14ac:dyDescent="0.2">
      <c r="A496" s="1" t="s">
        <v>15</v>
      </c>
    </row>
    <row r="497" spans="1:3" x14ac:dyDescent="0.2">
      <c r="A497" s="1" t="s">
        <v>14</v>
      </c>
    </row>
    <row r="499" spans="1:3" x14ac:dyDescent="0.2">
      <c r="A499" s="17" t="s">
        <v>241</v>
      </c>
    </row>
    <row r="500" spans="1:3" x14ac:dyDescent="0.2">
      <c r="A500" s="13" t="s">
        <v>370</v>
      </c>
      <c r="B500">
        <v>6450000</v>
      </c>
      <c r="C500" s="1" t="s">
        <v>392</v>
      </c>
    </row>
    <row r="501" spans="1:3" x14ac:dyDescent="0.2">
      <c r="A501" s="13" t="s">
        <v>247</v>
      </c>
      <c r="B501">
        <v>6362000</v>
      </c>
      <c r="C501" s="1" t="s">
        <v>392</v>
      </c>
    </row>
    <row r="502" spans="1:3" x14ac:dyDescent="0.2">
      <c r="A502" s="13" t="s">
        <v>242</v>
      </c>
      <c r="B502">
        <v>6380000</v>
      </c>
      <c r="C502" s="1" t="s">
        <v>392</v>
      </c>
    </row>
    <row r="503" spans="1:3" x14ac:dyDescent="0.2">
      <c r="A503" s="13" t="s">
        <v>248</v>
      </c>
      <c r="B503">
        <v>6364000</v>
      </c>
      <c r="C503" s="1" t="s">
        <v>392</v>
      </c>
    </row>
    <row r="504" spans="1:3" x14ac:dyDescent="0.2">
      <c r="A504" s="13" t="s">
        <v>2</v>
      </c>
      <c r="B504">
        <v>6350000</v>
      </c>
      <c r="C504" s="1" t="s">
        <v>392</v>
      </c>
    </row>
    <row r="505" spans="1:3" s="223" customFormat="1" x14ac:dyDescent="0.2">
      <c r="A505" s="13" t="s">
        <v>286</v>
      </c>
      <c r="B505">
        <v>6333000</v>
      </c>
      <c r="C505" s="1" t="s">
        <v>392</v>
      </c>
    </row>
    <row r="506" spans="1:3" x14ac:dyDescent="0.2">
      <c r="A506" s="13" t="s">
        <v>249</v>
      </c>
      <c r="B506">
        <v>6310000</v>
      </c>
      <c r="C506" s="1" t="s">
        <v>392</v>
      </c>
    </row>
    <row r="507" spans="1:3" x14ac:dyDescent="0.2">
      <c r="A507" s="13" t="s">
        <v>285</v>
      </c>
      <c r="B507" s="223">
        <v>6315000</v>
      </c>
      <c r="C507" s="224"/>
    </row>
    <row r="508" spans="1:3" s="223" customFormat="1" x14ac:dyDescent="0.2">
      <c r="A508" s="13" t="s">
        <v>367</v>
      </c>
      <c r="B508">
        <v>6325000</v>
      </c>
      <c r="C508" s="1" t="s">
        <v>392</v>
      </c>
    </row>
    <row r="509" spans="1:3" x14ac:dyDescent="0.2">
      <c r="A509" s="13" t="s">
        <v>244</v>
      </c>
      <c r="B509" s="223">
        <v>6385000</v>
      </c>
      <c r="C509" s="224"/>
    </row>
    <row r="510" spans="1:3" x14ac:dyDescent="0.2">
      <c r="A510" s="13" t="s">
        <v>352</v>
      </c>
      <c r="B510">
        <v>6395000</v>
      </c>
      <c r="C510" s="1" t="s">
        <v>392</v>
      </c>
    </row>
    <row r="511" spans="1:3" x14ac:dyDescent="0.2">
      <c r="A511" s="237" t="s">
        <v>488</v>
      </c>
      <c r="B511">
        <v>6365000</v>
      </c>
      <c r="C511" s="1" t="s">
        <v>392</v>
      </c>
    </row>
    <row r="512" spans="1:3" x14ac:dyDescent="0.2">
      <c r="A512" s="13" t="s">
        <v>3</v>
      </c>
      <c r="B512">
        <v>6355000</v>
      </c>
      <c r="C512" s="1" t="s">
        <v>392</v>
      </c>
    </row>
    <row r="513" spans="1:3" x14ac:dyDescent="0.2">
      <c r="A513" s="13" t="s">
        <v>246</v>
      </c>
      <c r="B513">
        <v>6330000</v>
      </c>
      <c r="C513" s="1" t="s">
        <v>392</v>
      </c>
    </row>
    <row r="514" spans="1:3" x14ac:dyDescent="0.2">
      <c r="A514" s="13" t="s">
        <v>389</v>
      </c>
      <c r="B514">
        <v>6335000</v>
      </c>
      <c r="C514" s="1" t="s">
        <v>392</v>
      </c>
    </row>
    <row r="515" spans="1:3" x14ac:dyDescent="0.2">
      <c r="A515" s="13" t="s">
        <v>243</v>
      </c>
      <c r="B515">
        <v>6375000</v>
      </c>
      <c r="C515" s="1" t="s">
        <v>392</v>
      </c>
    </row>
    <row r="516" spans="1:3" x14ac:dyDescent="0.2">
      <c r="A516" s="13" t="s">
        <v>356</v>
      </c>
      <c r="B516">
        <v>6360000</v>
      </c>
      <c r="C516" s="1" t="s">
        <v>392</v>
      </c>
    </row>
    <row r="518" spans="1:3" x14ac:dyDescent="0.2">
      <c r="A518" s="17" t="s">
        <v>275</v>
      </c>
    </row>
    <row r="519" spans="1:3" x14ac:dyDescent="0.2">
      <c r="A519" s="103" t="s">
        <v>417</v>
      </c>
      <c r="B519">
        <v>6320120</v>
      </c>
    </row>
    <row r="520" spans="1:3" x14ac:dyDescent="0.2">
      <c r="A520" s="103" t="s">
        <v>518</v>
      </c>
      <c r="B520">
        <v>6320095</v>
      </c>
    </row>
    <row r="521" spans="1:3" x14ac:dyDescent="0.2">
      <c r="A521" s="103" t="s">
        <v>413</v>
      </c>
      <c r="B521">
        <v>6320100</v>
      </c>
    </row>
    <row r="522" spans="1:3" x14ac:dyDescent="0.2">
      <c r="A522" s="103" t="s">
        <v>422</v>
      </c>
      <c r="B522">
        <v>6320040</v>
      </c>
    </row>
    <row r="523" spans="1:3" x14ac:dyDescent="0.2">
      <c r="A523" s="103" t="s">
        <v>421</v>
      </c>
      <c r="B523">
        <v>6320035</v>
      </c>
    </row>
    <row r="524" spans="1:3" x14ac:dyDescent="0.2">
      <c r="A524" s="103" t="s">
        <v>423</v>
      </c>
      <c r="B524">
        <v>6320045</v>
      </c>
    </row>
    <row r="525" spans="1:3" x14ac:dyDescent="0.2">
      <c r="A525" s="103" t="s">
        <v>416</v>
      </c>
      <c r="B525">
        <v>6320020</v>
      </c>
    </row>
    <row r="526" spans="1:3" x14ac:dyDescent="0.2">
      <c r="A526" s="103" t="s">
        <v>519</v>
      </c>
      <c r="B526">
        <v>6320015</v>
      </c>
    </row>
    <row r="527" spans="1:3" x14ac:dyDescent="0.2">
      <c r="A527" s="103" t="s">
        <v>418</v>
      </c>
      <c r="B527">
        <v>6320025</v>
      </c>
    </row>
    <row r="528" spans="1:3" x14ac:dyDescent="0.2">
      <c r="A528" s="103" t="s">
        <v>419</v>
      </c>
      <c r="B528">
        <v>6320030</v>
      </c>
    </row>
    <row r="529" spans="1:2" x14ac:dyDescent="0.2">
      <c r="A529" s="103" t="s">
        <v>517</v>
      </c>
      <c r="B529">
        <v>6320050</v>
      </c>
    </row>
    <row r="530" spans="1:2" x14ac:dyDescent="0.2">
      <c r="A530" s="103" t="s">
        <v>420</v>
      </c>
      <c r="B530">
        <v>6320060</v>
      </c>
    </row>
    <row r="531" spans="1:2" x14ac:dyDescent="0.2">
      <c r="A531" s="103" t="s">
        <v>520</v>
      </c>
      <c r="B531">
        <v>6320080</v>
      </c>
    </row>
    <row r="532" spans="1:2" x14ac:dyDescent="0.2">
      <c r="A532" s="103" t="s">
        <v>521</v>
      </c>
      <c r="B532">
        <v>6320085</v>
      </c>
    </row>
    <row r="533" spans="1:2" x14ac:dyDescent="0.2">
      <c r="A533" s="103" t="s">
        <v>414</v>
      </c>
      <c r="B533">
        <v>6320105</v>
      </c>
    </row>
    <row r="534" spans="1:2" x14ac:dyDescent="0.2">
      <c r="A534" s="103" t="s">
        <v>522</v>
      </c>
      <c r="B534">
        <v>6320090</v>
      </c>
    </row>
    <row r="535" spans="1:2" x14ac:dyDescent="0.2">
      <c r="A535" s="103" t="s">
        <v>523</v>
      </c>
      <c r="B535">
        <v>6340005</v>
      </c>
    </row>
    <row r="536" spans="1:2" x14ac:dyDescent="0.2">
      <c r="A536" s="103" t="s">
        <v>527</v>
      </c>
      <c r="B536">
        <v>6340015</v>
      </c>
    </row>
    <row r="537" spans="1:2" x14ac:dyDescent="0.2">
      <c r="A537" s="103" t="s">
        <v>528</v>
      </c>
      <c r="B537">
        <v>6340010</v>
      </c>
    </row>
    <row r="538" spans="1:2" x14ac:dyDescent="0.2">
      <c r="A538" s="103" t="s">
        <v>415</v>
      </c>
      <c r="B538">
        <v>6320065</v>
      </c>
    </row>
    <row r="539" spans="1:2" x14ac:dyDescent="0.2">
      <c r="A539" s="103" t="s">
        <v>529</v>
      </c>
      <c r="B539">
        <v>6320115</v>
      </c>
    </row>
    <row r="541" spans="1:2" x14ac:dyDescent="0.2">
      <c r="A541" s="17" t="s">
        <v>355</v>
      </c>
    </row>
    <row r="542" spans="1:2" x14ac:dyDescent="0.2">
      <c r="A542" s="1" t="s">
        <v>514</v>
      </c>
      <c r="B542">
        <v>100</v>
      </c>
    </row>
    <row r="543" spans="1:2" x14ac:dyDescent="0.2">
      <c r="A543" s="1" t="s">
        <v>124</v>
      </c>
      <c r="B543">
        <v>110</v>
      </c>
    </row>
    <row r="544" spans="1:2" x14ac:dyDescent="0.2">
      <c r="A544" s="1" t="s">
        <v>424</v>
      </c>
      <c r="B544">
        <v>115</v>
      </c>
    </row>
    <row r="545" spans="1:3" s="236" customFormat="1" x14ac:dyDescent="0.2">
      <c r="A545" s="224" t="s">
        <v>516</v>
      </c>
      <c r="B545" s="236">
        <v>120</v>
      </c>
    </row>
    <row r="546" spans="1:3" x14ac:dyDescent="0.2">
      <c r="A546" s="1" t="s">
        <v>515</v>
      </c>
      <c r="B546">
        <v>125</v>
      </c>
    </row>
    <row r="548" spans="1:3" x14ac:dyDescent="0.2">
      <c r="A548" s="17" t="s">
        <v>357</v>
      </c>
      <c r="B548" s="17"/>
      <c r="C548" s="64"/>
    </row>
    <row r="549" spans="1:3" x14ac:dyDescent="0.2">
      <c r="A549" s="132">
        <v>6210000</v>
      </c>
      <c r="B549" s="1" t="s">
        <v>358</v>
      </c>
    </row>
    <row r="550" spans="1:3" x14ac:dyDescent="0.2">
      <c r="A550" s="132">
        <v>6212000</v>
      </c>
      <c r="B550" s="1" t="s">
        <v>359</v>
      </c>
    </row>
    <row r="551" spans="1:3" x14ac:dyDescent="0.2">
      <c r="A551" s="132">
        <v>6215000</v>
      </c>
      <c r="B551" s="1" t="s">
        <v>360</v>
      </c>
    </row>
    <row r="552" spans="1:3" x14ac:dyDescent="0.2">
      <c r="A552" s="132">
        <v>6220000</v>
      </c>
      <c r="B552" s="1" t="s">
        <v>361</v>
      </c>
    </row>
    <row r="553" spans="1:3" x14ac:dyDescent="0.2">
      <c r="A553" s="132">
        <v>6222000</v>
      </c>
      <c r="B553" s="1" t="s">
        <v>362</v>
      </c>
    </row>
    <row r="554" spans="1:3" s="236" customFormat="1" x14ac:dyDescent="0.2">
      <c r="A554" s="132">
        <v>6235000</v>
      </c>
      <c r="B554" s="224" t="s">
        <v>363</v>
      </c>
    </row>
    <row r="555" spans="1:3" x14ac:dyDescent="0.2">
      <c r="A555" s="132">
        <v>6245000</v>
      </c>
      <c r="B555" s="237" t="s">
        <v>390</v>
      </c>
    </row>
    <row r="557" spans="1:3" x14ac:dyDescent="0.2">
      <c r="A557" s="17" t="s">
        <v>364</v>
      </c>
      <c r="B557" s="17"/>
      <c r="C557" s="17"/>
    </row>
    <row r="558" spans="1:3" x14ac:dyDescent="0.2">
      <c r="A558" s="132">
        <v>6300005</v>
      </c>
      <c r="B558" s="1" t="s">
        <v>368</v>
      </c>
    </row>
    <row r="559" spans="1:3" s="236" customFormat="1" x14ac:dyDescent="0.2">
      <c r="A559" s="132">
        <v>6300015</v>
      </c>
      <c r="B559" s="224" t="s">
        <v>809</v>
      </c>
    </row>
    <row r="560" spans="1:3" x14ac:dyDescent="0.2">
      <c r="A560" s="132">
        <v>6303000</v>
      </c>
      <c r="B560" s="1" t="s">
        <v>369</v>
      </c>
    </row>
    <row r="561" spans="1:2" x14ac:dyDescent="0.2">
      <c r="A561" s="132">
        <v>6305000</v>
      </c>
      <c r="B561" s="1" t="s">
        <v>245</v>
      </c>
    </row>
    <row r="562" spans="1:2" s="236" customFormat="1" x14ac:dyDescent="0.2">
      <c r="A562" s="132">
        <v>6305015</v>
      </c>
      <c r="B562" s="224" t="s">
        <v>526</v>
      </c>
    </row>
    <row r="563" spans="1:2" x14ac:dyDescent="0.2">
      <c r="A563" s="132">
        <v>6400000</v>
      </c>
      <c r="B563" s="1" t="s">
        <v>524</v>
      </c>
    </row>
    <row r="564" spans="1:2" x14ac:dyDescent="0.2">
      <c r="A564" s="132">
        <v>6410000</v>
      </c>
      <c r="B564" s="1" t="s">
        <v>365</v>
      </c>
    </row>
    <row r="565" spans="1:2" s="236" customFormat="1" x14ac:dyDescent="0.2">
      <c r="A565" s="132">
        <v>6420000</v>
      </c>
      <c r="B565" s="224" t="s">
        <v>224</v>
      </c>
    </row>
    <row r="566" spans="1:2" x14ac:dyDescent="0.2">
      <c r="A566" s="132">
        <v>6420015</v>
      </c>
      <c r="B566" s="1" t="s">
        <v>525</v>
      </c>
    </row>
    <row r="568" spans="1:2" x14ac:dyDescent="0.2">
      <c r="A568" s="17" t="s">
        <v>366</v>
      </c>
      <c r="B568" s="64"/>
    </row>
    <row r="569" spans="1:2" x14ac:dyDescent="0.2">
      <c r="A569" s="132">
        <v>6320015</v>
      </c>
      <c r="B569" s="1" t="s">
        <v>537</v>
      </c>
    </row>
    <row r="570" spans="1:2" s="236" customFormat="1" x14ac:dyDescent="0.2">
      <c r="A570" s="132">
        <v>6320020</v>
      </c>
      <c r="B570" s="224" t="s">
        <v>536</v>
      </c>
    </row>
    <row r="571" spans="1:2" s="236" customFormat="1" x14ac:dyDescent="0.2">
      <c r="A571" s="132">
        <v>6320025</v>
      </c>
      <c r="B571" s="224" t="s">
        <v>538</v>
      </c>
    </row>
    <row r="572" spans="1:2" s="236" customFormat="1" x14ac:dyDescent="0.2">
      <c r="A572" s="132">
        <v>6320030</v>
      </c>
      <c r="B572" s="224" t="s">
        <v>539</v>
      </c>
    </row>
    <row r="573" spans="1:2" s="236" customFormat="1" x14ac:dyDescent="0.2">
      <c r="A573" s="132">
        <v>6320035</v>
      </c>
      <c r="B573" s="224" t="s">
        <v>534</v>
      </c>
    </row>
    <row r="574" spans="1:2" s="236" customFormat="1" x14ac:dyDescent="0.2">
      <c r="A574" s="132">
        <v>6320040</v>
      </c>
      <c r="B574" s="224" t="s">
        <v>533</v>
      </c>
    </row>
    <row r="575" spans="1:2" s="236" customFormat="1" x14ac:dyDescent="0.2">
      <c r="A575" s="132">
        <v>6320045</v>
      </c>
      <c r="B575" s="224" t="s">
        <v>535</v>
      </c>
    </row>
    <row r="576" spans="1:2" s="236" customFormat="1" x14ac:dyDescent="0.2">
      <c r="A576" s="132">
        <v>6320050</v>
      </c>
      <c r="B576" s="224" t="s">
        <v>540</v>
      </c>
    </row>
    <row r="577" spans="1:2" s="236" customFormat="1" x14ac:dyDescent="0.2">
      <c r="A577" s="132">
        <v>6320060</v>
      </c>
      <c r="B577" s="224" t="s">
        <v>541</v>
      </c>
    </row>
    <row r="578" spans="1:2" s="236" customFormat="1" x14ac:dyDescent="0.2">
      <c r="A578" s="132">
        <v>6320065</v>
      </c>
      <c r="B578" s="224" t="s">
        <v>546</v>
      </c>
    </row>
    <row r="579" spans="1:2" s="236" customFormat="1" x14ac:dyDescent="0.2">
      <c r="A579" s="132">
        <v>6320080</v>
      </c>
      <c r="B579" s="224" t="s">
        <v>542</v>
      </c>
    </row>
    <row r="580" spans="1:2" s="236" customFormat="1" x14ac:dyDescent="0.2">
      <c r="A580" s="132">
        <v>6320085</v>
      </c>
      <c r="B580" s="224" t="s">
        <v>543</v>
      </c>
    </row>
    <row r="581" spans="1:2" s="236" customFormat="1" x14ac:dyDescent="0.2">
      <c r="A581" s="132">
        <v>6320090</v>
      </c>
      <c r="B581" s="224" t="s">
        <v>545</v>
      </c>
    </row>
    <row r="582" spans="1:2" s="236" customFormat="1" x14ac:dyDescent="0.2">
      <c r="A582" s="132">
        <v>6320095</v>
      </c>
      <c r="B582" s="224" t="s">
        <v>531</v>
      </c>
    </row>
    <row r="583" spans="1:2" s="236" customFormat="1" x14ac:dyDescent="0.2">
      <c r="A583" s="132">
        <v>6320100</v>
      </c>
      <c r="B583" s="224" t="s">
        <v>532</v>
      </c>
    </row>
    <row r="584" spans="1:2" s="236" customFormat="1" x14ac:dyDescent="0.2">
      <c r="A584" s="132">
        <v>6320105</v>
      </c>
      <c r="B584" s="224" t="s">
        <v>544</v>
      </c>
    </row>
    <row r="585" spans="1:2" s="236" customFormat="1" x14ac:dyDescent="0.2">
      <c r="A585" s="132">
        <v>6320115</v>
      </c>
      <c r="B585" s="224" t="s">
        <v>547</v>
      </c>
    </row>
    <row r="586" spans="1:2" s="236" customFormat="1" x14ac:dyDescent="0.2">
      <c r="A586" s="132">
        <v>6320120</v>
      </c>
      <c r="B586" s="224" t="s">
        <v>530</v>
      </c>
    </row>
    <row r="587" spans="1:2" s="236" customFormat="1" x14ac:dyDescent="0.2">
      <c r="A587" s="132">
        <v>6340005</v>
      </c>
      <c r="B587" s="224" t="s">
        <v>523</v>
      </c>
    </row>
    <row r="588" spans="1:2" s="236" customFormat="1" x14ac:dyDescent="0.2">
      <c r="A588" s="132">
        <v>6340010</v>
      </c>
      <c r="B588" s="224" t="s">
        <v>528</v>
      </c>
    </row>
    <row r="589" spans="1:2" s="236" customFormat="1" x14ac:dyDescent="0.2">
      <c r="A589" s="132">
        <v>6340015</v>
      </c>
      <c r="B589" s="224" t="s">
        <v>527</v>
      </c>
    </row>
    <row r="591" spans="1:2" x14ac:dyDescent="0.2">
      <c r="A591" s="17" t="s">
        <v>382</v>
      </c>
      <c r="B591" s="64"/>
    </row>
    <row r="592" spans="1:2" x14ac:dyDescent="0.2">
      <c r="A592" s="132">
        <v>6370000</v>
      </c>
      <c r="B592" s="38" t="s">
        <v>287</v>
      </c>
    </row>
    <row r="593" spans="1:2" s="236" customFormat="1" x14ac:dyDescent="0.2">
      <c r="A593" s="132">
        <v>6390000</v>
      </c>
      <c r="B593" s="237" t="s">
        <v>385</v>
      </c>
    </row>
    <row r="595" spans="1:2" x14ac:dyDescent="0.2">
      <c r="A595" s="17" t="s">
        <v>278</v>
      </c>
      <c r="B595" s="64"/>
    </row>
    <row r="596" spans="1:2" x14ac:dyDescent="0.2">
      <c r="A596" s="1" t="s">
        <v>368</v>
      </c>
      <c r="B596">
        <v>6300005</v>
      </c>
    </row>
    <row r="597" spans="1:2" s="236" customFormat="1" x14ac:dyDescent="0.2">
      <c r="A597" s="224" t="s">
        <v>524</v>
      </c>
      <c r="B597" s="236">
        <v>6400000</v>
      </c>
    </row>
    <row r="598" spans="1:2" x14ac:dyDescent="0.2">
      <c r="A598" s="1" t="s">
        <v>365</v>
      </c>
      <c r="B598">
        <v>6410000</v>
      </c>
    </row>
    <row r="599" spans="1:2" x14ac:dyDescent="0.2">
      <c r="A599" s="1" t="s">
        <v>224</v>
      </c>
      <c r="B599">
        <v>6420000</v>
      </c>
    </row>
    <row r="600" spans="1:2" x14ac:dyDescent="0.2">
      <c r="A600" s="1" t="s">
        <v>245</v>
      </c>
      <c r="B600">
        <v>6305000</v>
      </c>
    </row>
    <row r="601" spans="1:2" s="236" customFormat="1" x14ac:dyDescent="0.2">
      <c r="A601" s="224" t="s">
        <v>526</v>
      </c>
      <c r="B601" s="236">
        <v>6305015</v>
      </c>
    </row>
    <row r="602" spans="1:2" s="236" customFormat="1" x14ac:dyDescent="0.2">
      <c r="A602" s="224" t="s">
        <v>497</v>
      </c>
      <c r="B602" s="236">
        <v>6300010</v>
      </c>
    </row>
    <row r="603" spans="1:2" x14ac:dyDescent="0.2">
      <c r="A603" s="1" t="s">
        <v>369</v>
      </c>
      <c r="B603">
        <v>6303000</v>
      </c>
    </row>
    <row r="605" spans="1:2" x14ac:dyDescent="0.2">
      <c r="A605" s="17" t="s">
        <v>276</v>
      </c>
      <c r="B605" s="64"/>
    </row>
    <row r="606" spans="1:2" x14ac:dyDescent="0.2">
      <c r="A606" s="1" t="s">
        <v>393</v>
      </c>
      <c r="B606">
        <v>6390000</v>
      </c>
    </row>
    <row r="607" spans="1:2" s="236" customFormat="1" x14ac:dyDescent="0.2">
      <c r="A607" s="224" t="s">
        <v>287</v>
      </c>
      <c r="B607" s="236">
        <v>6370000</v>
      </c>
    </row>
    <row r="609" spans="1:2" x14ac:dyDescent="0.2">
      <c r="A609" s="17" t="s">
        <v>280</v>
      </c>
      <c r="B609" s="17"/>
    </row>
    <row r="610" spans="1:2" x14ac:dyDescent="0.2">
      <c r="A610" s="1" t="s">
        <v>398</v>
      </c>
      <c r="B610">
        <v>1310000</v>
      </c>
    </row>
    <row r="611" spans="1:2" x14ac:dyDescent="0.2">
      <c r="A611" s="1" t="s">
        <v>399</v>
      </c>
      <c r="B611">
        <v>1315005</v>
      </c>
    </row>
    <row r="612" spans="1:2" x14ac:dyDescent="0.2">
      <c r="A612" s="1" t="s">
        <v>400</v>
      </c>
      <c r="B612">
        <v>1320000</v>
      </c>
    </row>
    <row r="613" spans="1:2" x14ac:dyDescent="0.2">
      <c r="A613" s="1" t="s">
        <v>401</v>
      </c>
      <c r="B613">
        <v>1325000</v>
      </c>
    </row>
    <row r="614" spans="1:2" x14ac:dyDescent="0.2">
      <c r="A614" s="1" t="s">
        <v>402</v>
      </c>
      <c r="B614">
        <v>1330005</v>
      </c>
    </row>
    <row r="615" spans="1:2" x14ac:dyDescent="0.2">
      <c r="A615" s="1" t="s">
        <v>403</v>
      </c>
      <c r="B615">
        <v>1335000</v>
      </c>
    </row>
    <row r="616" spans="1:2" x14ac:dyDescent="0.2">
      <c r="A616" s="1" t="s">
        <v>404</v>
      </c>
      <c r="B616">
        <v>1340000</v>
      </c>
    </row>
  </sheetData>
  <autoFilter ref="A24:B212"/>
  <sortState ref="A126:D132">
    <sortCondition ref="A126:A132"/>
  </sortState>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55" sqref="H55"/>
    </sheetView>
  </sheetViews>
  <sheetFormatPr defaultColWidth="9.140625" defaultRowHeight="12.75" x14ac:dyDescent="0.2"/>
  <cols>
    <col min="1" max="16384" width="9.140625" style="284"/>
  </cols>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5"/>
  <sheetViews>
    <sheetView zoomScale="90" zoomScaleNormal="90" workbookViewId="0">
      <pane xSplit="1" ySplit="4" topLeftCell="B5" activePane="bottomRight" state="frozen"/>
      <selection activeCell="B39" sqref="B39"/>
      <selection pane="topRight" activeCell="B39" sqref="B39"/>
      <selection pane="bottomLeft" activeCell="B39" sqref="B39"/>
      <selection pane="bottomRight" activeCell="B39" sqref="B39"/>
    </sheetView>
  </sheetViews>
  <sheetFormatPr defaultColWidth="8.85546875" defaultRowHeight="12.75" x14ac:dyDescent="0.2"/>
  <cols>
    <col min="1" max="1" width="58.5703125" style="236" customWidth="1"/>
    <col min="2" max="2" width="23.7109375" style="236" customWidth="1"/>
    <col min="3" max="3" width="13.28515625" style="236" customWidth="1"/>
    <col min="4" max="4" width="13" style="236" customWidth="1"/>
    <col min="5" max="5" width="14.140625" style="236" customWidth="1"/>
    <col min="6" max="6" width="13.7109375" style="236" customWidth="1"/>
    <col min="7" max="7" width="13.5703125" style="236" customWidth="1"/>
    <col min="8" max="8" width="14.42578125" style="236" customWidth="1"/>
    <col min="9" max="10" width="16.85546875" style="236" customWidth="1"/>
    <col min="11" max="11" width="15.5703125" style="236" customWidth="1"/>
    <col min="12" max="12" width="14.7109375" style="236" customWidth="1"/>
    <col min="13" max="13" width="12.5703125" style="236" customWidth="1"/>
    <col min="14" max="14" width="17.5703125" style="236" customWidth="1"/>
    <col min="15" max="15" width="15.28515625" style="236" customWidth="1"/>
    <col min="16" max="16" width="16.140625" style="236" customWidth="1"/>
    <col min="17" max="17" width="14.42578125" style="236" customWidth="1"/>
    <col min="18" max="18" width="15" style="236" customWidth="1"/>
    <col min="19" max="19" width="12.5703125" style="236" customWidth="1"/>
    <col min="20" max="20" width="13.42578125" style="236" customWidth="1"/>
    <col min="21" max="21" width="14.42578125" style="236" customWidth="1"/>
    <col min="22" max="23" width="14.7109375" style="236" customWidth="1"/>
    <col min="24" max="24" width="12.28515625" style="236" customWidth="1"/>
    <col min="25" max="16384" width="8.85546875" style="236"/>
  </cols>
  <sheetData>
    <row r="1" spans="1:24" ht="21" x14ac:dyDescent="0.35">
      <c r="A1" s="92" t="s">
        <v>269</v>
      </c>
      <c r="B1" s="92"/>
    </row>
    <row r="2" spans="1:24" ht="18.75" x14ac:dyDescent="0.3">
      <c r="A2" s="10" t="s">
        <v>911</v>
      </c>
      <c r="B2" s="10"/>
    </row>
    <row r="3" spans="1:24" ht="15" x14ac:dyDescent="0.25">
      <c r="A3" s="11"/>
      <c r="B3" s="11"/>
    </row>
    <row r="4" spans="1:24" ht="39.75" customHeight="1" x14ac:dyDescent="0.25">
      <c r="A4" s="93" t="s">
        <v>265</v>
      </c>
      <c r="B4" s="579" t="s">
        <v>1497</v>
      </c>
      <c r="C4" s="611" t="s">
        <v>1498</v>
      </c>
      <c r="D4" s="611" t="s">
        <v>1499</v>
      </c>
      <c r="E4" s="611" t="s">
        <v>1500</v>
      </c>
      <c r="F4" s="611" t="s">
        <v>1503</v>
      </c>
      <c r="G4" s="611" t="s">
        <v>1501</v>
      </c>
      <c r="H4" s="611" t="s">
        <v>1502</v>
      </c>
      <c r="I4" s="611" t="s">
        <v>1504</v>
      </c>
      <c r="J4" s="611" t="s">
        <v>1506</v>
      </c>
      <c r="K4" s="611" t="s">
        <v>1510</v>
      </c>
      <c r="L4" s="611" t="s">
        <v>1505</v>
      </c>
      <c r="M4" s="611" t="s">
        <v>1507</v>
      </c>
      <c r="N4" s="611" t="s">
        <v>1508</v>
      </c>
      <c r="O4" s="611" t="s">
        <v>262</v>
      </c>
      <c r="P4" s="611" t="s">
        <v>1509</v>
      </c>
      <c r="Q4" s="611" t="s">
        <v>1511</v>
      </c>
      <c r="R4" s="611" t="s">
        <v>1512</v>
      </c>
      <c r="S4" s="611" t="s">
        <v>1513</v>
      </c>
      <c r="T4" s="611" t="s">
        <v>1515</v>
      </c>
      <c r="U4" s="611" t="s">
        <v>1514</v>
      </c>
      <c r="V4" s="611" t="s">
        <v>1516</v>
      </c>
      <c r="W4" s="611" t="s">
        <v>1517</v>
      </c>
    </row>
    <row r="5" spans="1:24" ht="16.5" customHeight="1" x14ac:dyDescent="0.2">
      <c r="A5" s="94" t="s">
        <v>496</v>
      </c>
      <c r="B5" s="588">
        <f>SUM(C5:W5)</f>
        <v>3368864</v>
      </c>
      <c r="C5" s="580">
        <v>0</v>
      </c>
      <c r="D5" s="580">
        <v>0</v>
      </c>
      <c r="E5" s="580">
        <v>0</v>
      </c>
      <c r="F5" s="581">
        <f>'PGM Revenues CD-MW'!F7+'PGM Revenues CD-MW'!F8+'PGM Revenues CD-MW'!F6</f>
        <v>3368864</v>
      </c>
      <c r="G5" s="580">
        <v>0</v>
      </c>
      <c r="H5" s="580">
        <v>0</v>
      </c>
      <c r="I5" s="580">
        <v>0</v>
      </c>
      <c r="J5" s="580">
        <v>0</v>
      </c>
      <c r="K5" s="580">
        <v>0</v>
      </c>
      <c r="L5" s="580">
        <v>0</v>
      </c>
      <c r="M5" s="581">
        <v>0</v>
      </c>
      <c r="N5" s="581">
        <v>0</v>
      </c>
      <c r="O5" s="580">
        <v>0</v>
      </c>
      <c r="P5" s="580">
        <v>0</v>
      </c>
      <c r="Q5" s="580">
        <v>0</v>
      </c>
      <c r="R5" s="580">
        <v>0</v>
      </c>
      <c r="S5" s="580">
        <v>0</v>
      </c>
      <c r="T5" s="580">
        <v>0</v>
      </c>
      <c r="U5" s="580">
        <v>0</v>
      </c>
      <c r="V5" s="580">
        <v>0</v>
      </c>
      <c r="W5" s="580">
        <v>0</v>
      </c>
    </row>
    <row r="6" spans="1:24" ht="16.5" customHeight="1" x14ac:dyDescent="0.2">
      <c r="A6" s="94" t="s">
        <v>510</v>
      </c>
      <c r="B6" s="588">
        <f t="shared" ref="B6:B18" si="0">SUM(C6:W6)</f>
        <v>1975182</v>
      </c>
      <c r="C6" s="580">
        <v>0</v>
      </c>
      <c r="D6" s="580">
        <v>0</v>
      </c>
      <c r="E6" s="580">
        <v>0</v>
      </c>
      <c r="F6" s="580">
        <v>0</v>
      </c>
      <c r="G6" s="580">
        <v>0</v>
      </c>
      <c r="H6" s="580">
        <v>0</v>
      </c>
      <c r="I6" s="580">
        <v>0</v>
      </c>
      <c r="J6" s="580">
        <v>0</v>
      </c>
      <c r="K6" s="580">
        <v>0</v>
      </c>
      <c r="L6" s="580">
        <v>0</v>
      </c>
      <c r="M6" s="581">
        <f>'PGM Revenues CD-MW'!F22+'PGM Revenues CD-MW'!F23+'PGM Revenues CD-MW'!F24+'PGM Revenues CD-MW'!F21</f>
        <v>1975182</v>
      </c>
      <c r="N6" s="580">
        <v>0</v>
      </c>
      <c r="O6" s="580">
        <v>0</v>
      </c>
      <c r="P6" s="580">
        <v>0</v>
      </c>
      <c r="Q6" s="580">
        <v>0</v>
      </c>
      <c r="R6" s="580">
        <v>0</v>
      </c>
      <c r="S6" s="580">
        <v>0</v>
      </c>
      <c r="T6" s="580">
        <v>0</v>
      </c>
      <c r="U6" s="580">
        <v>0</v>
      </c>
      <c r="V6" s="580">
        <v>0</v>
      </c>
      <c r="W6" s="580">
        <v>0</v>
      </c>
    </row>
    <row r="7" spans="1:24" ht="16.5" customHeight="1" x14ac:dyDescent="0.2">
      <c r="A7" s="94" t="s">
        <v>149</v>
      </c>
      <c r="B7" s="588">
        <f t="shared" si="0"/>
        <v>900000</v>
      </c>
      <c r="C7" s="580">
        <v>0</v>
      </c>
      <c r="D7" s="581">
        <f>'PGM Revenues CD-MW'!F25</f>
        <v>900000</v>
      </c>
      <c r="E7" s="580">
        <v>0</v>
      </c>
      <c r="F7" s="580">
        <v>0</v>
      </c>
      <c r="G7" s="580">
        <v>0</v>
      </c>
      <c r="H7" s="580">
        <v>0</v>
      </c>
      <c r="I7" s="580">
        <v>0</v>
      </c>
      <c r="J7" s="580">
        <v>0</v>
      </c>
      <c r="K7" s="580">
        <v>0</v>
      </c>
      <c r="L7" s="580">
        <v>0</v>
      </c>
      <c r="M7" s="580">
        <v>0</v>
      </c>
      <c r="N7" s="580">
        <v>0</v>
      </c>
      <c r="O7" s="580">
        <v>0</v>
      </c>
      <c r="P7" s="580">
        <v>0</v>
      </c>
      <c r="Q7" s="580">
        <v>0</v>
      </c>
      <c r="R7" s="580">
        <v>0</v>
      </c>
      <c r="S7" s="580">
        <v>0</v>
      </c>
      <c r="T7" s="580">
        <v>0</v>
      </c>
      <c r="U7" s="580">
        <v>0</v>
      </c>
      <c r="V7" s="580">
        <v>0</v>
      </c>
      <c r="W7" s="580">
        <v>0</v>
      </c>
    </row>
    <row r="8" spans="1:24" ht="16.5" customHeight="1" x14ac:dyDescent="0.2">
      <c r="A8" s="94" t="s">
        <v>1480</v>
      </c>
      <c r="B8" s="588">
        <f t="shared" si="0"/>
        <v>1465153</v>
      </c>
      <c r="C8" s="580">
        <v>0</v>
      </c>
      <c r="D8" s="580">
        <v>0</v>
      </c>
      <c r="E8" s="580">
        <v>0</v>
      </c>
      <c r="F8" s="580">
        <v>0</v>
      </c>
      <c r="G8" s="580">
        <v>0</v>
      </c>
      <c r="H8" s="580">
        <v>0</v>
      </c>
      <c r="I8" s="580">
        <v>0</v>
      </c>
      <c r="J8" s="580">
        <v>0</v>
      </c>
      <c r="K8" s="580">
        <v>0</v>
      </c>
      <c r="L8" s="580">
        <v>0</v>
      </c>
      <c r="M8" s="580">
        <v>0</v>
      </c>
      <c r="N8" s="580">
        <v>0</v>
      </c>
      <c r="O8" s="580">
        <v>0</v>
      </c>
      <c r="P8" s="580">
        <v>0</v>
      </c>
      <c r="Q8" s="580">
        <v>0</v>
      </c>
      <c r="R8" s="580">
        <v>0</v>
      </c>
      <c r="S8" s="580">
        <v>0</v>
      </c>
      <c r="T8" s="580">
        <f>SUM('PGM Revenues CD-MW'!F18:F20)</f>
        <v>1465153</v>
      </c>
      <c r="U8" s="580">
        <v>0</v>
      </c>
      <c r="V8" s="580">
        <v>0</v>
      </c>
      <c r="W8" s="580">
        <v>0</v>
      </c>
    </row>
    <row r="9" spans="1:24" ht="16.5" customHeight="1" x14ac:dyDescent="0.2">
      <c r="A9" s="27" t="s">
        <v>1479</v>
      </c>
      <c r="B9" s="589">
        <f t="shared" si="0"/>
        <v>875000</v>
      </c>
      <c r="C9" s="580">
        <v>0</v>
      </c>
      <c r="D9" s="580">
        <v>0</v>
      </c>
      <c r="E9" s="580">
        <v>0</v>
      </c>
      <c r="F9" s="580">
        <v>0</v>
      </c>
      <c r="G9" s="580">
        <f>'PGM Revenues CD-MW'!F4</f>
        <v>575000</v>
      </c>
      <c r="H9" s="580">
        <v>0</v>
      </c>
      <c r="I9" s="580">
        <v>0</v>
      </c>
      <c r="J9" s="580">
        <v>0</v>
      </c>
      <c r="K9" s="580">
        <v>0</v>
      </c>
      <c r="L9" s="580">
        <v>0</v>
      </c>
      <c r="M9" s="580">
        <v>0</v>
      </c>
      <c r="N9" s="580">
        <v>0</v>
      </c>
      <c r="O9" s="580">
        <v>0</v>
      </c>
      <c r="P9" s="580">
        <v>0</v>
      </c>
      <c r="Q9" s="580">
        <v>0</v>
      </c>
      <c r="R9" s="580">
        <v>0</v>
      </c>
      <c r="S9" s="580">
        <v>0</v>
      </c>
      <c r="T9" s="580">
        <v>0</v>
      </c>
      <c r="U9" s="580">
        <v>0</v>
      </c>
      <c r="V9" s="580">
        <v>0</v>
      </c>
      <c r="W9" s="580">
        <f>'PGM Revenues CD-MW'!F32</f>
        <v>300000</v>
      </c>
    </row>
    <row r="10" spans="1:24" ht="16.5" customHeight="1" x14ac:dyDescent="0.2">
      <c r="A10" s="94" t="s">
        <v>1478</v>
      </c>
      <c r="B10" s="588">
        <f t="shared" si="0"/>
        <v>1100000</v>
      </c>
      <c r="C10" s="580">
        <v>0</v>
      </c>
      <c r="D10" s="580">
        <v>0</v>
      </c>
      <c r="E10" s="580">
        <v>0</v>
      </c>
      <c r="F10" s="580">
        <f>'PGM Revenues CD-MW'!F2+'PGM Revenues CD-MW'!F3</f>
        <v>1100000</v>
      </c>
      <c r="G10" s="580">
        <v>0</v>
      </c>
      <c r="H10" s="581">
        <v>0</v>
      </c>
      <c r="I10" s="580">
        <v>0</v>
      </c>
      <c r="J10" s="580">
        <v>0</v>
      </c>
      <c r="K10" s="580">
        <v>0</v>
      </c>
      <c r="L10" s="580">
        <v>0</v>
      </c>
      <c r="M10" s="580">
        <v>0</v>
      </c>
      <c r="N10" s="580">
        <v>0</v>
      </c>
      <c r="O10" s="580">
        <v>0</v>
      </c>
      <c r="P10" s="580">
        <v>0</v>
      </c>
      <c r="Q10" s="580">
        <v>0</v>
      </c>
      <c r="R10" s="580">
        <v>0</v>
      </c>
      <c r="S10" s="580">
        <v>0</v>
      </c>
      <c r="T10" s="580">
        <v>0</v>
      </c>
      <c r="U10" s="580">
        <v>0</v>
      </c>
      <c r="V10" s="580">
        <v>0</v>
      </c>
      <c r="W10" s="580">
        <v>0</v>
      </c>
    </row>
    <row r="11" spans="1:24" ht="16.5" customHeight="1" x14ac:dyDescent="0.2">
      <c r="A11" s="27" t="s">
        <v>1477</v>
      </c>
      <c r="B11" s="589">
        <f t="shared" si="0"/>
        <v>500000</v>
      </c>
      <c r="C11" s="580">
        <v>0</v>
      </c>
      <c r="D11" s="580">
        <v>0</v>
      </c>
      <c r="E11" s="580">
        <v>0</v>
      </c>
      <c r="F11" s="580">
        <f>'PGM Revenues CD-MW'!F5</f>
        <v>500000</v>
      </c>
      <c r="G11" s="580">
        <v>0</v>
      </c>
      <c r="H11" s="580">
        <v>0</v>
      </c>
      <c r="I11" s="580">
        <v>0</v>
      </c>
      <c r="J11" s="580">
        <v>0</v>
      </c>
      <c r="K11" s="580">
        <v>0</v>
      </c>
      <c r="L11" s="580">
        <v>0</v>
      </c>
      <c r="M11" s="580">
        <v>0</v>
      </c>
      <c r="N11" s="580">
        <v>0</v>
      </c>
      <c r="O11" s="580">
        <v>0</v>
      </c>
      <c r="P11" s="580">
        <v>0</v>
      </c>
      <c r="Q11" s="580">
        <v>0</v>
      </c>
      <c r="R11" s="580">
        <v>0</v>
      </c>
      <c r="S11" s="580">
        <v>0</v>
      </c>
      <c r="T11" s="580">
        <v>0</v>
      </c>
      <c r="U11" s="580">
        <v>0</v>
      </c>
      <c r="V11" s="580">
        <v>0</v>
      </c>
      <c r="W11" s="580">
        <v>0</v>
      </c>
    </row>
    <row r="12" spans="1:24" ht="16.5" customHeight="1" x14ac:dyDescent="0.2">
      <c r="A12" s="94" t="s">
        <v>918</v>
      </c>
      <c r="B12" s="588">
        <f t="shared" si="0"/>
        <v>2202792.34</v>
      </c>
      <c r="C12" s="580">
        <v>0</v>
      </c>
      <c r="D12" s="580">
        <v>0</v>
      </c>
      <c r="E12" s="580">
        <v>0</v>
      </c>
      <c r="F12" s="580">
        <v>0</v>
      </c>
      <c r="G12" s="580">
        <v>0</v>
      </c>
      <c r="H12" s="580">
        <v>0</v>
      </c>
      <c r="I12" s="580">
        <f>'PGM Revenues CD-MW'!F13+'PGM Revenues CD-MW'!F14+'PGM Revenues CD-MW'!F15+'PGM Revenues CD-MW'!F16</f>
        <v>2202792.34</v>
      </c>
      <c r="J12" s="580">
        <v>0</v>
      </c>
      <c r="K12" s="580">
        <v>0</v>
      </c>
      <c r="L12" s="580">
        <v>0</v>
      </c>
      <c r="M12" s="580">
        <v>0</v>
      </c>
      <c r="N12" s="580">
        <v>0</v>
      </c>
      <c r="O12" s="580">
        <v>0</v>
      </c>
      <c r="P12" s="580">
        <v>0</v>
      </c>
      <c r="Q12" s="580">
        <v>0</v>
      </c>
      <c r="R12" s="580">
        <v>0</v>
      </c>
      <c r="S12" s="580">
        <v>0</v>
      </c>
      <c r="T12" s="580">
        <v>0</v>
      </c>
      <c r="U12" s="580">
        <v>0</v>
      </c>
      <c r="V12" s="580">
        <v>0</v>
      </c>
      <c r="W12" s="580">
        <v>0</v>
      </c>
      <c r="X12" s="280"/>
    </row>
    <row r="13" spans="1:24" ht="16.5" customHeight="1" x14ac:dyDescent="0.2">
      <c r="A13" s="94" t="s">
        <v>1518</v>
      </c>
      <c r="B13" s="588">
        <f t="shared" si="0"/>
        <v>4430715</v>
      </c>
      <c r="C13" s="580">
        <v>0</v>
      </c>
      <c r="D13" s="580">
        <v>0</v>
      </c>
      <c r="E13" s="580">
        <v>0</v>
      </c>
      <c r="F13" s="580">
        <v>0</v>
      </c>
      <c r="G13" s="580">
        <v>0</v>
      </c>
      <c r="H13" s="580">
        <v>0</v>
      </c>
      <c r="I13" s="580">
        <v>0</v>
      </c>
      <c r="J13" s="580">
        <v>0</v>
      </c>
      <c r="K13" s="580">
        <v>0</v>
      </c>
      <c r="L13" s="580">
        <v>0</v>
      </c>
      <c r="M13" s="580">
        <v>0</v>
      </c>
      <c r="N13" s="580">
        <v>0</v>
      </c>
      <c r="O13" s="580">
        <v>0</v>
      </c>
      <c r="P13" s="580">
        <v>0</v>
      </c>
      <c r="Q13" s="580">
        <v>0</v>
      </c>
      <c r="R13" s="580">
        <v>0</v>
      </c>
      <c r="S13" s="580">
        <v>0</v>
      </c>
      <c r="T13" s="580">
        <v>0</v>
      </c>
      <c r="U13" s="580">
        <f>'PGM Revenues CD-MW'!F17</f>
        <v>4430715</v>
      </c>
      <c r="V13" s="580">
        <v>0</v>
      </c>
      <c r="W13" s="580">
        <v>0</v>
      </c>
    </row>
    <row r="14" spans="1:24" ht="16.5" customHeight="1" x14ac:dyDescent="0.2">
      <c r="A14" s="94" t="s">
        <v>1476</v>
      </c>
      <c r="B14" s="588">
        <f t="shared" si="0"/>
        <v>700488</v>
      </c>
      <c r="C14" s="581">
        <v>0</v>
      </c>
      <c r="D14" s="581">
        <v>0</v>
      </c>
      <c r="E14" s="581">
        <v>0</v>
      </c>
      <c r="F14" s="581">
        <v>0</v>
      </c>
      <c r="G14" s="581">
        <v>0</v>
      </c>
      <c r="H14" s="581">
        <v>0</v>
      </c>
      <c r="I14" s="581">
        <v>0</v>
      </c>
      <c r="J14" s="581">
        <v>0</v>
      </c>
      <c r="K14" s="581">
        <v>0</v>
      </c>
      <c r="L14" s="581">
        <v>0</v>
      </c>
      <c r="M14" s="581">
        <v>0</v>
      </c>
      <c r="N14" s="581">
        <f>'PGM Revenues CD-MW'!F10+'PGM Revenues CD-MW'!F11</f>
        <v>700488</v>
      </c>
      <c r="O14" s="581">
        <v>0</v>
      </c>
      <c r="P14" s="581">
        <v>0</v>
      </c>
      <c r="Q14" s="581">
        <v>0</v>
      </c>
      <c r="R14" s="581">
        <v>0</v>
      </c>
      <c r="S14" s="581">
        <v>0</v>
      </c>
      <c r="T14" s="581">
        <v>0</v>
      </c>
      <c r="U14" s="581">
        <v>0</v>
      </c>
      <c r="V14" s="581">
        <v>0</v>
      </c>
      <c r="W14" s="581">
        <v>0</v>
      </c>
    </row>
    <row r="15" spans="1:24" ht="16.5" customHeight="1" x14ac:dyDescent="0.2">
      <c r="A15" s="94" t="s">
        <v>1475</v>
      </c>
      <c r="B15" s="588">
        <f t="shared" si="0"/>
        <v>1600000</v>
      </c>
      <c r="C15" s="580">
        <v>0</v>
      </c>
      <c r="D15" s="580">
        <v>0</v>
      </c>
      <c r="E15" s="580">
        <v>0</v>
      </c>
      <c r="F15" s="580">
        <v>0</v>
      </c>
      <c r="G15" s="580">
        <v>0</v>
      </c>
      <c r="H15" s="580">
        <v>0</v>
      </c>
      <c r="I15" s="580">
        <v>0</v>
      </c>
      <c r="J15" s="580">
        <v>0</v>
      </c>
      <c r="K15" s="580">
        <v>0</v>
      </c>
      <c r="L15" s="580">
        <v>0</v>
      </c>
      <c r="M15" s="580">
        <v>0</v>
      </c>
      <c r="N15" s="580">
        <f>'PGM Revenues CD-MW'!F12</f>
        <v>1600000</v>
      </c>
      <c r="O15" s="580">
        <v>0</v>
      </c>
      <c r="P15" s="580">
        <v>0</v>
      </c>
      <c r="Q15" s="580">
        <v>0</v>
      </c>
      <c r="R15" s="580">
        <v>0</v>
      </c>
      <c r="S15" s="580">
        <v>0</v>
      </c>
      <c r="T15" s="580">
        <v>0</v>
      </c>
      <c r="U15" s="580">
        <v>0</v>
      </c>
      <c r="V15" s="580">
        <v>0</v>
      </c>
      <c r="W15" s="580">
        <v>0</v>
      </c>
    </row>
    <row r="16" spans="1:24" ht="16.5" customHeight="1" x14ac:dyDescent="0.2">
      <c r="A16" s="94" t="s">
        <v>430</v>
      </c>
      <c r="B16" s="588">
        <f t="shared" si="0"/>
        <v>5900000</v>
      </c>
      <c r="C16" s="580">
        <v>0</v>
      </c>
      <c r="D16" s="580">
        <v>0</v>
      </c>
      <c r="E16" s="580">
        <v>0</v>
      </c>
      <c r="F16" s="581">
        <f>'PGM Revenues CD-MW'!I9+'PGM Revenues CD-MW'!L9</f>
        <v>3177308.7300000004</v>
      </c>
      <c r="G16" s="580">
        <v>0</v>
      </c>
      <c r="H16" s="581">
        <f>'PGM Revenues CD-MW'!H9</f>
        <v>2144945</v>
      </c>
      <c r="I16" s="580">
        <v>0</v>
      </c>
      <c r="J16" s="580">
        <v>0</v>
      </c>
      <c r="K16" s="580">
        <v>0</v>
      </c>
      <c r="L16" s="580">
        <v>0</v>
      </c>
      <c r="M16" s="581">
        <f>'PGM Revenues CD-MW'!J21</f>
        <v>204784</v>
      </c>
      <c r="N16" s="581">
        <v>372962.27</v>
      </c>
      <c r="O16" s="580">
        <v>0</v>
      </c>
      <c r="P16" s="580">
        <v>0</v>
      </c>
      <c r="Q16" s="580">
        <v>0</v>
      </c>
      <c r="R16" s="580">
        <v>0</v>
      </c>
      <c r="S16" s="580">
        <v>0</v>
      </c>
      <c r="T16" s="580">
        <v>0</v>
      </c>
      <c r="U16" s="580">
        <v>0</v>
      </c>
      <c r="V16" s="580">
        <v>0</v>
      </c>
      <c r="W16" s="580">
        <v>0</v>
      </c>
    </row>
    <row r="17" spans="1:23" ht="16.5" customHeight="1" x14ac:dyDescent="0.2">
      <c r="A17" s="94" t="s">
        <v>1371</v>
      </c>
      <c r="B17" s="588">
        <f t="shared" si="0"/>
        <v>150000</v>
      </c>
      <c r="C17" s="580">
        <v>0</v>
      </c>
      <c r="D17" s="580">
        <v>0</v>
      </c>
      <c r="E17" s="580">
        <v>0</v>
      </c>
      <c r="F17" s="580">
        <v>0</v>
      </c>
      <c r="G17" s="580">
        <v>0</v>
      </c>
      <c r="H17" s="580">
        <v>0</v>
      </c>
      <c r="I17" s="580">
        <v>0</v>
      </c>
      <c r="J17" s="580">
        <v>0</v>
      </c>
      <c r="K17" s="580">
        <f>'PGM Revenues CD-MW'!F28</f>
        <v>150000</v>
      </c>
      <c r="L17" s="580">
        <v>0</v>
      </c>
      <c r="M17" s="580">
        <v>0</v>
      </c>
      <c r="N17" s="580">
        <v>0</v>
      </c>
      <c r="O17" s="580">
        <v>0</v>
      </c>
      <c r="P17" s="580">
        <v>0</v>
      </c>
      <c r="Q17" s="580">
        <v>0</v>
      </c>
      <c r="R17" s="580">
        <v>0</v>
      </c>
      <c r="S17" s="580">
        <v>0</v>
      </c>
      <c r="T17" s="580">
        <v>0</v>
      </c>
      <c r="U17" s="580">
        <v>0</v>
      </c>
      <c r="V17" s="580">
        <v>0</v>
      </c>
      <c r="W17" s="580">
        <v>0</v>
      </c>
    </row>
    <row r="18" spans="1:23" ht="16.5" customHeight="1" x14ac:dyDescent="0.2">
      <c r="A18" s="27" t="s">
        <v>166</v>
      </c>
      <c r="B18" s="589">
        <f t="shared" si="0"/>
        <v>90797.999002377604</v>
      </c>
      <c r="C18" s="582">
        <f>'PGM Revenues CD-MW'!F29</f>
        <v>2500</v>
      </c>
      <c r="D18" s="582">
        <v>0</v>
      </c>
      <c r="E18" s="582">
        <v>0</v>
      </c>
      <c r="F18" s="582">
        <v>0</v>
      </c>
      <c r="G18" s="582">
        <f>'PGM Revenues CD-MW'!F31</f>
        <v>3400</v>
      </c>
      <c r="H18" s="582">
        <v>0</v>
      </c>
      <c r="I18" s="582">
        <v>0</v>
      </c>
      <c r="J18" s="582">
        <v>0</v>
      </c>
      <c r="K18" s="582">
        <f>'PGM Revenues CD-MW'!F33+'PGM Revenues CD-MW'!F34</f>
        <v>83897.999002377604</v>
      </c>
      <c r="L18" s="582">
        <v>0</v>
      </c>
      <c r="M18" s="582">
        <v>0</v>
      </c>
      <c r="N18" s="582">
        <v>0</v>
      </c>
      <c r="O18" s="582">
        <v>0</v>
      </c>
      <c r="P18" s="582">
        <v>0</v>
      </c>
      <c r="Q18" s="582">
        <f>'PGM Revenues CD-MW'!F30</f>
        <v>1000</v>
      </c>
      <c r="R18" s="582">
        <v>0</v>
      </c>
      <c r="S18" s="582">
        <v>0</v>
      </c>
      <c r="T18" s="582">
        <v>0</v>
      </c>
      <c r="U18" s="582">
        <v>0</v>
      </c>
      <c r="V18" s="582">
        <v>0</v>
      </c>
      <c r="W18" s="582">
        <v>0</v>
      </c>
    </row>
    <row r="19" spans="1:23" ht="16.5" customHeight="1" thickBot="1" x14ac:dyDescent="0.25">
      <c r="A19" s="98" t="s">
        <v>270</v>
      </c>
      <c r="B19" s="595">
        <f>SUM(B5:B18)</f>
        <v>25258992.339002378</v>
      </c>
      <c r="C19" s="583">
        <f>SUM(C5:C18)</f>
        <v>2500</v>
      </c>
      <c r="D19" s="583">
        <f t="shared" ref="D19:U19" si="1">SUM(D5:D18)</f>
        <v>900000</v>
      </c>
      <c r="E19" s="583">
        <f t="shared" si="1"/>
        <v>0</v>
      </c>
      <c r="F19" s="583">
        <f t="shared" si="1"/>
        <v>8146172.7300000004</v>
      </c>
      <c r="G19" s="583">
        <f t="shared" si="1"/>
        <v>578400</v>
      </c>
      <c r="H19" s="583">
        <f t="shared" si="1"/>
        <v>2144945</v>
      </c>
      <c r="I19" s="583">
        <f t="shared" si="1"/>
        <v>2202792.34</v>
      </c>
      <c r="J19" s="583">
        <f t="shared" si="1"/>
        <v>0</v>
      </c>
      <c r="K19" s="583">
        <f t="shared" si="1"/>
        <v>233897.99900237762</v>
      </c>
      <c r="L19" s="583">
        <f t="shared" si="1"/>
        <v>0</v>
      </c>
      <c r="M19" s="583">
        <f t="shared" si="1"/>
        <v>2179966</v>
      </c>
      <c r="N19" s="583">
        <f t="shared" si="1"/>
        <v>2673450.27</v>
      </c>
      <c r="O19" s="583">
        <f t="shared" si="1"/>
        <v>0</v>
      </c>
      <c r="P19" s="583">
        <f t="shared" si="1"/>
        <v>0</v>
      </c>
      <c r="Q19" s="583">
        <f t="shared" si="1"/>
        <v>1000</v>
      </c>
      <c r="R19" s="583">
        <f t="shared" si="1"/>
        <v>0</v>
      </c>
      <c r="S19" s="583">
        <f t="shared" si="1"/>
        <v>0</v>
      </c>
      <c r="T19" s="583">
        <f t="shared" si="1"/>
        <v>1465153</v>
      </c>
      <c r="U19" s="583">
        <f t="shared" si="1"/>
        <v>4430715</v>
      </c>
      <c r="V19" s="583">
        <f>SUM(V5:V18)</f>
        <v>0</v>
      </c>
      <c r="W19" s="583">
        <f>SUM(W5:W18)</f>
        <v>300000</v>
      </c>
    </row>
    <row r="20" spans="1:23" x14ac:dyDescent="0.2">
      <c r="B20" s="616">
        <f>'PGM Revenues CD-MW'!F36-'Sum by Bud Unit CD-MW'!B19</f>
        <v>0</v>
      </c>
      <c r="C20" s="575"/>
      <c r="D20" s="575"/>
      <c r="E20" s="575"/>
      <c r="F20" s="575"/>
      <c r="G20" s="575"/>
      <c r="H20" s="575"/>
      <c r="I20" s="575"/>
      <c r="J20" s="575"/>
      <c r="K20" s="575"/>
      <c r="L20" s="575"/>
      <c r="M20" s="575"/>
      <c r="N20" s="575"/>
      <c r="O20" s="575"/>
      <c r="P20" s="575"/>
      <c r="Q20" s="575"/>
      <c r="R20" s="575"/>
      <c r="S20" s="575"/>
      <c r="T20" s="575"/>
      <c r="U20" s="575"/>
      <c r="V20" s="575"/>
      <c r="W20" s="575"/>
    </row>
    <row r="21" spans="1:23" ht="18" x14ac:dyDescent="0.25">
      <c r="A21" s="93" t="s">
        <v>271</v>
      </c>
      <c r="B21" s="573"/>
      <c r="C21" s="575"/>
      <c r="D21" s="575"/>
      <c r="E21" s="575"/>
      <c r="F21" s="575"/>
      <c r="G21" s="575"/>
      <c r="H21" s="575"/>
      <c r="I21" s="575"/>
      <c r="J21" s="575"/>
      <c r="K21" s="575"/>
      <c r="L21" s="575"/>
      <c r="M21" s="575"/>
      <c r="N21" s="575"/>
      <c r="O21" s="575"/>
      <c r="P21" s="575"/>
      <c r="Q21" s="575"/>
      <c r="R21" s="575"/>
      <c r="S21" s="575"/>
      <c r="T21" s="575"/>
      <c r="U21" s="575"/>
      <c r="V21" s="575"/>
      <c r="W21" s="575"/>
    </row>
    <row r="22" spans="1:23" ht="16.5" customHeight="1" x14ac:dyDescent="0.2">
      <c r="A22" s="94" t="s">
        <v>272</v>
      </c>
      <c r="B22" s="588">
        <f>SUM(C22:W22)</f>
        <v>13723801.184067201</v>
      </c>
      <c r="C22" s="580">
        <f>'Total Expenses'!D5</f>
        <v>1216800.2260415996</v>
      </c>
      <c r="D22" s="580">
        <f>'Total Expenses'!D9</f>
        <v>417493.89440000005</v>
      </c>
      <c r="E22" s="580">
        <f>'Total Expenses'!D6</f>
        <v>7104.9</v>
      </c>
      <c r="F22" s="581">
        <f>'Total Expenses'!D22</f>
        <v>1078157.3826000001</v>
      </c>
      <c r="G22" s="580">
        <f>'Total Expenses'!D8</f>
        <v>1306166.4070032004</v>
      </c>
      <c r="H22" s="580">
        <f>'Total Expenses'!D10</f>
        <v>476520.7680000001</v>
      </c>
      <c r="I22" s="580">
        <f>'Total Expenses'!D11</f>
        <v>980608.33600000013</v>
      </c>
      <c r="J22" s="580">
        <f>'Total Expenses'!D12</f>
        <v>336737.48080000019</v>
      </c>
      <c r="K22" s="580">
        <f>'Total Expenses'!D14</f>
        <v>2040935.4890624001</v>
      </c>
      <c r="L22" s="580">
        <f>'Total Expenses'!D13</f>
        <v>477886.84160000004</v>
      </c>
      <c r="M22" s="580">
        <f>'Total Expenses'!D15</f>
        <v>991157.69279999984</v>
      </c>
      <c r="N22" s="580">
        <f>'Total Expenses'!D23</f>
        <v>875537.46880000026</v>
      </c>
      <c r="O22" s="580">
        <f>'Total Expenses'!D16</f>
        <v>488351.64160000003</v>
      </c>
      <c r="P22" s="580">
        <f>'Total Expenses'!D17</f>
        <v>523669.98080000025</v>
      </c>
      <c r="Q22" s="580">
        <f>'Total Expenses'!D19</f>
        <v>194531.11999999997</v>
      </c>
      <c r="R22" s="580">
        <f>'Total Expenses'!D21</f>
        <v>254124.35536000005</v>
      </c>
      <c r="S22" s="580">
        <f>'Total Expenses'!D7</f>
        <v>94632.297600000005</v>
      </c>
      <c r="T22" s="580">
        <f>'Total Expenses'!D18</f>
        <v>945493.46159999992</v>
      </c>
      <c r="U22" s="580">
        <f>'Total Expenses'!D20</f>
        <v>255195.23200000002</v>
      </c>
      <c r="V22" s="580">
        <f>'Total Expenses'!D24</f>
        <v>762696.20799999987</v>
      </c>
      <c r="W22" s="580">
        <v>0</v>
      </c>
    </row>
    <row r="23" spans="1:23" ht="16.5" customHeight="1" x14ac:dyDescent="0.2">
      <c r="A23" s="94" t="s">
        <v>273</v>
      </c>
      <c r="B23" s="588">
        <f t="shared" ref="B23:B30" si="2">SUM(C23:W23)</f>
        <v>409396</v>
      </c>
      <c r="C23" s="580">
        <f>'Total Expenses'!G5</f>
        <v>0</v>
      </c>
      <c r="D23" s="580">
        <f>'Total Expenses'!G9</f>
        <v>5500</v>
      </c>
      <c r="E23" s="580">
        <f>'Total Expenses'!G6</f>
        <v>94600</v>
      </c>
      <c r="F23" s="581">
        <f>'Total Expenses'!G22</f>
        <v>39919</v>
      </c>
      <c r="G23" s="580">
        <f>'Total Expenses'!G8</f>
        <v>48000</v>
      </c>
      <c r="H23" s="580">
        <f>'Total Expenses'!G10</f>
        <v>8000</v>
      </c>
      <c r="I23" s="580">
        <f>'Total Expenses'!G11</f>
        <v>25590</v>
      </c>
      <c r="J23" s="580">
        <f>'Total Expenses'!G12</f>
        <v>0</v>
      </c>
      <c r="K23" s="580">
        <f>'Total Expenses'!G14</f>
        <v>44500</v>
      </c>
      <c r="L23" s="580">
        <f>'Total Expenses'!G13</f>
        <v>20000</v>
      </c>
      <c r="M23" s="580">
        <f>'Total Expenses'!G15</f>
        <v>84500</v>
      </c>
      <c r="N23" s="580">
        <f>'Total Expenses'!G23</f>
        <v>0</v>
      </c>
      <c r="O23" s="580">
        <f>'Total Expenses'!G16</f>
        <v>8772</v>
      </c>
      <c r="P23" s="580">
        <f>'Total Expenses'!G17</f>
        <v>10000</v>
      </c>
      <c r="Q23" s="580">
        <f>'Total Expenses'!G19</f>
        <v>0</v>
      </c>
      <c r="R23" s="580">
        <f>'Total Expenses'!G21</f>
        <v>1150</v>
      </c>
      <c r="S23" s="580">
        <f>'Total Expenses'!G7</f>
        <v>600</v>
      </c>
      <c r="T23" s="580">
        <f>'Total Expenses'!G18</f>
        <v>11645</v>
      </c>
      <c r="U23" s="580">
        <f>'Total Expenses'!G20</f>
        <v>6620</v>
      </c>
      <c r="V23" s="580">
        <f>'Total Expenses'!G24</f>
        <v>0</v>
      </c>
      <c r="W23" s="580">
        <v>0</v>
      </c>
    </row>
    <row r="24" spans="1:23" ht="16.5" customHeight="1" x14ac:dyDescent="0.2">
      <c r="A24" s="94" t="s">
        <v>274</v>
      </c>
      <c r="B24" s="588">
        <f t="shared" si="2"/>
        <v>1253852.8900000001</v>
      </c>
      <c r="C24" s="580">
        <f>'Total Expenses'!H5</f>
        <v>67607</v>
      </c>
      <c r="D24" s="580">
        <f>'Total Expenses'!H9</f>
        <v>1500</v>
      </c>
      <c r="E24" s="580">
        <f>'Total Expenses'!H6</f>
        <v>0</v>
      </c>
      <c r="F24" s="581">
        <f>'Total Expenses'!H22</f>
        <v>37668.03</v>
      </c>
      <c r="G24" s="580">
        <f>'Total Expenses'!H8</f>
        <v>11300</v>
      </c>
      <c r="H24" s="580">
        <f>'Total Expenses'!H10</f>
        <v>19086.02</v>
      </c>
      <c r="I24" s="580">
        <f>'Total Expenses'!H11</f>
        <v>174789</v>
      </c>
      <c r="J24" s="580">
        <f>'Total Expenses'!H12</f>
        <v>51548</v>
      </c>
      <c r="K24" s="580">
        <f>'Total Expenses'!H14</f>
        <v>618.01</v>
      </c>
      <c r="L24" s="580">
        <f>'Total Expenses'!H13</f>
        <v>14300</v>
      </c>
      <c r="M24" s="580">
        <f>'Total Expenses'!H15</f>
        <v>4326.01</v>
      </c>
      <c r="N24" s="580">
        <f>'Total Expenses'!H23</f>
        <v>1945</v>
      </c>
      <c r="O24" s="580">
        <f>'Total Expenses'!H16</f>
        <v>2085</v>
      </c>
      <c r="P24" s="580">
        <f>'Total Expenses'!H17</f>
        <v>3010</v>
      </c>
      <c r="Q24" s="580">
        <f>'Total Expenses'!H19</f>
        <v>68745</v>
      </c>
      <c r="R24" s="580">
        <f>'Total Expenses'!H21</f>
        <v>9975</v>
      </c>
      <c r="S24" s="580">
        <f>'Total Expenses'!H7</f>
        <v>46650</v>
      </c>
      <c r="T24" s="580">
        <f>'Total Expenses'!H18</f>
        <v>55995.12</v>
      </c>
      <c r="U24" s="580">
        <f>'Total Expenses'!H20</f>
        <v>330</v>
      </c>
      <c r="V24" s="580">
        <f>'Total Expenses'!H24</f>
        <v>682375.7</v>
      </c>
      <c r="W24" s="580">
        <v>0</v>
      </c>
    </row>
    <row r="25" spans="1:23" ht="16.5" customHeight="1" x14ac:dyDescent="0.2">
      <c r="A25" s="27" t="s">
        <v>275</v>
      </c>
      <c r="B25" s="589">
        <f t="shared" si="2"/>
        <v>577306.77</v>
      </c>
      <c r="C25" s="580">
        <f>'Total Expenses'!K5</f>
        <v>0</v>
      </c>
      <c r="D25" s="580">
        <f>'Total Expenses'!K9</f>
        <v>0</v>
      </c>
      <c r="E25" s="580">
        <f>'Total Expenses'!K6</f>
        <v>0</v>
      </c>
      <c r="F25" s="581">
        <f>'Total Expenses'!K22</f>
        <v>0</v>
      </c>
      <c r="G25" s="580">
        <f>'Total Expenses'!K8</f>
        <v>0</v>
      </c>
      <c r="H25" s="580">
        <f>'Total Expenses'!K10</f>
        <v>0</v>
      </c>
      <c r="I25" s="580">
        <f>'Total Expenses'!K11</f>
        <v>0</v>
      </c>
      <c r="J25" s="580">
        <f>'Total Expenses'!K12</f>
        <v>0</v>
      </c>
      <c r="K25" s="580">
        <f>'Total Expenses'!K14</f>
        <v>0</v>
      </c>
      <c r="L25" s="580">
        <f>'Total Expenses'!K13</f>
        <v>0</v>
      </c>
      <c r="M25" s="580">
        <f>'Total Expenses'!K15</f>
        <v>0</v>
      </c>
      <c r="N25" s="580">
        <f>'Total Expenses'!K23</f>
        <v>0</v>
      </c>
      <c r="O25" s="580">
        <f>'Total Expenses'!K16</f>
        <v>0</v>
      </c>
      <c r="P25" s="580">
        <f>'Total Expenses'!K17</f>
        <v>0</v>
      </c>
      <c r="Q25" s="580">
        <f>'Total Expenses'!K19</f>
        <v>577306.77</v>
      </c>
      <c r="R25" s="580">
        <f>'Total Expenses'!K21</f>
        <v>0</v>
      </c>
      <c r="S25" s="580">
        <f>'Total Expenses'!K7</f>
        <v>0</v>
      </c>
      <c r="T25" s="580">
        <f>'Total Expenses'!K18</f>
        <v>0</v>
      </c>
      <c r="U25" s="580">
        <f>'Total Expenses'!K20</f>
        <v>0</v>
      </c>
      <c r="V25" s="580">
        <f>'Total Expenses'!K24</f>
        <v>0</v>
      </c>
      <c r="W25" s="580">
        <v>0</v>
      </c>
    </row>
    <row r="26" spans="1:23" ht="16.5" customHeight="1" x14ac:dyDescent="0.2">
      <c r="A26" s="94" t="s">
        <v>276</v>
      </c>
      <c r="B26" s="588">
        <f t="shared" si="2"/>
        <v>122340</v>
      </c>
      <c r="C26" s="580">
        <f>'Total Expenses'!I5</f>
        <v>1500</v>
      </c>
      <c r="D26" s="580">
        <f>'Total Expenses'!I9</f>
        <v>1000</v>
      </c>
      <c r="E26" s="580">
        <f>'Total Expenses'!I6</f>
        <v>18100</v>
      </c>
      <c r="F26" s="581">
        <f>'Total Expenses'!I22</f>
        <v>3150</v>
      </c>
      <c r="G26" s="580">
        <f>'Total Expenses'!I8</f>
        <v>7000</v>
      </c>
      <c r="H26" s="580">
        <f>'Total Expenses'!I10</f>
        <v>1300</v>
      </c>
      <c r="I26" s="580">
        <f>'Total Expenses'!I11</f>
        <v>5050</v>
      </c>
      <c r="J26" s="580">
        <f>'Total Expenses'!I12</f>
        <v>100</v>
      </c>
      <c r="K26" s="580">
        <f>'Total Expenses'!I14</f>
        <v>13500</v>
      </c>
      <c r="L26" s="580">
        <f>'Total Expenses'!I13</f>
        <v>1500</v>
      </c>
      <c r="M26" s="580">
        <f>'Total Expenses'!I15</f>
        <v>8550</v>
      </c>
      <c r="N26" s="580">
        <f>'Total Expenses'!I23</f>
        <v>4900</v>
      </c>
      <c r="O26" s="580">
        <f>'Total Expenses'!I16</f>
        <v>10550</v>
      </c>
      <c r="P26" s="580">
        <f>'Total Expenses'!I17</f>
        <v>1500</v>
      </c>
      <c r="Q26" s="580">
        <f>'Total Expenses'!I19</f>
        <v>38230</v>
      </c>
      <c r="R26" s="580">
        <f>'Total Expenses'!I21</f>
        <v>300</v>
      </c>
      <c r="S26" s="580">
        <f>'Total Expenses'!I7</f>
        <v>250</v>
      </c>
      <c r="T26" s="580">
        <f>'Total Expenses'!I18</f>
        <v>2610</v>
      </c>
      <c r="U26" s="580">
        <f>'Total Expenses'!I20</f>
        <v>2750</v>
      </c>
      <c r="V26" s="580">
        <f>'Total Expenses'!I24</f>
        <v>500</v>
      </c>
      <c r="W26" s="580">
        <v>0</v>
      </c>
    </row>
    <row r="27" spans="1:23" ht="16.5" customHeight="1" x14ac:dyDescent="0.2">
      <c r="A27" s="27" t="s">
        <v>277</v>
      </c>
      <c r="B27" s="589">
        <f t="shared" si="2"/>
        <v>270240</v>
      </c>
      <c r="C27" s="580">
        <f>'Total Expenses'!J5</f>
        <v>246490</v>
      </c>
      <c r="D27" s="580">
        <f>'Total Expenses'!J9</f>
        <v>0</v>
      </c>
      <c r="E27" s="580">
        <f>'Total Expenses'!J6</f>
        <v>0</v>
      </c>
      <c r="F27" s="581">
        <f>'Total Expenses'!J22</f>
        <v>0</v>
      </c>
      <c r="G27" s="580">
        <f>'Total Expenses'!J8</f>
        <v>0</v>
      </c>
      <c r="H27" s="580">
        <f>'Total Expenses'!J10</f>
        <v>0</v>
      </c>
      <c r="I27" s="580">
        <f>'Total Expenses'!J11</f>
        <v>0</v>
      </c>
      <c r="J27" s="580">
        <f>'Total Expenses'!J12</f>
        <v>0</v>
      </c>
      <c r="K27" s="580">
        <f>'Total Expenses'!J14</f>
        <v>0</v>
      </c>
      <c r="L27" s="580">
        <f>'Total Expenses'!J13</f>
        <v>0</v>
      </c>
      <c r="M27" s="580">
        <f>'Total Expenses'!J15</f>
        <v>0</v>
      </c>
      <c r="N27" s="580">
        <f>'Total Expenses'!J23</f>
        <v>0</v>
      </c>
      <c r="O27" s="580">
        <f>'Total Expenses'!J16</f>
        <v>0</v>
      </c>
      <c r="P27" s="580">
        <f>'Total Expenses'!J17</f>
        <v>0</v>
      </c>
      <c r="Q27" s="580">
        <f>'Total Expenses'!J19</f>
        <v>0</v>
      </c>
      <c r="R27" s="580">
        <f>'Total Expenses'!J21</f>
        <v>0</v>
      </c>
      <c r="S27" s="580">
        <f>'Total Expenses'!J7</f>
        <v>0</v>
      </c>
      <c r="T27" s="580">
        <f>'Total Expenses'!J18</f>
        <v>23750</v>
      </c>
      <c r="U27" s="580">
        <f>'Total Expenses'!J20</f>
        <v>0</v>
      </c>
      <c r="V27" s="580">
        <f>'Total Expenses'!J24</f>
        <v>0</v>
      </c>
      <c r="W27" s="580">
        <v>0</v>
      </c>
    </row>
    <row r="28" spans="1:23" ht="16.5" customHeight="1" x14ac:dyDescent="0.2">
      <c r="A28" s="94" t="s">
        <v>223</v>
      </c>
      <c r="B28" s="588">
        <f t="shared" si="2"/>
        <v>51500</v>
      </c>
      <c r="C28" s="580">
        <f>'Total Expenses'!F5</f>
        <v>0</v>
      </c>
      <c r="D28" s="580">
        <f>'Total Expenses'!F9</f>
        <v>0</v>
      </c>
      <c r="E28" s="580">
        <f>'Total Expenses'!F6</f>
        <v>0</v>
      </c>
      <c r="F28" s="581">
        <f>'Total Expenses'!F22</f>
        <v>0</v>
      </c>
      <c r="G28" s="580">
        <f>'Total Expenses'!F8</f>
        <v>0</v>
      </c>
      <c r="H28" s="580">
        <f>'Total Expenses'!F10</f>
        <v>0</v>
      </c>
      <c r="I28" s="580">
        <f>'Total Expenses'!F11</f>
        <v>0</v>
      </c>
      <c r="J28" s="580">
        <f>'Total Expenses'!F12</f>
        <v>0</v>
      </c>
      <c r="K28" s="580">
        <f>'Total Expenses'!F14</f>
        <v>0</v>
      </c>
      <c r="L28" s="580">
        <f>'Total Expenses'!F13</f>
        <v>50000</v>
      </c>
      <c r="M28" s="580">
        <f>'Total Expenses'!F15</f>
        <v>0</v>
      </c>
      <c r="N28" s="580">
        <f>'Total Expenses'!F23</f>
        <v>0</v>
      </c>
      <c r="O28" s="580">
        <f>'Total Expenses'!F16</f>
        <v>1500</v>
      </c>
      <c r="P28" s="580">
        <f>'Total Expenses'!F17</f>
        <v>0</v>
      </c>
      <c r="Q28" s="580">
        <f>'Total Expenses'!F19</f>
        <v>0</v>
      </c>
      <c r="R28" s="580">
        <f>'Total Expenses'!F21</f>
        <v>0</v>
      </c>
      <c r="S28" s="580">
        <f>'Total Expenses'!F7</f>
        <v>0</v>
      </c>
      <c r="T28" s="580">
        <f>'Total Expenses'!F18</f>
        <v>0</v>
      </c>
      <c r="U28" s="580">
        <f>'Total Expenses'!F20</f>
        <v>0</v>
      </c>
      <c r="V28" s="580">
        <f>'Total Expenses'!F24</f>
        <v>0</v>
      </c>
      <c r="W28" s="580">
        <v>0</v>
      </c>
    </row>
    <row r="29" spans="1:23" ht="16.5" customHeight="1" x14ac:dyDescent="0.2">
      <c r="A29" s="27" t="s">
        <v>278</v>
      </c>
      <c r="B29" s="589">
        <f t="shared" si="2"/>
        <v>2209017</v>
      </c>
      <c r="C29" s="580">
        <f>'Total Expenses'!E5</f>
        <v>4427</v>
      </c>
      <c r="D29" s="580">
        <f>'Total Expenses'!E9</f>
        <v>325305</v>
      </c>
      <c r="E29" s="580">
        <f>'Total Expenses'!E6</f>
        <v>6000</v>
      </c>
      <c r="F29" s="581">
        <f>'Total Expenses'!E22</f>
        <v>843350</v>
      </c>
      <c r="G29" s="580">
        <f>'Total Expenses'!E8</f>
        <v>0</v>
      </c>
      <c r="H29" s="580">
        <f>'Total Expenses'!E10</f>
        <v>452600.79999999987</v>
      </c>
      <c r="I29" s="580">
        <f>'Total Expenses'!E11</f>
        <v>3000</v>
      </c>
      <c r="J29" s="580">
        <f>'Total Expenses'!E12</f>
        <v>104000</v>
      </c>
      <c r="K29" s="580">
        <f>'Total Expenses'!E14</f>
        <v>0</v>
      </c>
      <c r="L29" s="580">
        <f>'Total Expenses'!E13</f>
        <v>0</v>
      </c>
      <c r="M29" s="580">
        <f>'Total Expenses'!E15</f>
        <v>130430</v>
      </c>
      <c r="N29" s="580">
        <f>'Total Expenses'!E23</f>
        <v>35745</v>
      </c>
      <c r="O29" s="580">
        <f>'Total Expenses'!E16</f>
        <v>120436.35</v>
      </c>
      <c r="P29" s="580">
        <f>'Total Expenses'!E17</f>
        <v>20000</v>
      </c>
      <c r="Q29" s="580">
        <f>'Total Expenses'!E19</f>
        <v>3000</v>
      </c>
      <c r="R29" s="580">
        <f>'Total Expenses'!E21</f>
        <v>85000</v>
      </c>
      <c r="S29" s="580">
        <f>'Total Expenses'!E7</f>
        <v>43000</v>
      </c>
      <c r="T29" s="580">
        <f>'Total Expenses'!E18</f>
        <v>10972.849999999999</v>
      </c>
      <c r="U29" s="580">
        <f>'Total Expenses'!E20</f>
        <v>11750</v>
      </c>
      <c r="V29" s="580">
        <f>'Total Expenses'!E24</f>
        <v>10000</v>
      </c>
      <c r="W29" s="580">
        <v>0</v>
      </c>
    </row>
    <row r="30" spans="1:23" ht="16.5" customHeight="1" x14ac:dyDescent="0.2">
      <c r="A30" s="27" t="s">
        <v>1371</v>
      </c>
      <c r="B30" s="589">
        <f t="shared" si="2"/>
        <v>0</v>
      </c>
      <c r="C30" s="580">
        <v>0</v>
      </c>
      <c r="D30" s="580">
        <v>0</v>
      </c>
      <c r="E30" s="580">
        <v>0</v>
      </c>
      <c r="F30" s="581">
        <v>0</v>
      </c>
      <c r="G30" s="580">
        <v>0</v>
      </c>
      <c r="H30" s="580">
        <v>0</v>
      </c>
      <c r="I30" s="580">
        <v>0</v>
      </c>
      <c r="J30" s="580">
        <v>0</v>
      </c>
      <c r="K30" s="580">
        <f>'Total Expenses'!M14</f>
        <v>0</v>
      </c>
      <c r="L30" s="580">
        <v>0</v>
      </c>
      <c r="M30" s="580">
        <v>0</v>
      </c>
      <c r="N30" s="580">
        <v>0</v>
      </c>
      <c r="O30" s="580">
        <v>0</v>
      </c>
      <c r="P30" s="580">
        <v>0</v>
      </c>
      <c r="Q30" s="580">
        <v>0</v>
      </c>
      <c r="R30" s="580">
        <v>0</v>
      </c>
      <c r="S30" s="580">
        <v>0</v>
      </c>
      <c r="T30" s="580">
        <v>0</v>
      </c>
      <c r="U30" s="580">
        <v>0</v>
      </c>
      <c r="V30" s="580">
        <v>0</v>
      </c>
      <c r="W30" s="580">
        <v>0</v>
      </c>
    </row>
    <row r="31" spans="1:23" ht="16.5" customHeight="1" thickBot="1" x14ac:dyDescent="0.25">
      <c r="A31" s="98" t="s">
        <v>426</v>
      </c>
      <c r="B31" s="595">
        <f>SUM(B22:B30)</f>
        <v>18617453.844067201</v>
      </c>
      <c r="C31" s="583">
        <f>SUM(C22:C30)</f>
        <v>1536824.2260415996</v>
      </c>
      <c r="D31" s="583">
        <f t="shared" ref="D31:V31" si="3">SUM(D22:D30)</f>
        <v>750798.89440000011</v>
      </c>
      <c r="E31" s="583">
        <f t="shared" si="3"/>
        <v>125804.9</v>
      </c>
      <c r="F31" s="583">
        <f t="shared" si="3"/>
        <v>2002244.4126000002</v>
      </c>
      <c r="G31" s="583">
        <f t="shared" si="3"/>
        <v>1372466.4070032004</v>
      </c>
      <c r="H31" s="583">
        <f t="shared" si="3"/>
        <v>957507.58799999999</v>
      </c>
      <c r="I31" s="583">
        <f t="shared" si="3"/>
        <v>1189037.3360000001</v>
      </c>
      <c r="J31" s="583">
        <f t="shared" si="3"/>
        <v>492385.48080000019</v>
      </c>
      <c r="K31" s="583">
        <f t="shared" si="3"/>
        <v>2099553.4990624003</v>
      </c>
      <c r="L31" s="583">
        <f t="shared" si="3"/>
        <v>563686.84160000004</v>
      </c>
      <c r="M31" s="583">
        <f t="shared" si="3"/>
        <v>1218963.7027999999</v>
      </c>
      <c r="N31" s="583">
        <f t="shared" si="3"/>
        <v>918127.46880000026</v>
      </c>
      <c r="O31" s="583">
        <f t="shared" si="3"/>
        <v>631694.99160000007</v>
      </c>
      <c r="P31" s="583">
        <f t="shared" si="3"/>
        <v>558179.98080000025</v>
      </c>
      <c r="Q31" s="583">
        <f t="shared" si="3"/>
        <v>881812.89</v>
      </c>
      <c r="R31" s="583">
        <f t="shared" si="3"/>
        <v>350549.35536000005</v>
      </c>
      <c r="S31" s="583">
        <f t="shared" si="3"/>
        <v>185132.29759999999</v>
      </c>
      <c r="T31" s="583">
        <f t="shared" si="3"/>
        <v>1050466.4316</v>
      </c>
      <c r="U31" s="583">
        <f t="shared" si="3"/>
        <v>276645.23200000002</v>
      </c>
      <c r="V31" s="583">
        <f t="shared" si="3"/>
        <v>1455571.9079999998</v>
      </c>
      <c r="W31" s="583">
        <f>SUM(W22:W30)</f>
        <v>0</v>
      </c>
    </row>
    <row r="32" spans="1:23" ht="17.25" customHeight="1" x14ac:dyDescent="0.2">
      <c r="B32" s="574"/>
      <c r="C32" s="575"/>
      <c r="D32" s="575"/>
      <c r="E32" s="575"/>
      <c r="F32" s="575"/>
      <c r="G32" s="575"/>
      <c r="H32" s="575"/>
      <c r="I32" s="575"/>
      <c r="J32" s="575"/>
      <c r="K32" s="575"/>
      <c r="L32" s="575"/>
      <c r="M32" s="575"/>
      <c r="N32" s="575"/>
      <c r="O32" s="575"/>
      <c r="P32" s="575"/>
      <c r="Q32" s="575"/>
      <c r="R32" s="575"/>
      <c r="S32" s="575"/>
      <c r="T32" s="575"/>
      <c r="U32" s="575"/>
      <c r="V32" s="575"/>
      <c r="W32" s="575"/>
    </row>
    <row r="33" spans="1:23" ht="17.25" customHeight="1" x14ac:dyDescent="0.2">
      <c r="A33" s="99" t="s">
        <v>1482</v>
      </c>
      <c r="B33" s="590">
        <f>SUM(C33:W33)</f>
        <v>6641538.4949351754</v>
      </c>
      <c r="C33" s="580">
        <f>C19-C31</f>
        <v>-1534324.2260415996</v>
      </c>
      <c r="D33" s="580">
        <f t="shared" ref="D33:U33" si="4">D19-D31</f>
        <v>149201.10559999989</v>
      </c>
      <c r="E33" s="580">
        <f t="shared" si="4"/>
        <v>-125804.9</v>
      </c>
      <c r="F33" s="580">
        <f t="shared" si="4"/>
        <v>6143928.3174000001</v>
      </c>
      <c r="G33" s="580">
        <f t="shared" si="4"/>
        <v>-794066.40700320038</v>
      </c>
      <c r="H33" s="580">
        <f t="shared" si="4"/>
        <v>1187437.412</v>
      </c>
      <c r="I33" s="580">
        <f t="shared" si="4"/>
        <v>1013755.0039999997</v>
      </c>
      <c r="J33" s="580">
        <f t="shared" si="4"/>
        <v>-492385.48080000019</v>
      </c>
      <c r="K33" s="580">
        <f t="shared" si="4"/>
        <v>-1865655.5000600228</v>
      </c>
      <c r="L33" s="580">
        <f t="shared" si="4"/>
        <v>-563686.84160000004</v>
      </c>
      <c r="M33" s="580">
        <f t="shared" si="4"/>
        <v>961002.29720000015</v>
      </c>
      <c r="N33" s="580">
        <f t="shared" si="4"/>
        <v>1755322.8011999996</v>
      </c>
      <c r="O33" s="580">
        <f t="shared" si="4"/>
        <v>-631694.99160000007</v>
      </c>
      <c r="P33" s="580">
        <f t="shared" si="4"/>
        <v>-558179.98080000025</v>
      </c>
      <c r="Q33" s="580">
        <f t="shared" si="4"/>
        <v>-880812.89</v>
      </c>
      <c r="R33" s="580">
        <f t="shared" si="4"/>
        <v>-350549.35536000005</v>
      </c>
      <c r="S33" s="580">
        <f t="shared" si="4"/>
        <v>-185132.29759999999</v>
      </c>
      <c r="T33" s="580">
        <f t="shared" si="4"/>
        <v>414686.56839999999</v>
      </c>
      <c r="U33" s="580">
        <f t="shared" si="4"/>
        <v>4154069.7680000002</v>
      </c>
      <c r="V33" s="580">
        <f>V19-V31</f>
        <v>-1455571.9079999998</v>
      </c>
      <c r="W33" s="580">
        <f>W19-W31</f>
        <v>300000</v>
      </c>
    </row>
    <row r="34" spans="1:23" ht="17.25" customHeight="1" x14ac:dyDescent="0.2">
      <c r="A34" s="224"/>
      <c r="B34" s="575"/>
      <c r="C34" s="575"/>
      <c r="D34" s="575"/>
      <c r="E34" s="575"/>
      <c r="F34" s="575"/>
      <c r="G34" s="575"/>
      <c r="H34" s="575"/>
      <c r="I34" s="575"/>
      <c r="J34" s="575"/>
      <c r="K34" s="575"/>
      <c r="L34" s="575"/>
      <c r="M34" s="575"/>
      <c r="N34" s="575"/>
      <c r="O34" s="575"/>
      <c r="P34" s="575"/>
      <c r="Q34" s="575"/>
      <c r="R34" s="575"/>
      <c r="S34" s="575"/>
      <c r="T34" s="575"/>
      <c r="U34" s="575"/>
      <c r="V34" s="575"/>
      <c r="W34" s="575"/>
    </row>
    <row r="35" spans="1:23" ht="17.25" customHeight="1" x14ac:dyDescent="0.2">
      <c r="A35" s="100" t="s">
        <v>280</v>
      </c>
      <c r="B35" s="591">
        <f>SUM(C35:W35)</f>
        <v>0</v>
      </c>
      <c r="C35" s="584">
        <v>0</v>
      </c>
      <c r="D35" s="584">
        <v>0</v>
      </c>
      <c r="E35" s="584">
        <v>0</v>
      </c>
      <c r="F35" s="584">
        <v>0</v>
      </c>
      <c r="G35" s="584">
        <v>0</v>
      </c>
      <c r="H35" s="584">
        <v>0</v>
      </c>
      <c r="I35" s="584">
        <f>'Capital Exp'!E18</f>
        <v>0</v>
      </c>
      <c r="J35" s="584">
        <v>0</v>
      </c>
      <c r="K35" s="584">
        <v>0</v>
      </c>
      <c r="L35" s="584">
        <v>0</v>
      </c>
      <c r="M35" s="584">
        <v>0</v>
      </c>
      <c r="N35" s="584">
        <v>0</v>
      </c>
      <c r="O35" s="584">
        <v>0</v>
      </c>
      <c r="P35" s="584">
        <v>0</v>
      </c>
      <c r="Q35" s="584">
        <f>'Capital Exp'!E8</f>
        <v>0</v>
      </c>
      <c r="R35" s="584">
        <v>0</v>
      </c>
      <c r="S35" s="584">
        <v>0</v>
      </c>
      <c r="T35" s="584">
        <v>0</v>
      </c>
      <c r="U35" s="584">
        <v>0</v>
      </c>
      <c r="V35" s="584">
        <v>0</v>
      </c>
      <c r="W35" s="584">
        <v>0</v>
      </c>
    </row>
    <row r="36" spans="1:23" ht="17.25" customHeight="1" x14ac:dyDescent="0.2">
      <c r="A36" s="100"/>
      <c r="B36" s="576"/>
      <c r="C36" s="575"/>
      <c r="D36" s="575"/>
      <c r="E36" s="575"/>
      <c r="F36" s="575"/>
      <c r="G36" s="575"/>
      <c r="H36" s="575"/>
      <c r="I36" s="575"/>
      <c r="J36" s="575"/>
      <c r="K36" s="575"/>
      <c r="L36" s="575"/>
      <c r="M36" s="575"/>
      <c r="N36" s="575"/>
      <c r="O36" s="575"/>
      <c r="P36" s="575"/>
      <c r="Q36" s="575"/>
      <c r="R36" s="575"/>
      <c r="S36" s="575"/>
      <c r="T36" s="575"/>
      <c r="U36" s="575"/>
      <c r="V36" s="575"/>
      <c r="W36" s="575"/>
    </row>
    <row r="37" spans="1:23" ht="17.25" customHeight="1" thickBot="1" x14ac:dyDescent="0.25">
      <c r="A37" s="299" t="s">
        <v>1483</v>
      </c>
      <c r="B37" s="592">
        <f>SUM(C37:W37)</f>
        <v>6641538.4949351754</v>
      </c>
      <c r="C37" s="585">
        <f>C33-C35</f>
        <v>-1534324.2260415996</v>
      </c>
      <c r="D37" s="585">
        <f t="shared" ref="D37:U37" si="5">D33-D35</f>
        <v>149201.10559999989</v>
      </c>
      <c r="E37" s="585">
        <f t="shared" si="5"/>
        <v>-125804.9</v>
      </c>
      <c r="F37" s="585">
        <f t="shared" si="5"/>
        <v>6143928.3174000001</v>
      </c>
      <c r="G37" s="585">
        <f t="shared" si="5"/>
        <v>-794066.40700320038</v>
      </c>
      <c r="H37" s="585">
        <f t="shared" si="5"/>
        <v>1187437.412</v>
      </c>
      <c r="I37" s="585">
        <f t="shared" si="5"/>
        <v>1013755.0039999997</v>
      </c>
      <c r="J37" s="585">
        <f t="shared" si="5"/>
        <v>-492385.48080000019</v>
      </c>
      <c r="K37" s="585">
        <f t="shared" si="5"/>
        <v>-1865655.5000600228</v>
      </c>
      <c r="L37" s="585">
        <f t="shared" si="5"/>
        <v>-563686.84160000004</v>
      </c>
      <c r="M37" s="585">
        <f t="shared" si="5"/>
        <v>961002.29720000015</v>
      </c>
      <c r="N37" s="585">
        <f t="shared" si="5"/>
        <v>1755322.8011999996</v>
      </c>
      <c r="O37" s="585">
        <f t="shared" si="5"/>
        <v>-631694.99160000007</v>
      </c>
      <c r="P37" s="585">
        <f t="shared" si="5"/>
        <v>-558179.98080000025</v>
      </c>
      <c r="Q37" s="585">
        <f t="shared" si="5"/>
        <v>-880812.89</v>
      </c>
      <c r="R37" s="585">
        <f t="shared" si="5"/>
        <v>-350549.35536000005</v>
      </c>
      <c r="S37" s="585">
        <f t="shared" si="5"/>
        <v>-185132.29759999999</v>
      </c>
      <c r="T37" s="585">
        <f t="shared" si="5"/>
        <v>414686.56839999999</v>
      </c>
      <c r="U37" s="585">
        <f t="shared" si="5"/>
        <v>4154069.7680000002</v>
      </c>
      <c r="V37" s="585">
        <f>V33-V35</f>
        <v>-1455571.9079999998</v>
      </c>
      <c r="W37" s="585">
        <f>W33-W35</f>
        <v>300000</v>
      </c>
    </row>
    <row r="38" spans="1:23" ht="17.25" customHeight="1" thickTop="1" x14ac:dyDescent="0.2">
      <c r="A38" s="299"/>
      <c r="B38" s="577"/>
      <c r="C38" s="580"/>
      <c r="D38" s="580"/>
      <c r="E38" s="580"/>
      <c r="F38" s="580"/>
      <c r="G38" s="580"/>
      <c r="H38" s="580"/>
      <c r="I38" s="580"/>
      <c r="J38" s="580"/>
      <c r="K38" s="580"/>
      <c r="L38" s="580"/>
      <c r="M38" s="580"/>
      <c r="N38" s="580"/>
      <c r="O38" s="580"/>
      <c r="P38" s="580"/>
      <c r="Q38" s="580"/>
      <c r="R38" s="580"/>
      <c r="S38" s="580"/>
      <c r="T38" s="580"/>
      <c r="U38" s="580"/>
      <c r="V38" s="580"/>
      <c r="W38" s="580"/>
    </row>
    <row r="39" spans="1:23" ht="17.25" customHeight="1" x14ac:dyDescent="0.2">
      <c r="A39" s="100" t="s">
        <v>1481</v>
      </c>
      <c r="B39" s="593">
        <f>SUM(C39:W39)</f>
        <v>0</v>
      </c>
      <c r="C39" s="580">
        <v>0</v>
      </c>
      <c r="D39" s="580">
        <v>0</v>
      </c>
      <c r="E39" s="580">
        <v>0</v>
      </c>
      <c r="F39" s="580">
        <v>0</v>
      </c>
      <c r="G39" s="580">
        <v>0</v>
      </c>
      <c r="H39" s="580">
        <v>0</v>
      </c>
      <c r="I39" s="580">
        <v>0</v>
      </c>
      <c r="J39" s="580">
        <v>0</v>
      </c>
      <c r="K39" s="580">
        <v>0</v>
      </c>
      <c r="L39" s="580">
        <v>0</v>
      </c>
      <c r="M39" s="580">
        <v>0</v>
      </c>
      <c r="N39" s="580">
        <v>0</v>
      </c>
      <c r="O39" s="580">
        <v>0</v>
      </c>
      <c r="P39" s="580">
        <v>0</v>
      </c>
      <c r="Q39" s="580">
        <v>0</v>
      </c>
      <c r="R39" s="580">
        <v>0</v>
      </c>
      <c r="S39" s="580">
        <v>0</v>
      </c>
      <c r="T39" s="580">
        <v>0</v>
      </c>
      <c r="U39" s="580">
        <v>0</v>
      </c>
      <c r="V39" s="580">
        <v>0</v>
      </c>
      <c r="W39" s="580">
        <v>0</v>
      </c>
    </row>
    <row r="40" spans="1:23" ht="17.25" customHeight="1" x14ac:dyDescent="0.2">
      <c r="A40" s="299"/>
      <c r="B40" s="577"/>
      <c r="C40" s="580"/>
      <c r="D40" s="580"/>
      <c r="E40" s="580"/>
      <c r="F40" s="580"/>
      <c r="G40" s="580"/>
      <c r="H40" s="580"/>
      <c r="I40" s="580"/>
      <c r="J40" s="580"/>
      <c r="K40" s="580"/>
      <c r="L40" s="580"/>
      <c r="M40" s="580"/>
      <c r="N40" s="580"/>
      <c r="O40" s="580"/>
      <c r="P40" s="580"/>
      <c r="Q40" s="580"/>
      <c r="R40" s="580"/>
      <c r="S40" s="580"/>
      <c r="T40" s="580"/>
      <c r="U40" s="580"/>
      <c r="V40" s="580"/>
      <c r="W40" s="580"/>
    </row>
    <row r="41" spans="1:23" ht="17.25" customHeight="1" thickBot="1" x14ac:dyDescent="0.25">
      <c r="A41" s="299" t="s">
        <v>1484</v>
      </c>
      <c r="B41" s="594">
        <f>SUM(C41:W41)</f>
        <v>6641538.4949351754</v>
      </c>
      <c r="C41" s="586">
        <f>SUM(C37:C39)</f>
        <v>-1534324.2260415996</v>
      </c>
      <c r="D41" s="586">
        <f t="shared" ref="D41:U41" si="6">SUM(D37:D39)</f>
        <v>149201.10559999989</v>
      </c>
      <c r="E41" s="586">
        <f t="shared" si="6"/>
        <v>-125804.9</v>
      </c>
      <c r="F41" s="586">
        <f t="shared" si="6"/>
        <v>6143928.3174000001</v>
      </c>
      <c r="G41" s="586">
        <f t="shared" si="6"/>
        <v>-794066.40700320038</v>
      </c>
      <c r="H41" s="586">
        <f t="shared" si="6"/>
        <v>1187437.412</v>
      </c>
      <c r="I41" s="586">
        <f t="shared" si="6"/>
        <v>1013755.0039999997</v>
      </c>
      <c r="J41" s="586">
        <f t="shared" si="6"/>
        <v>-492385.48080000019</v>
      </c>
      <c r="K41" s="586">
        <f t="shared" si="6"/>
        <v>-1865655.5000600228</v>
      </c>
      <c r="L41" s="586">
        <f t="shared" si="6"/>
        <v>-563686.84160000004</v>
      </c>
      <c r="M41" s="586">
        <f t="shared" si="6"/>
        <v>961002.29720000015</v>
      </c>
      <c r="N41" s="586">
        <f t="shared" si="6"/>
        <v>1755322.8011999996</v>
      </c>
      <c r="O41" s="586">
        <f t="shared" si="6"/>
        <v>-631694.99160000007</v>
      </c>
      <c r="P41" s="586">
        <f t="shared" si="6"/>
        <v>-558179.98080000025</v>
      </c>
      <c r="Q41" s="586">
        <f t="shared" si="6"/>
        <v>-880812.89</v>
      </c>
      <c r="R41" s="586">
        <f t="shared" si="6"/>
        <v>-350549.35536000005</v>
      </c>
      <c r="S41" s="586">
        <f t="shared" si="6"/>
        <v>-185132.29759999999</v>
      </c>
      <c r="T41" s="586">
        <f t="shared" si="6"/>
        <v>414686.56839999999</v>
      </c>
      <c r="U41" s="586">
        <f t="shared" si="6"/>
        <v>4154069.7680000002</v>
      </c>
      <c r="V41" s="586">
        <f>SUM(V37:V39)</f>
        <v>-1455571.9079999998</v>
      </c>
      <c r="W41" s="586">
        <f>SUM(W37:W39)</f>
        <v>300000</v>
      </c>
    </row>
    <row r="42" spans="1:23" ht="17.25" customHeight="1" thickTop="1" thickBot="1" x14ac:dyDescent="0.25">
      <c r="B42" s="578"/>
      <c r="C42" s="224"/>
      <c r="D42" s="224"/>
      <c r="E42" s="224"/>
      <c r="F42" s="224"/>
      <c r="G42" s="224"/>
      <c r="H42" s="224"/>
      <c r="I42" s="224"/>
      <c r="J42" s="224"/>
      <c r="K42" s="224"/>
      <c r="L42" s="224"/>
      <c r="M42" s="224"/>
      <c r="N42" s="224"/>
      <c r="O42" s="224"/>
      <c r="P42" s="224"/>
      <c r="Q42" s="224"/>
      <c r="R42" s="224"/>
      <c r="S42" s="224"/>
      <c r="T42" s="224"/>
      <c r="U42" s="224"/>
      <c r="V42" s="224"/>
      <c r="W42" s="224"/>
    </row>
    <row r="43" spans="1:23" ht="18" customHeight="1" thickBot="1" x14ac:dyDescent="0.25">
      <c r="A43" s="182" t="s">
        <v>395</v>
      </c>
      <c r="B43" s="596">
        <f>SUM(C43:V43)</f>
        <v>116</v>
      </c>
      <c r="C43" s="587">
        <f>HR!I4</f>
        <v>10</v>
      </c>
      <c r="D43" s="587">
        <f>HR!I12</f>
        <v>3</v>
      </c>
      <c r="E43" s="587">
        <v>0</v>
      </c>
      <c r="F43" s="587">
        <f>HR!I22</f>
        <v>10</v>
      </c>
      <c r="G43" s="587">
        <f>HR!I11</f>
        <v>13</v>
      </c>
      <c r="H43" s="587">
        <f>HR!I17</f>
        <v>4</v>
      </c>
      <c r="I43" s="587">
        <f>HR!I18</f>
        <v>9</v>
      </c>
      <c r="J43" s="587">
        <f>HR!I13</f>
        <v>3</v>
      </c>
      <c r="K43" s="587">
        <f>HR!I15</f>
        <v>10</v>
      </c>
      <c r="L43" s="587">
        <f>HR!I6</f>
        <v>3</v>
      </c>
      <c r="M43" s="587">
        <f>HR!I19</f>
        <v>9</v>
      </c>
      <c r="N43" s="587">
        <f>HR!I23</f>
        <v>9</v>
      </c>
      <c r="O43" s="587">
        <f>HR!I7</f>
        <v>4</v>
      </c>
      <c r="P43" s="587">
        <f>HR!I16</f>
        <v>4</v>
      </c>
      <c r="Q43" s="587">
        <f>HR!I8</f>
        <v>3</v>
      </c>
      <c r="R43" s="587">
        <f>HR!I9</f>
        <v>2</v>
      </c>
      <c r="S43" s="587">
        <f>HR!I5</f>
        <v>1</v>
      </c>
      <c r="T43" s="587">
        <f>HR!I20</f>
        <v>10</v>
      </c>
      <c r="U43" s="587">
        <f>HR!I21</f>
        <v>3</v>
      </c>
      <c r="V43" s="587">
        <f>HR!I10</f>
        <v>6</v>
      </c>
      <c r="W43" s="587">
        <v>0</v>
      </c>
    </row>
    <row r="48" spans="1:23" ht="17.25" customHeight="1" x14ac:dyDescent="0.2">
      <c r="K48" s="298"/>
    </row>
    <row r="49" spans="11:15" ht="17.25" customHeight="1" x14ac:dyDescent="0.2">
      <c r="K49" s="298"/>
    </row>
    <row r="50" spans="11:15" ht="17.25" customHeight="1" x14ac:dyDescent="0.2">
      <c r="K50" s="298"/>
      <c r="L50" s="15"/>
      <c r="M50" s="15"/>
      <c r="N50" s="15"/>
      <c r="O50" s="15"/>
    </row>
    <row r="51" spans="11:15" ht="17.25" customHeight="1" x14ac:dyDescent="0.2">
      <c r="K51" s="15"/>
      <c r="L51" s="15"/>
      <c r="M51" s="15"/>
      <c r="N51" s="15"/>
      <c r="O51" s="15"/>
    </row>
    <row r="52" spans="11:15" ht="17.25" customHeight="1" x14ac:dyDescent="0.2">
      <c r="K52" s="15"/>
      <c r="L52" s="15"/>
      <c r="M52" s="15"/>
      <c r="N52" s="15"/>
      <c r="O52" s="15"/>
    </row>
    <row r="53" spans="11:15" ht="17.25" customHeight="1" x14ac:dyDescent="0.2">
      <c r="K53" s="298"/>
      <c r="L53" s="15"/>
      <c r="M53" s="15"/>
      <c r="N53" s="15"/>
      <c r="O53" s="15"/>
    </row>
    <row r="54" spans="11:15" ht="17.25" customHeight="1" x14ac:dyDescent="0.2">
      <c r="K54" s="298"/>
      <c r="L54" s="15"/>
      <c r="M54" s="15"/>
      <c r="N54" s="15"/>
      <c r="O54" s="15"/>
    </row>
    <row r="55" spans="11:15" ht="17.25" customHeight="1" x14ac:dyDescent="0.2">
      <c r="K55" s="298"/>
      <c r="L55" s="15"/>
      <c r="M55" s="15"/>
      <c r="N55" s="15"/>
      <c r="O55" s="15"/>
    </row>
    <row r="56" spans="11:15" ht="17.25" customHeight="1" x14ac:dyDescent="0.2">
      <c r="K56" s="15"/>
      <c r="L56" s="15"/>
      <c r="M56" s="15"/>
      <c r="N56" s="15"/>
      <c r="O56" s="15"/>
    </row>
    <row r="57" spans="11:15" ht="17.25" customHeight="1" x14ac:dyDescent="0.2">
      <c r="K57" s="15"/>
      <c r="L57" s="15"/>
      <c r="M57" s="15"/>
      <c r="N57" s="15"/>
      <c r="O57" s="15"/>
    </row>
    <row r="58" spans="11:15" ht="16.5" customHeight="1" x14ac:dyDescent="0.2">
      <c r="K58" s="298"/>
      <c r="L58" s="15"/>
      <c r="M58" s="15"/>
      <c r="N58" s="15"/>
      <c r="O58" s="15"/>
    </row>
    <row r="59" spans="11:15" ht="17.25" customHeight="1" x14ac:dyDescent="0.2">
      <c r="K59" s="298"/>
      <c r="L59" s="15"/>
      <c r="M59" s="15"/>
      <c r="N59" s="15"/>
      <c r="O59" s="15"/>
    </row>
    <row r="60" spans="11:15" ht="17.25" customHeight="1" x14ac:dyDescent="0.2">
      <c r="K60" s="298"/>
      <c r="L60" s="15"/>
      <c r="M60" s="15"/>
      <c r="N60" s="15"/>
      <c r="O60" s="15"/>
    </row>
    <row r="61" spans="11:15" ht="17.25" customHeight="1" x14ac:dyDescent="0.2">
      <c r="K61" s="15"/>
      <c r="L61" s="15"/>
      <c r="M61" s="15"/>
      <c r="N61" s="15"/>
      <c r="O61" s="15"/>
    </row>
    <row r="62" spans="11:15" ht="17.25" customHeight="1" x14ac:dyDescent="0.2">
      <c r="K62" s="15"/>
      <c r="L62" s="15"/>
      <c r="M62" s="15"/>
      <c r="N62" s="15"/>
      <c r="O62" s="15"/>
    </row>
    <row r="63" spans="11:15" ht="17.25" customHeight="1" x14ac:dyDescent="0.2">
      <c r="K63" s="298"/>
      <c r="L63" s="15"/>
      <c r="M63" s="15"/>
      <c r="N63" s="15"/>
      <c r="O63" s="15"/>
    </row>
    <row r="64" spans="11:15" ht="17.25" customHeight="1" x14ac:dyDescent="0.2">
      <c r="K64" s="298"/>
      <c r="L64" s="15"/>
      <c r="M64" s="15"/>
      <c r="N64" s="15"/>
      <c r="O64" s="15"/>
    </row>
    <row r="65" spans="11:15" ht="17.25" customHeight="1" x14ac:dyDescent="0.2">
      <c r="K65" s="298"/>
      <c r="L65" s="15"/>
      <c r="M65" s="15"/>
      <c r="N65" s="15"/>
      <c r="O65" s="15"/>
    </row>
    <row r="66" spans="11:15" ht="17.25" customHeight="1" x14ac:dyDescent="0.2"/>
    <row r="67" spans="11:15" ht="17.25" customHeight="1" x14ac:dyDescent="0.2">
      <c r="K67" s="297"/>
      <c r="L67" s="15"/>
      <c r="M67" s="15"/>
      <c r="N67" s="15"/>
      <c r="O67" s="15"/>
    </row>
    <row r="70" spans="11:15" ht="17.25" customHeight="1" x14ac:dyDescent="0.2"/>
    <row r="71" spans="11:15" ht="17.25" customHeight="1" x14ac:dyDescent="0.2"/>
    <row r="72" spans="11:15" ht="17.25" customHeight="1" x14ac:dyDescent="0.2"/>
    <row r="73" spans="11:15" ht="17.25" customHeight="1" x14ac:dyDescent="0.2"/>
    <row r="74" spans="11:15" ht="17.25" customHeight="1" x14ac:dyDescent="0.2"/>
    <row r="75" spans="11:15" ht="18" customHeight="1" x14ac:dyDescent="0.2"/>
  </sheetData>
  <pageMargins left="0.2" right="0.2" top="0.75" bottom="0.5" header="0.3" footer="0.3"/>
  <pageSetup scale="65" fitToHeight="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view="pageBreakPreview" topLeftCell="A19" zoomScale="60" zoomScaleNormal="70" workbookViewId="0">
      <selection activeCell="B39" sqref="B39"/>
    </sheetView>
  </sheetViews>
  <sheetFormatPr defaultColWidth="8.85546875" defaultRowHeight="15" x14ac:dyDescent="0.25"/>
  <cols>
    <col min="1" max="1" width="33" style="492" customWidth="1"/>
    <col min="2" max="2" width="90.42578125" style="492" customWidth="1"/>
    <col min="3" max="3" width="19.140625" style="492" customWidth="1"/>
    <col min="4" max="4" width="16.85546875" style="492" bestFit="1" customWidth="1"/>
    <col min="5" max="5" width="17.85546875" style="492" customWidth="1"/>
    <col min="6" max="6" width="21.28515625" style="492" customWidth="1"/>
    <col min="7" max="7" width="8.85546875" style="492"/>
    <col min="8" max="8" width="20.28515625" style="492" customWidth="1"/>
    <col min="9" max="9" width="8.85546875" style="492"/>
    <col min="10" max="10" width="11.28515625" style="492" bestFit="1" customWidth="1"/>
    <col min="11" max="11" width="8.85546875" style="492"/>
    <col min="12" max="12" width="14.85546875" style="492" bestFit="1" customWidth="1"/>
    <col min="13" max="14" width="8.85546875" style="492"/>
    <col min="15" max="15" width="12" style="492" bestFit="1" customWidth="1"/>
    <col min="16" max="16384" width="8.85546875" style="492"/>
  </cols>
  <sheetData>
    <row r="1" spans="1:12" ht="48" thickBot="1" x14ac:dyDescent="0.3">
      <c r="A1" s="524" t="s">
        <v>1462</v>
      </c>
      <c r="B1" s="523" t="s">
        <v>1461</v>
      </c>
      <c r="C1" s="522" t="s">
        <v>1460</v>
      </c>
      <c r="D1" s="522" t="s">
        <v>1459</v>
      </c>
      <c r="E1" s="521" t="s">
        <v>1458</v>
      </c>
      <c r="F1" s="521" t="s">
        <v>1457</v>
      </c>
    </row>
    <row r="2" spans="1:12" ht="110.25" x14ac:dyDescent="0.25">
      <c r="A2" s="520" t="s">
        <v>288</v>
      </c>
      <c r="B2" s="519" t="s">
        <v>290</v>
      </c>
      <c r="C2" s="518">
        <v>750000</v>
      </c>
      <c r="D2" s="517">
        <v>13000000</v>
      </c>
      <c r="E2" s="517">
        <v>13375000</v>
      </c>
      <c r="F2" s="517">
        <v>375000</v>
      </c>
      <c r="H2" s="492" t="s">
        <v>1456</v>
      </c>
    </row>
    <row r="3" spans="1:12" ht="110.25" x14ac:dyDescent="0.25">
      <c r="A3" s="503" t="s">
        <v>291</v>
      </c>
      <c r="B3" s="516" t="s">
        <v>293</v>
      </c>
      <c r="C3" s="501">
        <v>1450000</v>
      </c>
      <c r="D3" s="500">
        <v>29000000</v>
      </c>
      <c r="E3" s="500">
        <v>29725000</v>
      </c>
      <c r="F3" s="500">
        <f>725000</f>
        <v>725000</v>
      </c>
      <c r="H3" s="492" t="s">
        <v>1453</v>
      </c>
    </row>
    <row r="4" spans="1:12" ht="110.25" x14ac:dyDescent="0.25">
      <c r="A4" s="503" t="s">
        <v>1534</v>
      </c>
      <c r="B4" s="516" t="s">
        <v>293</v>
      </c>
      <c r="C4" s="501">
        <v>0</v>
      </c>
      <c r="D4" s="500">
        <v>0</v>
      </c>
      <c r="E4" s="500">
        <v>0</v>
      </c>
      <c r="F4" s="500">
        <v>575000</v>
      </c>
      <c r="H4" s="603" t="s">
        <v>1535</v>
      </c>
    </row>
    <row r="5" spans="1:12" ht="94.5" x14ac:dyDescent="0.25">
      <c r="A5" s="503" t="s">
        <v>294</v>
      </c>
      <c r="B5" s="502" t="s">
        <v>296</v>
      </c>
      <c r="C5" s="501">
        <v>4120000</v>
      </c>
      <c r="D5" s="500">
        <v>412000000</v>
      </c>
      <c r="E5" s="500">
        <v>414060000</v>
      </c>
      <c r="F5" s="515">
        <v>500000</v>
      </c>
      <c r="H5" s="492">
        <v>630000</v>
      </c>
    </row>
    <row r="6" spans="1:12" ht="94.5" x14ac:dyDescent="0.25">
      <c r="A6" s="503" t="s">
        <v>1455</v>
      </c>
      <c r="B6" s="502" t="s">
        <v>1454</v>
      </c>
      <c r="C6" s="501">
        <v>2466079</v>
      </c>
      <c r="D6" s="500">
        <v>20415789</v>
      </c>
      <c r="E6" s="500">
        <v>5610752</v>
      </c>
      <c r="F6" s="500">
        <v>500000</v>
      </c>
      <c r="H6" s="492">
        <v>253106</v>
      </c>
    </row>
    <row r="7" spans="1:12" ht="94.5" x14ac:dyDescent="0.25">
      <c r="A7" s="503" t="s">
        <v>1452</v>
      </c>
      <c r="B7" s="502" t="s">
        <v>1451</v>
      </c>
      <c r="C7" s="501">
        <v>4251489</v>
      </c>
      <c r="D7" s="500">
        <v>27221185</v>
      </c>
      <c r="E7" s="500">
        <v>18284878</v>
      </c>
      <c r="F7" s="514">
        <v>1500000</v>
      </c>
      <c r="H7" s="492">
        <v>1928793</v>
      </c>
      <c r="K7" s="492">
        <v>66749</v>
      </c>
    </row>
    <row r="8" spans="1:12" ht="94.5" x14ac:dyDescent="0.25">
      <c r="A8" s="503" t="s">
        <v>1450</v>
      </c>
      <c r="B8" s="502" t="s">
        <v>1449</v>
      </c>
      <c r="C8" s="501">
        <v>5427458</v>
      </c>
      <c r="D8" s="500">
        <v>38025359</v>
      </c>
      <c r="E8" s="500">
        <v>3226744</v>
      </c>
      <c r="F8" s="513">
        <v>1368864</v>
      </c>
      <c r="H8" s="492">
        <v>514614</v>
      </c>
      <c r="K8" s="610" t="s">
        <v>1541</v>
      </c>
    </row>
    <row r="9" spans="1:12" ht="78.75" x14ac:dyDescent="0.25">
      <c r="A9" s="503" t="s">
        <v>1448</v>
      </c>
      <c r="B9" s="502" t="s">
        <v>1447</v>
      </c>
      <c r="C9" s="501">
        <v>42631366</v>
      </c>
      <c r="D9" s="500">
        <v>753140626</v>
      </c>
      <c r="E9" s="500">
        <v>60455332</v>
      </c>
      <c r="F9" s="513">
        <v>5900000</v>
      </c>
      <c r="H9" s="492">
        <v>2144945</v>
      </c>
      <c r="I9" s="492">
        <v>1539591</v>
      </c>
      <c r="J9" s="492">
        <v>204784</v>
      </c>
      <c r="K9" s="492">
        <v>372962.27</v>
      </c>
      <c r="L9" s="566">
        <f>F9-SUM(H9:K9)</f>
        <v>1637717.7300000004</v>
      </c>
    </row>
    <row r="10" spans="1:12" ht="78.75" x14ac:dyDescent="0.25">
      <c r="A10" s="503" t="s">
        <v>315</v>
      </c>
      <c r="B10" s="502" t="s">
        <v>1446</v>
      </c>
      <c r="C10" s="501">
        <v>75488</v>
      </c>
      <c r="D10" s="500">
        <v>502990</v>
      </c>
      <c r="E10" s="500">
        <v>254270</v>
      </c>
      <c r="F10" s="512">
        <v>675488</v>
      </c>
      <c r="H10" s="610" t="s">
        <v>1539</v>
      </c>
      <c r="I10" s="610" t="s">
        <v>1540</v>
      </c>
      <c r="K10" s="492">
        <v>114707</v>
      </c>
    </row>
    <row r="11" spans="1:12" ht="41.25" customHeight="1" x14ac:dyDescent="0.25">
      <c r="A11" s="503" t="s">
        <v>1445</v>
      </c>
      <c r="B11" s="502" t="s">
        <v>1444</v>
      </c>
      <c r="C11" s="501">
        <v>25000</v>
      </c>
      <c r="D11" s="500">
        <v>25000</v>
      </c>
      <c r="E11" s="500">
        <v>25000</v>
      </c>
      <c r="F11" s="512">
        <v>25000</v>
      </c>
      <c r="H11" s="492">
        <v>187000</v>
      </c>
    </row>
    <row r="12" spans="1:12" ht="81.75" customHeight="1" x14ac:dyDescent="0.25">
      <c r="A12" s="503" t="s">
        <v>1443</v>
      </c>
      <c r="B12" s="502" t="s">
        <v>1442</v>
      </c>
      <c r="C12" s="501">
        <v>1600000</v>
      </c>
      <c r="D12" s="500">
        <v>325000000</v>
      </c>
      <c r="E12" s="500">
        <v>201600000</v>
      </c>
      <c r="F12" s="511">
        <v>1600000</v>
      </c>
      <c r="H12" s="492">
        <f>1000000</f>
        <v>1000000</v>
      </c>
    </row>
    <row r="13" spans="1:12" ht="81.75" customHeight="1" x14ac:dyDescent="0.25">
      <c r="A13" s="503" t="s">
        <v>1487</v>
      </c>
      <c r="B13" s="502"/>
      <c r="C13" s="501">
        <v>53184</v>
      </c>
      <c r="D13" s="500">
        <v>305896.78000000003</v>
      </c>
      <c r="E13" s="500">
        <v>305896.78000000003</v>
      </c>
      <c r="F13" s="510">
        <v>53184.34</v>
      </c>
    </row>
    <row r="14" spans="1:12" ht="94.5" x14ac:dyDescent="0.25">
      <c r="A14" s="509" t="s">
        <v>1441</v>
      </c>
      <c r="B14" s="508" t="s">
        <v>1440</v>
      </c>
      <c r="C14" s="507">
        <v>1150000</v>
      </c>
      <c r="D14" s="506">
        <v>60350000</v>
      </c>
      <c r="E14" s="506">
        <v>61500000</v>
      </c>
      <c r="F14" s="510">
        <f>195000+160000+930000</f>
        <v>1285000</v>
      </c>
    </row>
    <row r="15" spans="1:12" ht="110.25" x14ac:dyDescent="0.25">
      <c r="A15" s="509" t="s">
        <v>1439</v>
      </c>
      <c r="B15" s="508" t="s">
        <v>1438</v>
      </c>
      <c r="C15" s="507">
        <v>137077</v>
      </c>
      <c r="D15" s="506">
        <v>2622544</v>
      </c>
      <c r="E15" s="506">
        <v>2759000</v>
      </c>
      <c r="F15" s="510">
        <f>137077+188658</f>
        <v>325735</v>
      </c>
    </row>
    <row r="16" spans="1:12" ht="113.25" customHeight="1" x14ac:dyDescent="0.25">
      <c r="A16" s="509" t="s">
        <v>1437</v>
      </c>
      <c r="B16" s="508" t="s">
        <v>1436</v>
      </c>
      <c r="C16" s="507">
        <v>712932</v>
      </c>
      <c r="D16" s="506">
        <v>30280744</v>
      </c>
      <c r="E16" s="506">
        <v>6000000</v>
      </c>
      <c r="F16" s="510">
        <f>178233+360640</f>
        <v>538873</v>
      </c>
    </row>
    <row r="17" spans="1:15" ht="126" x14ac:dyDescent="0.25">
      <c r="A17" s="509" t="s">
        <v>1488</v>
      </c>
      <c r="B17" s="508" t="s">
        <v>328</v>
      </c>
      <c r="C17" s="507">
        <v>4000000</v>
      </c>
      <c r="D17" s="506">
        <v>125000000</v>
      </c>
      <c r="E17" s="506">
        <v>129000000</v>
      </c>
      <c r="F17" s="505">
        <f>986149+3056966+88400+299200</f>
        <v>4430715</v>
      </c>
    </row>
    <row r="18" spans="1:15" ht="110.25" x14ac:dyDescent="0.25">
      <c r="A18" s="503" t="s">
        <v>329</v>
      </c>
      <c r="B18" s="502" t="s">
        <v>331</v>
      </c>
      <c r="C18" s="501">
        <v>1401637</v>
      </c>
      <c r="D18" s="500">
        <v>11475044</v>
      </c>
      <c r="E18" s="500">
        <f>C18+D18</f>
        <v>12876681</v>
      </c>
      <c r="F18" s="504">
        <v>1202400</v>
      </c>
      <c r="H18" s="492">
        <v>1492576</v>
      </c>
    </row>
    <row r="19" spans="1:15" ht="110.25" x14ac:dyDescent="0.25">
      <c r="A19" s="503" t="s">
        <v>1435</v>
      </c>
      <c r="B19" s="502" t="s">
        <v>331</v>
      </c>
      <c r="C19" s="501">
        <v>142174</v>
      </c>
      <c r="D19" s="500">
        <v>1493711</v>
      </c>
      <c r="E19" s="500">
        <f>C19+D19</f>
        <v>1635885</v>
      </c>
      <c r="F19" s="504">
        <v>142174</v>
      </c>
      <c r="H19" s="492">
        <v>126460</v>
      </c>
    </row>
    <row r="20" spans="1:15" ht="110.25" x14ac:dyDescent="0.25">
      <c r="A20" s="503" t="s">
        <v>1434</v>
      </c>
      <c r="B20" s="502" t="s">
        <v>1433</v>
      </c>
      <c r="C20" s="501">
        <v>120579</v>
      </c>
      <c r="D20" s="500">
        <v>1337522</v>
      </c>
      <c r="E20" s="500">
        <f>C20+D20</f>
        <v>1458101</v>
      </c>
      <c r="F20" s="504">
        <v>120579</v>
      </c>
      <c r="H20" s="492">
        <v>98936</v>
      </c>
    </row>
    <row r="21" spans="1:15" ht="110.25" x14ac:dyDescent="0.25">
      <c r="A21" s="503" t="s">
        <v>1432</v>
      </c>
      <c r="B21" s="502" t="s">
        <v>1431</v>
      </c>
      <c r="C21" s="501">
        <v>2260545</v>
      </c>
      <c r="D21" s="500">
        <f>2165537+11751076</f>
        <v>13916613</v>
      </c>
      <c r="E21" s="500">
        <f>C21+D21</f>
        <v>16177158</v>
      </c>
      <c r="F21" s="499">
        <v>1600000</v>
      </c>
      <c r="H21" s="492">
        <v>1460230</v>
      </c>
      <c r="J21" s="492">
        <v>204784</v>
      </c>
      <c r="K21" s="610" t="s">
        <v>1538</v>
      </c>
      <c r="O21" s="617">
        <f>F21-J21</f>
        <v>1395216</v>
      </c>
    </row>
    <row r="22" spans="1:15" ht="110.25" x14ac:dyDescent="0.25">
      <c r="A22" s="503" t="s">
        <v>335</v>
      </c>
      <c r="B22" s="502" t="s">
        <v>337</v>
      </c>
      <c r="C22" s="501">
        <v>560000</v>
      </c>
      <c r="D22" s="500">
        <v>6391832</v>
      </c>
      <c r="E22" s="500">
        <v>967243</v>
      </c>
      <c r="F22" s="499">
        <v>120000</v>
      </c>
      <c r="H22" s="492">
        <v>61200</v>
      </c>
    </row>
    <row r="23" spans="1:15" ht="95.25" thickBot="1" x14ac:dyDescent="0.3">
      <c r="A23" s="498" t="s">
        <v>1430</v>
      </c>
      <c r="B23" s="497" t="s">
        <v>1429</v>
      </c>
      <c r="C23" s="496">
        <v>123182</v>
      </c>
      <c r="D23" s="495">
        <v>3281271</v>
      </c>
      <c r="E23" s="495">
        <v>2474814</v>
      </c>
      <c r="F23" s="494">
        <v>123182</v>
      </c>
      <c r="H23" s="492">
        <f>167210</f>
        <v>167210</v>
      </c>
      <c r="I23" s="492">
        <v>81135</v>
      </c>
    </row>
    <row r="24" spans="1:15" ht="16.5" thickBot="1" x14ac:dyDescent="0.3">
      <c r="A24" s="498" t="s">
        <v>1550</v>
      </c>
      <c r="B24" s="497"/>
      <c r="C24" s="496"/>
      <c r="D24" s="495"/>
      <c r="E24" s="495"/>
      <c r="F24" s="494">
        <f>11000*12</f>
        <v>132000</v>
      </c>
      <c r="K24" s="610"/>
    </row>
    <row r="25" spans="1:15" ht="15.75" x14ac:dyDescent="0.25">
      <c r="A25" s="605" t="s">
        <v>1536</v>
      </c>
      <c r="B25" s="606" t="s">
        <v>1537</v>
      </c>
      <c r="C25" s="607"/>
      <c r="D25" s="608"/>
      <c r="E25" s="608"/>
      <c r="F25" s="609">
        <f>450000+450000</f>
        <v>900000</v>
      </c>
    </row>
    <row r="26" spans="1:15" ht="16.5" thickBot="1" x14ac:dyDescent="0.3">
      <c r="A26" s="493"/>
      <c r="B26" s="493"/>
      <c r="C26" s="604">
        <f>SUM(C2:C23)</f>
        <v>73458190</v>
      </c>
      <c r="D26" s="604">
        <f>SUM(D2:D23)</f>
        <v>1874786126.78</v>
      </c>
      <c r="E26" s="604">
        <f>SUM(E2:E23)</f>
        <v>981771754.77999997</v>
      </c>
      <c r="F26" s="604">
        <f>SUM(F2:F25)</f>
        <v>24718194.34</v>
      </c>
    </row>
    <row r="27" spans="1:15" ht="15.75" thickBot="1" x14ac:dyDescent="0.3"/>
    <row r="28" spans="1:15" ht="15.75" x14ac:dyDescent="0.25">
      <c r="A28" s="570" t="s">
        <v>1495</v>
      </c>
      <c r="B28" s="571" t="s">
        <v>1371</v>
      </c>
      <c r="C28" s="567"/>
      <c r="D28" s="568"/>
      <c r="E28" s="568"/>
      <c r="F28" s="569">
        <v>150000</v>
      </c>
    </row>
    <row r="29" spans="1:15" ht="15.75" x14ac:dyDescent="0.25">
      <c r="A29" s="612" t="s">
        <v>1543</v>
      </c>
      <c r="B29" s="614" t="s">
        <v>1544</v>
      </c>
      <c r="C29" s="518"/>
      <c r="D29" s="517"/>
      <c r="E29" s="517"/>
      <c r="F29" s="613">
        <v>2500</v>
      </c>
    </row>
    <row r="30" spans="1:15" ht="15.75" x14ac:dyDescent="0.25">
      <c r="A30" s="612" t="s">
        <v>1545</v>
      </c>
      <c r="B30" s="614" t="s">
        <v>1546</v>
      </c>
      <c r="C30" s="518"/>
      <c r="D30" s="517"/>
      <c r="E30" s="517"/>
      <c r="F30" s="613">
        <v>1000</v>
      </c>
    </row>
    <row r="31" spans="1:15" ht="15.75" x14ac:dyDescent="0.25">
      <c r="A31" s="612" t="s">
        <v>1547</v>
      </c>
      <c r="B31" s="614" t="s">
        <v>1548</v>
      </c>
      <c r="C31" s="518"/>
      <c r="D31" s="517"/>
      <c r="E31" s="517"/>
      <c r="F31" s="613">
        <v>3400</v>
      </c>
    </row>
    <row r="32" spans="1:15" ht="15.75" x14ac:dyDescent="0.25">
      <c r="A32" s="503" t="s">
        <v>1491</v>
      </c>
      <c r="B32" s="502" t="s">
        <v>1490</v>
      </c>
      <c r="C32" s="501"/>
      <c r="D32" s="500"/>
      <c r="E32" s="500"/>
      <c r="F32" s="557">
        <v>300000</v>
      </c>
      <c r="G32" s="559"/>
    </row>
    <row r="33" spans="1:10" ht="15.75" x14ac:dyDescent="0.25">
      <c r="A33" s="503" t="s">
        <v>1492</v>
      </c>
      <c r="B33" s="565" t="s">
        <v>1493</v>
      </c>
      <c r="C33" s="501">
        <v>14461.268687999998</v>
      </c>
      <c r="D33" s="500">
        <f>C33*1.02</f>
        <v>14750.494061759999</v>
      </c>
      <c r="E33" s="500">
        <f>D33*1.02</f>
        <v>15045.503942995199</v>
      </c>
      <c r="F33" s="557">
        <f>((D33/12)*6)+((E33/12)*6)</f>
        <v>14897.999002377601</v>
      </c>
      <c r="G33" s="559"/>
      <c r="I33" s="492">
        <v>1229.21</v>
      </c>
      <c r="J33" s="566">
        <f>E33/12</f>
        <v>1253.7919952495999</v>
      </c>
    </row>
    <row r="34" spans="1:10" ht="16.5" thickBot="1" x14ac:dyDescent="0.3">
      <c r="A34" s="560" t="s">
        <v>1489</v>
      </c>
      <c r="B34" s="561" t="s">
        <v>1494</v>
      </c>
      <c r="C34" s="562"/>
      <c r="D34" s="563"/>
      <c r="E34" s="563"/>
      <c r="F34" s="564">
        <f>((4000*6)+(4500*10))</f>
        <v>69000</v>
      </c>
    </row>
    <row r="36" spans="1:10" x14ac:dyDescent="0.25">
      <c r="E36" s="566"/>
      <c r="F36" s="615">
        <f>SUM(F26:F34)</f>
        <v>25258992.339002378</v>
      </c>
    </row>
  </sheetData>
  <pageMargins left="0.7" right="0.7" top="0.75" bottom="0.5" header="0.3" footer="0.3"/>
  <pageSetup scale="3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5"/>
  <sheetViews>
    <sheetView tabSelected="1" zoomScale="90" zoomScaleNormal="90" workbookViewId="0">
      <pane xSplit="1" ySplit="4" topLeftCell="B5" activePane="bottomRight" state="frozen"/>
      <selection activeCell="F24" sqref="F24"/>
      <selection pane="topRight" activeCell="F24" sqref="F24"/>
      <selection pane="bottomLeft" activeCell="F24" sqref="F24"/>
      <selection pane="bottomRight" activeCell="A23" sqref="A23"/>
    </sheetView>
  </sheetViews>
  <sheetFormatPr defaultColWidth="8.85546875" defaultRowHeight="12.75" x14ac:dyDescent="0.2"/>
  <cols>
    <col min="1" max="1" width="58.5703125" style="236" customWidth="1"/>
    <col min="2" max="2" width="23.7109375" style="236" customWidth="1"/>
    <col min="3" max="3" width="13.28515625" style="236" customWidth="1"/>
    <col min="4" max="4" width="13" style="236" customWidth="1"/>
    <col min="5" max="5" width="14.140625" style="236" customWidth="1"/>
    <col min="6" max="6" width="13.7109375" style="236" customWidth="1"/>
    <col min="7" max="7" width="13.5703125" style="236" customWidth="1"/>
    <col min="8" max="8" width="14.42578125" style="236" customWidth="1"/>
    <col min="9" max="10" width="16.85546875" style="236" customWidth="1"/>
    <col min="11" max="11" width="15.5703125" style="236" customWidth="1"/>
    <col min="12" max="12" width="14.7109375" style="236" customWidth="1"/>
    <col min="13" max="13" width="12.5703125" style="236" customWidth="1"/>
    <col min="14" max="14" width="17.5703125" style="236" customWidth="1"/>
    <col min="15" max="15" width="15.28515625" style="236" customWidth="1"/>
    <col min="16" max="16" width="16.140625" style="236" customWidth="1"/>
    <col min="17" max="17" width="14.42578125" style="236" customWidth="1"/>
    <col min="18" max="18" width="15" style="236" customWidth="1"/>
    <col min="19" max="19" width="12.5703125" style="236" customWidth="1"/>
    <col min="20" max="20" width="13.42578125" style="236" customWidth="1"/>
    <col min="21" max="21" width="14.42578125" style="236" customWidth="1"/>
    <col min="22" max="23" width="14.7109375" style="236" customWidth="1"/>
    <col min="24" max="24" width="12.28515625" style="236" customWidth="1"/>
    <col min="25" max="16384" width="8.85546875" style="236"/>
  </cols>
  <sheetData>
    <row r="1" spans="1:24" ht="21" x14ac:dyDescent="0.35">
      <c r="A1" s="92" t="s">
        <v>269</v>
      </c>
      <c r="B1" s="92"/>
    </row>
    <row r="2" spans="1:24" ht="18.75" x14ac:dyDescent="0.3">
      <c r="A2" s="10" t="s">
        <v>1589</v>
      </c>
      <c r="B2" s="10"/>
    </row>
    <row r="3" spans="1:24" ht="15" x14ac:dyDescent="0.25">
      <c r="A3" s="11"/>
      <c r="B3" s="11"/>
    </row>
    <row r="4" spans="1:24" ht="39.75" customHeight="1" x14ac:dyDescent="0.25">
      <c r="A4" s="93" t="s">
        <v>265</v>
      </c>
      <c r="B4" s="579" t="s">
        <v>1591</v>
      </c>
      <c r="C4" s="611" t="s">
        <v>1498</v>
      </c>
      <c r="D4" s="611" t="s">
        <v>1499</v>
      </c>
      <c r="E4" s="611" t="s">
        <v>1500</v>
      </c>
      <c r="F4" s="611" t="s">
        <v>1503</v>
      </c>
      <c r="G4" s="611" t="s">
        <v>1501</v>
      </c>
      <c r="H4" s="611" t="s">
        <v>1502</v>
      </c>
      <c r="I4" s="611" t="s">
        <v>1504</v>
      </c>
      <c r="J4" s="611" t="s">
        <v>1506</v>
      </c>
      <c r="K4" s="611" t="s">
        <v>1510</v>
      </c>
      <c r="L4" s="611" t="s">
        <v>1505</v>
      </c>
      <c r="M4" s="611" t="s">
        <v>1507</v>
      </c>
      <c r="N4" s="611" t="s">
        <v>1508</v>
      </c>
      <c r="O4" s="611" t="s">
        <v>262</v>
      </c>
      <c r="P4" s="611" t="s">
        <v>1509</v>
      </c>
      <c r="Q4" s="611" t="s">
        <v>1511</v>
      </c>
      <c r="R4" s="611" t="s">
        <v>1512</v>
      </c>
      <c r="S4" s="611" t="s">
        <v>1513</v>
      </c>
      <c r="T4" s="611" t="s">
        <v>1515</v>
      </c>
      <c r="U4" s="611" t="s">
        <v>1514</v>
      </c>
      <c r="V4" s="611" t="s">
        <v>1516</v>
      </c>
      <c r="W4" s="611" t="s">
        <v>1517</v>
      </c>
    </row>
    <row r="5" spans="1:24" ht="16.5" customHeight="1" x14ac:dyDescent="0.2">
      <c r="A5" s="94" t="s">
        <v>496</v>
      </c>
      <c r="B5" s="588">
        <f t="shared" ref="B5:B17" si="0">SUM(C5:W5)</f>
        <v>1500000</v>
      </c>
      <c r="C5" s="581">
        <v>0</v>
      </c>
      <c r="D5" s="581">
        <v>0</v>
      </c>
      <c r="E5" s="581">
        <v>0</v>
      </c>
      <c r="F5" s="581">
        <v>1500000</v>
      </c>
      <c r="G5" s="581">
        <v>0</v>
      </c>
      <c r="H5" s="581">
        <v>0</v>
      </c>
      <c r="I5" s="581">
        <v>0</v>
      </c>
      <c r="J5" s="581">
        <v>0</v>
      </c>
      <c r="K5" s="581">
        <v>0</v>
      </c>
      <c r="L5" s="581">
        <v>0</v>
      </c>
      <c r="M5" s="581">
        <v>0</v>
      </c>
      <c r="N5" s="581">
        <v>0</v>
      </c>
      <c r="O5" s="581">
        <v>0</v>
      </c>
      <c r="P5" s="581">
        <v>0</v>
      </c>
      <c r="Q5" s="581">
        <v>0</v>
      </c>
      <c r="R5" s="581">
        <v>0</v>
      </c>
      <c r="S5" s="581">
        <v>0</v>
      </c>
      <c r="T5" s="581">
        <v>0</v>
      </c>
      <c r="U5" s="581">
        <v>0</v>
      </c>
      <c r="V5" s="581">
        <v>0</v>
      </c>
      <c r="W5" s="581">
        <v>0</v>
      </c>
    </row>
    <row r="6" spans="1:24" ht="16.5" customHeight="1" x14ac:dyDescent="0.2">
      <c r="A6" s="94" t="s">
        <v>510</v>
      </c>
      <c r="B6" s="588">
        <f t="shared" si="0"/>
        <v>988984</v>
      </c>
      <c r="C6" s="581">
        <v>0</v>
      </c>
      <c r="D6" s="581">
        <v>0</v>
      </c>
      <c r="E6" s="581">
        <v>0</v>
      </c>
      <c r="F6" s="581">
        <v>0</v>
      </c>
      <c r="G6" s="581">
        <v>0</v>
      </c>
      <c r="H6" s="581">
        <v>0</v>
      </c>
      <c r="I6" s="581">
        <v>0</v>
      </c>
      <c r="J6" s="581">
        <v>0</v>
      </c>
      <c r="K6" s="581">
        <v>0</v>
      </c>
      <c r="L6" s="581">
        <v>0</v>
      </c>
      <c r="M6" s="581">
        <v>988984</v>
      </c>
      <c r="N6" s="581">
        <v>0</v>
      </c>
      <c r="O6" s="581">
        <v>0</v>
      </c>
      <c r="P6" s="581">
        <v>0</v>
      </c>
      <c r="Q6" s="581">
        <v>0</v>
      </c>
      <c r="R6" s="581">
        <v>0</v>
      </c>
      <c r="S6" s="581">
        <v>0</v>
      </c>
      <c r="T6" s="581">
        <v>0</v>
      </c>
      <c r="U6" s="581">
        <v>0</v>
      </c>
      <c r="V6" s="581">
        <v>0</v>
      </c>
      <c r="W6" s="581">
        <v>0</v>
      </c>
    </row>
    <row r="7" spans="1:24" ht="16.5" customHeight="1" x14ac:dyDescent="0.2">
      <c r="A7" s="94" t="s">
        <v>1580</v>
      </c>
      <c r="B7" s="588">
        <f t="shared" si="0"/>
        <v>1000000</v>
      </c>
      <c r="C7" s="581">
        <v>0</v>
      </c>
      <c r="D7" s="581">
        <v>1000000</v>
      </c>
      <c r="E7" s="581">
        <v>0</v>
      </c>
      <c r="F7" s="581">
        <v>0</v>
      </c>
      <c r="G7" s="581">
        <v>0</v>
      </c>
      <c r="H7" s="581">
        <v>0</v>
      </c>
      <c r="I7" s="581">
        <v>0</v>
      </c>
      <c r="J7" s="581">
        <v>0</v>
      </c>
      <c r="K7" s="581">
        <v>0</v>
      </c>
      <c r="L7" s="581">
        <v>0</v>
      </c>
      <c r="M7" s="581">
        <v>0</v>
      </c>
      <c r="N7" s="581">
        <v>0</v>
      </c>
      <c r="O7" s="581">
        <v>0</v>
      </c>
      <c r="P7" s="581">
        <v>0</v>
      </c>
      <c r="Q7" s="581">
        <v>0</v>
      </c>
      <c r="R7" s="581">
        <v>0</v>
      </c>
      <c r="S7" s="581">
        <v>0</v>
      </c>
      <c r="T7" s="581">
        <v>0</v>
      </c>
      <c r="U7" s="581">
        <v>0</v>
      </c>
      <c r="V7" s="581">
        <v>0</v>
      </c>
      <c r="W7" s="581">
        <v>0</v>
      </c>
    </row>
    <row r="8" spans="1:24" ht="16.5" customHeight="1" x14ac:dyDescent="0.2">
      <c r="A8" s="94" t="s">
        <v>1480</v>
      </c>
      <c r="B8" s="588">
        <f t="shared" si="0"/>
        <v>1183636.8552960004</v>
      </c>
      <c r="C8" s="581">
        <v>0</v>
      </c>
      <c r="D8" s="581">
        <v>0</v>
      </c>
      <c r="E8" s="581">
        <v>0</v>
      </c>
      <c r="F8" s="581">
        <v>0</v>
      </c>
      <c r="G8" s="581">
        <v>0</v>
      </c>
      <c r="H8" s="581">
        <v>0</v>
      </c>
      <c r="I8" s="581">
        <v>0</v>
      </c>
      <c r="J8" s="581">
        <v>0</v>
      </c>
      <c r="K8" s="581">
        <v>0</v>
      </c>
      <c r="L8" s="581">
        <v>0</v>
      </c>
      <c r="M8" s="581">
        <v>0</v>
      </c>
      <c r="N8" s="581">
        <v>0</v>
      </c>
      <c r="O8" s="581">
        <v>0</v>
      </c>
      <c r="P8" s="581">
        <v>0</v>
      </c>
      <c r="Q8" s="581">
        <v>0</v>
      </c>
      <c r="R8" s="581">
        <v>0</v>
      </c>
      <c r="S8" s="581">
        <v>0</v>
      </c>
      <c r="T8" s="581">
        <f>'PGM Revenues JGH'!F19+'PGM Revenues JGH'!F20+'PGM Revenues JGH'!F21</f>
        <v>1183636.8552960004</v>
      </c>
      <c r="U8" s="581">
        <v>0</v>
      </c>
      <c r="V8" s="581">
        <v>0</v>
      </c>
      <c r="W8" s="581">
        <v>0</v>
      </c>
    </row>
    <row r="9" spans="1:24" ht="16.5" customHeight="1" x14ac:dyDescent="0.2">
      <c r="A9" s="27" t="s">
        <v>1565</v>
      </c>
      <c r="B9" s="589">
        <f t="shared" si="0"/>
        <v>500000</v>
      </c>
      <c r="C9" s="581">
        <v>0</v>
      </c>
      <c r="D9" s="581">
        <v>0</v>
      </c>
      <c r="E9" s="581">
        <v>0</v>
      </c>
      <c r="F9" s="581">
        <v>0</v>
      </c>
      <c r="G9" s="581">
        <f>'PGM Revenues JGH'!F4</f>
        <v>500000</v>
      </c>
      <c r="H9" s="581">
        <v>0</v>
      </c>
      <c r="I9" s="581">
        <v>0</v>
      </c>
      <c r="J9" s="581">
        <v>0</v>
      </c>
      <c r="K9" s="581">
        <v>0</v>
      </c>
      <c r="L9" s="581">
        <v>0</v>
      </c>
      <c r="M9" s="581">
        <v>0</v>
      </c>
      <c r="N9" s="581">
        <v>0</v>
      </c>
      <c r="O9" s="581">
        <v>0</v>
      </c>
      <c r="P9" s="581">
        <v>0</v>
      </c>
      <c r="Q9" s="581">
        <v>0</v>
      </c>
      <c r="R9" s="581">
        <v>0</v>
      </c>
      <c r="S9" s="581">
        <v>0</v>
      </c>
      <c r="T9" s="581">
        <v>0</v>
      </c>
      <c r="U9" s="581">
        <v>0</v>
      </c>
      <c r="V9" s="581">
        <v>0</v>
      </c>
      <c r="W9" s="581">
        <f>'PGM Revenues JGH'!F34</f>
        <v>0</v>
      </c>
    </row>
    <row r="10" spans="1:24" ht="16.5" customHeight="1" x14ac:dyDescent="0.2">
      <c r="A10" s="94" t="s">
        <v>1478</v>
      </c>
      <c r="B10" s="588">
        <f t="shared" si="0"/>
        <v>2123100</v>
      </c>
      <c r="C10" s="581">
        <v>0</v>
      </c>
      <c r="D10" s="581">
        <v>0</v>
      </c>
      <c r="E10" s="581">
        <v>0</v>
      </c>
      <c r="F10" s="581">
        <f>'PGM Revenues JGH'!F2+'PGM Revenues JGH'!F3</f>
        <v>2123100</v>
      </c>
      <c r="G10" s="581">
        <v>0</v>
      </c>
      <c r="H10" s="581">
        <v>0</v>
      </c>
      <c r="I10" s="581">
        <v>0</v>
      </c>
      <c r="J10" s="581">
        <v>0</v>
      </c>
      <c r="K10" s="581">
        <v>0</v>
      </c>
      <c r="L10" s="581">
        <v>0</v>
      </c>
      <c r="M10" s="581">
        <v>0</v>
      </c>
      <c r="N10" s="581">
        <v>0</v>
      </c>
      <c r="O10" s="581">
        <v>0</v>
      </c>
      <c r="P10" s="581">
        <v>0</v>
      </c>
      <c r="Q10" s="581">
        <v>0</v>
      </c>
      <c r="R10" s="581">
        <v>0</v>
      </c>
      <c r="S10" s="581">
        <v>0</v>
      </c>
      <c r="T10" s="581">
        <v>0</v>
      </c>
      <c r="U10" s="581">
        <v>0</v>
      </c>
      <c r="V10" s="581">
        <v>0</v>
      </c>
      <c r="W10" s="581">
        <v>0</v>
      </c>
    </row>
    <row r="11" spans="1:24" ht="16.5" customHeight="1" x14ac:dyDescent="0.2">
      <c r="A11" s="27" t="s">
        <v>1477</v>
      </c>
      <c r="B11" s="589">
        <f t="shared" si="0"/>
        <v>724000</v>
      </c>
      <c r="C11" s="581">
        <v>0</v>
      </c>
      <c r="D11" s="581">
        <v>0</v>
      </c>
      <c r="E11" s="581">
        <v>0</v>
      </c>
      <c r="F11" s="581">
        <f>'PGM Revenues JGH'!F5+'PGM Revenues JGH'!F6</f>
        <v>724000</v>
      </c>
      <c r="G11" s="581">
        <v>0</v>
      </c>
      <c r="H11" s="581">
        <v>0</v>
      </c>
      <c r="I11" s="581">
        <v>0</v>
      </c>
      <c r="J11" s="581">
        <v>0</v>
      </c>
      <c r="K11" s="581">
        <v>0</v>
      </c>
      <c r="L11" s="581">
        <v>0</v>
      </c>
      <c r="M11" s="581">
        <v>0</v>
      </c>
      <c r="N11" s="581">
        <v>0</v>
      </c>
      <c r="O11" s="581">
        <v>0</v>
      </c>
      <c r="P11" s="581">
        <v>0</v>
      </c>
      <c r="Q11" s="581">
        <v>0</v>
      </c>
      <c r="R11" s="581">
        <v>0</v>
      </c>
      <c r="S11" s="581">
        <v>0</v>
      </c>
      <c r="T11" s="581">
        <v>0</v>
      </c>
      <c r="U11" s="581">
        <v>0</v>
      </c>
      <c r="V11" s="581">
        <v>0</v>
      </c>
      <c r="W11" s="581">
        <v>0</v>
      </c>
    </row>
    <row r="12" spans="1:24" ht="16.5" customHeight="1" x14ac:dyDescent="0.2">
      <c r="A12" s="94" t="s">
        <v>918</v>
      </c>
      <c r="B12" s="588">
        <f t="shared" si="0"/>
        <v>1323264.3017916002</v>
      </c>
      <c r="C12" s="581">
        <v>0</v>
      </c>
      <c r="D12" s="581">
        <v>0</v>
      </c>
      <c r="E12" s="581">
        <v>0</v>
      </c>
      <c r="F12" s="581">
        <v>0</v>
      </c>
      <c r="G12" s="581">
        <v>0</v>
      </c>
      <c r="H12" s="581">
        <v>0</v>
      </c>
      <c r="I12" s="581">
        <f>SUM('PGM Revenues JGH'!F14:F17)</f>
        <v>1323264.3017916002</v>
      </c>
      <c r="J12" s="581">
        <v>0</v>
      </c>
      <c r="K12" s="581">
        <v>0</v>
      </c>
      <c r="L12" s="581">
        <v>0</v>
      </c>
      <c r="M12" s="581">
        <v>0</v>
      </c>
      <c r="N12" s="581">
        <v>0</v>
      </c>
      <c r="O12" s="581">
        <v>0</v>
      </c>
      <c r="P12" s="581">
        <v>0</v>
      </c>
      <c r="Q12" s="581">
        <v>0</v>
      </c>
      <c r="R12" s="581">
        <v>0</v>
      </c>
      <c r="S12" s="581">
        <v>0</v>
      </c>
      <c r="T12" s="581">
        <v>0</v>
      </c>
      <c r="U12" s="581">
        <v>0</v>
      </c>
      <c r="V12" s="581">
        <v>0</v>
      </c>
      <c r="W12" s="581">
        <v>0</v>
      </c>
      <c r="X12" s="280"/>
    </row>
    <row r="13" spans="1:24" ht="16.5" customHeight="1" x14ac:dyDescent="0.2">
      <c r="A13" s="94" t="s">
        <v>1518</v>
      </c>
      <c r="B13" s="588">
        <f t="shared" si="0"/>
        <v>4047912</v>
      </c>
      <c r="C13" s="581">
        <v>0</v>
      </c>
      <c r="D13" s="581">
        <v>0</v>
      </c>
      <c r="E13" s="581">
        <v>0</v>
      </c>
      <c r="F13" s="581">
        <v>0</v>
      </c>
      <c r="G13" s="581">
        <v>0</v>
      </c>
      <c r="H13" s="581">
        <v>0</v>
      </c>
      <c r="I13" s="581">
        <v>0</v>
      </c>
      <c r="J13" s="581">
        <v>0</v>
      </c>
      <c r="K13" s="581">
        <v>0</v>
      </c>
      <c r="L13" s="581">
        <v>0</v>
      </c>
      <c r="M13" s="581">
        <v>0</v>
      </c>
      <c r="N13" s="581">
        <v>0</v>
      </c>
      <c r="O13" s="581">
        <v>0</v>
      </c>
      <c r="P13" s="581">
        <v>0</v>
      </c>
      <c r="Q13" s="581">
        <v>0</v>
      </c>
      <c r="R13" s="581">
        <v>0</v>
      </c>
      <c r="S13" s="581">
        <v>0</v>
      </c>
      <c r="T13" s="581">
        <v>0</v>
      </c>
      <c r="U13" s="581">
        <f>'PGM Revenues JGH'!F18</f>
        <v>4047912</v>
      </c>
      <c r="V13" s="581">
        <v>0</v>
      </c>
      <c r="W13" s="581">
        <v>0</v>
      </c>
    </row>
    <row r="14" spans="1:24" ht="16.5" customHeight="1" x14ac:dyDescent="0.2">
      <c r="A14" s="94" t="s">
        <v>1476</v>
      </c>
      <c r="B14" s="588">
        <f t="shared" si="0"/>
        <v>58400</v>
      </c>
      <c r="C14" s="581">
        <v>0</v>
      </c>
      <c r="D14" s="581">
        <v>0</v>
      </c>
      <c r="E14" s="581">
        <v>0</v>
      </c>
      <c r="F14" s="581">
        <v>0</v>
      </c>
      <c r="G14" s="581">
        <v>0</v>
      </c>
      <c r="H14" s="581">
        <v>0</v>
      </c>
      <c r="I14" s="581">
        <v>0</v>
      </c>
      <c r="J14" s="581">
        <v>0</v>
      </c>
      <c r="K14" s="581">
        <v>0</v>
      </c>
      <c r="L14" s="581">
        <v>0</v>
      </c>
      <c r="M14" s="581">
        <v>0</v>
      </c>
      <c r="N14" s="581">
        <f>'PGM Revenues JGH'!F11</f>
        <v>58400</v>
      </c>
      <c r="O14" s="581">
        <v>0</v>
      </c>
      <c r="P14" s="581">
        <v>0</v>
      </c>
      <c r="Q14" s="581">
        <v>0</v>
      </c>
      <c r="R14" s="581">
        <v>0</v>
      </c>
      <c r="S14" s="581">
        <v>0</v>
      </c>
      <c r="T14" s="581">
        <v>0</v>
      </c>
      <c r="U14" s="581">
        <v>0</v>
      </c>
      <c r="V14" s="581">
        <v>0</v>
      </c>
      <c r="W14" s="581">
        <v>0</v>
      </c>
    </row>
    <row r="15" spans="1:24" ht="16.5" customHeight="1" x14ac:dyDescent="0.2">
      <c r="A15" s="94" t="s">
        <v>1475</v>
      </c>
      <c r="B15" s="588">
        <f t="shared" si="0"/>
        <v>1261000</v>
      </c>
      <c r="C15" s="581">
        <v>0</v>
      </c>
      <c r="D15" s="581">
        <v>0</v>
      </c>
      <c r="E15" s="581">
        <v>0</v>
      </c>
      <c r="F15" s="581">
        <v>0</v>
      </c>
      <c r="G15" s="581">
        <v>0</v>
      </c>
      <c r="H15" s="581">
        <v>0</v>
      </c>
      <c r="I15" s="581">
        <v>0</v>
      </c>
      <c r="J15" s="581">
        <v>0</v>
      </c>
      <c r="K15" s="581">
        <v>0</v>
      </c>
      <c r="L15" s="581">
        <v>0</v>
      </c>
      <c r="M15" s="581">
        <v>0</v>
      </c>
      <c r="N15" s="581">
        <f>'PGM Revenues JGH'!F12+'PGM Revenues JGH'!F13</f>
        <v>1261000</v>
      </c>
      <c r="O15" s="581">
        <v>0</v>
      </c>
      <c r="P15" s="581">
        <v>0</v>
      </c>
      <c r="Q15" s="581">
        <v>0</v>
      </c>
      <c r="R15" s="581">
        <v>0</v>
      </c>
      <c r="S15" s="581">
        <v>0</v>
      </c>
      <c r="T15" s="581">
        <v>0</v>
      </c>
      <c r="U15" s="581">
        <v>0</v>
      </c>
      <c r="V15" s="581">
        <v>0</v>
      </c>
      <c r="W15" s="581">
        <v>0</v>
      </c>
    </row>
    <row r="16" spans="1:24" ht="16.5" customHeight="1" x14ac:dyDescent="0.2">
      <c r="A16" s="94" t="s">
        <v>430</v>
      </c>
      <c r="B16" s="588">
        <f t="shared" si="0"/>
        <v>4153067.6876848061</v>
      </c>
      <c r="C16" s="581">
        <v>0</v>
      </c>
      <c r="D16" s="581">
        <v>0</v>
      </c>
      <c r="E16" s="581">
        <v>0</v>
      </c>
      <c r="F16" s="581">
        <f>'PGM Revenues JGH'!I10</f>
        <v>1268566.6326061764</v>
      </c>
      <c r="G16" s="581">
        <v>0</v>
      </c>
      <c r="H16" s="581">
        <v>2674823</v>
      </c>
      <c r="I16" s="581">
        <v>0</v>
      </c>
      <c r="J16" s="581">
        <v>0</v>
      </c>
      <c r="K16" s="581">
        <v>0</v>
      </c>
      <c r="L16" s="581">
        <v>0</v>
      </c>
      <c r="M16" s="581">
        <f>'PGM Revenues JGH'!K10</f>
        <v>122423.20433828951</v>
      </c>
      <c r="N16" s="581">
        <f>'PGM Revenues JGH'!L10</f>
        <v>87254.850740339869</v>
      </c>
      <c r="O16" s="581">
        <v>0</v>
      </c>
      <c r="P16" s="581">
        <v>0</v>
      </c>
      <c r="Q16" s="581">
        <v>0</v>
      </c>
      <c r="R16" s="581">
        <v>0</v>
      </c>
      <c r="S16" s="581">
        <v>0</v>
      </c>
      <c r="T16" s="581">
        <v>0</v>
      </c>
      <c r="U16" s="581">
        <v>0</v>
      </c>
      <c r="V16" s="581">
        <v>0</v>
      </c>
      <c r="W16" s="581">
        <v>0</v>
      </c>
    </row>
    <row r="17" spans="1:23" ht="16.5" hidden="1" customHeight="1" x14ac:dyDescent="0.2">
      <c r="A17" s="94" t="s">
        <v>1371</v>
      </c>
      <c r="B17" s="588">
        <f t="shared" si="0"/>
        <v>0</v>
      </c>
      <c r="C17" s="581">
        <v>0</v>
      </c>
      <c r="D17" s="581">
        <v>0</v>
      </c>
      <c r="E17" s="581">
        <v>0</v>
      </c>
      <c r="F17" s="581">
        <v>0</v>
      </c>
      <c r="G17" s="581">
        <v>0</v>
      </c>
      <c r="H17" s="581">
        <v>0</v>
      </c>
      <c r="I17" s="581">
        <v>0</v>
      </c>
      <c r="J17" s="581">
        <v>0</v>
      </c>
      <c r="K17" s="581">
        <f>'PGM Revenues JGH'!F30</f>
        <v>0</v>
      </c>
      <c r="L17" s="581">
        <v>0</v>
      </c>
      <c r="M17" s="581">
        <v>0</v>
      </c>
      <c r="N17" s="581">
        <v>0</v>
      </c>
      <c r="O17" s="581">
        <v>0</v>
      </c>
      <c r="P17" s="581">
        <v>0</v>
      </c>
      <c r="Q17" s="581">
        <v>0</v>
      </c>
      <c r="R17" s="581">
        <v>0</v>
      </c>
      <c r="S17" s="581">
        <v>0</v>
      </c>
      <c r="T17" s="581">
        <v>0</v>
      </c>
      <c r="U17" s="581">
        <v>0</v>
      </c>
      <c r="V17" s="581">
        <v>0</v>
      </c>
      <c r="W17" s="581">
        <v>0</v>
      </c>
    </row>
    <row r="18" spans="1:23" ht="16.5" customHeight="1" x14ac:dyDescent="0.2">
      <c r="A18" s="27" t="s">
        <v>166</v>
      </c>
      <c r="B18" s="589">
        <f>SUM(C18:W18)</f>
        <v>75945.48</v>
      </c>
      <c r="C18" s="582">
        <f>'PGM Revenues JGH'!F31</f>
        <v>2500</v>
      </c>
      <c r="D18" s="582">
        <v>0</v>
      </c>
      <c r="E18" s="582">
        <v>0</v>
      </c>
      <c r="F18" s="582">
        <v>0</v>
      </c>
      <c r="G18" s="582">
        <f>'PGM Revenues JGH'!F33</f>
        <v>3400</v>
      </c>
      <c r="H18" s="582">
        <v>0</v>
      </c>
      <c r="I18" s="582">
        <v>0</v>
      </c>
      <c r="J18" s="582">
        <v>0</v>
      </c>
      <c r="K18" s="582">
        <f>'PGM Revenues JGH'!F36+'PGM Revenues JGH'!F37</f>
        <v>69045.48</v>
      </c>
      <c r="L18" s="582">
        <v>0</v>
      </c>
      <c r="M18" s="582">
        <v>0</v>
      </c>
      <c r="N18" s="582">
        <v>0</v>
      </c>
      <c r="O18" s="582">
        <v>0</v>
      </c>
      <c r="P18" s="582">
        <v>0</v>
      </c>
      <c r="Q18" s="582">
        <f>'PGM Revenues JGH'!F32</f>
        <v>1000</v>
      </c>
      <c r="R18" s="582">
        <v>0</v>
      </c>
      <c r="S18" s="582">
        <v>0</v>
      </c>
      <c r="T18" s="582">
        <v>0</v>
      </c>
      <c r="U18" s="582">
        <v>0</v>
      </c>
      <c r="V18" s="582">
        <v>0</v>
      </c>
      <c r="W18" s="582">
        <f>'PGM Revenues JGH'!F35</f>
        <v>0</v>
      </c>
    </row>
    <row r="19" spans="1:23" ht="16.5" customHeight="1" thickBot="1" x14ac:dyDescent="0.25">
      <c r="A19" s="98" t="s">
        <v>270</v>
      </c>
      <c r="B19" s="595">
        <f>SUM(B5:B18)</f>
        <v>18939310.324772406</v>
      </c>
      <c r="C19" s="583">
        <f t="shared" ref="C19:W19" si="1">SUM(C5:C18)</f>
        <v>2500</v>
      </c>
      <c r="D19" s="583">
        <f t="shared" si="1"/>
        <v>1000000</v>
      </c>
      <c r="E19" s="583">
        <f t="shared" si="1"/>
        <v>0</v>
      </c>
      <c r="F19" s="583">
        <f t="shared" si="1"/>
        <v>5615666.6326061767</v>
      </c>
      <c r="G19" s="583">
        <f t="shared" si="1"/>
        <v>503400</v>
      </c>
      <c r="H19" s="583">
        <f t="shared" si="1"/>
        <v>2674823</v>
      </c>
      <c r="I19" s="583">
        <f t="shared" si="1"/>
        <v>1323264.3017916002</v>
      </c>
      <c r="J19" s="583">
        <f t="shared" si="1"/>
        <v>0</v>
      </c>
      <c r="K19" s="583">
        <f t="shared" si="1"/>
        <v>69045.48</v>
      </c>
      <c r="L19" s="583">
        <f t="shared" si="1"/>
        <v>0</v>
      </c>
      <c r="M19" s="583">
        <f t="shared" si="1"/>
        <v>1111407.2043382896</v>
      </c>
      <c r="N19" s="583">
        <f t="shared" si="1"/>
        <v>1406654.8507403398</v>
      </c>
      <c r="O19" s="583">
        <f t="shared" si="1"/>
        <v>0</v>
      </c>
      <c r="P19" s="583">
        <f t="shared" si="1"/>
        <v>0</v>
      </c>
      <c r="Q19" s="583">
        <f t="shared" si="1"/>
        <v>1000</v>
      </c>
      <c r="R19" s="583">
        <f t="shared" si="1"/>
        <v>0</v>
      </c>
      <c r="S19" s="583">
        <f t="shared" si="1"/>
        <v>0</v>
      </c>
      <c r="T19" s="583">
        <f t="shared" si="1"/>
        <v>1183636.8552960004</v>
      </c>
      <c r="U19" s="583">
        <f t="shared" si="1"/>
        <v>4047912</v>
      </c>
      <c r="V19" s="583">
        <f t="shared" si="1"/>
        <v>0</v>
      </c>
      <c r="W19" s="583">
        <f t="shared" si="1"/>
        <v>0</v>
      </c>
    </row>
    <row r="20" spans="1:23" x14ac:dyDescent="0.2">
      <c r="B20" s="616"/>
      <c r="C20" s="575"/>
      <c r="D20" s="575"/>
      <c r="E20" s="575"/>
      <c r="F20" s="575"/>
      <c r="G20" s="575"/>
      <c r="H20" s="575"/>
      <c r="I20" s="575"/>
      <c r="J20" s="575"/>
      <c r="K20" s="575"/>
      <c r="L20" s="575"/>
      <c r="M20" s="575"/>
      <c r="N20" s="575"/>
      <c r="O20" s="575"/>
      <c r="P20" s="575"/>
      <c r="Q20" s="575"/>
      <c r="R20" s="575"/>
      <c r="S20" s="575"/>
      <c r="T20" s="575"/>
      <c r="U20" s="575"/>
      <c r="V20" s="575"/>
      <c r="W20" s="575"/>
    </row>
    <row r="21" spans="1:23" ht="18" x14ac:dyDescent="0.25">
      <c r="A21" s="93" t="s">
        <v>271</v>
      </c>
      <c r="B21" s="573"/>
      <c r="C21" s="575"/>
      <c r="D21" s="575"/>
      <c r="E21" s="575"/>
      <c r="F21" s="575"/>
      <c r="G21" s="575"/>
      <c r="H21" s="575"/>
      <c r="I21" s="575"/>
      <c r="J21" s="575"/>
      <c r="K21" s="575"/>
      <c r="L21" s="575"/>
      <c r="M21" s="575"/>
      <c r="N21" s="575"/>
      <c r="O21" s="575"/>
      <c r="P21" s="575"/>
      <c r="Q21" s="575"/>
      <c r="R21" s="575"/>
      <c r="S21" s="575"/>
      <c r="T21" s="575"/>
      <c r="U21" s="575"/>
      <c r="V21" s="575"/>
      <c r="W21" s="575"/>
    </row>
    <row r="22" spans="1:23" ht="16.5" customHeight="1" x14ac:dyDescent="0.2">
      <c r="A22" s="94" t="s">
        <v>272</v>
      </c>
      <c r="B22" s="588">
        <f>SUM(C22:W22)</f>
        <v>13723801.184067201</v>
      </c>
      <c r="C22" s="580">
        <f>'Total Expenses'!D5</f>
        <v>1216800.2260415996</v>
      </c>
      <c r="D22" s="580">
        <f>'Total Expenses'!D9</f>
        <v>417493.89440000005</v>
      </c>
      <c r="E22" s="580">
        <f>'Total Expenses'!D6</f>
        <v>7104.9</v>
      </c>
      <c r="F22" s="581">
        <f>'Total Expenses'!D22</f>
        <v>1078157.3826000001</v>
      </c>
      <c r="G22" s="580">
        <f>'Total Expenses'!D8</f>
        <v>1306166.4070032004</v>
      </c>
      <c r="H22" s="580">
        <f>'Total Expenses'!D10</f>
        <v>476520.7680000001</v>
      </c>
      <c r="I22" s="580">
        <f>'Total Expenses'!D11</f>
        <v>980608.33600000013</v>
      </c>
      <c r="J22" s="580">
        <f>'Total Expenses'!D12</f>
        <v>336737.48080000019</v>
      </c>
      <c r="K22" s="580">
        <f>'Total Expenses'!D14</f>
        <v>2040935.4890624001</v>
      </c>
      <c r="L22" s="580">
        <f>'Total Expenses'!D13</f>
        <v>477886.84160000004</v>
      </c>
      <c r="M22" s="580">
        <f>'Total Expenses'!D15</f>
        <v>991157.69279999984</v>
      </c>
      <c r="N22" s="580">
        <f>'Total Expenses'!D23</f>
        <v>875537.46880000026</v>
      </c>
      <c r="O22" s="580">
        <f>'Total Expenses'!D16</f>
        <v>488351.64160000003</v>
      </c>
      <c r="P22" s="580">
        <f>'Total Expenses'!D17</f>
        <v>523669.98080000025</v>
      </c>
      <c r="Q22" s="580">
        <f>'Total Expenses'!D19</f>
        <v>194531.11999999997</v>
      </c>
      <c r="R22" s="580">
        <f>'Total Expenses'!D21</f>
        <v>254124.35536000005</v>
      </c>
      <c r="S22" s="580">
        <f>'Total Expenses'!D7</f>
        <v>94632.297600000005</v>
      </c>
      <c r="T22" s="580">
        <f>'Total Expenses'!D18</f>
        <v>945493.46159999992</v>
      </c>
      <c r="U22" s="580">
        <f>'Total Expenses'!D20</f>
        <v>255195.23200000002</v>
      </c>
      <c r="V22" s="580">
        <f>'Total Expenses'!D24</f>
        <v>762696.20799999987</v>
      </c>
      <c r="W22" s="580">
        <v>0</v>
      </c>
    </row>
    <row r="23" spans="1:23" ht="16.5" customHeight="1" x14ac:dyDescent="0.2">
      <c r="A23" s="94" t="s">
        <v>273</v>
      </c>
      <c r="B23" s="588">
        <f t="shared" ref="B23:B30" si="2">SUM(C23:W23)</f>
        <v>257796</v>
      </c>
      <c r="C23" s="580">
        <f>'Total Expenses'!G5</f>
        <v>0</v>
      </c>
      <c r="D23" s="580">
        <f>'Total Expenses'!G9</f>
        <v>5500</v>
      </c>
      <c r="E23" s="580">
        <v>30000</v>
      </c>
      <c r="F23" s="581">
        <f>'Total Expenses'!G22</f>
        <v>39919</v>
      </c>
      <c r="G23" s="580">
        <f>'Total Expenses'!G8</f>
        <v>48000</v>
      </c>
      <c r="H23" s="580">
        <f>'Total Expenses'!G10</f>
        <v>8000</v>
      </c>
      <c r="I23" s="580">
        <f>'Total Expenses'!G11</f>
        <v>25590</v>
      </c>
      <c r="J23" s="580">
        <f>'Total Expenses'!G12</f>
        <v>0</v>
      </c>
      <c r="K23" s="580">
        <f>'Total Expenses'!G14</f>
        <v>44500</v>
      </c>
      <c r="L23" s="580">
        <v>1500</v>
      </c>
      <c r="M23" s="580">
        <v>25000</v>
      </c>
      <c r="N23" s="580">
        <f>'Total Expenses'!G23</f>
        <v>0</v>
      </c>
      <c r="O23" s="580">
        <f>'Total Expenses'!G16</f>
        <v>8772</v>
      </c>
      <c r="P23" s="580">
        <v>1000</v>
      </c>
      <c r="Q23" s="580">
        <f>'Total Expenses'!G19</f>
        <v>0</v>
      </c>
      <c r="R23" s="580">
        <f>'Total Expenses'!G21</f>
        <v>1150</v>
      </c>
      <c r="S23" s="580">
        <f>'Total Expenses'!G7</f>
        <v>600</v>
      </c>
      <c r="T23" s="580">
        <f>'Total Expenses'!G18</f>
        <v>11645</v>
      </c>
      <c r="U23" s="580">
        <f>'Total Expenses'!G20</f>
        <v>6620</v>
      </c>
      <c r="V23" s="580">
        <f>'Total Expenses'!G24</f>
        <v>0</v>
      </c>
      <c r="W23" s="580">
        <v>0</v>
      </c>
    </row>
    <row r="24" spans="1:23" ht="16.5" customHeight="1" x14ac:dyDescent="0.2">
      <c r="A24" s="94" t="s">
        <v>274</v>
      </c>
      <c r="B24" s="588">
        <f t="shared" si="2"/>
        <v>1253852.8900000001</v>
      </c>
      <c r="C24" s="580">
        <f>'Total Expenses'!H5</f>
        <v>67607</v>
      </c>
      <c r="D24" s="580">
        <f>'Total Expenses'!H9</f>
        <v>1500</v>
      </c>
      <c r="E24" s="580">
        <f>'Total Expenses'!H6</f>
        <v>0</v>
      </c>
      <c r="F24" s="581">
        <f>'Total Expenses'!H22</f>
        <v>37668.03</v>
      </c>
      <c r="G24" s="580">
        <f>'Total Expenses'!H8</f>
        <v>11300</v>
      </c>
      <c r="H24" s="580">
        <f>'Total Expenses'!H10</f>
        <v>19086.02</v>
      </c>
      <c r="I24" s="580">
        <f>'Total Expenses'!H11</f>
        <v>174789</v>
      </c>
      <c r="J24" s="580">
        <f>'Total Expenses'!H12</f>
        <v>51548</v>
      </c>
      <c r="K24" s="580">
        <f>'Total Expenses'!H14</f>
        <v>618.01</v>
      </c>
      <c r="L24" s="580">
        <f>'Total Expenses'!H13</f>
        <v>14300</v>
      </c>
      <c r="M24" s="580">
        <f>'Total Expenses'!H15</f>
        <v>4326.01</v>
      </c>
      <c r="N24" s="580">
        <f>'Total Expenses'!H23</f>
        <v>1945</v>
      </c>
      <c r="O24" s="580">
        <f>'Total Expenses'!H16</f>
        <v>2085</v>
      </c>
      <c r="P24" s="580">
        <f>'Total Expenses'!H17</f>
        <v>3010</v>
      </c>
      <c r="Q24" s="580">
        <f>'Total Expenses'!H19</f>
        <v>68745</v>
      </c>
      <c r="R24" s="580">
        <f>'Total Expenses'!H21</f>
        <v>9975</v>
      </c>
      <c r="S24" s="580">
        <f>'Total Expenses'!H7</f>
        <v>46650</v>
      </c>
      <c r="T24" s="580">
        <f>'Total Expenses'!H18</f>
        <v>55995.12</v>
      </c>
      <c r="U24" s="580">
        <f>'Total Expenses'!H20</f>
        <v>330</v>
      </c>
      <c r="V24" s="580">
        <f>'Total Expenses'!H24</f>
        <v>682375.7</v>
      </c>
      <c r="W24" s="580">
        <v>0</v>
      </c>
    </row>
    <row r="25" spans="1:23" ht="16.5" customHeight="1" x14ac:dyDescent="0.2">
      <c r="A25" s="27" t="s">
        <v>275</v>
      </c>
      <c r="B25" s="589">
        <f t="shared" si="2"/>
        <v>577306.77</v>
      </c>
      <c r="C25" s="580">
        <f>'Total Expenses'!K5</f>
        <v>0</v>
      </c>
      <c r="D25" s="580">
        <f>'Total Expenses'!K9</f>
        <v>0</v>
      </c>
      <c r="E25" s="580">
        <f>'Total Expenses'!K6</f>
        <v>0</v>
      </c>
      <c r="F25" s="581">
        <f>'Total Expenses'!K22</f>
        <v>0</v>
      </c>
      <c r="G25" s="580">
        <f>'Total Expenses'!K8</f>
        <v>0</v>
      </c>
      <c r="H25" s="580">
        <f>'Total Expenses'!K10</f>
        <v>0</v>
      </c>
      <c r="I25" s="580">
        <f>'Total Expenses'!K11</f>
        <v>0</v>
      </c>
      <c r="J25" s="580">
        <f>'Total Expenses'!K12</f>
        <v>0</v>
      </c>
      <c r="K25" s="580">
        <f>'Total Expenses'!K14</f>
        <v>0</v>
      </c>
      <c r="L25" s="580">
        <f>'Total Expenses'!K13</f>
        <v>0</v>
      </c>
      <c r="M25" s="580">
        <f>'Total Expenses'!K15</f>
        <v>0</v>
      </c>
      <c r="N25" s="580">
        <f>'Total Expenses'!K23</f>
        <v>0</v>
      </c>
      <c r="O25" s="580">
        <f>'Total Expenses'!K16</f>
        <v>0</v>
      </c>
      <c r="P25" s="580">
        <f>'Total Expenses'!K17</f>
        <v>0</v>
      </c>
      <c r="Q25" s="580">
        <f>'Total Expenses'!K19</f>
        <v>577306.77</v>
      </c>
      <c r="R25" s="580">
        <f>'Total Expenses'!K21</f>
        <v>0</v>
      </c>
      <c r="S25" s="580">
        <f>'Total Expenses'!K7</f>
        <v>0</v>
      </c>
      <c r="T25" s="580">
        <f>'Total Expenses'!K18</f>
        <v>0</v>
      </c>
      <c r="U25" s="580">
        <f>'Total Expenses'!K20</f>
        <v>0</v>
      </c>
      <c r="V25" s="580">
        <f>'Total Expenses'!K24</f>
        <v>0</v>
      </c>
      <c r="W25" s="580">
        <v>0</v>
      </c>
    </row>
    <row r="26" spans="1:23" ht="16.5" customHeight="1" x14ac:dyDescent="0.2">
      <c r="A26" s="94" t="s">
        <v>276</v>
      </c>
      <c r="B26" s="588">
        <f t="shared" si="2"/>
        <v>122340</v>
      </c>
      <c r="C26" s="580">
        <f>'Total Expenses'!I5</f>
        <v>1500</v>
      </c>
      <c r="D26" s="580">
        <f>'Total Expenses'!I9</f>
        <v>1000</v>
      </c>
      <c r="E26" s="580">
        <f>'Total Expenses'!I6</f>
        <v>18100</v>
      </c>
      <c r="F26" s="581">
        <f>'Total Expenses'!I22</f>
        <v>3150</v>
      </c>
      <c r="G26" s="580">
        <f>'Total Expenses'!I8</f>
        <v>7000</v>
      </c>
      <c r="H26" s="580">
        <f>'Total Expenses'!I10</f>
        <v>1300</v>
      </c>
      <c r="I26" s="580">
        <f>'Total Expenses'!I11</f>
        <v>5050</v>
      </c>
      <c r="J26" s="580">
        <f>'Total Expenses'!I12</f>
        <v>100</v>
      </c>
      <c r="K26" s="580">
        <f>'Total Expenses'!I14</f>
        <v>13500</v>
      </c>
      <c r="L26" s="580">
        <f>'Total Expenses'!I13</f>
        <v>1500</v>
      </c>
      <c r="M26" s="580">
        <f>'Total Expenses'!I15</f>
        <v>8550</v>
      </c>
      <c r="N26" s="580">
        <f>'Total Expenses'!I23</f>
        <v>4900</v>
      </c>
      <c r="O26" s="580">
        <f>'Total Expenses'!I16</f>
        <v>10550</v>
      </c>
      <c r="P26" s="580">
        <f>'Total Expenses'!I17</f>
        <v>1500</v>
      </c>
      <c r="Q26" s="580">
        <f>'Total Expenses'!I19</f>
        <v>38230</v>
      </c>
      <c r="R26" s="580">
        <f>'Total Expenses'!I21</f>
        <v>300</v>
      </c>
      <c r="S26" s="580">
        <f>'Total Expenses'!I7</f>
        <v>250</v>
      </c>
      <c r="T26" s="580">
        <f>'Total Expenses'!I18</f>
        <v>2610</v>
      </c>
      <c r="U26" s="580">
        <f>'Total Expenses'!I20</f>
        <v>2750</v>
      </c>
      <c r="V26" s="580">
        <f>'Total Expenses'!I24</f>
        <v>500</v>
      </c>
      <c r="W26" s="580">
        <v>0</v>
      </c>
    </row>
    <row r="27" spans="1:23" ht="16.5" customHeight="1" x14ac:dyDescent="0.2">
      <c r="A27" s="27" t="s">
        <v>277</v>
      </c>
      <c r="B27" s="589">
        <f t="shared" si="2"/>
        <v>270240</v>
      </c>
      <c r="C27" s="580">
        <f>'Total Expenses'!J5</f>
        <v>246490</v>
      </c>
      <c r="D27" s="580">
        <f>'Total Expenses'!J9</f>
        <v>0</v>
      </c>
      <c r="E27" s="580">
        <f>'Total Expenses'!J6</f>
        <v>0</v>
      </c>
      <c r="F27" s="581">
        <f>'Total Expenses'!J22</f>
        <v>0</v>
      </c>
      <c r="G27" s="580">
        <f>'Total Expenses'!J8</f>
        <v>0</v>
      </c>
      <c r="H27" s="580">
        <f>'Total Expenses'!J10</f>
        <v>0</v>
      </c>
      <c r="I27" s="580">
        <f>'Total Expenses'!J11</f>
        <v>0</v>
      </c>
      <c r="J27" s="580">
        <f>'Total Expenses'!J12</f>
        <v>0</v>
      </c>
      <c r="K27" s="580">
        <f>'Total Expenses'!J14</f>
        <v>0</v>
      </c>
      <c r="L27" s="580">
        <f>'Total Expenses'!J13</f>
        <v>0</v>
      </c>
      <c r="M27" s="580">
        <f>'Total Expenses'!J15</f>
        <v>0</v>
      </c>
      <c r="N27" s="580">
        <f>'Total Expenses'!J23</f>
        <v>0</v>
      </c>
      <c r="O27" s="580">
        <f>'Total Expenses'!J16</f>
        <v>0</v>
      </c>
      <c r="P27" s="580">
        <f>'Total Expenses'!J17</f>
        <v>0</v>
      </c>
      <c r="Q27" s="580">
        <f>'Total Expenses'!J19</f>
        <v>0</v>
      </c>
      <c r="R27" s="580">
        <f>'Total Expenses'!J21</f>
        <v>0</v>
      </c>
      <c r="S27" s="580">
        <f>'Total Expenses'!J7</f>
        <v>0</v>
      </c>
      <c r="T27" s="580">
        <f>'Total Expenses'!J18</f>
        <v>23750</v>
      </c>
      <c r="U27" s="580">
        <f>'Total Expenses'!J20</f>
        <v>0</v>
      </c>
      <c r="V27" s="580">
        <f>'Total Expenses'!J24</f>
        <v>0</v>
      </c>
      <c r="W27" s="580">
        <v>0</v>
      </c>
    </row>
    <row r="28" spans="1:23" ht="16.5" customHeight="1" x14ac:dyDescent="0.2">
      <c r="A28" s="94" t="s">
        <v>223</v>
      </c>
      <c r="B28" s="588">
        <f t="shared" si="2"/>
        <v>51500</v>
      </c>
      <c r="C28" s="580">
        <f>'Total Expenses'!F5</f>
        <v>0</v>
      </c>
      <c r="D28" s="580">
        <f>'Total Expenses'!F9</f>
        <v>0</v>
      </c>
      <c r="E28" s="580">
        <f>'Total Expenses'!F6</f>
        <v>0</v>
      </c>
      <c r="F28" s="581">
        <f>'Total Expenses'!F22</f>
        <v>0</v>
      </c>
      <c r="G28" s="580">
        <f>'Total Expenses'!F8</f>
        <v>0</v>
      </c>
      <c r="H28" s="580">
        <f>'Total Expenses'!F10</f>
        <v>0</v>
      </c>
      <c r="I28" s="580">
        <f>'Total Expenses'!F11</f>
        <v>0</v>
      </c>
      <c r="J28" s="580">
        <f>'Total Expenses'!F12</f>
        <v>0</v>
      </c>
      <c r="K28" s="580">
        <f>'Total Expenses'!F14</f>
        <v>0</v>
      </c>
      <c r="L28" s="580">
        <f>'Total Expenses'!F13</f>
        <v>50000</v>
      </c>
      <c r="M28" s="580">
        <f>'Total Expenses'!F15</f>
        <v>0</v>
      </c>
      <c r="N28" s="580">
        <f>'Total Expenses'!F23</f>
        <v>0</v>
      </c>
      <c r="O28" s="580">
        <f>'Total Expenses'!F16</f>
        <v>1500</v>
      </c>
      <c r="P28" s="580">
        <f>'Total Expenses'!F17</f>
        <v>0</v>
      </c>
      <c r="Q28" s="580">
        <f>'Total Expenses'!F19</f>
        <v>0</v>
      </c>
      <c r="R28" s="580">
        <f>'Total Expenses'!F21</f>
        <v>0</v>
      </c>
      <c r="S28" s="580">
        <f>'Total Expenses'!F7</f>
        <v>0</v>
      </c>
      <c r="T28" s="580">
        <f>'Total Expenses'!F18</f>
        <v>0</v>
      </c>
      <c r="U28" s="580">
        <f>'Total Expenses'!F20</f>
        <v>0</v>
      </c>
      <c r="V28" s="580">
        <f>'Total Expenses'!F24</f>
        <v>0</v>
      </c>
      <c r="W28" s="580">
        <v>0</v>
      </c>
    </row>
    <row r="29" spans="1:23" ht="16.5" customHeight="1" x14ac:dyDescent="0.2">
      <c r="A29" s="27" t="s">
        <v>278</v>
      </c>
      <c r="B29" s="589">
        <f t="shared" si="2"/>
        <v>2209017</v>
      </c>
      <c r="C29" s="580">
        <f>'Total Expenses'!E5</f>
        <v>4427</v>
      </c>
      <c r="D29" s="580">
        <f>'Total Expenses'!E9</f>
        <v>325305</v>
      </c>
      <c r="E29" s="580">
        <f>'Total Expenses'!E6</f>
        <v>6000</v>
      </c>
      <c r="F29" s="581">
        <f>'Total Expenses'!E22</f>
        <v>843350</v>
      </c>
      <c r="G29" s="580">
        <f>'Total Expenses'!E8</f>
        <v>0</v>
      </c>
      <c r="H29" s="580">
        <f>'Total Expenses'!E10</f>
        <v>452600.79999999987</v>
      </c>
      <c r="I29" s="580">
        <f>'Total Expenses'!E11</f>
        <v>3000</v>
      </c>
      <c r="J29" s="580">
        <f>'Total Expenses'!E12</f>
        <v>104000</v>
      </c>
      <c r="K29" s="580">
        <f>'Total Expenses'!E14</f>
        <v>0</v>
      </c>
      <c r="L29" s="580">
        <f>'Total Expenses'!E13</f>
        <v>0</v>
      </c>
      <c r="M29" s="580">
        <f>'Total Expenses'!E15</f>
        <v>130430</v>
      </c>
      <c r="N29" s="580">
        <f>'Total Expenses'!E23</f>
        <v>35745</v>
      </c>
      <c r="O29" s="580">
        <f>'Total Expenses'!E16</f>
        <v>120436.35</v>
      </c>
      <c r="P29" s="580">
        <f>'Total Expenses'!E17</f>
        <v>20000</v>
      </c>
      <c r="Q29" s="580">
        <f>'Total Expenses'!E19</f>
        <v>3000</v>
      </c>
      <c r="R29" s="580">
        <f>'Total Expenses'!E21</f>
        <v>85000</v>
      </c>
      <c r="S29" s="580">
        <f>'Total Expenses'!E7</f>
        <v>43000</v>
      </c>
      <c r="T29" s="580">
        <f>'Total Expenses'!E18</f>
        <v>10972.849999999999</v>
      </c>
      <c r="U29" s="580">
        <f>'Total Expenses'!E20</f>
        <v>11750</v>
      </c>
      <c r="V29" s="580">
        <f>'Total Expenses'!E24</f>
        <v>10000</v>
      </c>
      <c r="W29" s="580">
        <v>0</v>
      </c>
    </row>
    <row r="30" spans="1:23" ht="16.5" hidden="1" customHeight="1" x14ac:dyDescent="0.2">
      <c r="A30" s="27" t="s">
        <v>1371</v>
      </c>
      <c r="B30" s="589">
        <f t="shared" si="2"/>
        <v>0</v>
      </c>
      <c r="C30" s="580">
        <v>0</v>
      </c>
      <c r="D30" s="580">
        <v>0</v>
      </c>
      <c r="E30" s="580">
        <v>0</v>
      </c>
      <c r="F30" s="581">
        <v>0</v>
      </c>
      <c r="G30" s="580">
        <v>0</v>
      </c>
      <c r="H30" s="580">
        <v>0</v>
      </c>
      <c r="I30" s="580">
        <v>0</v>
      </c>
      <c r="J30" s="580">
        <v>0</v>
      </c>
      <c r="K30" s="580">
        <f>'Total Expenses'!M14</f>
        <v>0</v>
      </c>
      <c r="L30" s="580">
        <v>0</v>
      </c>
      <c r="M30" s="580">
        <v>0</v>
      </c>
      <c r="N30" s="580">
        <v>0</v>
      </c>
      <c r="O30" s="580">
        <v>0</v>
      </c>
      <c r="P30" s="580">
        <v>0</v>
      </c>
      <c r="Q30" s="580">
        <v>0</v>
      </c>
      <c r="R30" s="580">
        <v>0</v>
      </c>
      <c r="S30" s="580">
        <v>0</v>
      </c>
      <c r="T30" s="580">
        <v>0</v>
      </c>
      <c r="U30" s="580">
        <v>0</v>
      </c>
      <c r="V30" s="580">
        <v>0</v>
      </c>
      <c r="W30" s="580">
        <v>0</v>
      </c>
    </row>
    <row r="31" spans="1:23" ht="16.5" customHeight="1" thickBot="1" x14ac:dyDescent="0.25">
      <c r="A31" s="98" t="s">
        <v>426</v>
      </c>
      <c r="B31" s="595">
        <f>SUM(B22:B30)</f>
        <v>18465853.844067201</v>
      </c>
      <c r="C31" s="583">
        <f t="shared" ref="C31:W31" si="3">SUM(C22:C30)</f>
        <v>1536824.2260415996</v>
      </c>
      <c r="D31" s="583">
        <f t="shared" si="3"/>
        <v>750798.89440000011</v>
      </c>
      <c r="E31" s="583">
        <f t="shared" si="3"/>
        <v>61204.9</v>
      </c>
      <c r="F31" s="583">
        <f t="shared" si="3"/>
        <v>2002244.4126000002</v>
      </c>
      <c r="G31" s="583">
        <f t="shared" si="3"/>
        <v>1372466.4070032004</v>
      </c>
      <c r="H31" s="583">
        <f t="shared" si="3"/>
        <v>957507.58799999999</v>
      </c>
      <c r="I31" s="583">
        <f t="shared" si="3"/>
        <v>1189037.3360000001</v>
      </c>
      <c r="J31" s="583">
        <f t="shared" si="3"/>
        <v>492385.48080000019</v>
      </c>
      <c r="K31" s="583">
        <f t="shared" si="3"/>
        <v>2099553.4990624003</v>
      </c>
      <c r="L31" s="583">
        <f t="shared" si="3"/>
        <v>545186.84160000004</v>
      </c>
      <c r="M31" s="583">
        <f t="shared" si="3"/>
        <v>1159463.7027999999</v>
      </c>
      <c r="N31" s="583">
        <f t="shared" si="3"/>
        <v>918127.46880000026</v>
      </c>
      <c r="O31" s="583">
        <f t="shared" si="3"/>
        <v>631694.99160000007</v>
      </c>
      <c r="P31" s="583">
        <f t="shared" si="3"/>
        <v>549179.98080000025</v>
      </c>
      <c r="Q31" s="583">
        <f t="shared" si="3"/>
        <v>881812.89</v>
      </c>
      <c r="R31" s="583">
        <f t="shared" si="3"/>
        <v>350549.35536000005</v>
      </c>
      <c r="S31" s="583">
        <f t="shared" si="3"/>
        <v>185132.29759999999</v>
      </c>
      <c r="T31" s="583">
        <f t="shared" si="3"/>
        <v>1050466.4316</v>
      </c>
      <c r="U31" s="583">
        <f t="shared" si="3"/>
        <v>276645.23200000002</v>
      </c>
      <c r="V31" s="583">
        <f t="shared" si="3"/>
        <v>1455571.9079999998</v>
      </c>
      <c r="W31" s="583">
        <f t="shared" si="3"/>
        <v>0</v>
      </c>
    </row>
    <row r="32" spans="1:23" ht="17.25" customHeight="1" x14ac:dyDescent="0.2">
      <c r="B32" s="574"/>
      <c r="C32" s="575"/>
      <c r="D32" s="575"/>
      <c r="E32" s="575"/>
      <c r="F32" s="575"/>
      <c r="G32" s="575"/>
      <c r="H32" s="575"/>
      <c r="I32" s="575"/>
      <c r="J32" s="575"/>
      <c r="K32" s="575"/>
      <c r="L32" s="575"/>
      <c r="M32" s="575"/>
      <c r="N32" s="575"/>
      <c r="O32" s="575"/>
      <c r="P32" s="575"/>
      <c r="Q32" s="575"/>
      <c r="R32" s="575"/>
      <c r="S32" s="575"/>
      <c r="T32" s="575"/>
      <c r="U32" s="575"/>
      <c r="V32" s="575"/>
      <c r="W32" s="575"/>
    </row>
    <row r="33" spans="1:23" ht="17.25" customHeight="1" x14ac:dyDescent="0.2">
      <c r="A33" s="99" t="s">
        <v>1482</v>
      </c>
      <c r="B33" s="590">
        <f>SUM(C33:W33)</f>
        <v>473456.48070520535</v>
      </c>
      <c r="C33" s="580">
        <f t="shared" ref="C33:W33" si="4">C19-C31</f>
        <v>-1534324.2260415996</v>
      </c>
      <c r="D33" s="580">
        <f t="shared" si="4"/>
        <v>249201.10559999989</v>
      </c>
      <c r="E33" s="580">
        <f t="shared" si="4"/>
        <v>-61204.9</v>
      </c>
      <c r="F33" s="580">
        <f t="shared" si="4"/>
        <v>3613422.2200061763</v>
      </c>
      <c r="G33" s="580">
        <f t="shared" si="4"/>
        <v>-869066.40700320038</v>
      </c>
      <c r="H33" s="580">
        <f t="shared" si="4"/>
        <v>1717315.412</v>
      </c>
      <c r="I33" s="580">
        <f t="shared" si="4"/>
        <v>134226.96579160006</v>
      </c>
      <c r="J33" s="580">
        <f t="shared" si="4"/>
        <v>-492385.48080000019</v>
      </c>
      <c r="K33" s="580">
        <f t="shared" si="4"/>
        <v>-2030508.0190624003</v>
      </c>
      <c r="L33" s="580">
        <f t="shared" si="4"/>
        <v>-545186.84160000004</v>
      </c>
      <c r="M33" s="580">
        <f t="shared" si="4"/>
        <v>-48056.498461710289</v>
      </c>
      <c r="N33" s="580">
        <f t="shared" si="4"/>
        <v>488527.38194033958</v>
      </c>
      <c r="O33" s="580">
        <f t="shared" si="4"/>
        <v>-631694.99160000007</v>
      </c>
      <c r="P33" s="580">
        <f t="shared" si="4"/>
        <v>-549179.98080000025</v>
      </c>
      <c r="Q33" s="580">
        <f t="shared" si="4"/>
        <v>-880812.89</v>
      </c>
      <c r="R33" s="580">
        <f t="shared" si="4"/>
        <v>-350549.35536000005</v>
      </c>
      <c r="S33" s="580">
        <f t="shared" si="4"/>
        <v>-185132.29759999999</v>
      </c>
      <c r="T33" s="580">
        <f t="shared" si="4"/>
        <v>133170.42369600036</v>
      </c>
      <c r="U33" s="580">
        <f t="shared" si="4"/>
        <v>3771266.7680000002</v>
      </c>
      <c r="V33" s="580">
        <f t="shared" si="4"/>
        <v>-1455571.9079999998</v>
      </c>
      <c r="W33" s="580">
        <f t="shared" si="4"/>
        <v>0</v>
      </c>
    </row>
    <row r="34" spans="1:23" ht="17.25" customHeight="1" x14ac:dyDescent="0.2">
      <c r="A34" s="224"/>
      <c r="B34" s="575"/>
      <c r="C34" s="575"/>
      <c r="D34" s="575"/>
      <c r="E34" s="575"/>
      <c r="F34" s="575"/>
      <c r="G34" s="575"/>
      <c r="H34" s="575"/>
      <c r="I34" s="575"/>
      <c r="J34" s="575"/>
      <c r="K34" s="575"/>
      <c r="L34" s="575"/>
      <c r="M34" s="575"/>
      <c r="N34" s="575"/>
      <c r="O34" s="575"/>
      <c r="P34" s="575"/>
      <c r="Q34" s="575"/>
      <c r="R34" s="575"/>
      <c r="S34" s="575"/>
      <c r="T34" s="575"/>
      <c r="U34" s="575"/>
      <c r="V34" s="575"/>
      <c r="W34" s="575"/>
    </row>
    <row r="35" spans="1:23" ht="17.25" customHeight="1" x14ac:dyDescent="0.2">
      <c r="A35" s="100" t="s">
        <v>280</v>
      </c>
      <c r="B35" s="591">
        <f>SUM(C35:W35)</f>
        <v>0</v>
      </c>
      <c r="C35" s="584">
        <v>0</v>
      </c>
      <c r="D35" s="584">
        <v>0</v>
      </c>
      <c r="E35" s="584">
        <v>0</v>
      </c>
      <c r="F35" s="584">
        <v>0</v>
      </c>
      <c r="G35" s="584">
        <v>0</v>
      </c>
      <c r="H35" s="584">
        <v>0</v>
      </c>
      <c r="I35" s="584">
        <f>'Capital Exp'!E18</f>
        <v>0</v>
      </c>
      <c r="J35" s="584">
        <v>0</v>
      </c>
      <c r="K35" s="584">
        <v>0</v>
      </c>
      <c r="L35" s="584">
        <v>0</v>
      </c>
      <c r="M35" s="584">
        <v>0</v>
      </c>
      <c r="N35" s="584">
        <v>0</v>
      </c>
      <c r="O35" s="584">
        <v>0</v>
      </c>
      <c r="P35" s="584">
        <v>0</v>
      </c>
      <c r="Q35" s="584">
        <f>'Capital Exp'!E8</f>
        <v>0</v>
      </c>
      <c r="R35" s="584">
        <v>0</v>
      </c>
      <c r="S35" s="584">
        <v>0</v>
      </c>
      <c r="T35" s="584">
        <v>0</v>
      </c>
      <c r="U35" s="584">
        <v>0</v>
      </c>
      <c r="V35" s="584">
        <f>'Capital Exp'!E10</f>
        <v>0</v>
      </c>
      <c r="W35" s="584">
        <v>0</v>
      </c>
    </row>
    <row r="36" spans="1:23" ht="17.25" customHeight="1" x14ac:dyDescent="0.2">
      <c r="A36" s="100"/>
      <c r="B36" s="576"/>
      <c r="C36" s="575"/>
      <c r="D36" s="575"/>
      <c r="E36" s="575"/>
      <c r="F36" s="575"/>
      <c r="G36" s="575"/>
      <c r="H36" s="575"/>
      <c r="I36" s="575"/>
      <c r="J36" s="575"/>
      <c r="K36" s="575"/>
      <c r="L36" s="575"/>
      <c r="M36" s="575"/>
      <c r="N36" s="575"/>
      <c r="O36" s="575"/>
      <c r="P36" s="575"/>
      <c r="Q36" s="575"/>
      <c r="R36" s="575"/>
      <c r="S36" s="575"/>
      <c r="T36" s="575"/>
      <c r="U36" s="575"/>
      <c r="V36" s="575"/>
      <c r="W36" s="575"/>
    </row>
    <row r="37" spans="1:23" ht="17.25" customHeight="1" thickBot="1" x14ac:dyDescent="0.25">
      <c r="A37" s="299" t="s">
        <v>1483</v>
      </c>
      <c r="B37" s="592">
        <f>SUM(C37:W37)</f>
        <v>473456.48070520535</v>
      </c>
      <c r="C37" s="585">
        <f t="shared" ref="C37:W37" si="5">C33-C35</f>
        <v>-1534324.2260415996</v>
      </c>
      <c r="D37" s="585">
        <f t="shared" si="5"/>
        <v>249201.10559999989</v>
      </c>
      <c r="E37" s="585">
        <f t="shared" si="5"/>
        <v>-61204.9</v>
      </c>
      <c r="F37" s="585">
        <f t="shared" si="5"/>
        <v>3613422.2200061763</v>
      </c>
      <c r="G37" s="585">
        <f t="shared" si="5"/>
        <v>-869066.40700320038</v>
      </c>
      <c r="H37" s="585">
        <f t="shared" si="5"/>
        <v>1717315.412</v>
      </c>
      <c r="I37" s="585">
        <f t="shared" si="5"/>
        <v>134226.96579160006</v>
      </c>
      <c r="J37" s="585">
        <f t="shared" si="5"/>
        <v>-492385.48080000019</v>
      </c>
      <c r="K37" s="585">
        <f t="shared" si="5"/>
        <v>-2030508.0190624003</v>
      </c>
      <c r="L37" s="585">
        <f t="shared" si="5"/>
        <v>-545186.84160000004</v>
      </c>
      <c r="M37" s="585">
        <f t="shared" si="5"/>
        <v>-48056.498461710289</v>
      </c>
      <c r="N37" s="585">
        <f t="shared" si="5"/>
        <v>488527.38194033958</v>
      </c>
      <c r="O37" s="585">
        <f t="shared" si="5"/>
        <v>-631694.99160000007</v>
      </c>
      <c r="P37" s="585">
        <f t="shared" si="5"/>
        <v>-549179.98080000025</v>
      </c>
      <c r="Q37" s="585">
        <f t="shared" si="5"/>
        <v>-880812.89</v>
      </c>
      <c r="R37" s="585">
        <f t="shared" si="5"/>
        <v>-350549.35536000005</v>
      </c>
      <c r="S37" s="585">
        <f t="shared" si="5"/>
        <v>-185132.29759999999</v>
      </c>
      <c r="T37" s="585">
        <f t="shared" si="5"/>
        <v>133170.42369600036</v>
      </c>
      <c r="U37" s="585">
        <f t="shared" si="5"/>
        <v>3771266.7680000002</v>
      </c>
      <c r="V37" s="585">
        <f t="shared" si="5"/>
        <v>-1455571.9079999998</v>
      </c>
      <c r="W37" s="585">
        <f t="shared" si="5"/>
        <v>0</v>
      </c>
    </row>
    <row r="38" spans="1:23" ht="17.25" customHeight="1" thickTop="1" x14ac:dyDescent="0.2">
      <c r="A38" s="299"/>
      <c r="B38" s="577"/>
      <c r="C38" s="580"/>
      <c r="D38" s="580"/>
      <c r="E38" s="580"/>
      <c r="F38" s="580"/>
      <c r="G38" s="580"/>
      <c r="H38" s="580"/>
      <c r="I38" s="580"/>
      <c r="J38" s="580"/>
      <c r="K38" s="580"/>
      <c r="L38" s="580"/>
      <c r="M38" s="580"/>
      <c r="N38" s="580"/>
      <c r="O38" s="580"/>
      <c r="P38" s="580"/>
      <c r="Q38" s="580"/>
      <c r="R38" s="580"/>
      <c r="S38" s="580"/>
      <c r="T38" s="580"/>
      <c r="U38" s="580"/>
      <c r="V38" s="580"/>
      <c r="W38" s="580"/>
    </row>
    <row r="39" spans="1:23" ht="17.25" customHeight="1" x14ac:dyDescent="0.2">
      <c r="A39" s="100" t="s">
        <v>1481</v>
      </c>
      <c r="B39" s="593">
        <f>SUM(C39:W39)</f>
        <v>0</v>
      </c>
      <c r="C39" s="580">
        <v>0</v>
      </c>
      <c r="D39" s="580">
        <v>0</v>
      </c>
      <c r="E39" s="580">
        <v>0</v>
      </c>
      <c r="F39" s="580">
        <v>0</v>
      </c>
      <c r="G39" s="580">
        <v>0</v>
      </c>
      <c r="H39" s="580">
        <v>0</v>
      </c>
      <c r="I39" s="580">
        <v>0</v>
      </c>
      <c r="J39" s="580">
        <v>0</v>
      </c>
      <c r="K39" s="580">
        <v>0</v>
      </c>
      <c r="L39" s="580">
        <v>0</v>
      </c>
      <c r="M39" s="580">
        <v>0</v>
      </c>
      <c r="N39" s="580">
        <v>0</v>
      </c>
      <c r="O39" s="580">
        <v>0</v>
      </c>
      <c r="P39" s="580">
        <v>0</v>
      </c>
      <c r="Q39" s="580">
        <v>0</v>
      </c>
      <c r="R39" s="580">
        <v>0</v>
      </c>
      <c r="S39" s="580">
        <v>0</v>
      </c>
      <c r="T39" s="580">
        <v>0</v>
      </c>
      <c r="U39" s="580">
        <v>0</v>
      </c>
      <c r="V39" s="580">
        <v>0</v>
      </c>
      <c r="W39" s="580">
        <v>0</v>
      </c>
    </row>
    <row r="40" spans="1:23" ht="17.25" customHeight="1" x14ac:dyDescent="0.2">
      <c r="A40" s="299"/>
      <c r="B40" s="577"/>
      <c r="C40" s="580"/>
      <c r="D40" s="580"/>
      <c r="E40" s="580"/>
      <c r="F40" s="580"/>
      <c r="G40" s="580"/>
      <c r="H40" s="580"/>
      <c r="I40" s="580"/>
      <c r="J40" s="580"/>
      <c r="K40" s="580"/>
      <c r="L40" s="580"/>
      <c r="M40" s="580"/>
      <c r="N40" s="580"/>
      <c r="O40" s="580"/>
      <c r="P40" s="580"/>
      <c r="Q40" s="580"/>
      <c r="R40" s="580"/>
      <c r="S40" s="580"/>
      <c r="T40" s="580"/>
      <c r="U40" s="580"/>
      <c r="V40" s="580"/>
      <c r="W40" s="580"/>
    </row>
    <row r="41" spans="1:23" ht="17.25" customHeight="1" thickBot="1" x14ac:dyDescent="0.25">
      <c r="A41" s="299" t="s">
        <v>1484</v>
      </c>
      <c r="B41" s="594">
        <f>SUM(C41:W41)</f>
        <v>473456.48070520535</v>
      </c>
      <c r="C41" s="586">
        <f>SUM(C37:C39)</f>
        <v>-1534324.2260415996</v>
      </c>
      <c r="D41" s="586">
        <f t="shared" ref="D41:W41" si="6">SUM(D37:D39)</f>
        <v>249201.10559999989</v>
      </c>
      <c r="E41" s="586">
        <f t="shared" si="6"/>
        <v>-61204.9</v>
      </c>
      <c r="F41" s="586">
        <f t="shared" si="6"/>
        <v>3613422.2200061763</v>
      </c>
      <c r="G41" s="586">
        <f t="shared" si="6"/>
        <v>-869066.40700320038</v>
      </c>
      <c r="H41" s="586">
        <f t="shared" si="6"/>
        <v>1717315.412</v>
      </c>
      <c r="I41" s="586">
        <f t="shared" si="6"/>
        <v>134226.96579160006</v>
      </c>
      <c r="J41" s="586">
        <f t="shared" si="6"/>
        <v>-492385.48080000019</v>
      </c>
      <c r="K41" s="586">
        <f t="shared" si="6"/>
        <v>-2030508.0190624003</v>
      </c>
      <c r="L41" s="586">
        <f t="shared" si="6"/>
        <v>-545186.84160000004</v>
      </c>
      <c r="M41" s="586">
        <f t="shared" si="6"/>
        <v>-48056.498461710289</v>
      </c>
      <c r="N41" s="586">
        <f t="shared" si="6"/>
        <v>488527.38194033958</v>
      </c>
      <c r="O41" s="586">
        <f t="shared" si="6"/>
        <v>-631694.99160000007</v>
      </c>
      <c r="P41" s="586">
        <f t="shared" si="6"/>
        <v>-549179.98080000025</v>
      </c>
      <c r="Q41" s="586">
        <f t="shared" si="6"/>
        <v>-880812.89</v>
      </c>
      <c r="R41" s="586">
        <f t="shared" si="6"/>
        <v>-350549.35536000005</v>
      </c>
      <c r="S41" s="586">
        <f t="shared" si="6"/>
        <v>-185132.29759999999</v>
      </c>
      <c r="T41" s="586">
        <f t="shared" si="6"/>
        <v>133170.42369600036</v>
      </c>
      <c r="U41" s="586">
        <f t="shared" si="6"/>
        <v>3771266.7680000002</v>
      </c>
      <c r="V41" s="586">
        <f t="shared" si="6"/>
        <v>-1455571.9079999998</v>
      </c>
      <c r="W41" s="586">
        <f t="shared" si="6"/>
        <v>0</v>
      </c>
    </row>
    <row r="42" spans="1:23" ht="17.25" customHeight="1" thickTop="1" thickBot="1" x14ac:dyDescent="0.25">
      <c r="B42" s="578"/>
      <c r="C42" s="224"/>
      <c r="D42" s="224"/>
      <c r="E42" s="224"/>
      <c r="F42" s="224"/>
      <c r="G42" s="224"/>
      <c r="H42" s="224"/>
      <c r="I42" s="224"/>
      <c r="J42" s="224"/>
      <c r="K42" s="224"/>
      <c r="L42" s="224"/>
      <c r="M42" s="224"/>
      <c r="N42" s="224"/>
      <c r="O42" s="224"/>
      <c r="P42" s="224"/>
      <c r="Q42" s="224"/>
      <c r="R42" s="224"/>
      <c r="S42" s="224"/>
      <c r="T42" s="224"/>
      <c r="U42" s="224"/>
      <c r="V42" s="224"/>
      <c r="W42" s="224"/>
    </row>
    <row r="43" spans="1:23" ht="18" customHeight="1" thickBot="1" x14ac:dyDescent="0.25">
      <c r="A43" s="182" t="s">
        <v>395</v>
      </c>
      <c r="B43" s="618">
        <f>SUM(C43:V43)</f>
        <v>116</v>
      </c>
      <c r="C43" s="587">
        <f>HR!I4</f>
        <v>10</v>
      </c>
      <c r="D43" s="587">
        <f>HR!I12</f>
        <v>3</v>
      </c>
      <c r="E43" s="587">
        <v>0</v>
      </c>
      <c r="F43" s="587">
        <f>HR!I22</f>
        <v>10</v>
      </c>
      <c r="G43" s="587">
        <f>HR!I11</f>
        <v>13</v>
      </c>
      <c r="H43" s="587">
        <f>HR!I17</f>
        <v>4</v>
      </c>
      <c r="I43" s="587">
        <f>HR!I18</f>
        <v>9</v>
      </c>
      <c r="J43" s="587">
        <f>HR!I13</f>
        <v>3</v>
      </c>
      <c r="K43" s="587">
        <f>HR!I15</f>
        <v>10</v>
      </c>
      <c r="L43" s="587">
        <f>HR!I6</f>
        <v>3</v>
      </c>
      <c r="M43" s="587">
        <f>HR!I19</f>
        <v>9</v>
      </c>
      <c r="N43" s="587">
        <f>HR!I23</f>
        <v>9</v>
      </c>
      <c r="O43" s="587">
        <f>HR!I7</f>
        <v>4</v>
      </c>
      <c r="P43" s="587">
        <f>HR!I16</f>
        <v>4</v>
      </c>
      <c r="Q43" s="587">
        <f>HR!I8</f>
        <v>3</v>
      </c>
      <c r="R43" s="587">
        <f>HR!I9</f>
        <v>2</v>
      </c>
      <c r="S43" s="587">
        <f>HR!I5</f>
        <v>1</v>
      </c>
      <c r="T43" s="587">
        <f>HR!I20</f>
        <v>10</v>
      </c>
      <c r="U43" s="587">
        <f>HR!I21</f>
        <v>3</v>
      </c>
      <c r="V43" s="587">
        <f>HR!I10</f>
        <v>6</v>
      </c>
      <c r="W43" s="587">
        <v>0</v>
      </c>
    </row>
    <row r="48" spans="1:23" ht="17.25" customHeight="1" x14ac:dyDescent="0.2">
      <c r="K48" s="298"/>
    </row>
    <row r="49" spans="11:15" ht="17.25" customHeight="1" x14ac:dyDescent="0.2">
      <c r="K49" s="298"/>
    </row>
    <row r="50" spans="11:15" ht="17.25" customHeight="1" x14ac:dyDescent="0.2">
      <c r="K50" s="298"/>
      <c r="L50" s="15"/>
      <c r="M50" s="15"/>
      <c r="N50" s="15"/>
      <c r="O50" s="15"/>
    </row>
    <row r="51" spans="11:15" ht="17.25" customHeight="1" x14ac:dyDescent="0.2">
      <c r="K51" s="15"/>
      <c r="L51" s="15"/>
      <c r="M51" s="15"/>
      <c r="N51" s="15"/>
      <c r="O51" s="15"/>
    </row>
    <row r="52" spans="11:15" ht="17.25" customHeight="1" x14ac:dyDescent="0.2">
      <c r="K52" s="15"/>
      <c r="L52" s="15"/>
      <c r="M52" s="15"/>
      <c r="N52" s="15"/>
      <c r="O52" s="15"/>
    </row>
    <row r="53" spans="11:15" ht="17.25" customHeight="1" x14ac:dyDescent="0.2">
      <c r="K53" s="298"/>
      <c r="L53" s="15"/>
      <c r="M53" s="15"/>
      <c r="N53" s="15"/>
      <c r="O53" s="15"/>
    </row>
    <row r="54" spans="11:15" ht="17.25" customHeight="1" x14ac:dyDescent="0.2">
      <c r="K54" s="298"/>
      <c r="L54" s="15"/>
      <c r="M54" s="15"/>
      <c r="N54" s="15"/>
      <c r="O54" s="15"/>
    </row>
    <row r="55" spans="11:15" ht="17.25" customHeight="1" x14ac:dyDescent="0.2">
      <c r="K55" s="298"/>
      <c r="L55" s="15"/>
      <c r="M55" s="15"/>
      <c r="N55" s="15"/>
      <c r="O55" s="15"/>
    </row>
    <row r="56" spans="11:15" ht="17.25" customHeight="1" x14ac:dyDescent="0.2">
      <c r="K56" s="15"/>
      <c r="L56" s="15"/>
      <c r="M56" s="15"/>
      <c r="N56" s="15"/>
      <c r="O56" s="15"/>
    </row>
    <row r="57" spans="11:15" ht="17.25" customHeight="1" x14ac:dyDescent="0.2">
      <c r="K57" s="15"/>
      <c r="L57" s="15"/>
      <c r="M57" s="15"/>
      <c r="N57" s="15"/>
      <c r="O57" s="15"/>
    </row>
    <row r="58" spans="11:15" ht="16.5" customHeight="1" x14ac:dyDescent="0.2">
      <c r="K58" s="298"/>
      <c r="L58" s="15"/>
      <c r="M58" s="15"/>
      <c r="N58" s="15"/>
      <c r="O58" s="15"/>
    </row>
    <row r="59" spans="11:15" ht="17.25" customHeight="1" x14ac:dyDescent="0.2">
      <c r="K59" s="298"/>
      <c r="L59" s="15"/>
      <c r="M59" s="15"/>
      <c r="N59" s="15"/>
      <c r="O59" s="15"/>
    </row>
    <row r="60" spans="11:15" ht="17.25" customHeight="1" x14ac:dyDescent="0.2">
      <c r="K60" s="298"/>
      <c r="L60" s="15"/>
      <c r="M60" s="15"/>
      <c r="N60" s="15"/>
      <c r="O60" s="15"/>
    </row>
    <row r="61" spans="11:15" ht="17.25" customHeight="1" x14ac:dyDescent="0.2">
      <c r="K61" s="15"/>
      <c r="L61" s="15"/>
      <c r="M61" s="15"/>
      <c r="N61" s="15"/>
      <c r="O61" s="15"/>
    </row>
    <row r="62" spans="11:15" ht="17.25" customHeight="1" x14ac:dyDescent="0.2">
      <c r="K62" s="15"/>
      <c r="L62" s="15"/>
      <c r="M62" s="15"/>
      <c r="N62" s="15"/>
      <c r="O62" s="15"/>
    </row>
    <row r="63" spans="11:15" ht="17.25" customHeight="1" x14ac:dyDescent="0.2">
      <c r="K63" s="298"/>
      <c r="L63" s="15"/>
      <c r="M63" s="15"/>
      <c r="N63" s="15"/>
      <c r="O63" s="15"/>
    </row>
    <row r="64" spans="11:15" ht="17.25" customHeight="1" x14ac:dyDescent="0.2">
      <c r="K64" s="298"/>
      <c r="L64" s="15"/>
      <c r="M64" s="15"/>
      <c r="N64" s="15"/>
      <c r="O64" s="15"/>
    </row>
    <row r="65" spans="11:15" ht="17.25" customHeight="1" x14ac:dyDescent="0.2">
      <c r="K65" s="298"/>
      <c r="L65" s="15"/>
      <c r="M65" s="15"/>
      <c r="N65" s="15"/>
      <c r="O65" s="15"/>
    </row>
    <row r="66" spans="11:15" ht="17.25" customHeight="1" x14ac:dyDescent="0.2"/>
    <row r="67" spans="11:15" ht="17.25" customHeight="1" x14ac:dyDescent="0.2">
      <c r="K67" s="297"/>
      <c r="L67" s="15"/>
      <c r="M67" s="15"/>
      <c r="N67" s="15"/>
      <c r="O67" s="15"/>
    </row>
    <row r="70" spans="11:15" ht="17.25" customHeight="1" x14ac:dyDescent="0.2"/>
    <row r="71" spans="11:15" ht="17.25" customHeight="1" x14ac:dyDescent="0.2"/>
    <row r="72" spans="11:15" ht="17.25" customHeight="1" x14ac:dyDescent="0.2"/>
    <row r="73" spans="11:15" ht="17.25" customHeight="1" x14ac:dyDescent="0.2"/>
    <row r="74" spans="11:15" ht="17.25" customHeight="1" x14ac:dyDescent="0.2"/>
    <row r="75" spans="11:15" ht="18" customHeight="1" x14ac:dyDescent="0.2"/>
  </sheetData>
  <pageMargins left="0.2" right="0.2" top="0.75" bottom="0.5" header="0.3" footer="0.3"/>
  <pageSetup paperSize="5" scale="6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zoomScale="70" zoomScaleNormal="70" workbookViewId="0">
      <selection activeCell="M7" sqref="M7"/>
    </sheetView>
  </sheetViews>
  <sheetFormatPr defaultColWidth="8.85546875" defaultRowHeight="15" x14ac:dyDescent="0.25"/>
  <cols>
    <col min="1" max="1" width="33" style="492" customWidth="1"/>
    <col min="2" max="2" width="90.42578125" style="492" customWidth="1"/>
    <col min="3" max="3" width="19.140625" style="492" customWidth="1"/>
    <col min="4" max="4" width="21.7109375" style="492" bestFit="1" customWidth="1"/>
    <col min="5" max="5" width="17.85546875" style="492" customWidth="1"/>
    <col min="6" max="6" width="21.28515625" style="492" customWidth="1"/>
    <col min="7" max="7" width="8.85546875" style="492"/>
    <col min="8" max="8" width="20.28515625" style="492" customWidth="1"/>
    <col min="9" max="9" width="11" style="492" bestFit="1" customWidth="1"/>
    <col min="10" max="10" width="12" style="492" bestFit="1" customWidth="1"/>
    <col min="11" max="16384" width="8.85546875" style="492"/>
  </cols>
  <sheetData>
    <row r="1" spans="1:16" ht="48" thickBot="1" x14ac:dyDescent="0.3">
      <c r="A1" s="524" t="s">
        <v>1462</v>
      </c>
      <c r="B1" s="523" t="s">
        <v>1461</v>
      </c>
      <c r="C1" s="522" t="s">
        <v>1688</v>
      </c>
      <c r="D1" s="522" t="s">
        <v>1459</v>
      </c>
      <c r="E1" s="521" t="s">
        <v>1627</v>
      </c>
      <c r="F1" s="521" t="s">
        <v>1681</v>
      </c>
    </row>
    <row r="2" spans="1:16" ht="110.25" x14ac:dyDescent="0.25">
      <c r="A2" s="520" t="s">
        <v>288</v>
      </c>
      <c r="B2" s="519" t="s">
        <v>290</v>
      </c>
      <c r="C2" s="734"/>
      <c r="D2" s="613">
        <v>13000000</v>
      </c>
      <c r="E2" s="613">
        <v>26375000</v>
      </c>
      <c r="F2" s="613">
        <f>1545600+147000+132500+10000+95000+18000+35000</f>
        <v>1983100</v>
      </c>
      <c r="H2" s="492" t="s">
        <v>1456</v>
      </c>
    </row>
    <row r="3" spans="1:16" ht="110.25" x14ac:dyDescent="0.25">
      <c r="A3" s="503" t="s">
        <v>291</v>
      </c>
      <c r="B3" s="516" t="s">
        <v>293</v>
      </c>
      <c r="C3" s="735"/>
      <c r="D3" s="557">
        <v>30248024</v>
      </c>
      <c r="E3" s="557">
        <v>29725000</v>
      </c>
      <c r="F3" s="557">
        <v>140000</v>
      </c>
      <c r="H3" s="492" t="s">
        <v>1453</v>
      </c>
    </row>
    <row r="4" spans="1:16" ht="110.25" x14ac:dyDescent="0.25">
      <c r="A4" s="503" t="s">
        <v>1534</v>
      </c>
      <c r="B4" s="516" t="s">
        <v>293</v>
      </c>
      <c r="C4" s="735"/>
      <c r="D4" s="557">
        <v>0</v>
      </c>
      <c r="E4" s="557">
        <v>0</v>
      </c>
      <c r="F4" s="557">
        <v>500000</v>
      </c>
      <c r="H4" s="603" t="s">
        <v>1535</v>
      </c>
    </row>
    <row r="5" spans="1:16" ht="94.5" x14ac:dyDescent="0.25">
      <c r="A5" s="503" t="s">
        <v>294</v>
      </c>
      <c r="B5" s="502" t="s">
        <v>296</v>
      </c>
      <c r="C5" s="735"/>
      <c r="D5" s="557">
        <v>326630000</v>
      </c>
      <c r="E5" s="557">
        <v>460000000</v>
      </c>
      <c r="F5" s="557">
        <v>684000</v>
      </c>
    </row>
    <row r="6" spans="1:16" ht="31.5" x14ac:dyDescent="0.25">
      <c r="A6" s="503" t="s">
        <v>294</v>
      </c>
      <c r="B6" s="502" t="s">
        <v>1549</v>
      </c>
      <c r="C6" s="735"/>
      <c r="D6" s="557"/>
      <c r="E6" s="557"/>
      <c r="F6" s="513">
        <v>40000</v>
      </c>
    </row>
    <row r="7" spans="1:16" ht="94.5" x14ac:dyDescent="0.25">
      <c r="A7" s="503" t="s">
        <v>1455</v>
      </c>
      <c r="B7" s="502" t="s">
        <v>1454</v>
      </c>
      <c r="C7" s="735">
        <v>2466079</v>
      </c>
      <c r="D7" s="557">
        <v>20415789</v>
      </c>
      <c r="E7" s="557">
        <v>5610752</v>
      </c>
      <c r="F7" s="557">
        <f>'Total Expenses'!U205</f>
        <v>324199.24051199999</v>
      </c>
    </row>
    <row r="8" spans="1:16" ht="94.5" x14ac:dyDescent="0.25">
      <c r="A8" s="503" t="s">
        <v>1452</v>
      </c>
      <c r="B8" s="502" t="s">
        <v>1451</v>
      </c>
      <c r="C8" s="735">
        <v>4251489</v>
      </c>
      <c r="D8" s="557">
        <v>27221185</v>
      </c>
      <c r="E8" s="557">
        <v>18284878</v>
      </c>
      <c r="F8" s="557">
        <f>H8+K8</f>
        <v>1608440.1451840003</v>
      </c>
      <c r="H8" s="729">
        <f>'Total Expenses'!U142</f>
        <v>1608440.1451840003</v>
      </c>
      <c r="K8" s="492">
        <f>'Total Expenses'!U193</f>
        <v>0</v>
      </c>
    </row>
    <row r="9" spans="1:16" ht="94.5" x14ac:dyDescent="0.25">
      <c r="A9" s="503" t="s">
        <v>1450</v>
      </c>
      <c r="B9" s="502" t="s">
        <v>1449</v>
      </c>
      <c r="C9" s="735">
        <v>4873830</v>
      </c>
      <c r="D9" s="557">
        <v>37231367</v>
      </c>
      <c r="E9" s="557">
        <v>3226744</v>
      </c>
      <c r="F9" s="557">
        <f>'Total Expenses'!U140</f>
        <v>154506.06660800002</v>
      </c>
      <c r="H9" s="636" t="s">
        <v>1555</v>
      </c>
      <c r="K9" s="610"/>
      <c r="N9" s="638" t="s">
        <v>1559</v>
      </c>
      <c r="O9" s="638"/>
    </row>
    <row r="10" spans="1:16" ht="78.75" x14ac:dyDescent="0.25">
      <c r="A10" s="503" t="s">
        <v>1448</v>
      </c>
      <c r="B10" s="502" t="s">
        <v>1447</v>
      </c>
      <c r="C10" s="735">
        <v>42631366</v>
      </c>
      <c r="D10" s="557">
        <v>753140626</v>
      </c>
      <c r="E10" s="557">
        <v>60455332</v>
      </c>
      <c r="F10" s="557">
        <f>SUM(H10:N10)</f>
        <v>2674822.6298025185</v>
      </c>
      <c r="H10" s="492">
        <f>SUM('Total Expenses'!U51:U58,'Total Expenses'!U68:U70,'Total Expenses'!U83:U84)</f>
        <v>1195940.4221177127</v>
      </c>
      <c r="I10" s="492">
        <f>SUM('Total Expenses'!U37:U38,'Total Expenses'!U66:U67,'Total Expenses'!U71:U72,'Total Expenses'!U81:U82,'Total Expenses'!U85:U86,'Total Expenses'!U94:U96,'Total Expenses'!U98:U99,'Total Expenses'!U185:U186)</f>
        <v>1268566.6326061764</v>
      </c>
      <c r="K10" s="492">
        <f>SUM('Total Expenses'!U59:U64,'Total Expenses'!U75:U78,'Total Expenses'!U87:U91)</f>
        <v>122423.20433828951</v>
      </c>
      <c r="L10" s="492">
        <f>SUM('Total Expenses'!U39:U40,'Total Expenses'!U79,'Total Expenses'!U92,'Total Expenses'!U187)</f>
        <v>87254.850740339869</v>
      </c>
      <c r="N10" s="492">
        <v>637.52</v>
      </c>
      <c r="P10" s="640"/>
    </row>
    <row r="11" spans="1:16" ht="78.75" x14ac:dyDescent="0.25">
      <c r="A11" s="503" t="s">
        <v>315</v>
      </c>
      <c r="B11" s="502" t="s">
        <v>1446</v>
      </c>
      <c r="C11" s="735">
        <v>43589</v>
      </c>
      <c r="D11" s="557">
        <v>43588.82</v>
      </c>
      <c r="E11" s="557">
        <v>254270</v>
      </c>
      <c r="F11" s="557">
        <v>58400</v>
      </c>
      <c r="H11" s="610" t="s">
        <v>1539</v>
      </c>
      <c r="I11" s="610" t="s">
        <v>1540</v>
      </c>
      <c r="K11" s="638" t="s">
        <v>1541</v>
      </c>
      <c r="L11" s="638" t="s">
        <v>1560</v>
      </c>
      <c r="N11" s="638" t="s">
        <v>1539</v>
      </c>
    </row>
    <row r="12" spans="1:16" ht="41.25" customHeight="1" x14ac:dyDescent="0.25">
      <c r="A12" s="503" t="s">
        <v>1445</v>
      </c>
      <c r="B12" s="502" t="s">
        <v>1444</v>
      </c>
      <c r="C12" s="735">
        <v>25000</v>
      </c>
      <c r="D12" s="557">
        <v>25000</v>
      </c>
      <c r="E12" s="557">
        <v>25000</v>
      </c>
      <c r="F12" s="557">
        <v>95000</v>
      </c>
    </row>
    <row r="13" spans="1:16" ht="81.75" customHeight="1" x14ac:dyDescent="0.25">
      <c r="A13" s="503" t="s">
        <v>1443</v>
      </c>
      <c r="B13" s="502" t="s">
        <v>1442</v>
      </c>
      <c r="C13" s="735">
        <v>1600000</v>
      </c>
      <c r="D13" s="557">
        <v>325000000</v>
      </c>
      <c r="E13" s="557">
        <v>201600000</v>
      </c>
      <c r="F13" s="557">
        <v>1166000</v>
      </c>
    </row>
    <row r="14" spans="1:16" ht="81.75" customHeight="1" x14ac:dyDescent="0.25">
      <c r="A14" s="503" t="s">
        <v>1487</v>
      </c>
      <c r="B14" s="502" t="s">
        <v>1556</v>
      </c>
      <c r="C14" s="735"/>
      <c r="D14" s="557"/>
      <c r="E14" s="557"/>
      <c r="F14" s="557"/>
    </row>
    <row r="15" spans="1:16" ht="94.5" x14ac:dyDescent="0.25">
      <c r="A15" s="509" t="s">
        <v>1441</v>
      </c>
      <c r="B15" s="508" t="s">
        <v>1440</v>
      </c>
      <c r="C15" s="735">
        <f>800400+123600+2300</f>
        <v>926300</v>
      </c>
      <c r="D15" s="557">
        <v>60350000</v>
      </c>
      <c r="E15" s="557">
        <v>61500000</v>
      </c>
      <c r="F15" s="557">
        <f>'Total Expenses'!U113+'Total Expenses'!U194+'Total Expenses'!U197</f>
        <v>985924.36219040002</v>
      </c>
      <c r="H15" s="492">
        <f>800400+123600+2300</f>
        <v>926300</v>
      </c>
    </row>
    <row r="16" spans="1:16" ht="110.25" x14ac:dyDescent="0.25">
      <c r="A16" s="509" t="s">
        <v>1439</v>
      </c>
      <c r="B16" s="508" t="s">
        <v>1438</v>
      </c>
      <c r="C16" s="735">
        <f>54000+108000</f>
        <v>162000</v>
      </c>
      <c r="D16" s="557">
        <v>2622544</v>
      </c>
      <c r="E16" s="557">
        <v>2759000</v>
      </c>
      <c r="F16" s="557">
        <f>'Total Expenses'!U115+'Total Expenses'!U221</f>
        <v>170307.99484440003</v>
      </c>
      <c r="H16" s="492">
        <f>54000+108000</f>
        <v>162000</v>
      </c>
    </row>
    <row r="17" spans="1:11" ht="113.25" customHeight="1" x14ac:dyDescent="0.25">
      <c r="A17" s="509" t="s">
        <v>1437</v>
      </c>
      <c r="B17" s="508" t="s">
        <v>1436</v>
      </c>
      <c r="C17" s="735">
        <f>12000+60000</f>
        <v>72000</v>
      </c>
      <c r="D17" s="557">
        <v>30280744</v>
      </c>
      <c r="E17" s="557">
        <v>6000000</v>
      </c>
      <c r="F17" s="557">
        <f>SUM('Total Expenses'!U46+'Total Expenses'!U47)</f>
        <v>167031.94475680002</v>
      </c>
      <c r="H17" s="510">
        <f>12000+60000</f>
        <v>72000</v>
      </c>
      <c r="I17" s="617"/>
      <c r="J17" s="617"/>
    </row>
    <row r="18" spans="1:11" ht="126" x14ac:dyDescent="0.25">
      <c r="A18" s="509" t="s">
        <v>1488</v>
      </c>
      <c r="B18" s="508" t="s">
        <v>328</v>
      </c>
      <c r="C18" s="735">
        <v>4418512</v>
      </c>
      <c r="D18" s="557">
        <v>125000000</v>
      </c>
      <c r="E18" s="557">
        <v>129000000</v>
      </c>
      <c r="F18" s="557">
        <v>4047912</v>
      </c>
    </row>
    <row r="19" spans="1:11" ht="110.25" x14ac:dyDescent="0.25">
      <c r="A19" s="503" t="s">
        <v>329</v>
      </c>
      <c r="B19" s="502" t="s">
        <v>331</v>
      </c>
      <c r="C19" s="735">
        <v>1368578</v>
      </c>
      <c r="D19" s="557">
        <v>11475044</v>
      </c>
      <c r="E19" s="557">
        <f>C19+D19</f>
        <v>12843622</v>
      </c>
      <c r="F19" s="557">
        <f>'Total Expenses'!U210</f>
        <v>1050984.4569120002</v>
      </c>
    </row>
    <row r="20" spans="1:11" ht="110.25" x14ac:dyDescent="0.25">
      <c r="A20" s="503" t="s">
        <v>1435</v>
      </c>
      <c r="B20" s="502" t="s">
        <v>331</v>
      </c>
      <c r="C20" s="735">
        <v>145266</v>
      </c>
      <c r="D20" s="557">
        <v>1493711</v>
      </c>
      <c r="E20" s="557">
        <f>C20+D20</f>
        <v>1638977</v>
      </c>
      <c r="F20" s="557">
        <f>'Total Expenses'!U215</f>
        <v>102653.779056</v>
      </c>
    </row>
    <row r="21" spans="1:11" ht="110.25" x14ac:dyDescent="0.25">
      <c r="A21" s="503" t="s">
        <v>1434</v>
      </c>
      <c r="B21" s="502" t="s">
        <v>1433</v>
      </c>
      <c r="C21" s="735">
        <v>123243</v>
      </c>
      <c r="D21" s="557">
        <v>1337522</v>
      </c>
      <c r="E21" s="557">
        <f>C21+D21</f>
        <v>1460765</v>
      </c>
      <c r="F21" s="557">
        <f>'Total Expenses'!U121</f>
        <v>29998.619328000004</v>
      </c>
    </row>
    <row r="22" spans="1:11" ht="110.25" x14ac:dyDescent="0.25">
      <c r="A22" s="503" t="s">
        <v>1432</v>
      </c>
      <c r="B22" s="502" t="s">
        <v>1431</v>
      </c>
      <c r="C22" s="735">
        <v>1586324</v>
      </c>
      <c r="D22" s="557">
        <v>21716797</v>
      </c>
      <c r="E22" s="557">
        <v>21716797</v>
      </c>
      <c r="F22" s="557">
        <f>SUM('Total Expenses'!C100:C112,'Total Expenses'!C138:C139)</f>
        <v>656744.14867200004</v>
      </c>
      <c r="I22" s="636"/>
      <c r="K22" s="610"/>
    </row>
    <row r="23" spans="1:11" ht="110.25" x14ac:dyDescent="0.25">
      <c r="A23" s="503" t="s">
        <v>335</v>
      </c>
      <c r="B23" s="502" t="s">
        <v>337</v>
      </c>
      <c r="C23" s="735">
        <v>560000</v>
      </c>
      <c r="D23" s="557">
        <v>6391832</v>
      </c>
      <c r="E23" s="557">
        <v>967243</v>
      </c>
      <c r="F23" s="557">
        <f>'Total Expenses'!U217</f>
        <v>25055.403634432005</v>
      </c>
    </row>
    <row r="24" spans="1:11" ht="94.5" x14ac:dyDescent="0.25">
      <c r="A24" s="622" t="s">
        <v>1430</v>
      </c>
      <c r="B24" s="623" t="s">
        <v>1429</v>
      </c>
      <c r="C24" s="735">
        <v>182919</v>
      </c>
      <c r="D24" s="557">
        <v>2613163</v>
      </c>
      <c r="E24" s="557">
        <v>2613163</v>
      </c>
      <c r="F24" s="653">
        <f>SUM('Total Expenses'!U123:U123)</f>
        <v>72678.024399999995</v>
      </c>
      <c r="K24" s="610"/>
    </row>
    <row r="25" spans="1:11" ht="63.75" thickBot="1" x14ac:dyDescent="0.3">
      <c r="A25" s="503" t="s">
        <v>1550</v>
      </c>
      <c r="B25" s="565" t="s">
        <v>1558</v>
      </c>
      <c r="C25" s="736">
        <v>180000</v>
      </c>
      <c r="D25" s="654">
        <v>1800000</v>
      </c>
      <c r="E25" s="654">
        <v>1800000</v>
      </c>
      <c r="F25" s="737">
        <v>80000</v>
      </c>
      <c r="K25" s="610"/>
    </row>
    <row r="26" spans="1:11" ht="95.25" thickBot="1" x14ac:dyDescent="0.3">
      <c r="A26" s="498" t="s">
        <v>1542</v>
      </c>
      <c r="B26" s="637" t="s">
        <v>1557</v>
      </c>
      <c r="C26" s="736">
        <v>0</v>
      </c>
      <c r="D26" s="654">
        <v>0</v>
      </c>
      <c r="E26" s="654">
        <v>0</v>
      </c>
      <c r="F26" s="654">
        <v>0</v>
      </c>
    </row>
    <row r="27" spans="1:11" ht="15.75" x14ac:dyDescent="0.25">
      <c r="A27" s="624" t="s">
        <v>1536</v>
      </c>
      <c r="B27" s="625" t="s">
        <v>1583</v>
      </c>
      <c r="C27" s="567"/>
      <c r="D27" s="608"/>
      <c r="E27" s="608"/>
      <c r="F27" s="744">
        <v>500000</v>
      </c>
    </row>
    <row r="28" spans="1:11" ht="16.5" thickBot="1" x14ac:dyDescent="0.3">
      <c r="A28" s="493"/>
      <c r="B28" s="493"/>
      <c r="C28" s="604">
        <f>SUM(C2:C24)</f>
        <v>65436495</v>
      </c>
      <c r="D28" s="604">
        <f>SUM(D2:D24)</f>
        <v>1796236936.8199999</v>
      </c>
      <c r="E28" s="604">
        <f>SUM(E2:E24)</f>
        <v>1046056543</v>
      </c>
      <c r="F28" s="604">
        <f>SUM(F2:F27)</f>
        <v>17317758.815900549</v>
      </c>
    </row>
    <row r="29" spans="1:11" ht="15.75" thickBot="1" x14ac:dyDescent="0.3"/>
    <row r="30" spans="1:11" ht="15.75" x14ac:dyDescent="0.25">
      <c r="A30" s="570" t="s">
        <v>1495</v>
      </c>
      <c r="B30" s="571" t="s">
        <v>1371</v>
      </c>
      <c r="C30" s="567"/>
      <c r="D30" s="568"/>
      <c r="E30" s="568"/>
      <c r="F30" s="569">
        <v>0</v>
      </c>
    </row>
    <row r="31" spans="1:11" ht="15.75" x14ac:dyDescent="0.25">
      <c r="A31" s="612" t="s">
        <v>1543</v>
      </c>
      <c r="B31" s="614" t="s">
        <v>1544</v>
      </c>
      <c r="C31" s="518"/>
      <c r="D31" s="517"/>
      <c r="E31" s="517"/>
      <c r="F31" s="613">
        <v>2500</v>
      </c>
    </row>
    <row r="32" spans="1:11" ht="15.75" x14ac:dyDescent="0.25">
      <c r="A32" s="612" t="s">
        <v>1545</v>
      </c>
      <c r="B32" s="614" t="s">
        <v>1546</v>
      </c>
      <c r="C32" s="518"/>
      <c r="D32" s="517"/>
      <c r="E32" s="517"/>
      <c r="F32" s="613">
        <v>1000</v>
      </c>
    </row>
    <row r="33" spans="1:10" ht="15.75" x14ac:dyDescent="0.25">
      <c r="A33" s="612" t="s">
        <v>1547</v>
      </c>
      <c r="B33" s="614" t="s">
        <v>1548</v>
      </c>
      <c r="C33" s="518"/>
      <c r="D33" s="517"/>
      <c r="E33" s="517"/>
      <c r="F33" s="613">
        <v>3400</v>
      </c>
    </row>
    <row r="34" spans="1:10" ht="15.75" x14ac:dyDescent="0.25">
      <c r="A34" s="503" t="s">
        <v>1577</v>
      </c>
      <c r="B34" s="502" t="s">
        <v>1579</v>
      </c>
      <c r="C34" s="501"/>
      <c r="D34" s="500"/>
      <c r="E34" s="500"/>
      <c r="F34" s="557">
        <v>0</v>
      </c>
      <c r="G34" s="559"/>
    </row>
    <row r="35" spans="1:10" ht="15.75" x14ac:dyDescent="0.25">
      <c r="A35" s="503" t="s">
        <v>1491</v>
      </c>
      <c r="B35" s="502" t="s">
        <v>1578</v>
      </c>
      <c r="C35" s="501"/>
      <c r="D35" s="500"/>
      <c r="E35" s="500"/>
      <c r="F35" s="557"/>
      <c r="G35" s="559"/>
    </row>
    <row r="36" spans="1:10" ht="15.75" x14ac:dyDescent="0.25">
      <c r="A36" s="503" t="s">
        <v>1492</v>
      </c>
      <c r="B36" s="565" t="s">
        <v>1493</v>
      </c>
      <c r="C36" s="501">
        <v>15045.48</v>
      </c>
      <c r="D36" s="500">
        <f>C36</f>
        <v>15045.48</v>
      </c>
      <c r="E36" s="500">
        <f>D36</f>
        <v>15045.48</v>
      </c>
      <c r="F36" s="557">
        <f>((D36/12)*6)+((E36/12)*6)</f>
        <v>15045.48</v>
      </c>
      <c r="G36" s="559"/>
      <c r="H36" s="639" t="s">
        <v>1562</v>
      </c>
      <c r="I36" s="492">
        <v>1253.79</v>
      </c>
      <c r="J36" s="566">
        <f>E36/12</f>
        <v>1253.79</v>
      </c>
    </row>
    <row r="37" spans="1:10" ht="16.5" thickBot="1" x14ac:dyDescent="0.3">
      <c r="A37" s="560" t="s">
        <v>1489</v>
      </c>
      <c r="B37" s="561" t="s">
        <v>1494</v>
      </c>
      <c r="C37" s="562"/>
      <c r="D37" s="563"/>
      <c r="E37" s="563"/>
      <c r="F37" s="564">
        <f>4500*12</f>
        <v>54000</v>
      </c>
    </row>
    <row r="39" spans="1:10" x14ac:dyDescent="0.25">
      <c r="E39" s="566"/>
    </row>
    <row r="40" spans="1:10" x14ac:dyDescent="0.25">
      <c r="F40" s="615">
        <f>SUM(F28:F37)</f>
        <v>17393704.29590055</v>
      </c>
    </row>
  </sheetData>
  <pageMargins left="0.2" right="0.2" top="0.75" bottom="0.5" header="0.3" footer="0.3"/>
  <pageSetup paperSize="5" scale="50"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131"/>
  <sheetViews>
    <sheetView topLeftCell="A91" workbookViewId="0">
      <selection activeCell="H111" activeCellId="2" sqref="H58 H103 H111"/>
    </sheetView>
  </sheetViews>
  <sheetFormatPr defaultColWidth="9.140625" defaultRowHeight="12.75" x14ac:dyDescent="0.2"/>
  <cols>
    <col min="1" max="1" width="34.140625" style="284" customWidth="1"/>
    <col min="2" max="2" width="12.5703125" style="284" customWidth="1"/>
    <col min="3" max="3" width="14.7109375" style="284" customWidth="1"/>
    <col min="4" max="4" width="13.5703125" style="284" customWidth="1"/>
    <col min="5" max="5" width="12.7109375" style="284" hidden="1" customWidth="1"/>
    <col min="6" max="6" width="13.7109375" style="284" hidden="1" customWidth="1"/>
    <col min="7" max="7" width="12.5703125" style="284" customWidth="1"/>
    <col min="8" max="8" width="25" style="284" customWidth="1"/>
    <col min="9" max="13" width="9.140625" style="284"/>
    <col min="14" max="14" width="9.140625" style="284" hidden="1" customWidth="1"/>
    <col min="15" max="19" width="9.140625" style="284" customWidth="1"/>
    <col min="20" max="16384" width="9.140625" style="284"/>
  </cols>
  <sheetData>
    <row r="1" spans="1:8" ht="15.75" x14ac:dyDescent="0.25">
      <c r="A1" s="316" t="s">
        <v>269</v>
      </c>
    </row>
    <row r="2" spans="1:8" ht="15.75" x14ac:dyDescent="0.25">
      <c r="A2" s="316" t="s">
        <v>431</v>
      </c>
    </row>
    <row r="3" spans="1:8" ht="13.5" thickBot="1" x14ac:dyDescent="0.25"/>
    <row r="4" spans="1:8" x14ac:dyDescent="0.2">
      <c r="A4" s="746" t="s">
        <v>432</v>
      </c>
      <c r="B4" s="317" t="s">
        <v>433</v>
      </c>
      <c r="C4" s="317" t="s">
        <v>433</v>
      </c>
      <c r="D4" s="317" t="s">
        <v>434</v>
      </c>
      <c r="E4" s="317" t="s">
        <v>435</v>
      </c>
      <c r="F4" s="318" t="s">
        <v>436</v>
      </c>
      <c r="G4" s="319" t="s">
        <v>436</v>
      </c>
      <c r="H4" s="24"/>
    </row>
    <row r="5" spans="1:8" ht="13.5" thickBot="1" x14ac:dyDescent="0.25">
      <c r="A5" s="747"/>
      <c r="B5" s="320" t="s">
        <v>828</v>
      </c>
      <c r="C5" s="320" t="s">
        <v>827</v>
      </c>
      <c r="D5" s="320" t="s">
        <v>825</v>
      </c>
      <c r="E5" s="320" t="s">
        <v>825</v>
      </c>
      <c r="F5" s="321" t="s">
        <v>825</v>
      </c>
      <c r="G5" s="322" t="s">
        <v>826</v>
      </c>
      <c r="H5" s="323" t="s">
        <v>437</v>
      </c>
    </row>
    <row r="6" spans="1:8" x14ac:dyDescent="0.2">
      <c r="A6" s="26" t="s">
        <v>829</v>
      </c>
      <c r="B6" s="324">
        <v>20000</v>
      </c>
      <c r="C6" s="324">
        <v>11800</v>
      </c>
      <c r="D6" s="324">
        <v>20000</v>
      </c>
      <c r="E6" s="325"/>
      <c r="F6" s="324">
        <f>SUM(D6:E6)</f>
        <v>20000</v>
      </c>
      <c r="G6" s="326"/>
      <c r="H6" s="323"/>
    </row>
    <row r="7" spans="1:8" s="407" customFormat="1" x14ac:dyDescent="0.2">
      <c r="A7" s="26" t="s">
        <v>438</v>
      </c>
      <c r="B7" s="324">
        <v>0</v>
      </c>
      <c r="C7" s="324">
        <v>2229.54</v>
      </c>
      <c r="D7" s="324">
        <v>2133.14</v>
      </c>
      <c r="E7" s="325"/>
      <c r="F7" s="324">
        <f>SUM(D7:E7)</f>
        <v>2133.14</v>
      </c>
      <c r="G7" s="326"/>
      <c r="H7" s="323"/>
    </row>
    <row r="8" spans="1:8" x14ac:dyDescent="0.2">
      <c r="A8" s="26" t="s">
        <v>439</v>
      </c>
      <c r="B8" s="324">
        <v>6855</v>
      </c>
      <c r="C8" s="324">
        <v>6685</v>
      </c>
      <c r="D8" s="324">
        <v>6515</v>
      </c>
      <c r="E8" s="324"/>
      <c r="F8" s="324">
        <f>SUM(D8:E8)</f>
        <v>6515</v>
      </c>
      <c r="G8" s="326"/>
      <c r="H8" s="323"/>
    </row>
    <row r="9" spans="1:8" s="407" customFormat="1" x14ac:dyDescent="0.2">
      <c r="A9" s="26" t="s">
        <v>831</v>
      </c>
      <c r="B9" s="324">
        <v>11500</v>
      </c>
      <c r="C9" s="324">
        <v>11500</v>
      </c>
      <c r="D9" s="324">
        <v>11500</v>
      </c>
      <c r="E9" s="324"/>
      <c r="F9" s="324"/>
      <c r="G9" s="326"/>
      <c r="H9" s="323"/>
    </row>
    <row r="10" spans="1:8" s="407" customFormat="1" x14ac:dyDescent="0.2">
      <c r="A10" s="26" t="s">
        <v>889</v>
      </c>
      <c r="B10" s="324"/>
      <c r="C10" s="324"/>
      <c r="D10" s="324">
        <v>8500</v>
      </c>
      <c r="E10" s="324"/>
      <c r="F10" s="324"/>
      <c r="G10" s="326"/>
      <c r="H10" s="323"/>
    </row>
    <row r="11" spans="1:8" s="407" customFormat="1" x14ac:dyDescent="0.2">
      <c r="A11" s="26" t="s">
        <v>832</v>
      </c>
      <c r="B11" s="324">
        <f>1945.04+1912.37</f>
        <v>3857.41</v>
      </c>
      <c r="C11" s="324"/>
      <c r="D11" s="324"/>
      <c r="E11" s="324"/>
      <c r="F11" s="324"/>
      <c r="G11" s="326"/>
      <c r="H11" s="323"/>
    </row>
    <row r="12" spans="1:8" s="407" customFormat="1" x14ac:dyDescent="0.2">
      <c r="A12" s="26" t="s">
        <v>866</v>
      </c>
      <c r="B12" s="324"/>
      <c r="C12" s="324">
        <v>10000</v>
      </c>
      <c r="D12" s="324">
        <v>5515.76</v>
      </c>
      <c r="E12" s="324"/>
      <c r="F12" s="324"/>
      <c r="G12" s="326"/>
      <c r="H12" s="323"/>
    </row>
    <row r="13" spans="1:8" x14ac:dyDescent="0.2">
      <c r="A13" s="26" t="s">
        <v>833</v>
      </c>
      <c r="B13" s="324">
        <v>7770</v>
      </c>
      <c r="C13" s="324">
        <v>7615</v>
      </c>
      <c r="D13" s="324">
        <v>7285</v>
      </c>
      <c r="E13" s="324"/>
      <c r="F13" s="324">
        <f>SUM(D13:E13)</f>
        <v>7285</v>
      </c>
      <c r="G13" s="326"/>
      <c r="H13" s="328"/>
    </row>
    <row r="14" spans="1:8" x14ac:dyDescent="0.2">
      <c r="A14" s="26" t="s">
        <v>440</v>
      </c>
      <c r="B14" s="324">
        <v>1035.73</v>
      </c>
      <c r="C14" s="324">
        <v>1011.13</v>
      </c>
      <c r="D14" s="324">
        <v>984.93</v>
      </c>
      <c r="E14" s="324"/>
      <c r="F14" s="324">
        <f>SUM(D14:E14)</f>
        <v>984.93</v>
      </c>
      <c r="G14" s="326"/>
      <c r="H14" s="328"/>
    </row>
    <row r="15" spans="1:8" s="407" customFormat="1" x14ac:dyDescent="0.2">
      <c r="A15" s="26" t="s">
        <v>867</v>
      </c>
      <c r="B15" s="324"/>
      <c r="C15" s="324">
        <v>34000</v>
      </c>
      <c r="D15" s="324"/>
      <c r="E15" s="324"/>
      <c r="F15" s="324"/>
      <c r="G15" s="326"/>
      <c r="H15" s="328"/>
    </row>
    <row r="16" spans="1:8" s="407" customFormat="1" x14ac:dyDescent="0.2">
      <c r="A16" s="26" t="s">
        <v>890</v>
      </c>
      <c r="B16" s="324"/>
      <c r="C16" s="324"/>
      <c r="D16" s="324">
        <v>41305.360000000001</v>
      </c>
      <c r="E16" s="324"/>
      <c r="F16" s="324"/>
      <c r="G16" s="326"/>
      <c r="H16" s="328"/>
    </row>
    <row r="17" spans="1:8" s="407" customFormat="1" x14ac:dyDescent="0.2">
      <c r="A17" s="26" t="s">
        <v>885</v>
      </c>
      <c r="B17" s="324"/>
      <c r="C17" s="324">
        <v>2881.89</v>
      </c>
      <c r="D17" s="324"/>
      <c r="E17" s="324"/>
      <c r="F17" s="324"/>
      <c r="G17" s="326"/>
      <c r="H17" s="328"/>
    </row>
    <row r="18" spans="1:8" s="407" customFormat="1" x14ac:dyDescent="0.2">
      <c r="A18" s="26" t="s">
        <v>868</v>
      </c>
      <c r="B18" s="324"/>
      <c r="C18" s="324">
        <v>6000</v>
      </c>
      <c r="D18" s="324"/>
      <c r="E18" s="324"/>
      <c r="F18" s="324"/>
      <c r="G18" s="326"/>
      <c r="H18" s="328"/>
    </row>
    <row r="19" spans="1:8" s="407" customFormat="1" x14ac:dyDescent="0.2">
      <c r="A19" s="26" t="s">
        <v>869</v>
      </c>
      <c r="B19" s="324"/>
      <c r="C19" s="324">
        <v>10250</v>
      </c>
      <c r="D19" s="324"/>
      <c r="E19" s="324"/>
      <c r="F19" s="324"/>
      <c r="G19" s="326"/>
      <c r="H19" s="328"/>
    </row>
    <row r="20" spans="1:8" s="407" customFormat="1" x14ac:dyDescent="0.2">
      <c r="A20" s="26" t="s">
        <v>891</v>
      </c>
      <c r="B20" s="324"/>
      <c r="C20" s="324"/>
      <c r="D20" s="324">
        <v>11000</v>
      </c>
      <c r="E20" s="324"/>
      <c r="F20" s="324"/>
      <c r="G20" s="326"/>
      <c r="H20" s="328"/>
    </row>
    <row r="21" spans="1:8" x14ac:dyDescent="0.2">
      <c r="A21" s="26" t="s">
        <v>441</v>
      </c>
      <c r="B21" s="324"/>
      <c r="C21" s="324"/>
      <c r="D21" s="324"/>
      <c r="E21" s="324"/>
      <c r="F21" s="324">
        <f>SUM(D21:E21)</f>
        <v>0</v>
      </c>
      <c r="G21" s="326"/>
      <c r="H21" s="444" t="s">
        <v>442</v>
      </c>
    </row>
    <row r="22" spans="1:8" s="407" customFormat="1" x14ac:dyDescent="0.2">
      <c r="A22" s="26" t="s">
        <v>834</v>
      </c>
      <c r="B22" s="324">
        <v>2307.67</v>
      </c>
      <c r="C22" s="324"/>
      <c r="D22" s="324"/>
      <c r="E22" s="324"/>
      <c r="F22" s="324"/>
      <c r="G22" s="326"/>
      <c r="H22" s="328"/>
    </row>
    <row r="23" spans="1:8" s="407" customFormat="1" x14ac:dyDescent="0.2">
      <c r="A23" s="26" t="s">
        <v>892</v>
      </c>
      <c r="B23" s="324"/>
      <c r="C23" s="324"/>
      <c r="D23" s="324">
        <v>1500</v>
      </c>
      <c r="E23" s="324"/>
      <c r="F23" s="324"/>
      <c r="G23" s="326"/>
      <c r="H23" s="328"/>
    </row>
    <row r="24" spans="1:8" x14ac:dyDescent="0.2">
      <c r="A24" s="26" t="s">
        <v>443</v>
      </c>
      <c r="B24" s="324"/>
      <c r="C24" s="324"/>
      <c r="D24" s="324"/>
      <c r="E24" s="324"/>
      <c r="F24" s="324">
        <f>SUM(D24:E24)</f>
        <v>0</v>
      </c>
      <c r="G24" s="326"/>
      <c r="H24" s="328"/>
    </row>
    <row r="25" spans="1:8" s="407" customFormat="1" x14ac:dyDescent="0.2">
      <c r="A25" s="26" t="s">
        <v>893</v>
      </c>
      <c r="B25" s="324"/>
      <c r="C25" s="324"/>
      <c r="D25" s="324">
        <v>10052.459999999999</v>
      </c>
      <c r="E25" s="324"/>
      <c r="F25" s="324"/>
      <c r="G25" s="326"/>
      <c r="H25" s="328"/>
    </row>
    <row r="26" spans="1:8" s="407" customFormat="1" x14ac:dyDescent="0.2">
      <c r="A26" s="26" t="s">
        <v>894</v>
      </c>
      <c r="B26" s="324"/>
      <c r="C26" s="324"/>
      <c r="D26" s="324">
        <v>22000</v>
      </c>
      <c r="E26" s="324"/>
      <c r="F26" s="324"/>
      <c r="G26" s="326"/>
      <c r="H26" s="328"/>
    </row>
    <row r="27" spans="1:8" s="407" customFormat="1" x14ac:dyDescent="0.2">
      <c r="A27" s="26" t="s">
        <v>835</v>
      </c>
      <c r="B27" s="324">
        <f>23000+24500</f>
        <v>47500</v>
      </c>
      <c r="C27" s="324">
        <v>24500</v>
      </c>
      <c r="D27" s="324"/>
      <c r="E27" s="324"/>
      <c r="F27" s="324"/>
      <c r="G27" s="326"/>
      <c r="H27" s="328"/>
    </row>
    <row r="28" spans="1:8" s="407" customFormat="1" x14ac:dyDescent="0.2">
      <c r="A28" s="26" t="s">
        <v>836</v>
      </c>
      <c r="B28" s="324">
        <v>9220</v>
      </c>
      <c r="C28" s="324">
        <v>2500</v>
      </c>
      <c r="D28" s="324"/>
      <c r="E28" s="324"/>
      <c r="F28" s="324"/>
      <c r="G28" s="326"/>
      <c r="H28" s="328"/>
    </row>
    <row r="29" spans="1:8" x14ac:dyDescent="0.2">
      <c r="A29" s="26" t="s">
        <v>444</v>
      </c>
      <c r="B29" s="324"/>
      <c r="C29" s="324"/>
      <c r="D29" s="324"/>
      <c r="E29" s="324"/>
      <c r="F29" s="324">
        <f>SUM(D29:E29)</f>
        <v>0</v>
      </c>
      <c r="G29" s="326"/>
      <c r="H29" s="328"/>
    </row>
    <row r="30" spans="1:8" x14ac:dyDescent="0.2">
      <c r="A30" s="26" t="s">
        <v>445</v>
      </c>
      <c r="B30" s="324">
        <f>6882.52+6831.27</f>
        <v>13713.79</v>
      </c>
      <c r="C30" s="324"/>
      <c r="D30" s="324"/>
      <c r="E30" s="324"/>
      <c r="F30" s="324">
        <f>SUM(D30:E30)</f>
        <v>0</v>
      </c>
      <c r="G30" s="326"/>
      <c r="H30" s="329"/>
    </row>
    <row r="31" spans="1:8" s="407" customFormat="1" x14ac:dyDescent="0.2">
      <c r="A31" s="26" t="s">
        <v>895</v>
      </c>
      <c r="B31" s="324"/>
      <c r="C31" s="324"/>
      <c r="D31" s="324">
        <v>35000</v>
      </c>
      <c r="E31" s="324"/>
      <c r="F31" s="324"/>
      <c r="G31" s="326"/>
      <c r="H31" s="329"/>
    </row>
    <row r="32" spans="1:8" s="407" customFormat="1" x14ac:dyDescent="0.2">
      <c r="A32" s="26" t="s">
        <v>870</v>
      </c>
      <c r="B32" s="324"/>
      <c r="C32" s="324">
        <v>6895.11</v>
      </c>
      <c r="D32" s="324">
        <v>8546.14</v>
      </c>
      <c r="E32" s="324"/>
      <c r="F32" s="324"/>
      <c r="G32" s="326"/>
      <c r="H32" s="329"/>
    </row>
    <row r="33" spans="1:8" s="407" customFormat="1" x14ac:dyDescent="0.2">
      <c r="A33" s="26" t="s">
        <v>837</v>
      </c>
      <c r="B33" s="324">
        <v>9500</v>
      </c>
      <c r="C33" s="324"/>
      <c r="D33" s="324"/>
      <c r="E33" s="324"/>
      <c r="F33" s="324"/>
      <c r="G33" s="326"/>
      <c r="H33" s="329"/>
    </row>
    <row r="34" spans="1:8" x14ac:dyDescent="0.2">
      <c r="A34" s="26" t="s">
        <v>446</v>
      </c>
      <c r="B34" s="324"/>
      <c r="C34" s="324"/>
      <c r="D34" s="324"/>
      <c r="E34" s="324"/>
      <c r="F34" s="324">
        <f>SUM(D34:E34)</f>
        <v>0</v>
      </c>
      <c r="G34" s="326"/>
      <c r="H34" s="329"/>
    </row>
    <row r="35" spans="1:8" x14ac:dyDescent="0.2">
      <c r="A35" s="26" t="s">
        <v>447</v>
      </c>
      <c r="B35" s="324"/>
      <c r="C35" s="324"/>
      <c r="D35" s="324"/>
      <c r="E35" s="324"/>
      <c r="F35" s="324">
        <f>SUM(D35:E35)</f>
        <v>0</v>
      </c>
      <c r="G35" s="326"/>
      <c r="H35" s="329"/>
    </row>
    <row r="36" spans="1:8" s="407" customFormat="1" x14ac:dyDescent="0.2">
      <c r="A36" s="26" t="s">
        <v>871</v>
      </c>
      <c r="B36" s="324"/>
      <c r="C36" s="324">
        <v>39800</v>
      </c>
      <c r="D36" s="324"/>
      <c r="E36" s="324"/>
      <c r="F36" s="324"/>
      <c r="G36" s="326"/>
      <c r="H36" s="329"/>
    </row>
    <row r="37" spans="1:8" s="407" customFormat="1" x14ac:dyDescent="0.2">
      <c r="A37" s="26" t="s">
        <v>896</v>
      </c>
      <c r="B37" s="324"/>
      <c r="C37" s="324"/>
      <c r="D37" s="324">
        <v>15780</v>
      </c>
      <c r="E37" s="324"/>
      <c r="F37" s="324"/>
      <c r="G37" s="326"/>
      <c r="H37" s="329"/>
    </row>
    <row r="38" spans="1:8" x14ac:dyDescent="0.2">
      <c r="A38" s="26" t="s">
        <v>448</v>
      </c>
      <c r="B38" s="324"/>
      <c r="C38" s="324">
        <v>9700.07</v>
      </c>
      <c r="D38" s="324"/>
      <c r="E38" s="324"/>
      <c r="F38" s="324">
        <f>SUM(D38:E38)</f>
        <v>0</v>
      </c>
      <c r="G38" s="326"/>
      <c r="H38" s="329"/>
    </row>
    <row r="39" spans="1:8" s="407" customFormat="1" x14ac:dyDescent="0.2">
      <c r="A39" s="26" t="s">
        <v>838</v>
      </c>
      <c r="B39" s="324">
        <v>4800</v>
      </c>
      <c r="C39" s="324">
        <v>3396.5</v>
      </c>
      <c r="D39" s="324">
        <v>1978.91</v>
      </c>
      <c r="E39" s="324"/>
      <c r="F39" s="324"/>
      <c r="G39" s="326"/>
      <c r="H39" s="329"/>
    </row>
    <row r="40" spans="1:8" x14ac:dyDescent="0.2">
      <c r="A40" s="26" t="s">
        <v>449</v>
      </c>
      <c r="B40" s="324"/>
      <c r="C40" s="324"/>
      <c r="D40" s="324"/>
      <c r="E40" s="324"/>
      <c r="F40" s="324">
        <f>SUM(D40:E40)</f>
        <v>0</v>
      </c>
      <c r="G40" s="326"/>
      <c r="H40" s="328"/>
    </row>
    <row r="41" spans="1:8" s="407" customFormat="1" x14ac:dyDescent="0.2">
      <c r="A41" s="26" t="s">
        <v>839</v>
      </c>
      <c r="B41" s="324">
        <v>8000</v>
      </c>
      <c r="C41" s="324"/>
      <c r="D41" s="324"/>
      <c r="E41" s="324"/>
      <c r="F41" s="324"/>
      <c r="G41" s="326"/>
      <c r="H41" s="328"/>
    </row>
    <row r="42" spans="1:8" s="407" customFormat="1" x14ac:dyDescent="0.2">
      <c r="A42" s="26" t="s">
        <v>897</v>
      </c>
      <c r="B42" s="324"/>
      <c r="C42" s="324"/>
      <c r="D42" s="324">
        <v>7500</v>
      </c>
      <c r="E42" s="324"/>
      <c r="F42" s="324"/>
      <c r="G42" s="326"/>
      <c r="H42" s="328"/>
    </row>
    <row r="43" spans="1:8" s="407" customFormat="1" x14ac:dyDescent="0.2">
      <c r="A43" s="26" t="s">
        <v>898</v>
      </c>
      <c r="B43" s="324"/>
      <c r="C43" s="324"/>
      <c r="D43" s="324">
        <v>19000</v>
      </c>
      <c r="E43" s="324"/>
      <c r="F43" s="324"/>
      <c r="G43" s="326"/>
      <c r="H43" s="328"/>
    </row>
    <row r="44" spans="1:8" s="407" customFormat="1" x14ac:dyDescent="0.2">
      <c r="A44" s="26" t="s">
        <v>888</v>
      </c>
      <c r="B44" s="324"/>
      <c r="C44" s="324"/>
      <c r="D44" s="324">
        <v>10500</v>
      </c>
      <c r="E44" s="324"/>
      <c r="F44" s="324"/>
      <c r="G44" s="326"/>
      <c r="H44" s="323"/>
    </row>
    <row r="45" spans="1:8" s="407" customFormat="1" x14ac:dyDescent="0.2">
      <c r="A45" s="26" t="s">
        <v>840</v>
      </c>
      <c r="B45" s="324">
        <f>854.92*2</f>
        <v>1709.84</v>
      </c>
      <c r="C45" s="324">
        <v>819.18</v>
      </c>
      <c r="D45" s="324">
        <v>781.77</v>
      </c>
      <c r="E45" s="324"/>
      <c r="F45" s="324"/>
      <c r="G45" s="326"/>
      <c r="H45" s="328"/>
    </row>
    <row r="46" spans="1:8" x14ac:dyDescent="0.2">
      <c r="A46" s="26" t="s">
        <v>450</v>
      </c>
      <c r="B46" s="324"/>
      <c r="C46" s="324"/>
      <c r="D46" s="324"/>
      <c r="E46" s="324"/>
      <c r="F46" s="324">
        <f>SUM(D46:E46)</f>
        <v>0</v>
      </c>
      <c r="G46" s="326"/>
      <c r="H46" s="330"/>
    </row>
    <row r="47" spans="1:8" s="407" customFormat="1" x14ac:dyDescent="0.2">
      <c r="A47" s="26" t="s">
        <v>872</v>
      </c>
      <c r="B47" s="324"/>
      <c r="C47" s="324">
        <v>12490</v>
      </c>
      <c r="D47" s="324"/>
      <c r="E47" s="324"/>
      <c r="F47" s="324"/>
      <c r="G47" s="326"/>
      <c r="H47" s="330"/>
    </row>
    <row r="48" spans="1:8" x14ac:dyDescent="0.2">
      <c r="A48" s="26" t="s">
        <v>451</v>
      </c>
      <c r="B48" s="324">
        <f>702.5+697.5</f>
        <v>1400</v>
      </c>
      <c r="C48" s="324">
        <f>687.5+692.5</f>
        <v>1380</v>
      </c>
      <c r="D48" s="324">
        <f>682.5+677.5</f>
        <v>1360</v>
      </c>
      <c r="E48" s="324"/>
      <c r="F48" s="324">
        <f>SUM(D48:E48)</f>
        <v>1360</v>
      </c>
      <c r="G48" s="326"/>
      <c r="H48" s="328"/>
    </row>
    <row r="49" spans="1:8" x14ac:dyDescent="0.2">
      <c r="A49" s="26" t="s">
        <v>452</v>
      </c>
      <c r="B49" s="324"/>
      <c r="C49" s="324"/>
      <c r="D49" s="324"/>
      <c r="E49" s="324"/>
      <c r="F49" s="324">
        <f>SUM(D49:E49)</f>
        <v>0</v>
      </c>
      <c r="G49" s="326"/>
      <c r="H49" s="328"/>
    </row>
    <row r="50" spans="1:8" s="407" customFormat="1" x14ac:dyDescent="0.2">
      <c r="A50" s="26" t="s">
        <v>841</v>
      </c>
      <c r="B50" s="324">
        <v>1754.65</v>
      </c>
      <c r="C50" s="324"/>
      <c r="D50" s="324"/>
      <c r="E50" s="324"/>
      <c r="F50" s="324"/>
      <c r="G50" s="326"/>
      <c r="H50" s="328"/>
    </row>
    <row r="51" spans="1:8" s="407" customFormat="1" x14ac:dyDescent="0.2">
      <c r="A51" s="26" t="s">
        <v>899</v>
      </c>
      <c r="B51" s="324"/>
      <c r="C51" s="324"/>
      <c r="D51" s="324">
        <v>9869</v>
      </c>
      <c r="E51" s="324"/>
      <c r="F51" s="324"/>
      <c r="G51" s="326"/>
      <c r="H51" s="328"/>
    </row>
    <row r="52" spans="1:8" s="407" customFormat="1" x14ac:dyDescent="0.2">
      <c r="A52" s="26" t="s">
        <v>842</v>
      </c>
      <c r="B52" s="324">
        <v>7600</v>
      </c>
      <c r="C52" s="324"/>
      <c r="D52" s="324"/>
      <c r="E52" s="324"/>
      <c r="F52" s="324"/>
      <c r="G52" s="326"/>
      <c r="H52" s="328"/>
    </row>
    <row r="53" spans="1:8" x14ac:dyDescent="0.2">
      <c r="A53" s="26" t="s">
        <v>453</v>
      </c>
      <c r="B53" s="324"/>
      <c r="C53" s="324"/>
      <c r="D53" s="324"/>
      <c r="E53" s="324"/>
      <c r="F53" s="324">
        <f>SUM(D53:E53)</f>
        <v>0</v>
      </c>
      <c r="G53" s="326"/>
      <c r="H53" s="328"/>
    </row>
    <row r="54" spans="1:8" s="407" customFormat="1" x14ac:dyDescent="0.2">
      <c r="A54" s="26" t="s">
        <v>843</v>
      </c>
      <c r="B54" s="324">
        <v>15000</v>
      </c>
      <c r="C54" s="324">
        <v>5400</v>
      </c>
      <c r="D54" s="324">
        <v>16250</v>
      </c>
      <c r="E54" s="324"/>
      <c r="F54" s="324"/>
      <c r="G54" s="326"/>
      <c r="H54" s="328"/>
    </row>
    <row r="55" spans="1:8" s="407" customFormat="1" x14ac:dyDescent="0.2">
      <c r="A55" s="26" t="s">
        <v>873</v>
      </c>
      <c r="B55" s="324"/>
      <c r="C55" s="324">
        <f>3992.04+4387.54</f>
        <v>8379.58</v>
      </c>
      <c r="D55" s="324"/>
      <c r="E55" s="324"/>
      <c r="F55" s="324"/>
      <c r="G55" s="326"/>
      <c r="H55" s="328"/>
    </row>
    <row r="56" spans="1:8" s="407" customFormat="1" x14ac:dyDescent="0.2">
      <c r="A56" s="26" t="s">
        <v>844</v>
      </c>
      <c r="B56" s="324">
        <v>4000</v>
      </c>
      <c r="C56" s="324">
        <v>4000</v>
      </c>
      <c r="D56" s="324">
        <f>1000+4000</f>
        <v>5000</v>
      </c>
      <c r="E56" s="324"/>
      <c r="F56" s="324"/>
      <c r="G56" s="326"/>
      <c r="H56" s="328"/>
    </row>
    <row r="57" spans="1:8" s="407" customFormat="1" x14ac:dyDescent="0.2">
      <c r="A57" s="26" t="s">
        <v>845</v>
      </c>
      <c r="B57" s="324">
        <v>4000</v>
      </c>
      <c r="C57" s="324">
        <v>4000</v>
      </c>
      <c r="D57" s="324">
        <f>1000+4000</f>
        <v>5000</v>
      </c>
      <c r="E57" s="324"/>
      <c r="F57" s="324"/>
      <c r="G57" s="326"/>
      <c r="H57" s="328"/>
    </row>
    <row r="58" spans="1:8" x14ac:dyDescent="0.2">
      <c r="A58" s="26" t="s">
        <v>454</v>
      </c>
      <c r="B58" s="324"/>
      <c r="C58" s="324"/>
      <c r="D58" s="324"/>
      <c r="E58" s="324"/>
      <c r="F58" s="324">
        <f>SUM(D58:E58)</f>
        <v>0</v>
      </c>
      <c r="G58" s="326"/>
      <c r="H58" s="444" t="s">
        <v>455</v>
      </c>
    </row>
    <row r="59" spans="1:8" x14ac:dyDescent="0.2">
      <c r="A59" s="26" t="s">
        <v>456</v>
      </c>
      <c r="B59" s="324"/>
      <c r="C59" s="324"/>
      <c r="D59" s="324"/>
      <c r="E59" s="324"/>
      <c r="F59" s="324">
        <f>SUM(D59:E59)</f>
        <v>0</v>
      </c>
      <c r="G59" s="326"/>
      <c r="H59" s="329"/>
    </row>
    <row r="60" spans="1:8" s="407" customFormat="1" x14ac:dyDescent="0.2">
      <c r="A60" s="26" t="s">
        <v>880</v>
      </c>
      <c r="B60" s="324"/>
      <c r="C60" s="324">
        <v>1954.74</v>
      </c>
      <c r="D60" s="324"/>
      <c r="E60" s="324"/>
      <c r="F60" s="324"/>
      <c r="G60" s="326"/>
      <c r="H60" s="329"/>
    </row>
    <row r="61" spans="1:8" x14ac:dyDescent="0.2">
      <c r="A61" s="26" t="s">
        <v>457</v>
      </c>
      <c r="B61" s="324"/>
      <c r="C61" s="324"/>
      <c r="D61" s="324"/>
      <c r="E61" s="324"/>
      <c r="F61" s="324">
        <f>SUM(D61:E61)</f>
        <v>0</v>
      </c>
      <c r="G61" s="326"/>
      <c r="H61" s="329"/>
    </row>
    <row r="62" spans="1:8" s="407" customFormat="1" x14ac:dyDescent="0.2">
      <c r="A62" s="26" t="s">
        <v>846</v>
      </c>
      <c r="B62" s="324">
        <v>992.28</v>
      </c>
      <c r="C62" s="324"/>
      <c r="D62" s="324">
        <v>961.29</v>
      </c>
      <c r="E62" s="324"/>
      <c r="F62" s="324"/>
      <c r="G62" s="326"/>
      <c r="H62" s="329"/>
    </row>
    <row r="63" spans="1:8" s="407" customFormat="1" x14ac:dyDescent="0.2">
      <c r="A63" s="26" t="s">
        <v>874</v>
      </c>
      <c r="B63" s="324"/>
      <c r="C63" s="324">
        <v>8190</v>
      </c>
      <c r="D63" s="324"/>
      <c r="E63" s="324"/>
      <c r="F63" s="324"/>
      <c r="G63" s="326"/>
      <c r="H63" s="329"/>
    </row>
    <row r="64" spans="1:8" x14ac:dyDescent="0.2">
      <c r="A64" s="26" t="s">
        <v>458</v>
      </c>
      <c r="B64" s="324">
        <v>12180</v>
      </c>
      <c r="C64" s="324"/>
      <c r="D64" s="324">
        <f>11880+11550</f>
        <v>23430</v>
      </c>
      <c r="E64" s="324"/>
      <c r="F64" s="324">
        <f>SUM(D64:E64)</f>
        <v>23430</v>
      </c>
      <c r="G64" s="326"/>
      <c r="H64" s="328"/>
    </row>
    <row r="65" spans="1:8" s="407" customFormat="1" x14ac:dyDescent="0.2">
      <c r="A65" s="26" t="s">
        <v>847</v>
      </c>
      <c r="B65" s="324">
        <v>7162.34</v>
      </c>
      <c r="C65" s="324"/>
      <c r="D65" s="324"/>
      <c r="E65" s="324"/>
      <c r="F65" s="324"/>
      <c r="G65" s="326"/>
      <c r="H65" s="328"/>
    </row>
    <row r="66" spans="1:8" s="407" customFormat="1" x14ac:dyDescent="0.2">
      <c r="A66" s="26" t="s">
        <v>875</v>
      </c>
      <c r="B66" s="324"/>
      <c r="C66" s="324">
        <f>6388.98+1188.76</f>
        <v>7577.74</v>
      </c>
      <c r="D66" s="324">
        <f>2500+2471.42</f>
        <v>4971.42</v>
      </c>
      <c r="E66" s="324"/>
      <c r="F66" s="324"/>
      <c r="G66" s="326"/>
      <c r="H66" s="328"/>
    </row>
    <row r="67" spans="1:8" s="407" customFormat="1" x14ac:dyDescent="0.2">
      <c r="A67" s="26" t="s">
        <v>848</v>
      </c>
      <c r="B67" s="324">
        <v>13427.1</v>
      </c>
      <c r="C67" s="324">
        <f>3200+19707.4</f>
        <v>22907.4</v>
      </c>
      <c r="D67" s="324">
        <v>17902.66</v>
      </c>
      <c r="E67" s="324"/>
      <c r="F67" s="324"/>
      <c r="G67" s="326"/>
      <c r="H67" s="328"/>
    </row>
    <row r="68" spans="1:8" x14ac:dyDescent="0.2">
      <c r="A68" s="26" t="s">
        <v>459</v>
      </c>
      <c r="B68" s="324">
        <v>6400</v>
      </c>
      <c r="C68" s="324">
        <v>6400</v>
      </c>
      <c r="D68" s="324">
        <v>6400</v>
      </c>
      <c r="E68" s="324"/>
      <c r="F68" s="324">
        <f>SUM(D68:E68)</f>
        <v>6400</v>
      </c>
      <c r="G68" s="326"/>
      <c r="H68" s="328"/>
    </row>
    <row r="69" spans="1:8" s="407" customFormat="1" x14ac:dyDescent="0.2">
      <c r="A69" s="26" t="s">
        <v>849</v>
      </c>
      <c r="B69" s="324">
        <v>10700</v>
      </c>
      <c r="C69" s="324"/>
      <c r="D69" s="324"/>
      <c r="E69" s="324"/>
      <c r="F69" s="324"/>
      <c r="G69" s="326"/>
      <c r="H69" s="328"/>
    </row>
    <row r="70" spans="1:8" s="407" customFormat="1" x14ac:dyDescent="0.2">
      <c r="A70" s="26" t="s">
        <v>876</v>
      </c>
      <c r="B70" s="324"/>
      <c r="C70" s="324">
        <v>8598.57</v>
      </c>
      <c r="D70" s="324">
        <v>2700</v>
      </c>
      <c r="E70" s="324"/>
      <c r="F70" s="324"/>
      <c r="G70" s="326"/>
      <c r="H70" s="328"/>
    </row>
    <row r="71" spans="1:8" s="407" customFormat="1" x14ac:dyDescent="0.2">
      <c r="A71" s="26" t="s">
        <v>877</v>
      </c>
      <c r="B71" s="324"/>
      <c r="C71" s="324">
        <v>6258.65</v>
      </c>
      <c r="D71" s="324"/>
      <c r="E71" s="324"/>
      <c r="F71" s="324"/>
      <c r="G71" s="326"/>
      <c r="H71" s="328"/>
    </row>
    <row r="72" spans="1:8" s="407" customFormat="1" x14ac:dyDescent="0.2">
      <c r="A72" s="26" t="s">
        <v>850</v>
      </c>
      <c r="B72" s="324">
        <v>4548.22</v>
      </c>
      <c r="C72" s="324"/>
      <c r="D72" s="324"/>
      <c r="E72" s="324"/>
      <c r="F72" s="324"/>
      <c r="G72" s="326"/>
      <c r="H72" s="328"/>
    </row>
    <row r="73" spans="1:8" s="407" customFormat="1" x14ac:dyDescent="0.2">
      <c r="A73" s="26" t="s">
        <v>851</v>
      </c>
      <c r="B73" s="324">
        <v>11600</v>
      </c>
      <c r="C73" s="324">
        <v>1500</v>
      </c>
      <c r="D73" s="324"/>
      <c r="E73" s="324"/>
      <c r="F73" s="324"/>
      <c r="G73" s="326"/>
      <c r="H73" s="328"/>
    </row>
    <row r="74" spans="1:8" x14ac:dyDescent="0.2">
      <c r="A74" s="26" t="s">
        <v>460</v>
      </c>
      <c r="B74" s="324">
        <v>255450</v>
      </c>
      <c r="C74" s="324"/>
      <c r="D74" s="324"/>
      <c r="E74" s="324"/>
      <c r="F74" s="324">
        <f>SUM(D74:E74)</f>
        <v>0</v>
      </c>
      <c r="G74" s="326"/>
      <c r="H74" s="329"/>
    </row>
    <row r="75" spans="1:8" s="407" customFormat="1" x14ac:dyDescent="0.2">
      <c r="A75" s="26" t="s">
        <v>852</v>
      </c>
      <c r="B75" s="324">
        <v>6500</v>
      </c>
      <c r="C75" s="324">
        <v>6500</v>
      </c>
      <c r="D75" s="324">
        <v>6500</v>
      </c>
      <c r="E75" s="324"/>
      <c r="F75" s="324"/>
      <c r="G75" s="326"/>
      <c r="H75" s="329"/>
    </row>
    <row r="76" spans="1:8" s="407" customFormat="1" x14ac:dyDescent="0.2">
      <c r="A76" s="26" t="s">
        <v>900</v>
      </c>
      <c r="B76" s="324"/>
      <c r="C76" s="324"/>
      <c r="D76" s="324">
        <v>9000</v>
      </c>
      <c r="E76" s="324"/>
      <c r="F76" s="324"/>
      <c r="G76" s="326"/>
      <c r="H76" s="329"/>
    </row>
    <row r="77" spans="1:8" s="407" customFormat="1" x14ac:dyDescent="0.2">
      <c r="A77" s="26" t="s">
        <v>853</v>
      </c>
      <c r="B77" s="324">
        <v>8274</v>
      </c>
      <c r="C77" s="324"/>
      <c r="D77" s="324"/>
      <c r="E77" s="324"/>
      <c r="F77" s="324"/>
      <c r="G77" s="326"/>
      <c r="H77" s="329"/>
    </row>
    <row r="78" spans="1:8" x14ac:dyDescent="0.2">
      <c r="A78" s="26" t="s">
        <v>461</v>
      </c>
      <c r="B78" s="324">
        <f>4912.5+4875+4840</f>
        <v>14627.5</v>
      </c>
      <c r="C78" s="324"/>
      <c r="D78" s="324">
        <f>4802.5+4765+4725</f>
        <v>14292.5</v>
      </c>
      <c r="E78" s="324"/>
      <c r="F78" s="324">
        <f>SUM(D78:E78)</f>
        <v>14292.5</v>
      </c>
      <c r="G78" s="326"/>
      <c r="H78" s="329"/>
    </row>
    <row r="79" spans="1:8" x14ac:dyDescent="0.2">
      <c r="A79" s="26" t="s">
        <v>462</v>
      </c>
      <c r="B79" s="324"/>
      <c r="C79" s="324"/>
      <c r="D79" s="324"/>
      <c r="E79" s="324"/>
      <c r="F79" s="324">
        <f>SUM(D79:E79)</f>
        <v>0</v>
      </c>
      <c r="G79" s="326"/>
      <c r="H79" s="329"/>
    </row>
    <row r="80" spans="1:8" x14ac:dyDescent="0.2">
      <c r="A80" s="26" t="s">
        <v>463</v>
      </c>
      <c r="B80" s="324"/>
      <c r="C80" s="324"/>
      <c r="D80" s="324"/>
      <c r="E80" s="324"/>
      <c r="F80" s="324">
        <f>SUM(D80:E80)</f>
        <v>0</v>
      </c>
      <c r="G80" s="326"/>
      <c r="H80" s="329"/>
    </row>
    <row r="81" spans="1:8" s="407" customFormat="1" x14ac:dyDescent="0.2">
      <c r="A81" s="26" t="s">
        <v>901</v>
      </c>
      <c r="B81" s="324"/>
      <c r="C81" s="324"/>
      <c r="D81" s="324">
        <v>1500</v>
      </c>
      <c r="E81" s="324"/>
      <c r="F81" s="324"/>
      <c r="G81" s="326"/>
      <c r="H81" s="329"/>
    </row>
    <row r="82" spans="1:8" s="407" customFormat="1" x14ac:dyDescent="0.2">
      <c r="A82" s="26" t="s">
        <v>878</v>
      </c>
      <c r="B82" s="324"/>
      <c r="C82" s="324">
        <v>9500</v>
      </c>
      <c r="D82" s="324"/>
      <c r="E82" s="324"/>
      <c r="F82" s="324"/>
      <c r="G82" s="326"/>
      <c r="H82" s="329"/>
    </row>
    <row r="83" spans="1:8" s="407" customFormat="1" x14ac:dyDescent="0.2">
      <c r="A83" s="26" t="s">
        <v>902</v>
      </c>
      <c r="B83" s="324"/>
      <c r="C83" s="324"/>
      <c r="D83" s="324">
        <v>17750</v>
      </c>
      <c r="E83" s="324"/>
      <c r="F83" s="324"/>
      <c r="G83" s="326"/>
      <c r="H83" s="329"/>
    </row>
    <row r="84" spans="1:8" s="407" customFormat="1" x14ac:dyDescent="0.2">
      <c r="A84" s="26" t="s">
        <v>879</v>
      </c>
      <c r="B84" s="324"/>
      <c r="C84" s="324">
        <f>15052.78+1280.56</f>
        <v>16333.34</v>
      </c>
      <c r="D84" s="324"/>
      <c r="E84" s="324"/>
      <c r="F84" s="324"/>
      <c r="G84" s="326"/>
      <c r="H84" s="329"/>
    </row>
    <row r="85" spans="1:8" x14ac:dyDescent="0.2">
      <c r="A85" s="26" t="s">
        <v>464</v>
      </c>
      <c r="B85" s="324">
        <v>1847.15</v>
      </c>
      <c r="C85" s="324">
        <v>1801.11</v>
      </c>
      <c r="D85" s="324">
        <v>1751.74</v>
      </c>
      <c r="E85" s="324"/>
      <c r="F85" s="324">
        <f>SUM(D85:E85)</f>
        <v>1751.74</v>
      </c>
      <c r="G85" s="326"/>
      <c r="H85" s="328"/>
    </row>
    <row r="86" spans="1:8" s="407" customFormat="1" x14ac:dyDescent="0.2">
      <c r="A86" s="26" t="s">
        <v>854</v>
      </c>
      <c r="B86" s="324">
        <f>3670+4500</f>
        <v>8170</v>
      </c>
      <c r="C86" s="324">
        <v>1783.58</v>
      </c>
      <c r="D86" s="324"/>
      <c r="E86" s="324"/>
      <c r="F86" s="324"/>
      <c r="G86" s="326"/>
      <c r="H86" s="328"/>
    </row>
    <row r="87" spans="1:8" s="407" customFormat="1" x14ac:dyDescent="0.2">
      <c r="A87" s="26" t="s">
        <v>881</v>
      </c>
      <c r="B87" s="324"/>
      <c r="C87" s="324">
        <v>8000</v>
      </c>
      <c r="D87" s="324"/>
      <c r="E87" s="324"/>
      <c r="F87" s="324"/>
      <c r="G87" s="326"/>
      <c r="H87" s="328"/>
    </row>
    <row r="88" spans="1:8" x14ac:dyDescent="0.2">
      <c r="A88" s="26" t="s">
        <v>465</v>
      </c>
      <c r="B88" s="324">
        <v>2440</v>
      </c>
      <c r="C88" s="324">
        <v>2340</v>
      </c>
      <c r="D88" s="324"/>
      <c r="E88" s="324"/>
      <c r="F88" s="324">
        <f>SUM(D88:E88)</f>
        <v>0</v>
      </c>
      <c r="G88" s="326"/>
      <c r="H88" s="329"/>
    </row>
    <row r="89" spans="1:8" s="407" customFormat="1" x14ac:dyDescent="0.2">
      <c r="A89" s="26" t="s">
        <v>903</v>
      </c>
      <c r="B89" s="324"/>
      <c r="C89" s="324"/>
      <c r="D89" s="324">
        <v>4750</v>
      </c>
      <c r="E89" s="324"/>
      <c r="F89" s="324"/>
      <c r="G89" s="326"/>
      <c r="H89" s="329"/>
    </row>
    <row r="90" spans="1:8" s="407" customFormat="1" x14ac:dyDescent="0.2">
      <c r="A90" s="26" t="s">
        <v>904</v>
      </c>
      <c r="B90" s="324"/>
      <c r="C90" s="324"/>
      <c r="D90" s="324">
        <f>3280+3140</f>
        <v>6420</v>
      </c>
      <c r="E90" s="324"/>
      <c r="F90" s="324"/>
      <c r="G90" s="326"/>
      <c r="H90" s="329"/>
    </row>
    <row r="91" spans="1:8" x14ac:dyDescent="0.2">
      <c r="A91" s="26" t="s">
        <v>466</v>
      </c>
      <c r="B91" s="324">
        <v>3415</v>
      </c>
      <c r="C91" s="324"/>
      <c r="D91" s="324"/>
      <c r="E91" s="324"/>
      <c r="F91" s="324">
        <f>SUM(D91:E91)</f>
        <v>0</v>
      </c>
      <c r="G91" s="326"/>
      <c r="H91" s="329"/>
    </row>
    <row r="92" spans="1:8" s="407" customFormat="1" x14ac:dyDescent="0.2">
      <c r="A92" s="26" t="s">
        <v>855</v>
      </c>
      <c r="B92" s="324">
        <v>9000</v>
      </c>
      <c r="C92" s="324"/>
      <c r="D92" s="324"/>
      <c r="E92" s="324"/>
      <c r="F92" s="324"/>
      <c r="G92" s="326"/>
      <c r="H92" s="329"/>
    </row>
    <row r="93" spans="1:8" x14ac:dyDescent="0.2">
      <c r="A93" s="26" t="s">
        <v>467</v>
      </c>
      <c r="B93" s="324">
        <v>15360</v>
      </c>
      <c r="C93" s="324">
        <v>15210</v>
      </c>
      <c r="D93" s="324"/>
      <c r="E93" s="324"/>
      <c r="F93" s="324">
        <f>SUM(D93:E93)</f>
        <v>0</v>
      </c>
      <c r="G93" s="326"/>
      <c r="H93" s="327"/>
    </row>
    <row r="94" spans="1:8" s="407" customFormat="1" x14ac:dyDescent="0.2">
      <c r="A94" s="26" t="s">
        <v>905</v>
      </c>
      <c r="B94" s="324"/>
      <c r="C94" s="324"/>
      <c r="D94" s="324">
        <v>11250</v>
      </c>
      <c r="E94" s="324"/>
      <c r="F94" s="324"/>
      <c r="G94" s="326"/>
      <c r="H94" s="327"/>
    </row>
    <row r="95" spans="1:8" x14ac:dyDescent="0.2">
      <c r="A95" s="26" t="s">
        <v>468</v>
      </c>
      <c r="B95" s="324">
        <v>10814.02</v>
      </c>
      <c r="C95" s="324">
        <v>7892.23</v>
      </c>
      <c r="D95" s="324">
        <f>10672.15+10521.58</f>
        <v>21193.73</v>
      </c>
      <c r="E95" s="324"/>
      <c r="F95" s="324">
        <f>SUM(D95:E95)</f>
        <v>21193.73</v>
      </c>
      <c r="G95" s="326"/>
      <c r="H95" s="329"/>
    </row>
    <row r="96" spans="1:8" s="407" customFormat="1" x14ac:dyDescent="0.2">
      <c r="A96" s="26" t="s">
        <v>856</v>
      </c>
      <c r="B96" s="324">
        <v>34000</v>
      </c>
      <c r="C96" s="324"/>
      <c r="D96" s="324"/>
      <c r="E96" s="324"/>
      <c r="F96" s="324"/>
      <c r="G96" s="326"/>
      <c r="H96" s="329"/>
    </row>
    <row r="97" spans="1:8" x14ac:dyDescent="0.2">
      <c r="A97" s="26" t="s">
        <v>469</v>
      </c>
      <c r="B97" s="324">
        <v>8190</v>
      </c>
      <c r="C97" s="324"/>
      <c r="D97" s="324">
        <v>8190</v>
      </c>
      <c r="E97" s="331"/>
      <c r="F97" s="324">
        <f>SUM(D97:E97)</f>
        <v>8190</v>
      </c>
      <c r="G97" s="326"/>
      <c r="H97" s="329"/>
    </row>
    <row r="98" spans="1:8" s="407" customFormat="1" x14ac:dyDescent="0.2">
      <c r="A98" s="26" t="s">
        <v>886</v>
      </c>
      <c r="B98" s="324"/>
      <c r="C98" s="324">
        <v>74280.7</v>
      </c>
      <c r="D98" s="324"/>
      <c r="E98" s="331"/>
      <c r="F98" s="324"/>
      <c r="G98" s="326"/>
      <c r="H98" s="329"/>
    </row>
    <row r="99" spans="1:8" s="407" customFormat="1" x14ac:dyDescent="0.2">
      <c r="A99" s="26" t="s">
        <v>887</v>
      </c>
      <c r="B99" s="324"/>
      <c r="C99" s="324">
        <v>1555.56</v>
      </c>
      <c r="D99" s="324"/>
      <c r="E99" s="331"/>
      <c r="F99" s="324"/>
      <c r="G99" s="326"/>
      <c r="H99" s="329"/>
    </row>
    <row r="100" spans="1:8" s="407" customFormat="1" x14ac:dyDescent="0.2">
      <c r="A100" s="26" t="s">
        <v>909</v>
      </c>
      <c r="B100" s="324"/>
      <c r="C100" s="324"/>
      <c r="D100" s="324">
        <v>21000</v>
      </c>
      <c r="E100" s="331"/>
      <c r="F100" s="324"/>
      <c r="G100" s="326"/>
      <c r="H100" s="329"/>
    </row>
    <row r="101" spans="1:8" x14ac:dyDescent="0.2">
      <c r="A101" s="26" t="s">
        <v>470</v>
      </c>
      <c r="B101" s="324"/>
      <c r="C101" s="324"/>
      <c r="D101" s="324"/>
      <c r="E101" s="324"/>
      <c r="F101" s="324">
        <f>SUM(D101:E101)</f>
        <v>0</v>
      </c>
      <c r="G101" s="326"/>
      <c r="H101" s="329"/>
    </row>
    <row r="102" spans="1:8" s="407" customFormat="1" x14ac:dyDescent="0.2">
      <c r="A102" s="26" t="s">
        <v>857</v>
      </c>
      <c r="B102" s="324">
        <v>11061.2</v>
      </c>
      <c r="C102" s="324">
        <v>25000</v>
      </c>
      <c r="D102" s="324">
        <v>25000</v>
      </c>
      <c r="E102" s="324"/>
      <c r="F102" s="324"/>
      <c r="G102" s="326"/>
      <c r="H102" s="329"/>
    </row>
    <row r="103" spans="1:8" x14ac:dyDescent="0.2">
      <c r="A103" s="26" t="s">
        <v>471</v>
      </c>
      <c r="B103" s="324"/>
      <c r="C103" s="324"/>
      <c r="D103" s="324">
        <v>22500</v>
      </c>
      <c r="E103" s="324"/>
      <c r="F103" s="324">
        <f>SUM(D103:E103)</f>
        <v>22500</v>
      </c>
      <c r="G103" s="326"/>
      <c r="H103" s="444" t="s">
        <v>472</v>
      </c>
    </row>
    <row r="104" spans="1:8" s="407" customFormat="1" x14ac:dyDescent="0.2">
      <c r="A104" s="26" t="s">
        <v>858</v>
      </c>
      <c r="B104" s="324">
        <f>2116.09+2136.16</f>
        <v>4252.25</v>
      </c>
      <c r="C104" s="324"/>
      <c r="D104" s="324">
        <v>2094.84</v>
      </c>
      <c r="E104" s="324"/>
      <c r="F104" s="324"/>
      <c r="G104" s="326"/>
      <c r="H104" s="329"/>
    </row>
    <row r="105" spans="1:8" s="407" customFormat="1" x14ac:dyDescent="0.2">
      <c r="A105" s="26" t="s">
        <v>862</v>
      </c>
      <c r="B105" s="324">
        <v>24310.959999999999</v>
      </c>
      <c r="C105" s="324">
        <v>24088.61</v>
      </c>
      <c r="D105" s="324">
        <v>23853.43</v>
      </c>
      <c r="E105" s="324"/>
      <c r="F105" s="324"/>
      <c r="G105" s="326"/>
      <c r="H105" s="329"/>
    </row>
    <row r="106" spans="1:8" s="407" customFormat="1" x14ac:dyDescent="0.2">
      <c r="A106" s="26" t="s">
        <v>863</v>
      </c>
      <c r="B106" s="324">
        <v>8000</v>
      </c>
      <c r="C106" s="324"/>
      <c r="D106" s="324">
        <v>8000</v>
      </c>
      <c r="E106" s="324"/>
      <c r="F106" s="324"/>
      <c r="G106" s="326"/>
      <c r="H106" s="329"/>
    </row>
    <row r="107" spans="1:8" s="407" customFormat="1" x14ac:dyDescent="0.2">
      <c r="A107" s="26" t="s">
        <v>882</v>
      </c>
      <c r="B107" s="324"/>
      <c r="C107" s="324">
        <v>10399.33</v>
      </c>
      <c r="D107" s="324"/>
      <c r="E107" s="324"/>
      <c r="F107" s="324"/>
      <c r="G107" s="326"/>
      <c r="H107" s="329"/>
    </row>
    <row r="108" spans="1:8" s="407" customFormat="1" x14ac:dyDescent="0.2">
      <c r="A108" s="26" t="s">
        <v>864</v>
      </c>
      <c r="B108" s="324">
        <v>15470</v>
      </c>
      <c r="C108" s="324"/>
      <c r="D108" s="324"/>
      <c r="E108" s="324"/>
      <c r="F108" s="324"/>
      <c r="G108" s="326"/>
      <c r="H108" s="329"/>
    </row>
    <row r="109" spans="1:8" s="407" customFormat="1" x14ac:dyDescent="0.2">
      <c r="A109" s="26" t="s">
        <v>883</v>
      </c>
      <c r="B109" s="324"/>
      <c r="C109" s="324">
        <v>9248.59</v>
      </c>
      <c r="D109" s="324"/>
      <c r="E109" s="324"/>
      <c r="F109" s="324"/>
      <c r="G109" s="326"/>
      <c r="H109" s="329"/>
    </row>
    <row r="110" spans="1:8" s="407" customFormat="1" x14ac:dyDescent="0.2">
      <c r="A110" s="26" t="s">
        <v>865</v>
      </c>
      <c r="B110" s="324">
        <v>14000</v>
      </c>
      <c r="C110" s="324"/>
      <c r="D110" s="324">
        <v>21400.58</v>
      </c>
      <c r="E110" s="324"/>
      <c r="F110" s="324"/>
      <c r="G110" s="326"/>
      <c r="H110" s="329"/>
    </row>
    <row r="111" spans="1:8" x14ac:dyDescent="0.2">
      <c r="A111" s="26" t="s">
        <v>473</v>
      </c>
      <c r="B111" s="324"/>
      <c r="C111" s="324"/>
      <c r="D111" s="324"/>
      <c r="E111" s="324"/>
      <c r="F111" s="324">
        <f>SUM(D111:E111)</f>
        <v>0</v>
      </c>
      <c r="G111" s="326"/>
      <c r="H111" s="444" t="s">
        <v>472</v>
      </c>
    </row>
    <row r="112" spans="1:8" s="407" customFormat="1" x14ac:dyDescent="0.2">
      <c r="A112" s="26" t="s">
        <v>884</v>
      </c>
      <c r="B112" s="324"/>
      <c r="C112" s="324">
        <v>12000</v>
      </c>
      <c r="D112" s="324"/>
      <c r="E112" s="324"/>
      <c r="F112" s="324"/>
      <c r="G112" s="326"/>
      <c r="H112" s="329"/>
    </row>
    <row r="113" spans="1:8" s="407" customFormat="1" x14ac:dyDescent="0.2">
      <c r="A113" s="26" t="s">
        <v>907</v>
      </c>
      <c r="B113" s="324"/>
      <c r="C113" s="324"/>
      <c r="D113" s="324">
        <v>6000</v>
      </c>
      <c r="E113" s="324"/>
      <c r="F113" s="324"/>
      <c r="G113" s="326"/>
      <c r="H113" s="329"/>
    </row>
    <row r="114" spans="1:8" s="407" customFormat="1" x14ac:dyDescent="0.2">
      <c r="A114" s="26" t="s">
        <v>908</v>
      </c>
      <c r="B114" s="324"/>
      <c r="C114" s="324"/>
      <c r="D114" s="324">
        <v>3250</v>
      </c>
      <c r="E114" s="324"/>
      <c r="F114" s="324"/>
      <c r="G114" s="326"/>
      <c r="H114" s="329"/>
    </row>
    <row r="115" spans="1:8" s="407" customFormat="1" x14ac:dyDescent="0.2">
      <c r="A115" s="26" t="s">
        <v>906</v>
      </c>
      <c r="B115" s="324"/>
      <c r="C115" s="324"/>
      <c r="D115" s="324">
        <v>48000</v>
      </c>
      <c r="E115" s="324"/>
      <c r="F115" s="324"/>
      <c r="G115" s="326"/>
      <c r="H115" s="329"/>
    </row>
    <row r="116" spans="1:8" s="407" customFormat="1" x14ac:dyDescent="0.2">
      <c r="A116" s="26" t="s">
        <v>859</v>
      </c>
      <c r="B116" s="324">
        <v>4205.79</v>
      </c>
      <c r="C116" s="324">
        <v>1700</v>
      </c>
      <c r="D116" s="324"/>
      <c r="E116" s="324"/>
      <c r="F116" s="324"/>
      <c r="G116" s="326"/>
      <c r="H116" s="329"/>
    </row>
    <row r="117" spans="1:8" x14ac:dyDescent="0.2">
      <c r="A117" s="26" t="s">
        <v>474</v>
      </c>
      <c r="B117" s="324"/>
      <c r="C117" s="324"/>
      <c r="D117" s="324"/>
      <c r="E117" s="324"/>
      <c r="F117" s="324">
        <f>SUM(D117:E117)</f>
        <v>0</v>
      </c>
      <c r="G117" s="326"/>
      <c r="H117" s="329"/>
    </row>
    <row r="118" spans="1:8" s="407" customFormat="1" x14ac:dyDescent="0.2">
      <c r="A118" s="26" t="s">
        <v>860</v>
      </c>
      <c r="B118" s="324">
        <v>15000</v>
      </c>
      <c r="C118" s="324"/>
      <c r="D118" s="324">
        <v>15000</v>
      </c>
      <c r="E118" s="324"/>
      <c r="F118" s="324"/>
      <c r="G118" s="326"/>
      <c r="H118" s="329"/>
    </row>
    <row r="119" spans="1:8" x14ac:dyDescent="0.2">
      <c r="A119" s="26" t="s">
        <v>475</v>
      </c>
      <c r="B119" s="324"/>
      <c r="C119" s="324"/>
      <c r="D119" s="324"/>
      <c r="E119" s="324"/>
      <c r="F119" s="324">
        <f>SUM(D119:E119)</f>
        <v>0</v>
      </c>
      <c r="G119" s="326"/>
      <c r="H119" s="329"/>
    </row>
    <row r="120" spans="1:8" s="407" customFormat="1" x14ac:dyDescent="0.2">
      <c r="A120" s="26" t="s">
        <v>861</v>
      </c>
      <c r="B120" s="324">
        <v>7500</v>
      </c>
      <c r="C120" s="324"/>
      <c r="D120" s="324"/>
      <c r="E120" s="324"/>
      <c r="F120" s="324"/>
      <c r="G120" s="326"/>
      <c r="H120" s="329"/>
    </row>
    <row r="121" spans="1:8" x14ac:dyDescent="0.2">
      <c r="A121" s="26" t="s">
        <v>910</v>
      </c>
      <c r="B121" s="324"/>
      <c r="C121" s="324"/>
      <c r="D121" s="324">
        <v>8000</v>
      </c>
      <c r="E121" s="324"/>
      <c r="F121" s="324">
        <f>SUM(D121:E121)</f>
        <v>8000</v>
      </c>
      <c r="G121" s="326"/>
      <c r="H121" s="329"/>
    </row>
    <row r="122" spans="1:8" s="407" customFormat="1" x14ac:dyDescent="0.2">
      <c r="A122" s="26"/>
      <c r="B122" s="324"/>
      <c r="C122" s="324"/>
      <c r="D122" s="324"/>
      <c r="E122" s="324"/>
      <c r="F122" s="324">
        <f>SUM(D122:E122)</f>
        <v>0</v>
      </c>
      <c r="G122" s="326"/>
      <c r="H122" s="329"/>
    </row>
    <row r="123" spans="1:8" ht="16.5" customHeight="1" x14ac:dyDescent="0.2">
      <c r="A123" s="26" t="s">
        <v>476</v>
      </c>
      <c r="B123" s="324"/>
      <c r="C123" s="324"/>
      <c r="D123" s="324"/>
      <c r="E123" s="324"/>
      <c r="F123" s="324">
        <f>SUM(D123:E123)</f>
        <v>0</v>
      </c>
      <c r="G123" s="326"/>
      <c r="H123" s="329"/>
    </row>
    <row r="124" spans="1:8" ht="13.5" thickBot="1" x14ac:dyDescent="0.25">
      <c r="A124" s="25" t="s">
        <v>344</v>
      </c>
      <c r="B124" s="332">
        <f>SUM(B6:B123)</f>
        <v>730421.9</v>
      </c>
      <c r="C124" s="332">
        <f>SUM(C6:C123)</f>
        <v>518253.15</v>
      </c>
      <c r="D124" s="332">
        <f>SUM(D6:D123)</f>
        <v>647919.65999999992</v>
      </c>
      <c r="E124" s="332">
        <f>SUM(E6:E121)</f>
        <v>0</v>
      </c>
      <c r="F124" s="332">
        <f>SUM(F6:F121)</f>
        <v>144036.04</v>
      </c>
      <c r="G124" s="333">
        <f>SUM(G6:G123)</f>
        <v>0</v>
      </c>
      <c r="H124" s="329"/>
    </row>
    <row r="125" spans="1:8" x14ac:dyDescent="0.2">
      <c r="A125" s="25"/>
      <c r="B125" s="324"/>
      <c r="C125" s="324"/>
      <c r="D125" s="324"/>
      <c r="E125" s="324"/>
      <c r="F125" s="334"/>
      <c r="G125" s="334"/>
      <c r="H125" s="329"/>
    </row>
    <row r="126" spans="1:8" x14ac:dyDescent="0.2">
      <c r="A126" s="407" t="s">
        <v>483</v>
      </c>
      <c r="B126" s="324">
        <v>3420.83</v>
      </c>
      <c r="C126" s="324"/>
      <c r="D126" s="324"/>
      <c r="E126" s="324"/>
      <c r="F126" s="324"/>
      <c r="G126" s="326"/>
      <c r="H126" s="329"/>
    </row>
    <row r="127" spans="1:8" x14ac:dyDescent="0.2">
      <c r="A127" s="407" t="s">
        <v>814</v>
      </c>
      <c r="B127" s="324">
        <v>43218.25</v>
      </c>
      <c r="C127" s="324"/>
      <c r="D127" s="324"/>
      <c r="E127" s="324"/>
      <c r="F127" s="324"/>
      <c r="G127" s="326"/>
    </row>
    <row r="128" spans="1:8" x14ac:dyDescent="0.2">
      <c r="A128" s="407" t="s">
        <v>815</v>
      </c>
      <c r="B128" s="324">
        <v>106039.51</v>
      </c>
      <c r="C128" s="324"/>
      <c r="D128" s="324"/>
      <c r="E128" s="324"/>
      <c r="F128" s="324"/>
      <c r="G128" s="326"/>
    </row>
    <row r="129" spans="2:7" ht="13.5" thickBot="1" x14ac:dyDescent="0.25">
      <c r="B129" s="332">
        <f t="shared" ref="B129:G129" si="0">SUM(B124:B128)</f>
        <v>883100.49</v>
      </c>
      <c r="C129" s="332">
        <f t="shared" si="0"/>
        <v>518253.15</v>
      </c>
      <c r="D129" s="332">
        <f t="shared" si="0"/>
        <v>647919.65999999992</v>
      </c>
      <c r="E129" s="332">
        <f t="shared" si="0"/>
        <v>0</v>
      </c>
      <c r="F129" s="332">
        <f t="shared" si="0"/>
        <v>144036.04</v>
      </c>
      <c r="G129" s="333">
        <f t="shared" si="0"/>
        <v>0</v>
      </c>
    </row>
    <row r="131" spans="2:7" x14ac:dyDescent="0.2">
      <c r="B131" s="39"/>
      <c r="D131" s="39">
        <f>647919.66-D129</f>
        <v>0</v>
      </c>
    </row>
  </sheetData>
  <mergeCells count="1">
    <mergeCell ref="A4:A5"/>
  </mergeCells>
  <pageMargins left="0.45" right="0.45" top="0.5" bottom="0.5" header="0.3" footer="0.3"/>
  <pageSetup scale="33" fitToWidth="2" orientation="landscape"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5"/>
  <sheetViews>
    <sheetView workbookViewId="0">
      <selection activeCell="E23" sqref="E23"/>
    </sheetView>
  </sheetViews>
  <sheetFormatPr defaultColWidth="9.140625" defaultRowHeight="12.75" x14ac:dyDescent="0.2"/>
  <cols>
    <col min="1" max="1" width="9.140625" style="284"/>
    <col min="2" max="5" width="26" style="284" customWidth="1"/>
    <col min="6" max="6" width="16.28515625" style="284" customWidth="1"/>
    <col min="7" max="12" width="9.140625" style="284"/>
    <col min="13" max="13" width="9.140625" style="284" hidden="1" customWidth="1"/>
    <col min="14" max="18" width="9.140625" style="284" customWidth="1"/>
    <col min="19" max="16384" width="9.140625" style="284"/>
  </cols>
  <sheetData>
    <row r="1" spans="1:6" ht="15.75" x14ac:dyDescent="0.25">
      <c r="A1" s="316" t="s">
        <v>269</v>
      </c>
    </row>
    <row r="2" spans="1:6" ht="15.75" x14ac:dyDescent="0.25">
      <c r="A2" s="316" t="s">
        <v>477</v>
      </c>
    </row>
    <row r="5" spans="1:6" x14ac:dyDescent="0.2">
      <c r="A5" s="24" t="s">
        <v>383</v>
      </c>
      <c r="B5" s="24" t="s">
        <v>478</v>
      </c>
      <c r="C5" s="335" t="s">
        <v>828</v>
      </c>
      <c r="D5" s="335" t="s">
        <v>827</v>
      </c>
      <c r="E5" s="335" t="s">
        <v>825</v>
      </c>
      <c r="F5" s="335" t="s">
        <v>826</v>
      </c>
    </row>
    <row r="6" spans="1:6" s="407" customFormat="1" x14ac:dyDescent="0.2">
      <c r="A6" s="407" t="s">
        <v>480</v>
      </c>
      <c r="B6" s="407" t="s">
        <v>479</v>
      </c>
      <c r="C6" s="39">
        <v>-5020.1499999999996</v>
      </c>
      <c r="D6" s="39">
        <v>0</v>
      </c>
      <c r="E6" s="39">
        <v>0</v>
      </c>
      <c r="F6" s="39"/>
    </row>
    <row r="7" spans="1:6" x14ac:dyDescent="0.2">
      <c r="A7" s="284" t="s">
        <v>481</v>
      </c>
      <c r="B7" s="407" t="s">
        <v>479</v>
      </c>
      <c r="C7" s="39">
        <v>-7464.94</v>
      </c>
      <c r="D7" s="39">
        <v>0</v>
      </c>
      <c r="E7" s="39">
        <v>0</v>
      </c>
      <c r="F7" s="39"/>
    </row>
    <row r="8" spans="1:6" x14ac:dyDescent="0.2">
      <c r="A8" s="284" t="s">
        <v>482</v>
      </c>
      <c r="B8" s="407" t="s">
        <v>479</v>
      </c>
      <c r="C8" s="39">
        <v>-9201.36</v>
      </c>
      <c r="D8" s="39">
        <v>0</v>
      </c>
      <c r="E8" s="39">
        <v>0</v>
      </c>
      <c r="F8" s="39"/>
    </row>
    <row r="9" spans="1:6" x14ac:dyDescent="0.2">
      <c r="A9" s="284" t="s">
        <v>483</v>
      </c>
      <c r="B9" s="407" t="s">
        <v>479</v>
      </c>
      <c r="C9" s="39">
        <f>-21488.49+3420.83</f>
        <v>-18067.660000000003</v>
      </c>
      <c r="D9" s="39">
        <v>0</v>
      </c>
      <c r="E9" s="39">
        <v>0</v>
      </c>
      <c r="F9" s="39"/>
    </row>
    <row r="10" spans="1:6" x14ac:dyDescent="0.2">
      <c r="A10" s="284" t="s">
        <v>484</v>
      </c>
      <c r="B10" s="284" t="s">
        <v>479</v>
      </c>
      <c r="C10" s="39">
        <f>65178.92+5438.18</f>
        <v>70617.100000000006</v>
      </c>
      <c r="D10" s="39">
        <f>54174.57-5438.18+4541.78</f>
        <v>53278.17</v>
      </c>
      <c r="E10" s="39">
        <f>46866.8-4541.78+3558.67</f>
        <v>45883.69</v>
      </c>
      <c r="F10" s="39"/>
    </row>
    <row r="11" spans="1:6" x14ac:dyDescent="0.2">
      <c r="A11" s="284" t="s">
        <v>812</v>
      </c>
      <c r="B11" s="284" t="s">
        <v>479</v>
      </c>
      <c r="C11" s="39">
        <f>52781.37+3891.62</f>
        <v>56672.990000000005</v>
      </c>
      <c r="D11" s="39">
        <f>43272.2-3891.62+3437.43</f>
        <v>42818.009999999995</v>
      </c>
      <c r="E11" s="39">
        <f>38697.14-3437.43+3025.54</f>
        <v>38285.25</v>
      </c>
      <c r="F11" s="39"/>
    </row>
    <row r="12" spans="1:6" x14ac:dyDescent="0.2">
      <c r="A12" s="284" t="s">
        <v>813</v>
      </c>
      <c r="B12" s="284" t="s">
        <v>479</v>
      </c>
      <c r="C12" s="39">
        <f>82505.01+6164.26</f>
        <v>88669.26999999999</v>
      </c>
      <c r="D12" s="39">
        <f>70266.33-6164.26+5590.06</f>
        <v>69692.13</v>
      </c>
      <c r="E12" s="39">
        <f>63476.35-5590.06+4978.77</f>
        <v>62865.06</v>
      </c>
      <c r="F12" s="39"/>
    </row>
    <row r="13" spans="1:6" x14ac:dyDescent="0.2">
      <c r="A13" s="284" t="s">
        <v>814</v>
      </c>
      <c r="B13" s="284" t="s">
        <v>479</v>
      </c>
      <c r="C13" s="39">
        <f>48893.77+7361.2+43218.25</f>
        <v>99473.22</v>
      </c>
      <c r="D13" s="39">
        <f>81220.5-7361.2+6582.02</f>
        <v>80441.320000000007</v>
      </c>
      <c r="E13" s="39">
        <f>75544.95-6582.02+5988.12</f>
        <v>74951.049999999988</v>
      </c>
      <c r="F13" s="39"/>
    </row>
    <row r="14" spans="1:6" x14ac:dyDescent="0.2">
      <c r="A14" s="284" t="s">
        <v>815</v>
      </c>
      <c r="B14" s="284" t="s">
        <v>479</v>
      </c>
      <c r="C14" s="39">
        <f>117705.72+17323.01+106039.51</f>
        <v>241068.24</v>
      </c>
      <c r="D14" s="39">
        <f>199121.89-17323.01+16181.53</f>
        <v>197980.41</v>
      </c>
      <c r="E14" s="39">
        <f>187042.14-16181.53+15307.13</f>
        <v>186167.74000000002</v>
      </c>
      <c r="F14" s="39"/>
    </row>
    <row r="15" spans="1:6" x14ac:dyDescent="0.2">
      <c r="A15" s="284" t="s">
        <v>816</v>
      </c>
      <c r="B15" s="284" t="s">
        <v>479</v>
      </c>
      <c r="C15" s="39">
        <f>111136.48-1426.21</f>
        <v>109710.26999999999</v>
      </c>
      <c r="D15" s="39">
        <f>65129.12+1426.21-3453.34</f>
        <v>63101.990000000005</v>
      </c>
      <c r="E15" s="39">
        <f>60344.43+3453.34-4186.14</f>
        <v>59611.630000000005</v>
      </c>
      <c r="F15" s="39"/>
    </row>
    <row r="16" spans="1:6" x14ac:dyDescent="0.2">
      <c r="A16" s="284" t="s">
        <v>817</v>
      </c>
      <c r="B16" s="284" t="s">
        <v>479</v>
      </c>
      <c r="C16" s="39">
        <f>106702.71+20886.98-1000</f>
        <v>126589.69</v>
      </c>
      <c r="D16" s="39">
        <f>205122.09-20886.98+1000+19482.2</f>
        <v>204717.31</v>
      </c>
      <c r="E16" s="39">
        <f>110447.89-19482.2+18110.57</f>
        <v>109076.26000000001</v>
      </c>
      <c r="F16" s="39"/>
    </row>
    <row r="17" spans="1:6" x14ac:dyDescent="0.2">
      <c r="A17" s="284" t="s">
        <v>818</v>
      </c>
      <c r="B17" s="284" t="s">
        <v>479</v>
      </c>
      <c r="C17" s="39">
        <v>0</v>
      </c>
      <c r="D17" s="39">
        <f>86576.17+250.36</f>
        <v>86826.53</v>
      </c>
      <c r="E17" s="39">
        <f>165769.18-250.36-1842.16</f>
        <v>163676.66</v>
      </c>
      <c r="F17" s="39"/>
    </row>
    <row r="18" spans="1:6" x14ac:dyDescent="0.2">
      <c r="A18" s="284" t="s">
        <v>819</v>
      </c>
      <c r="B18" s="284" t="s">
        <v>479</v>
      </c>
      <c r="C18" s="39">
        <v>0</v>
      </c>
      <c r="D18" s="39">
        <f>85323.23+28366.83</f>
        <v>113690.06</v>
      </c>
      <c r="E18" s="39">
        <f>164871.3-28366.83+27023.33</f>
        <v>163527.79999999999</v>
      </c>
      <c r="F18" s="39"/>
    </row>
    <row r="19" spans="1:6" x14ac:dyDescent="0.2">
      <c r="A19" s="284" t="s">
        <v>820</v>
      </c>
      <c r="B19" s="284" t="s">
        <v>479</v>
      </c>
      <c r="C19" s="39">
        <v>0</v>
      </c>
      <c r="D19" s="39">
        <f>33324.37+16025.93</f>
        <v>49350.3</v>
      </c>
      <c r="E19" s="39">
        <f>103874.75-16025.93+17142.59</f>
        <v>104991.41</v>
      </c>
      <c r="F19" s="39"/>
    </row>
    <row r="20" spans="1:6" x14ac:dyDescent="0.2">
      <c r="A20" s="284" t="s">
        <v>821</v>
      </c>
      <c r="B20" s="284" t="s">
        <v>479</v>
      </c>
      <c r="C20" s="39">
        <v>0</v>
      </c>
      <c r="D20" s="39">
        <v>0</v>
      </c>
      <c r="E20" s="39">
        <f>74078.12+24666.6</f>
        <v>98744.72</v>
      </c>
      <c r="F20" s="39"/>
    </row>
    <row r="21" spans="1:6" x14ac:dyDescent="0.2">
      <c r="A21" s="284" t="s">
        <v>822</v>
      </c>
      <c r="B21" s="284" t="s">
        <v>479</v>
      </c>
      <c r="C21" s="39">
        <v>0</v>
      </c>
      <c r="D21" s="39">
        <v>0</v>
      </c>
      <c r="E21" s="39">
        <f>95474.54+33008.91</f>
        <v>128483.45</v>
      </c>
      <c r="F21" s="39"/>
    </row>
    <row r="22" spans="1:6" x14ac:dyDescent="0.2">
      <c r="A22" s="284" t="s">
        <v>823</v>
      </c>
      <c r="B22" s="284" t="s">
        <v>479</v>
      </c>
      <c r="C22" s="39">
        <v>0</v>
      </c>
      <c r="D22" s="39">
        <v>0</v>
      </c>
      <c r="E22" s="39">
        <v>19676.84</v>
      </c>
      <c r="F22" s="39"/>
    </row>
    <row r="23" spans="1:6" x14ac:dyDescent="0.2">
      <c r="A23" s="284" t="s">
        <v>824</v>
      </c>
      <c r="B23" s="284" t="s">
        <v>479</v>
      </c>
      <c r="C23" s="39">
        <v>0</v>
      </c>
      <c r="D23" s="39">
        <v>0</v>
      </c>
      <c r="E23" s="39">
        <v>0</v>
      </c>
      <c r="F23" s="39"/>
    </row>
    <row r="24" spans="1:6" x14ac:dyDescent="0.2">
      <c r="C24" s="39"/>
      <c r="D24" s="39"/>
      <c r="E24" s="39"/>
      <c r="F24" s="39"/>
    </row>
    <row r="25" spans="1:6" x14ac:dyDescent="0.2">
      <c r="C25" s="39"/>
      <c r="D25" s="39"/>
      <c r="E25" s="39"/>
      <c r="F25" s="39"/>
    </row>
    <row r="26" spans="1:6" x14ac:dyDescent="0.2">
      <c r="C26" s="39"/>
      <c r="D26" s="39"/>
      <c r="E26" s="39"/>
      <c r="F26" s="39"/>
    </row>
    <row r="27" spans="1:6" x14ac:dyDescent="0.2">
      <c r="C27" s="39"/>
      <c r="D27" s="39"/>
      <c r="E27" s="39"/>
      <c r="F27" s="39"/>
    </row>
    <row r="28" spans="1:6" ht="13.5" thickBot="1" x14ac:dyDescent="0.25">
      <c r="A28" s="336" t="s">
        <v>830</v>
      </c>
      <c r="B28" s="337"/>
      <c r="C28" s="338">
        <f>SUM(C6:C26)</f>
        <v>753046.66999999993</v>
      </c>
      <c r="D28" s="338">
        <f>SUM(D6:D26)</f>
        <v>961896.23000000021</v>
      </c>
      <c r="E28" s="338">
        <f>SUM(E6:E26)</f>
        <v>1255941.5600000003</v>
      </c>
      <c r="F28" s="338">
        <f>SUM(F6:F26)</f>
        <v>0</v>
      </c>
    </row>
    <row r="29" spans="1:6" ht="13.5" thickTop="1" x14ac:dyDescent="0.2"/>
    <row r="30" spans="1:6" x14ac:dyDescent="0.2">
      <c r="A30" s="284" t="s">
        <v>483</v>
      </c>
      <c r="C30" s="39">
        <v>-3420.83</v>
      </c>
      <c r="D30" s="39"/>
      <c r="E30" s="39"/>
      <c r="F30" s="39"/>
    </row>
    <row r="31" spans="1:6" x14ac:dyDescent="0.2">
      <c r="A31" s="284" t="s">
        <v>814</v>
      </c>
      <c r="C31" s="39">
        <v>-43218.25</v>
      </c>
      <c r="D31" s="39"/>
      <c r="E31" s="39"/>
      <c r="F31" s="39"/>
    </row>
    <row r="32" spans="1:6" x14ac:dyDescent="0.2">
      <c r="A32" s="284" t="s">
        <v>815</v>
      </c>
      <c r="C32" s="39">
        <v>-106039.51</v>
      </c>
      <c r="D32" s="39"/>
      <c r="E32" s="39"/>
      <c r="F32" s="39"/>
    </row>
    <row r="33" spans="1:6" x14ac:dyDescent="0.2">
      <c r="C33" s="39"/>
      <c r="D33" s="39"/>
      <c r="E33" s="39"/>
      <c r="F33" s="39"/>
    </row>
    <row r="34" spans="1:6" ht="13.5" thickBot="1" x14ac:dyDescent="0.25">
      <c r="A34" s="337"/>
      <c r="B34" s="337"/>
      <c r="C34" s="338">
        <f>SUM(C28:C33)</f>
        <v>600368.07999999996</v>
      </c>
      <c r="D34" s="338">
        <f>SUM(D28:D33)</f>
        <v>961896.23000000021</v>
      </c>
      <c r="E34" s="338">
        <f>SUM(E28:E33)</f>
        <v>1255941.5600000003</v>
      </c>
      <c r="F34" s="338">
        <f>SUM(F28:F33)</f>
        <v>0</v>
      </c>
    </row>
    <row r="35" spans="1:6" ht="13.5" thickTop="1" x14ac:dyDescent="0.2"/>
    <row r="55" ht="16.5" customHeight="1" x14ac:dyDescent="0.2"/>
  </sheetData>
  <pageMargins left="0.7" right="0.7" top="0.75" bottom="0.75" header="0.3" footer="0.3"/>
  <pageSetup scale="6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38"/>
  <sheetViews>
    <sheetView zoomScale="90" zoomScaleNormal="90" workbookViewId="0">
      <pane xSplit="2" ySplit="33" topLeftCell="C34" activePane="bottomRight" state="frozen"/>
      <selection pane="topRight" activeCell="C1" sqref="C1"/>
      <selection pane="bottomLeft" activeCell="A34" sqref="A34"/>
      <selection pane="bottomRight" activeCell="H40" sqref="H40"/>
    </sheetView>
  </sheetViews>
  <sheetFormatPr defaultRowHeight="12.75" x14ac:dyDescent="0.2"/>
  <cols>
    <col min="1" max="1" width="31.140625" customWidth="1"/>
    <col min="2" max="2" width="15" customWidth="1"/>
    <col min="3" max="4" width="16.7109375" customWidth="1"/>
    <col min="5" max="5" width="17" customWidth="1"/>
    <col min="6" max="6" width="18.5703125" customWidth="1"/>
    <col min="7" max="7" width="19.42578125" customWidth="1"/>
    <col min="8" max="8" width="14.42578125" customWidth="1"/>
    <col min="9" max="9" width="15.5703125" customWidth="1"/>
    <col min="10" max="10" width="16.42578125" customWidth="1"/>
    <col min="11" max="11" width="15" customWidth="1"/>
    <col min="12" max="13" width="16.140625" customWidth="1"/>
    <col min="14" max="21" width="15" customWidth="1"/>
    <col min="22" max="22" width="14.140625" customWidth="1"/>
    <col min="23" max="23" width="13.28515625" customWidth="1"/>
    <col min="24" max="25" width="14.140625" customWidth="1"/>
    <col min="26" max="26" width="14.28515625" customWidth="1"/>
    <col min="27" max="27" width="13.140625" customWidth="1"/>
  </cols>
  <sheetData>
    <row r="1" spans="1:22" s="236" customFormat="1" ht="15.75" thickBot="1" x14ac:dyDescent="0.3">
      <c r="A1" s="106"/>
      <c r="B1" s="106"/>
      <c r="C1" s="226"/>
      <c r="D1" s="108"/>
      <c r="E1" s="106"/>
      <c r="F1" s="106"/>
      <c r="G1" s="106"/>
      <c r="H1" s="106"/>
      <c r="I1" s="106"/>
      <c r="J1" s="106"/>
      <c r="K1" s="106"/>
      <c r="L1" s="106"/>
      <c r="M1" s="106"/>
      <c r="N1" s="106"/>
      <c r="O1" s="106"/>
      <c r="P1" s="106"/>
      <c r="Q1" s="106"/>
      <c r="R1" s="106"/>
      <c r="S1" s="106"/>
      <c r="T1" s="106"/>
    </row>
    <row r="2" spans="1:22" ht="15" x14ac:dyDescent="0.25">
      <c r="A2" s="112" t="s">
        <v>1628</v>
      </c>
      <c r="B2" s="310" t="s">
        <v>344</v>
      </c>
      <c r="C2" s="127" t="s">
        <v>344</v>
      </c>
      <c r="D2" s="113" t="s">
        <v>344</v>
      </c>
      <c r="E2" s="309" t="s">
        <v>344</v>
      </c>
      <c r="F2" s="113" t="s">
        <v>344</v>
      </c>
      <c r="G2" s="113" t="s">
        <v>344</v>
      </c>
      <c r="H2" s="113" t="s">
        <v>344</v>
      </c>
      <c r="I2" s="113" t="s">
        <v>344</v>
      </c>
      <c r="J2" s="113" t="s">
        <v>344</v>
      </c>
      <c r="K2" s="113" t="s">
        <v>344</v>
      </c>
      <c r="L2" s="113" t="s">
        <v>344</v>
      </c>
      <c r="M2" s="113" t="s">
        <v>344</v>
      </c>
      <c r="N2" s="311" t="s">
        <v>344</v>
      </c>
      <c r="O2" s="106"/>
      <c r="P2" s="106"/>
      <c r="Q2" s="106"/>
      <c r="R2" s="106"/>
      <c r="S2" s="106"/>
      <c r="T2" s="106"/>
      <c r="U2" s="106"/>
      <c r="V2" s="106"/>
    </row>
    <row r="3" spans="1:22" ht="15" x14ac:dyDescent="0.25">
      <c r="A3" s="114" t="s">
        <v>348</v>
      </c>
      <c r="B3" s="310" t="s">
        <v>1600</v>
      </c>
      <c r="C3" s="127" t="str">
        <f>B3</f>
        <v>2025-26</v>
      </c>
      <c r="D3" s="113" t="str">
        <f>B3</f>
        <v>2025-26</v>
      </c>
      <c r="E3" s="113" t="str">
        <f>B3</f>
        <v>2025-26</v>
      </c>
      <c r="F3" s="113" t="str">
        <f>B3</f>
        <v>2025-26</v>
      </c>
      <c r="G3" s="113" t="str">
        <f>B3</f>
        <v>2025-26</v>
      </c>
      <c r="H3" s="113" t="str">
        <f>B3</f>
        <v>2025-26</v>
      </c>
      <c r="I3" s="113" t="str">
        <f t="shared" ref="I3:N3" si="0">$B$3</f>
        <v>2025-26</v>
      </c>
      <c r="J3" s="113" t="str">
        <f t="shared" si="0"/>
        <v>2025-26</v>
      </c>
      <c r="K3" s="113" t="str">
        <f t="shared" si="0"/>
        <v>2025-26</v>
      </c>
      <c r="L3" s="113" t="str">
        <f t="shared" si="0"/>
        <v>2025-26</v>
      </c>
      <c r="M3" s="113" t="str">
        <f t="shared" si="0"/>
        <v>2025-26</v>
      </c>
      <c r="N3" s="312" t="str">
        <f t="shared" si="0"/>
        <v>2025-26</v>
      </c>
      <c r="O3" s="106"/>
      <c r="P3" s="106"/>
      <c r="Q3" s="106"/>
      <c r="R3" s="106"/>
      <c r="S3" s="106"/>
      <c r="T3" s="106"/>
      <c r="U3" s="106"/>
      <c r="V3" s="106"/>
    </row>
    <row r="4" spans="1:22" ht="15" x14ac:dyDescent="0.25">
      <c r="A4" s="112" t="s">
        <v>428</v>
      </c>
      <c r="B4" s="306" t="s">
        <v>141</v>
      </c>
      <c r="C4" s="128" t="s">
        <v>1551</v>
      </c>
      <c r="D4" s="114" t="s">
        <v>272</v>
      </c>
      <c r="E4" s="114" t="s">
        <v>345</v>
      </c>
      <c r="F4" s="114" t="s">
        <v>261</v>
      </c>
      <c r="G4" s="114" t="s">
        <v>273</v>
      </c>
      <c r="H4" s="114" t="s">
        <v>347</v>
      </c>
      <c r="I4" s="114" t="s">
        <v>276</v>
      </c>
      <c r="J4" s="114" t="s">
        <v>277</v>
      </c>
      <c r="K4" s="114" t="s">
        <v>387</v>
      </c>
      <c r="L4" s="114" t="s">
        <v>412</v>
      </c>
      <c r="M4" s="114" t="s">
        <v>1371</v>
      </c>
      <c r="N4" s="313" t="s">
        <v>429</v>
      </c>
      <c r="O4" s="269"/>
      <c r="P4" s="106"/>
      <c r="Q4" s="106"/>
      <c r="R4" s="106"/>
      <c r="S4" s="106"/>
      <c r="T4" s="106"/>
      <c r="U4" s="106"/>
      <c r="V4" s="106"/>
    </row>
    <row r="5" spans="1:22" ht="15" x14ac:dyDescent="0.25">
      <c r="A5" s="115" t="s">
        <v>19</v>
      </c>
      <c r="B5" s="307">
        <f>'Sum by Bud Unit CD-MW'!C19</f>
        <v>2500</v>
      </c>
      <c r="C5" s="129">
        <f>SUM(D5:M5)</f>
        <v>1536824.2260415996</v>
      </c>
      <c r="D5" s="109">
        <f>HR!Z617</f>
        <v>1216800.2260415996</v>
      </c>
      <c r="E5" s="109">
        <f>'Prof Serv'!N156+'Prof Serv'!N176+'Prof Serv'!N196+'Prof Serv'!N216+'Prof Serv'!N256+'Prof Serv'!N276+'Prof Serv'!N296+'Prof Serv'!N316+'Prof Serv'!N336-J5</f>
        <v>4427</v>
      </c>
      <c r="F5" s="126">
        <f>'Prof Serv'!N236</f>
        <v>0</v>
      </c>
      <c r="G5" s="109">
        <f>Travel!E4</f>
        <v>0</v>
      </c>
      <c r="H5" s="109">
        <f>'Other Operating Expenses'!N214</f>
        <v>67607</v>
      </c>
      <c r="I5" s="109">
        <f>Supplies!N102+Supplies!N122+Supplies!N142+Supplies!N162</f>
        <v>1500</v>
      </c>
      <c r="J5" s="109">
        <f>'Prof Serv'!N156</f>
        <v>246490</v>
      </c>
      <c r="K5" s="109">
        <v>0</v>
      </c>
      <c r="L5" s="109">
        <f>'Capital Exp'!E4</f>
        <v>0</v>
      </c>
      <c r="M5" s="109">
        <v>0</v>
      </c>
      <c r="N5" s="314">
        <f>B5-C5</f>
        <v>-1534324.2260415996</v>
      </c>
      <c r="O5" s="106"/>
      <c r="P5" s="106"/>
      <c r="Q5" s="106"/>
      <c r="R5" s="106"/>
      <c r="S5" s="106"/>
      <c r="T5" s="106"/>
      <c r="U5" s="106"/>
      <c r="V5" s="106"/>
    </row>
    <row r="6" spans="1:22" ht="15" x14ac:dyDescent="0.25">
      <c r="A6" s="115" t="s">
        <v>18</v>
      </c>
      <c r="B6" s="307">
        <f>'Sum by Bud Unit JGH'!E19</f>
        <v>0</v>
      </c>
      <c r="C6" s="129">
        <f t="shared" ref="C6:C24" si="1">SUM(D6:M6)</f>
        <v>125804.9</v>
      </c>
      <c r="D6" s="109">
        <f>HR!Z618</f>
        <v>7104.9</v>
      </c>
      <c r="E6" s="109">
        <f>'Prof Serv'!N157+'Prof Serv'!N177+'Prof Serv'!N197+'Prof Serv'!N217+'Prof Serv'!N257+'Prof Serv'!N277+'Prof Serv'!N297+'Prof Serv'!N317+'Prof Serv'!N337-J6</f>
        <v>6000</v>
      </c>
      <c r="F6" s="126">
        <f>'Prof Serv'!N237</f>
        <v>0</v>
      </c>
      <c r="G6" s="109">
        <f>Travel!E14</f>
        <v>94600</v>
      </c>
      <c r="H6" s="109">
        <f>'Other Operating Expenses'!N215</f>
        <v>0</v>
      </c>
      <c r="I6" s="109">
        <f>Supplies!N103+Supplies!N123+Supplies!N143+Supplies!N163</f>
        <v>18100</v>
      </c>
      <c r="J6" s="109">
        <f>'Prof Serv'!N157</f>
        <v>0</v>
      </c>
      <c r="K6" s="109">
        <v>0</v>
      </c>
      <c r="L6" s="109">
        <f>'Capital Exp'!E14</f>
        <v>0</v>
      </c>
      <c r="M6" s="109">
        <v>0</v>
      </c>
      <c r="N6" s="314">
        <f t="shared" ref="N6:N25" si="2">B6-C6</f>
        <v>-125804.9</v>
      </c>
    </row>
    <row r="7" spans="1:22" ht="15" x14ac:dyDescent="0.25">
      <c r="A7" s="144" t="s">
        <v>22</v>
      </c>
      <c r="B7" s="307">
        <f>'Sum by Bud Unit JGH'!S19</f>
        <v>0</v>
      </c>
      <c r="C7" s="129">
        <f t="shared" si="1"/>
        <v>185132.29759999999</v>
      </c>
      <c r="D7" s="109">
        <f>HR!Z619</f>
        <v>94632.297600000005</v>
      </c>
      <c r="E7" s="109">
        <f>'Prof Serv'!N158+'Prof Serv'!N178+'Prof Serv'!N198+'Prof Serv'!N218+'Prof Serv'!N258+'Prof Serv'!N278+'Prof Serv'!N298+'Prof Serv'!N318+'Prof Serv'!N338-J7</f>
        <v>43000</v>
      </c>
      <c r="F7" s="126">
        <f>'Prof Serv'!N238</f>
        <v>0</v>
      </c>
      <c r="G7" s="109">
        <f>Travel!E5</f>
        <v>600</v>
      </c>
      <c r="H7" s="109">
        <f>'Other Operating Expenses'!N216</f>
        <v>46650</v>
      </c>
      <c r="I7" s="109">
        <f>Supplies!N104+Supplies!N124+Supplies!N144+Supplies!N164</f>
        <v>250</v>
      </c>
      <c r="J7" s="109">
        <f>'Prof Serv'!N158</f>
        <v>0</v>
      </c>
      <c r="K7" s="109">
        <v>0</v>
      </c>
      <c r="L7" s="109">
        <f>'Capital Exp'!E5</f>
        <v>0</v>
      </c>
      <c r="M7" s="109">
        <v>0</v>
      </c>
      <c r="N7" s="314">
        <f t="shared" si="2"/>
        <v>-185132.29759999999</v>
      </c>
    </row>
    <row r="8" spans="1:22" ht="15" x14ac:dyDescent="0.25">
      <c r="A8" s="115" t="s">
        <v>349</v>
      </c>
      <c r="B8" s="307">
        <f>'Sum by Bud Unit JGH'!G19</f>
        <v>503400</v>
      </c>
      <c r="C8" s="129">
        <f t="shared" si="1"/>
        <v>1372466.4070032004</v>
      </c>
      <c r="D8" s="109">
        <f>HR!Z620</f>
        <v>1306166.4070032004</v>
      </c>
      <c r="E8" s="109">
        <f>'Prof Serv'!N159+'Prof Serv'!N179+'Prof Serv'!N199+'Prof Serv'!N219+'Prof Serv'!N259+'Prof Serv'!N279+'Prof Serv'!N299+'Prof Serv'!N319+'Prof Serv'!N339-J8</f>
        <v>0</v>
      </c>
      <c r="F8" s="126">
        <f>'Prof Serv'!N239</f>
        <v>0</v>
      </c>
      <c r="G8" s="109">
        <f>Travel!P185+Travel!P205+Travel!P225+Travel!P245+Travel!P265+Travel!P285+Travel!P305</f>
        <v>48000</v>
      </c>
      <c r="H8" s="109">
        <f>'Other Operating Expenses'!N217</f>
        <v>11300</v>
      </c>
      <c r="I8" s="109">
        <f>Supplies!N105+Supplies!N125+Supplies!N145+Supplies!N165</f>
        <v>7000</v>
      </c>
      <c r="J8" s="109">
        <f>'Prof Serv'!N159</f>
        <v>0</v>
      </c>
      <c r="K8" s="109">
        <v>0</v>
      </c>
      <c r="L8" s="109">
        <f>'Capital Exp'!E11</f>
        <v>0</v>
      </c>
      <c r="M8" s="109">
        <v>0</v>
      </c>
      <c r="N8" s="314">
        <f t="shared" si="2"/>
        <v>-869066.40700320038</v>
      </c>
      <c r="O8" s="270"/>
    </row>
    <row r="9" spans="1:22" ht="15" x14ac:dyDescent="0.25">
      <c r="A9" s="532" t="s">
        <v>260</v>
      </c>
      <c r="B9" s="307">
        <f>'Sum by Bud Unit JGH'!D19</f>
        <v>1000000</v>
      </c>
      <c r="C9" s="129">
        <f t="shared" si="1"/>
        <v>750798.89440000011</v>
      </c>
      <c r="D9" s="109">
        <f>HR!Z621</f>
        <v>417493.89440000005</v>
      </c>
      <c r="E9" s="109">
        <f>'Prof Serv'!N160+'Prof Serv'!N180+'Prof Serv'!N200+'Prof Serv'!N220+'Prof Serv'!N260+'Prof Serv'!N280+'Prof Serv'!N300+'Prof Serv'!N320+'Prof Serv'!N340-J9</f>
        <v>325305</v>
      </c>
      <c r="F9" s="126">
        <f>'Prof Serv'!N240</f>
        <v>0</v>
      </c>
      <c r="G9" s="109">
        <f>Travel!P186+Travel!P206+Travel!P226+Travel!P246+Travel!P266+Travel!P286+Travel!P306</f>
        <v>5500</v>
      </c>
      <c r="H9" s="109">
        <f>'Other Operating Expenses'!N218</f>
        <v>1500</v>
      </c>
      <c r="I9" s="109">
        <f>Supplies!N106+Supplies!N126+Supplies!N146+Supplies!N166</f>
        <v>1000</v>
      </c>
      <c r="J9" s="109">
        <f>'Prof Serv'!N160</f>
        <v>0</v>
      </c>
      <c r="K9" s="109">
        <v>0</v>
      </c>
      <c r="L9" s="109">
        <f>'Capital Exp'!E12</f>
        <v>0</v>
      </c>
      <c r="M9" s="109">
        <v>0</v>
      </c>
      <c r="N9" s="314">
        <f t="shared" si="2"/>
        <v>249201.10559999989</v>
      </c>
    </row>
    <row r="10" spans="1:22" ht="15" x14ac:dyDescent="0.25">
      <c r="A10" s="525" t="s">
        <v>394</v>
      </c>
      <c r="B10" s="307">
        <f>'Sum by Bud Unit JGH'!H19</f>
        <v>2674823</v>
      </c>
      <c r="C10" s="129">
        <f t="shared" si="1"/>
        <v>957507.58799999999</v>
      </c>
      <c r="D10" s="109">
        <f>HR!Z622</f>
        <v>476520.7680000001</v>
      </c>
      <c r="E10" s="109">
        <f>'Prof Serv'!N161+'Prof Serv'!N181+'Prof Serv'!N201+'Prof Serv'!N221+'Prof Serv'!N261+'Prof Serv'!N281+'Prof Serv'!N301+'Prof Serv'!N321+'Prof Serv'!N341-J10</f>
        <v>452600.79999999987</v>
      </c>
      <c r="F10" s="126">
        <f>'Prof Serv'!N241</f>
        <v>0</v>
      </c>
      <c r="G10" s="109">
        <f>Travel!P187+Travel!P207+Travel!P227+Travel!P247+Travel!P267+Travel!P287+Travel!P307</f>
        <v>8000</v>
      </c>
      <c r="H10" s="109">
        <f>'Other Operating Expenses'!N219</f>
        <v>19086.02</v>
      </c>
      <c r="I10" s="109">
        <f>Supplies!N107+Supplies!N127+Supplies!N147+Supplies!N167</f>
        <v>1300</v>
      </c>
      <c r="J10" s="109">
        <f>'Prof Serv'!N161</f>
        <v>0</v>
      </c>
      <c r="K10" s="109">
        <v>0</v>
      </c>
      <c r="L10" s="109">
        <f>'Capital Exp'!E17</f>
        <v>0</v>
      </c>
      <c r="M10" s="109">
        <v>0</v>
      </c>
      <c r="N10" s="314">
        <f t="shared" si="2"/>
        <v>1717315.412</v>
      </c>
    </row>
    <row r="11" spans="1:22" ht="15" x14ac:dyDescent="0.25">
      <c r="A11" s="115" t="s">
        <v>350</v>
      </c>
      <c r="B11" s="307">
        <f>'Sum by Bud Unit JGH'!I19</f>
        <v>1323264.3017916002</v>
      </c>
      <c r="C11" s="129">
        <f t="shared" si="1"/>
        <v>1189037.3360000001</v>
      </c>
      <c r="D11" s="109">
        <f>HR!Z623</f>
        <v>980608.33600000013</v>
      </c>
      <c r="E11" s="109">
        <f>'Prof Serv'!N162+'Prof Serv'!N182+'Prof Serv'!N202+'Prof Serv'!N222+'Prof Serv'!N262+'Prof Serv'!N282+'Prof Serv'!N302+'Prof Serv'!N322+'Prof Serv'!N342-J11</f>
        <v>3000</v>
      </c>
      <c r="F11" s="126">
        <f>'Prof Serv'!N242</f>
        <v>0</v>
      </c>
      <c r="G11" s="109">
        <f>Travel!P188+Travel!P208+Travel!P228+Travel!P248+Travel!P268+Travel!P288+Travel!P308</f>
        <v>25590</v>
      </c>
      <c r="H11" s="109">
        <f>'Other Operating Expenses'!N220</f>
        <v>174789</v>
      </c>
      <c r="I11" s="109">
        <f>Supplies!N108+Supplies!N128+Supplies!N148+Supplies!N168</f>
        <v>5050</v>
      </c>
      <c r="J11" s="109">
        <f>'Prof Serv'!N162</f>
        <v>0</v>
      </c>
      <c r="K11" s="109">
        <v>0</v>
      </c>
      <c r="L11" s="109">
        <f>'Capital Exp'!E18</f>
        <v>0</v>
      </c>
      <c r="M11" s="109">
        <v>0</v>
      </c>
      <c r="N11" s="314">
        <f t="shared" si="2"/>
        <v>134226.96579160006</v>
      </c>
      <c r="O11" s="2"/>
    </row>
    <row r="12" spans="1:22" s="236" customFormat="1" ht="15" x14ac:dyDescent="0.25">
      <c r="A12" s="525" t="s">
        <v>508</v>
      </c>
      <c r="B12" s="307">
        <f>'Sum by Bud Unit JGH'!J19</f>
        <v>0</v>
      </c>
      <c r="C12" s="129">
        <f>SUM(D12:M12)</f>
        <v>492385.48080000019</v>
      </c>
      <c r="D12" s="109">
        <f>HR!Z624</f>
        <v>336737.48080000019</v>
      </c>
      <c r="E12" s="109">
        <f>'Prof Serv'!N163+'Prof Serv'!N183+'Prof Serv'!N203+'Prof Serv'!N223+'Prof Serv'!N263+'Prof Serv'!N283+'Prof Serv'!N303+'Prof Serv'!N323+'Prof Serv'!N343-J12</f>
        <v>104000</v>
      </c>
      <c r="F12" s="126">
        <f>'Prof Serv'!N243</f>
        <v>0</v>
      </c>
      <c r="G12" s="109">
        <f>Travel!P189+Travel!P209+Travel!P229+Travel!P249+Travel!P269+Travel!P289+Travel!P309</f>
        <v>0</v>
      </c>
      <c r="H12" s="109">
        <f>'Other Operating Expenses'!N221</f>
        <v>51548</v>
      </c>
      <c r="I12" s="109">
        <f>Supplies!N109+Supplies!N129+Supplies!N149+Supplies!N169</f>
        <v>100</v>
      </c>
      <c r="J12" s="109">
        <f>'Prof Serv'!N163</f>
        <v>0</v>
      </c>
      <c r="K12" s="109">
        <v>0</v>
      </c>
      <c r="L12" s="109">
        <f>'Capital Exp'!E13</f>
        <v>0</v>
      </c>
      <c r="M12" s="109">
        <v>0</v>
      </c>
      <c r="N12" s="314">
        <f t="shared" si="2"/>
        <v>-492385.48080000019</v>
      </c>
      <c r="O12" s="2"/>
    </row>
    <row r="13" spans="1:22" ht="15" x14ac:dyDescent="0.25">
      <c r="A13" s="525" t="s">
        <v>1182</v>
      </c>
      <c r="B13" s="307">
        <f>'Sum by Bud Unit JGH'!L19</f>
        <v>0</v>
      </c>
      <c r="C13" s="129">
        <f t="shared" si="1"/>
        <v>563686.84160000004</v>
      </c>
      <c r="D13" s="109">
        <f>HR!Z625</f>
        <v>477886.84160000004</v>
      </c>
      <c r="E13" s="109">
        <f>'Prof Serv'!N164+'Prof Serv'!N184+'Prof Serv'!N204+'Prof Serv'!N224+'Prof Serv'!N264+'Prof Serv'!N284+'Prof Serv'!N304+'Prof Serv'!N324+'Prof Serv'!N344-J13</f>
        <v>0</v>
      </c>
      <c r="F13" s="126">
        <f>'Prof Serv'!N244</f>
        <v>50000</v>
      </c>
      <c r="G13" s="109">
        <f>Travel!P190+Travel!P210+Travel!P230+Travel!P250+Travel!P270+Travel!P290+Travel!P310</f>
        <v>20000</v>
      </c>
      <c r="H13" s="109">
        <f>'Other Operating Expenses'!N222</f>
        <v>14300</v>
      </c>
      <c r="I13" s="109">
        <f>Supplies!N110+Supplies!N130+Supplies!N150+Supplies!N170</f>
        <v>1500</v>
      </c>
      <c r="J13" s="109">
        <f>'Prof Serv'!N164</f>
        <v>0</v>
      </c>
      <c r="K13" s="109">
        <v>0</v>
      </c>
      <c r="L13" s="109">
        <f>'Capital Exp'!E6</f>
        <v>0</v>
      </c>
      <c r="M13" s="109">
        <v>0</v>
      </c>
      <c r="N13" s="314">
        <f t="shared" si="2"/>
        <v>-563686.84160000004</v>
      </c>
    </row>
    <row r="14" spans="1:22" ht="15" x14ac:dyDescent="0.25">
      <c r="A14" s="115" t="s">
        <v>20</v>
      </c>
      <c r="B14" s="307">
        <f>'Sum by Bud Unit JGH'!K19</f>
        <v>69045.48</v>
      </c>
      <c r="C14" s="129">
        <f t="shared" si="1"/>
        <v>2099553.4990624003</v>
      </c>
      <c r="D14" s="109">
        <f>HR!Z626</f>
        <v>2040935.4890624001</v>
      </c>
      <c r="E14" s="109">
        <f>'Prof Serv'!N165+'Prof Serv'!N185+'Prof Serv'!N205+'Prof Serv'!N225+'Prof Serv'!N265+'Prof Serv'!N285+'Prof Serv'!N305+'Prof Serv'!N325+'Prof Serv'!N345-'Prof Serv'!N225-'Prof Serv'!N285-'Prof Serv'!N325-J14</f>
        <v>0</v>
      </c>
      <c r="F14" s="126">
        <f>'Prof Serv'!N245</f>
        <v>0</v>
      </c>
      <c r="G14" s="109">
        <f>Travel!P191+Travel!P211+Travel!P231+Travel!P251+Travel!P271+Travel!P291+Travel!P311</f>
        <v>44500</v>
      </c>
      <c r="H14" s="109">
        <f>'Other Operating Expenses'!N223-'Other Operating Expenses'!N483</f>
        <v>618.01</v>
      </c>
      <c r="I14" s="109">
        <f>Supplies!N111+Supplies!N131+Supplies!N151+Supplies!N171-Supplies!N131-Supplies!N171</f>
        <v>13500</v>
      </c>
      <c r="J14" s="109">
        <f>'Prof Serv'!N165</f>
        <v>0</v>
      </c>
      <c r="K14" s="109">
        <v>0</v>
      </c>
      <c r="L14" s="109">
        <v>0</v>
      </c>
      <c r="M14" s="109">
        <f>'Prof Serv'!N225+'Prof Serv'!N285+'Prof Serv'!N325+'Other Operating Expenses'!N483+Supplies!N131+Supplies!N171</f>
        <v>0</v>
      </c>
      <c r="N14" s="314">
        <f t="shared" si="2"/>
        <v>-2030508.0190624003</v>
      </c>
      <c r="O14" s="271"/>
    </row>
    <row r="15" spans="1:22" s="236" customFormat="1" ht="15" x14ac:dyDescent="0.25">
      <c r="A15" s="525" t="s">
        <v>1463</v>
      </c>
      <c r="B15" s="307">
        <f>'Sum by Bud Unit JGH'!M19</f>
        <v>1111407.2043382896</v>
      </c>
      <c r="C15" s="129">
        <f t="shared" si="1"/>
        <v>1218963.7027999999</v>
      </c>
      <c r="D15" s="109">
        <f>HR!Z627</f>
        <v>991157.69279999984</v>
      </c>
      <c r="E15" s="109">
        <f>'Prof Serv'!N166+'Prof Serv'!N186+'Prof Serv'!N206+'Prof Serv'!N226+'Prof Serv'!N266+'Prof Serv'!N286+'Prof Serv'!N306+'Prof Serv'!N326+'Prof Serv'!N346-J15</f>
        <v>130430</v>
      </c>
      <c r="F15" s="126">
        <f>'Prof Serv'!N246</f>
        <v>0</v>
      </c>
      <c r="G15" s="109">
        <f>Travel!P192+Travel!P212+Travel!P232+Travel!P252+Travel!P272+Travel!P292+Travel!P312</f>
        <v>84500</v>
      </c>
      <c r="H15" s="109">
        <f>'Other Operating Expenses'!N224</f>
        <v>4326.01</v>
      </c>
      <c r="I15" s="109">
        <f>Supplies!N112+Supplies!N132+Supplies!N152+Supplies!N172</f>
        <v>8550</v>
      </c>
      <c r="J15" s="109">
        <f>'Prof Serv'!N166</f>
        <v>0</v>
      </c>
      <c r="K15" s="109">
        <v>0</v>
      </c>
      <c r="L15" s="109">
        <f>'Capital Exp'!E19</f>
        <v>0</v>
      </c>
      <c r="M15" s="109">
        <v>0</v>
      </c>
      <c r="N15" s="314">
        <f t="shared" si="2"/>
        <v>-107556.49846171029</v>
      </c>
      <c r="O15" s="271"/>
    </row>
    <row r="16" spans="1:22" ht="15" x14ac:dyDescent="0.25">
      <c r="A16" s="134" t="s">
        <v>272</v>
      </c>
      <c r="B16" s="307">
        <f>'Sum by Bud Unit JGH'!O19</f>
        <v>0</v>
      </c>
      <c r="C16" s="129">
        <f t="shared" si="1"/>
        <v>631694.99160000007</v>
      </c>
      <c r="D16" s="109">
        <f>HR!Z628</f>
        <v>488351.64160000003</v>
      </c>
      <c r="E16" s="109">
        <f>'Prof Serv'!N167+'Prof Serv'!N187+'Prof Serv'!N207+'Prof Serv'!N227+'Prof Serv'!N267+'Prof Serv'!N287+'Prof Serv'!N307+'Prof Serv'!N327+'Prof Serv'!N347-J16</f>
        <v>120436.35</v>
      </c>
      <c r="F16" s="126">
        <f>'Prof Serv'!N247</f>
        <v>1500</v>
      </c>
      <c r="G16" s="109">
        <f>Travel!P193+Travel!P213+Travel!P233+Travel!P253+Travel!P273+Travel!P293+Travel!P313</f>
        <v>8772</v>
      </c>
      <c r="H16" s="109">
        <f>'Other Operating Expenses'!N225</f>
        <v>2085</v>
      </c>
      <c r="I16" s="109">
        <f>Supplies!N113+Supplies!N133+Supplies!N153+Supplies!N173</f>
        <v>10550</v>
      </c>
      <c r="J16" s="109">
        <f>'Prof Serv'!N167</f>
        <v>0</v>
      </c>
      <c r="K16" s="109">
        <v>0</v>
      </c>
      <c r="L16" s="109">
        <f>'Capital Exp'!E7</f>
        <v>0</v>
      </c>
      <c r="M16" s="109">
        <v>0</v>
      </c>
      <c r="N16" s="314">
        <f t="shared" si="2"/>
        <v>-631694.99160000007</v>
      </c>
    </row>
    <row r="17" spans="1:32" ht="15" x14ac:dyDescent="0.25">
      <c r="A17" s="115" t="s">
        <v>21</v>
      </c>
      <c r="B17" s="307">
        <f>'Sum by Bud Unit JGH'!P19</f>
        <v>0</v>
      </c>
      <c r="C17" s="129">
        <f t="shared" si="1"/>
        <v>558179.98080000025</v>
      </c>
      <c r="D17" s="109">
        <f>HR!Z629</f>
        <v>523669.98080000025</v>
      </c>
      <c r="E17" s="109">
        <f>'Prof Serv'!N168+'Prof Serv'!N188+'Prof Serv'!N208+'Prof Serv'!N228+'Prof Serv'!N268+'Prof Serv'!N288+'Prof Serv'!N308+'Prof Serv'!N328+'Prof Serv'!N348-J17</f>
        <v>20000</v>
      </c>
      <c r="F17" s="126">
        <f>'Prof Serv'!N248</f>
        <v>0</v>
      </c>
      <c r="G17" s="109">
        <f>Travel!P194+Travel!P214+Travel!P234+Travel!P254+Travel!P274+Travel!P294+Travel!P314</f>
        <v>10000</v>
      </c>
      <c r="H17" s="109">
        <f>'Other Operating Expenses'!N226</f>
        <v>3010</v>
      </c>
      <c r="I17" s="109">
        <f>Supplies!N114+Supplies!N134+Supplies!N154+Supplies!N174</f>
        <v>1500</v>
      </c>
      <c r="J17" s="109">
        <f>'Prof Serv'!N168</f>
        <v>0</v>
      </c>
      <c r="K17" s="109">
        <v>0</v>
      </c>
      <c r="L17" s="109">
        <f>'Capital Exp'!E16</f>
        <v>0</v>
      </c>
      <c r="M17" s="109">
        <v>0</v>
      </c>
      <c r="N17" s="314">
        <f t="shared" si="2"/>
        <v>-558179.98080000025</v>
      </c>
    </row>
    <row r="18" spans="1:32" ht="15" x14ac:dyDescent="0.25">
      <c r="A18" s="532" t="s">
        <v>1471</v>
      </c>
      <c r="B18" s="307">
        <f>'Sum by Bud Unit JGH'!T19</f>
        <v>1183636.8552960004</v>
      </c>
      <c r="C18" s="129">
        <f t="shared" si="1"/>
        <v>1050466.4315999998</v>
      </c>
      <c r="D18" s="109">
        <f>HR!Z630</f>
        <v>945493.46159999992</v>
      </c>
      <c r="E18" s="109">
        <f>'Prof Serv'!N169+'Prof Serv'!N189+'Prof Serv'!N209+'Prof Serv'!N229+'Prof Serv'!N269+'Prof Serv'!N289+'Prof Serv'!N309+'Prof Serv'!N329+'Prof Serv'!N349-J18</f>
        <v>10972.849999999999</v>
      </c>
      <c r="F18" s="126">
        <f>'Prof Serv'!N249</f>
        <v>0</v>
      </c>
      <c r="G18" s="109">
        <f>Travel!P195+Travel!P215+Travel!P235+Travel!P255+Travel!P275+Travel!P295+Travel!P315</f>
        <v>11645</v>
      </c>
      <c r="H18" s="109">
        <f>'Other Operating Expenses'!N227</f>
        <v>55995.12</v>
      </c>
      <c r="I18" s="109">
        <f>Supplies!N115+Supplies!N135+Supplies!N155+Supplies!N175</f>
        <v>2610</v>
      </c>
      <c r="J18" s="109">
        <f>'Prof Serv'!N169</f>
        <v>23750</v>
      </c>
      <c r="K18" s="109">
        <v>0</v>
      </c>
      <c r="L18" s="109">
        <f>'Capital Exp'!E20</f>
        <v>0</v>
      </c>
      <c r="M18" s="109">
        <v>0</v>
      </c>
      <c r="N18" s="314">
        <f t="shared" si="2"/>
        <v>133170.42369600059</v>
      </c>
    </row>
    <row r="19" spans="1:32" ht="15" x14ac:dyDescent="0.25">
      <c r="A19" s="144" t="s">
        <v>388</v>
      </c>
      <c r="B19" s="307">
        <f>'Sum by Bud Unit JGH'!Q19</f>
        <v>1000</v>
      </c>
      <c r="C19" s="129">
        <f t="shared" si="1"/>
        <v>881812.89</v>
      </c>
      <c r="D19" s="109">
        <f>HR!Z631</f>
        <v>194531.11999999997</v>
      </c>
      <c r="E19" s="109">
        <f>'Prof Serv'!N170+'Prof Serv'!N190+'Prof Serv'!N210+'Prof Serv'!N230+'Prof Serv'!N270+'Prof Serv'!N290+'Prof Serv'!N310+'Prof Serv'!N330+'Prof Serv'!N350-J19</f>
        <v>3000</v>
      </c>
      <c r="F19" s="126">
        <f>'Prof Serv'!N250</f>
        <v>0</v>
      </c>
      <c r="G19" s="109">
        <f>Travel!P196+Travel!P216+Travel!P236+Travel!P256+Travel!P276+Travel!P296+Travel!P316</f>
        <v>0</v>
      </c>
      <c r="H19" s="109">
        <f>'Other Operating Expenses'!N228</f>
        <v>68745</v>
      </c>
      <c r="I19" s="109">
        <f>Supplies!N116+Supplies!N136+Supplies!N156+Supplies!N176</f>
        <v>38230</v>
      </c>
      <c r="J19" s="109">
        <f>'Prof Serv'!N170</f>
        <v>0</v>
      </c>
      <c r="K19" s="109">
        <f>'Bldg Maint ONLY'!E9</f>
        <v>577306.77</v>
      </c>
      <c r="L19" s="109">
        <f>'Capital Exp'!E8</f>
        <v>0</v>
      </c>
      <c r="M19" s="109">
        <v>0</v>
      </c>
      <c r="N19" s="314">
        <f t="shared" si="2"/>
        <v>-880812.89</v>
      </c>
    </row>
    <row r="20" spans="1:32" ht="15" x14ac:dyDescent="0.25">
      <c r="A20" s="144" t="s">
        <v>391</v>
      </c>
      <c r="B20" s="307">
        <f>'Sum by Bud Unit JGH'!U19</f>
        <v>4047912</v>
      </c>
      <c r="C20" s="129">
        <f t="shared" si="1"/>
        <v>276645.23200000002</v>
      </c>
      <c r="D20" s="109">
        <f>HR!Z632</f>
        <v>255195.23200000002</v>
      </c>
      <c r="E20" s="109">
        <f>'Prof Serv'!N171+'Prof Serv'!N191+'Prof Serv'!N211+'Prof Serv'!N231+'Prof Serv'!N271+'Prof Serv'!N291+'Prof Serv'!N311+'Prof Serv'!N331+'Prof Serv'!N351-J20</f>
        <v>11750</v>
      </c>
      <c r="F20" s="126">
        <f>'Prof Serv'!N251</f>
        <v>0</v>
      </c>
      <c r="G20" s="109">
        <f>Travel!P197+Travel!P217+Travel!P237+Travel!P257+Travel!P277+Travel!P297+Travel!P317</f>
        <v>6620</v>
      </c>
      <c r="H20" s="109">
        <f>'Other Operating Expenses'!N229</f>
        <v>330</v>
      </c>
      <c r="I20" s="109">
        <f>Supplies!N117+Supplies!N137+Supplies!N157+Supplies!N177</f>
        <v>2750</v>
      </c>
      <c r="J20" s="109">
        <f>'Prof Serv'!N171</f>
        <v>0</v>
      </c>
      <c r="K20" s="109">
        <v>0</v>
      </c>
      <c r="L20" s="109">
        <f>'Capital Exp'!E21</f>
        <v>0</v>
      </c>
      <c r="M20" s="109">
        <v>0</v>
      </c>
      <c r="N20" s="314">
        <f t="shared" si="2"/>
        <v>3771266.7680000002</v>
      </c>
      <c r="O20" s="2"/>
    </row>
    <row r="21" spans="1:32" ht="3.75" customHeight="1" x14ac:dyDescent="0.25">
      <c r="A21" s="115" t="s">
        <v>23</v>
      </c>
      <c r="B21" s="307">
        <f>'Sum by Bud Unit JGH'!R19</f>
        <v>0</v>
      </c>
      <c r="C21" s="129">
        <f t="shared" si="1"/>
        <v>350549.35536000005</v>
      </c>
      <c r="D21" s="109">
        <f>HR!Z633</f>
        <v>254124.35536000005</v>
      </c>
      <c r="E21" s="109">
        <f>'Prof Serv'!N172+'Prof Serv'!N192+'Prof Serv'!N212+'Prof Serv'!N232+'Prof Serv'!N272+'Prof Serv'!N292+'Prof Serv'!N312+'Prof Serv'!N332+'Prof Serv'!N352-J21</f>
        <v>85000</v>
      </c>
      <c r="F21" s="126">
        <f>'Prof Serv'!N252</f>
        <v>0</v>
      </c>
      <c r="G21" s="109">
        <f>Travel!P198+Travel!P218+Travel!P238+Travel!P258+Travel!P278+Travel!P298+Travel!P318</f>
        <v>1150</v>
      </c>
      <c r="H21" s="109">
        <f>'Other Operating Expenses'!N230</f>
        <v>9975</v>
      </c>
      <c r="I21" s="109">
        <f>Supplies!N118+Supplies!N138+Supplies!N158+Supplies!N178</f>
        <v>300</v>
      </c>
      <c r="J21" s="109">
        <f>'Prof Serv'!N172</f>
        <v>0</v>
      </c>
      <c r="K21" s="109">
        <v>0</v>
      </c>
      <c r="L21" s="109">
        <f>'Capital Exp'!E9</f>
        <v>0</v>
      </c>
      <c r="M21" s="109">
        <v>0</v>
      </c>
      <c r="N21" s="314">
        <f t="shared" si="2"/>
        <v>-350549.35536000005</v>
      </c>
    </row>
    <row r="22" spans="1:32" ht="15" x14ac:dyDescent="0.25">
      <c r="A22" s="532" t="s">
        <v>1453</v>
      </c>
      <c r="B22" s="307">
        <f>'Sum by Bud Unit JGH'!F19</f>
        <v>5615666.6326061767</v>
      </c>
      <c r="C22" s="129">
        <f t="shared" si="1"/>
        <v>2002244.4126000002</v>
      </c>
      <c r="D22" s="109">
        <f>HR!Z634</f>
        <v>1078157.3826000001</v>
      </c>
      <c r="E22" s="109">
        <f>'Prof Serv'!N173+'Prof Serv'!N193+'Prof Serv'!N213+'Prof Serv'!N233+'Prof Serv'!N273+'Prof Serv'!N293+'Prof Serv'!N313+'Prof Serv'!N333+'Prof Serv'!N353-J22</f>
        <v>843350</v>
      </c>
      <c r="F22" s="126">
        <f>'Prof Serv'!N253</f>
        <v>0</v>
      </c>
      <c r="G22" s="109">
        <f>Travel!P199+Travel!P219+Travel!P239+Travel!P259+Travel!P279+Travel!P299+Travel!P319</f>
        <v>39919</v>
      </c>
      <c r="H22" s="109">
        <f>'Other Operating Expenses'!N231</f>
        <v>37668.03</v>
      </c>
      <c r="I22" s="109">
        <f>Supplies!N119+Supplies!N139+Supplies!N159+Supplies!N179</f>
        <v>3150</v>
      </c>
      <c r="J22" s="109">
        <f>'Prof Serv'!N173</f>
        <v>0</v>
      </c>
      <c r="K22" s="109">
        <v>0</v>
      </c>
      <c r="L22" s="109">
        <f>'Capital Exp'!E22</f>
        <v>0</v>
      </c>
      <c r="M22" s="109">
        <v>0</v>
      </c>
      <c r="N22" s="314">
        <f t="shared" si="2"/>
        <v>3613422.2200061763</v>
      </c>
    </row>
    <row r="23" spans="1:32" s="236" customFormat="1" ht="15" x14ac:dyDescent="0.25">
      <c r="A23" s="532" t="s">
        <v>1472</v>
      </c>
      <c r="B23" s="307">
        <f>'Sum by Bud Unit JGH'!N19</f>
        <v>1406654.8507403398</v>
      </c>
      <c r="C23" s="129">
        <f t="shared" si="1"/>
        <v>918127.46880000026</v>
      </c>
      <c r="D23" s="109">
        <f>HR!Z635</f>
        <v>875537.46880000026</v>
      </c>
      <c r="E23" s="109">
        <f>'Prof Serv'!N174+'Prof Serv'!N194+'Prof Serv'!N214+'Prof Serv'!N234+'Prof Serv'!N274+'Prof Serv'!N294+'Prof Serv'!N314+'Prof Serv'!N334+'Prof Serv'!N354-J23</f>
        <v>35745</v>
      </c>
      <c r="F23" s="126">
        <f>'Prof Serv'!N254</f>
        <v>0</v>
      </c>
      <c r="G23" s="109">
        <f>Travel!P200+Travel!P220+Travel!P240+Travel!P260+Travel!P280+Travel!P300+Travel!P320</f>
        <v>0</v>
      </c>
      <c r="H23" s="109">
        <f>'Other Operating Expenses'!N232</f>
        <v>1945</v>
      </c>
      <c r="I23" s="109">
        <f>Supplies!N120+Supplies!N140+Supplies!N160+Supplies!N180</f>
        <v>4900</v>
      </c>
      <c r="J23" s="109">
        <f>'Prof Serv'!N174</f>
        <v>0</v>
      </c>
      <c r="K23" s="109">
        <v>0</v>
      </c>
      <c r="L23" s="109">
        <v>0</v>
      </c>
      <c r="M23" s="109">
        <v>0</v>
      </c>
      <c r="N23" s="314">
        <f t="shared" si="2"/>
        <v>488527.38194033958</v>
      </c>
    </row>
    <row r="24" spans="1:32" ht="15" x14ac:dyDescent="0.25">
      <c r="A24" s="525" t="s">
        <v>920</v>
      </c>
      <c r="B24" s="307">
        <f>'Sum by Bud Unit JGH'!V19</f>
        <v>0</v>
      </c>
      <c r="C24" s="129">
        <f t="shared" si="1"/>
        <v>1455571.9079999998</v>
      </c>
      <c r="D24" s="109">
        <f>HR!Z636</f>
        <v>762696.20799999987</v>
      </c>
      <c r="E24" s="109">
        <f>'Prof Serv'!N175+'Prof Serv'!N195+'Prof Serv'!N215+'Prof Serv'!N235+'Prof Serv'!N275+'Prof Serv'!N295+'Prof Serv'!N315+'Prof Serv'!N335+'Prof Serv'!N355-J24</f>
        <v>10000</v>
      </c>
      <c r="F24" s="126">
        <f>'Prof Serv'!N255</f>
        <v>0</v>
      </c>
      <c r="G24" s="109">
        <f>Travel!P201+Travel!P221+Travel!P241+Travel!P261+Travel!P281+Travel!P301+Travel!P321</f>
        <v>0</v>
      </c>
      <c r="H24" s="109">
        <f>'Other Operating Expenses'!N233</f>
        <v>682375.7</v>
      </c>
      <c r="I24" s="109">
        <f>Supplies!N121+Supplies!N141+Supplies!N161+Supplies!N181</f>
        <v>500</v>
      </c>
      <c r="J24" s="109">
        <f>'Prof Serv'!N175</f>
        <v>0</v>
      </c>
      <c r="K24" s="109">
        <v>0</v>
      </c>
      <c r="L24" s="109">
        <f>'Capital Exp'!E10</f>
        <v>0</v>
      </c>
      <c r="M24" s="109">
        <v>0</v>
      </c>
      <c r="N24" s="314">
        <f t="shared" si="2"/>
        <v>-1455571.9079999998</v>
      </c>
    </row>
    <row r="25" spans="1:32" s="236" customFormat="1" ht="15" x14ac:dyDescent="0.25">
      <c r="A25" s="619" t="s">
        <v>1552</v>
      </c>
      <c r="B25" s="307">
        <f>'Sum by Bud Unit JGH'!W19</f>
        <v>0</v>
      </c>
      <c r="C25" s="129">
        <v>0</v>
      </c>
      <c r="D25" s="109">
        <v>0</v>
      </c>
      <c r="E25" s="109">
        <v>0</v>
      </c>
      <c r="F25" s="126">
        <v>0</v>
      </c>
      <c r="G25" s="109">
        <v>0</v>
      </c>
      <c r="H25" s="109">
        <v>0</v>
      </c>
      <c r="I25" s="109">
        <v>0</v>
      </c>
      <c r="J25" s="109">
        <v>0</v>
      </c>
      <c r="K25" s="109">
        <v>0</v>
      </c>
      <c r="L25" s="109">
        <v>0</v>
      </c>
      <c r="M25" s="109">
        <v>0</v>
      </c>
      <c r="N25" s="314">
        <f t="shared" si="2"/>
        <v>0</v>
      </c>
    </row>
    <row r="26" spans="1:32" ht="15.75" thickBot="1" x14ac:dyDescent="0.3">
      <c r="A26" s="113" t="s">
        <v>17</v>
      </c>
      <c r="B26" s="308">
        <f>SUM(B5:B25)</f>
        <v>18939310.324772406</v>
      </c>
      <c r="C26" s="130">
        <f>SUM(C5:C25)</f>
        <v>18617453.844067201</v>
      </c>
      <c r="D26" s="116">
        <f t="shared" ref="D26:N26" si="3">SUM(D5:D24)</f>
        <v>13723801.184067203</v>
      </c>
      <c r="E26" s="116">
        <f t="shared" si="3"/>
        <v>2209017</v>
      </c>
      <c r="F26" s="116">
        <f t="shared" si="3"/>
        <v>51500</v>
      </c>
      <c r="G26" s="116">
        <f t="shared" si="3"/>
        <v>409396</v>
      </c>
      <c r="H26" s="116">
        <f t="shared" si="3"/>
        <v>1253852.8900000001</v>
      </c>
      <c r="I26" s="116">
        <f t="shared" si="3"/>
        <v>122340</v>
      </c>
      <c r="J26" s="116">
        <f t="shared" si="3"/>
        <v>270240</v>
      </c>
      <c r="K26" s="116">
        <f>SUM(K5:K25)</f>
        <v>577306.77</v>
      </c>
      <c r="L26" s="116">
        <f t="shared" si="3"/>
        <v>0</v>
      </c>
      <c r="M26" s="116">
        <f>SUM(M5:M25)</f>
        <v>0</v>
      </c>
      <c r="N26" s="655">
        <f t="shared" si="3"/>
        <v>321856.48070520675</v>
      </c>
    </row>
    <row r="27" spans="1:32" ht="6" customHeight="1" thickTop="1" x14ac:dyDescent="0.25">
      <c r="A27" s="106"/>
      <c r="B27" s="106"/>
      <c r="C27" s="106"/>
      <c r="D27" s="106"/>
      <c r="E27" s="106"/>
      <c r="F27" s="106"/>
      <c r="G27" s="106"/>
      <c r="H27" s="106"/>
      <c r="I27" s="106"/>
      <c r="J27" s="106"/>
      <c r="K27" s="106"/>
      <c r="L27" s="106"/>
      <c r="M27" s="2"/>
    </row>
    <row r="28" spans="1:32" ht="9.75" customHeight="1" thickBot="1" x14ac:dyDescent="0.3">
      <c r="A28" s="106"/>
      <c r="B28" s="108"/>
      <c r="C28" s="108"/>
      <c r="D28" s="108"/>
      <c r="E28" s="108"/>
      <c r="F28" s="108"/>
      <c r="G28" s="108"/>
      <c r="H28" s="108"/>
      <c r="I28" s="108"/>
      <c r="J28" s="108"/>
      <c r="K28" s="108"/>
      <c r="L28" s="108"/>
    </row>
    <row r="29" spans="1:32" ht="15.75" thickBot="1" x14ac:dyDescent="0.3">
      <c r="A29" s="227" t="s">
        <v>351</v>
      </c>
      <c r="B29" s="228">
        <f>B26-SUM('PGM Revenues JGH'!F28:F37)</f>
        <v>1545606.0288718566</v>
      </c>
      <c r="C29" s="228">
        <f>SUM(D29:L29)</f>
        <v>0</v>
      </c>
      <c r="D29" s="228">
        <f>HR!H3-'Total Expenses'!D26</f>
        <v>0</v>
      </c>
      <c r="E29" s="228">
        <f>'Prof Serv'!G3+'Prof Serv'!H3+'Prof Serv'!I3+'Prof Serv'!K3+'Prof Serv'!L3-'Prof Serv'!N225-'Prof Serv'!N285-'Prof Serv'!N325-'Total Expenses'!E26</f>
        <v>0</v>
      </c>
      <c r="F29" s="228">
        <f>'Prof Serv'!J3-'Total Expenses'!F26</f>
        <v>0</v>
      </c>
      <c r="G29" s="228">
        <f>Travel!E3-'Total Expenses'!G26</f>
        <v>0</v>
      </c>
      <c r="H29" s="228">
        <f>'Other Operating Expenses'!E3-'Other Operating Expenses'!N483-'Total Expenses'!H26</f>
        <v>0</v>
      </c>
      <c r="I29" s="228">
        <f>Supplies!E3-Supplies!N131-Supplies!N171-'Total Expenses'!I26</f>
        <v>0</v>
      </c>
      <c r="J29" s="228">
        <f>'Prof Serv'!F3-'Total Expenses'!J26</f>
        <v>0</v>
      </c>
      <c r="K29" s="228">
        <f>'Bldg Maint ONLY'!E3-'Total Expenses'!K26</f>
        <v>0</v>
      </c>
      <c r="L29" s="228">
        <f>'Capital Exp'!E3-'Total Expenses'!L26</f>
        <v>0</v>
      </c>
      <c r="M29" s="572">
        <f>SUM('Prof Serv'!N216:N235)+SUM('Prof Serv'!N276:N295)+SUM('Prof Serv'!N316:N335)+SUM('Other Operating Expenses'!N474:N493)+SUM(Supplies!N122:N141)+SUM(Supplies!N162:N182)-'Total Expenses'!M26</f>
        <v>0</v>
      </c>
      <c r="N29" s="228"/>
      <c r="O29" s="272"/>
    </row>
    <row r="30" spans="1:32" ht="15" x14ac:dyDescent="0.25">
      <c r="A30" s="106"/>
      <c r="B30" s="106"/>
      <c r="C30" s="106"/>
      <c r="D30" s="106"/>
      <c r="E30" s="106"/>
      <c r="F30" s="106"/>
      <c r="G30" s="106"/>
      <c r="H30" s="106"/>
      <c r="I30" s="106"/>
      <c r="J30" s="106"/>
      <c r="K30" s="106"/>
    </row>
    <row r="31" spans="1:32" ht="15" x14ac:dyDescent="0.25">
      <c r="A31" s="117"/>
      <c r="B31" s="118"/>
      <c r="C31" s="119"/>
      <c r="D31" s="120"/>
      <c r="E31" s="119"/>
      <c r="F31" s="119"/>
      <c r="G31" s="119"/>
      <c r="H31" s="119"/>
      <c r="I31" s="119"/>
      <c r="J31" s="119"/>
      <c r="K31" s="119"/>
      <c r="L31" s="119"/>
      <c r="M31" s="119"/>
      <c r="N31" s="279"/>
      <c r="O31" s="121"/>
      <c r="P31" s="121"/>
      <c r="Q31" s="121"/>
      <c r="R31" s="121"/>
      <c r="S31" s="121"/>
      <c r="T31" s="279"/>
      <c r="U31" s="279"/>
      <c r="V31" s="279"/>
    </row>
    <row r="32" spans="1:32" ht="15" x14ac:dyDescent="0.25">
      <c r="A32" s="121"/>
      <c r="B32" s="118"/>
      <c r="C32" s="119"/>
      <c r="D32" s="121" t="s">
        <v>346</v>
      </c>
      <c r="E32" s="121" t="s">
        <v>346</v>
      </c>
      <c r="F32" s="119"/>
      <c r="G32" s="119"/>
      <c r="H32" s="119"/>
      <c r="I32" s="119"/>
      <c r="J32" s="119"/>
      <c r="K32" s="119"/>
      <c r="L32" s="119"/>
      <c r="M32" s="119"/>
      <c r="N32" s="121"/>
      <c r="O32" s="121"/>
      <c r="P32" s="121"/>
      <c r="Q32" s="121"/>
      <c r="R32" s="121"/>
      <c r="S32" s="121"/>
      <c r="T32" s="121"/>
      <c r="U32" s="121"/>
      <c r="V32" s="121"/>
      <c r="AB32" s="280"/>
      <c r="AC32" s="268"/>
      <c r="AD32" s="268"/>
      <c r="AE32" s="268"/>
      <c r="AF32" s="15"/>
    </row>
    <row r="33" spans="1:32" ht="33" customHeight="1" x14ac:dyDescent="0.35">
      <c r="A33" s="599" t="s">
        <v>1519</v>
      </c>
      <c r="B33" s="599"/>
      <c r="C33" s="122" t="s">
        <v>272</v>
      </c>
      <c r="D33" s="122" t="s">
        <v>345</v>
      </c>
      <c r="E33" s="122" t="s">
        <v>261</v>
      </c>
      <c r="F33" s="122" t="s">
        <v>273</v>
      </c>
      <c r="G33" s="122" t="s">
        <v>347</v>
      </c>
      <c r="H33" s="122" t="s">
        <v>276</v>
      </c>
      <c r="I33" s="491" t="s">
        <v>1428</v>
      </c>
      <c r="J33" s="122" t="s">
        <v>277</v>
      </c>
      <c r="K33" s="122" t="s">
        <v>387</v>
      </c>
      <c r="L33" s="122" t="s">
        <v>412</v>
      </c>
      <c r="M33" s="491" t="s">
        <v>1520</v>
      </c>
      <c r="N33" s="122" t="s">
        <v>1521</v>
      </c>
      <c r="O33" s="122" t="s">
        <v>1522</v>
      </c>
      <c r="P33" s="491" t="s">
        <v>1553</v>
      </c>
      <c r="Q33" s="122" t="s">
        <v>1523</v>
      </c>
      <c r="R33" s="491" t="s">
        <v>1531</v>
      </c>
      <c r="S33" s="491" t="s">
        <v>1532</v>
      </c>
      <c r="T33" s="491" t="s">
        <v>1533</v>
      </c>
      <c r="U33" s="491" t="s">
        <v>141</v>
      </c>
      <c r="V33" s="122" t="s">
        <v>189</v>
      </c>
      <c r="W33" s="224" t="s">
        <v>1525</v>
      </c>
      <c r="AC33" s="626"/>
      <c r="AD33" s="627"/>
      <c r="AE33" s="627"/>
      <c r="AF33" s="627"/>
    </row>
    <row r="34" spans="1:32" ht="15" x14ac:dyDescent="0.25">
      <c r="A34" s="123" t="s">
        <v>986</v>
      </c>
      <c r="B34" s="620"/>
      <c r="C34" s="124">
        <f>HR!Z666</f>
        <v>0</v>
      </c>
      <c r="D34" s="124">
        <f>'Prof Serv'!N1523+'Prof Serv'!N1333</f>
        <v>0</v>
      </c>
      <c r="E34" s="124">
        <f>'Prof Serv'!N1145</f>
        <v>0</v>
      </c>
      <c r="F34" s="124">
        <f>Travel!P353+Travel!P541+Travel!P729+Travel!P917+Travel!P1105+Travel!P1293+Travel!P1481</f>
        <v>0</v>
      </c>
      <c r="G34" s="124">
        <f>'Other Operating Expenses'!N634</f>
        <v>0</v>
      </c>
      <c r="H34" s="124">
        <f>Supplies!N209</f>
        <v>0</v>
      </c>
      <c r="I34" s="124">
        <f>'Prof Serv'!N579+'Prof Serv'!N769+'Prof Serv'!N957+'Prof Serv'!N1713+'Prof Serv'!N1901+'Prof Serv'!N2089</f>
        <v>0</v>
      </c>
      <c r="J34" s="124">
        <f>'Prof Serv'!N391</f>
        <v>0</v>
      </c>
      <c r="K34" s="124">
        <v>0</v>
      </c>
      <c r="L34" s="124">
        <v>0</v>
      </c>
      <c r="M34" s="124">
        <f>SUM(C34:L34)</f>
        <v>0</v>
      </c>
      <c r="N34" s="282">
        <f>-'Other Operating Expenses'!N832</f>
        <v>0</v>
      </c>
      <c r="O34" s="282">
        <f>-'Other Operating Expenses'!N1020</f>
        <v>0</v>
      </c>
      <c r="P34" s="282"/>
      <c r="Q34" s="124">
        <f>SUM(M34:P34)</f>
        <v>0</v>
      </c>
      <c r="R34" s="124">
        <f t="shared" ref="R34:R40" si="4">IF(V34&lt;&gt;"n/a",C34*33.33%*47%,0)</f>
        <v>0</v>
      </c>
      <c r="S34" s="124">
        <f t="shared" ref="S34:S40" si="5">IF(V34&lt;&gt;"n/a",Q34*66.67%*10%,0)</f>
        <v>0</v>
      </c>
      <c r="T34" s="124">
        <f t="shared" ref="T34:T65" si="6">IF(V34="n/a",0,IF(S34&lt;&gt;"",0,ROUND(SUM(Q34)*10%,2)))</f>
        <v>0</v>
      </c>
      <c r="U34" s="124">
        <f t="shared" ref="U34:U65" si="7">IF(V34="n/a",0,SUM(M34,R34,S34,T34))</f>
        <v>0</v>
      </c>
      <c r="V34" s="224" t="s">
        <v>1524</v>
      </c>
      <c r="W34" s="224" t="s">
        <v>1526</v>
      </c>
      <c r="X34" s="2">
        <f>SUMIF($V$34:$V$222,110,$U$34:$U$222)</f>
        <v>300501.78169595392</v>
      </c>
      <c r="AC34" s="628"/>
      <c r="AD34" s="297"/>
      <c r="AE34" s="48"/>
      <c r="AF34" s="48"/>
    </row>
    <row r="35" spans="1:32" ht="15" x14ac:dyDescent="0.25">
      <c r="A35" s="123" t="s">
        <v>988</v>
      </c>
      <c r="B35" s="620"/>
      <c r="C35" s="124">
        <f>HR!Z667</f>
        <v>0</v>
      </c>
      <c r="D35" s="124">
        <f>'Prof Serv'!N1524+'Prof Serv'!N1334</f>
        <v>0</v>
      </c>
      <c r="E35" s="124">
        <f>'Prof Serv'!N1146</f>
        <v>0</v>
      </c>
      <c r="F35" s="124">
        <f>Travel!P354+Travel!P542+Travel!P730+Travel!P918+Travel!P1106+Travel!P1294+Travel!P1482</f>
        <v>0</v>
      </c>
      <c r="G35" s="124">
        <f>'Other Operating Expenses'!N635</f>
        <v>0</v>
      </c>
      <c r="H35" s="124">
        <f>Supplies!N210</f>
        <v>0</v>
      </c>
      <c r="I35" s="124">
        <f>'Prof Serv'!N580+'Prof Serv'!N770+'Prof Serv'!N958+'Prof Serv'!N1714+'Prof Serv'!N1902+'Prof Serv'!N2090</f>
        <v>0</v>
      </c>
      <c r="J35" s="124">
        <f>'Prof Serv'!N392</f>
        <v>0</v>
      </c>
      <c r="K35" s="124">
        <v>0</v>
      </c>
      <c r="L35" s="124">
        <v>0</v>
      </c>
      <c r="M35" s="124">
        <f t="shared" ref="M35:M103" si="8">SUM(C35:L35)</f>
        <v>0</v>
      </c>
      <c r="N35" s="282">
        <f>-'Other Operating Expenses'!N833</f>
        <v>0</v>
      </c>
      <c r="O35" s="282">
        <f>-'Other Operating Expenses'!N1021</f>
        <v>0</v>
      </c>
      <c r="P35" s="282"/>
      <c r="Q35" s="124">
        <f t="shared" ref="Q35:Q103" si="9">SUM(M35:P35)</f>
        <v>0</v>
      </c>
      <c r="R35" s="124">
        <f t="shared" si="4"/>
        <v>0</v>
      </c>
      <c r="S35" s="124">
        <f t="shared" si="5"/>
        <v>0</v>
      </c>
      <c r="T35" s="124">
        <f t="shared" si="6"/>
        <v>0</v>
      </c>
      <c r="U35" s="124">
        <f t="shared" si="7"/>
        <v>0</v>
      </c>
      <c r="V35" s="224" t="s">
        <v>1524</v>
      </c>
      <c r="W35" s="224" t="s">
        <v>1527</v>
      </c>
      <c r="X35" s="600">
        <f>SUMIF($V$34:$V$222,150,$U$34:$U$222)</f>
        <v>389835.98892354348</v>
      </c>
      <c r="AB35" s="16"/>
      <c r="AC35" s="634"/>
      <c r="AD35" s="635"/>
      <c r="AE35" s="340"/>
      <c r="AF35" s="340"/>
    </row>
    <row r="36" spans="1:32" ht="15" x14ac:dyDescent="0.25">
      <c r="A36" s="123" t="s">
        <v>1058</v>
      </c>
      <c r="B36" s="620"/>
      <c r="C36" s="124">
        <f>HR!Z668</f>
        <v>0</v>
      </c>
      <c r="D36" s="124">
        <f>'Prof Serv'!N1525+'Prof Serv'!N1335</f>
        <v>0</v>
      </c>
      <c r="E36" s="124">
        <f>'Prof Serv'!N1147</f>
        <v>0</v>
      </c>
      <c r="F36" s="124">
        <f>Travel!P355+Travel!P543+Travel!P731+Travel!P919+Travel!P1107+Travel!P1295+Travel!P1483</f>
        <v>0</v>
      </c>
      <c r="G36" s="124">
        <f>'Other Operating Expenses'!N636</f>
        <v>0</v>
      </c>
      <c r="H36" s="124">
        <f>Supplies!N211</f>
        <v>0</v>
      </c>
      <c r="I36" s="124">
        <f>'Prof Serv'!N581+'Prof Serv'!N771+'Prof Serv'!N959+'Prof Serv'!N1715+'Prof Serv'!N1903+'Prof Serv'!N2091</f>
        <v>0</v>
      </c>
      <c r="J36" s="124">
        <f>'Prof Serv'!N393</f>
        <v>0</v>
      </c>
      <c r="K36" s="124">
        <v>0</v>
      </c>
      <c r="L36" s="124">
        <v>0</v>
      </c>
      <c r="M36" s="124">
        <f t="shared" si="8"/>
        <v>0</v>
      </c>
      <c r="N36" s="282">
        <f>-'Other Operating Expenses'!N834</f>
        <v>0</v>
      </c>
      <c r="O36" s="282">
        <f>-'Other Operating Expenses'!N1022</f>
        <v>0</v>
      </c>
      <c r="P36" s="282"/>
      <c r="Q36" s="124">
        <f t="shared" si="9"/>
        <v>0</v>
      </c>
      <c r="R36" s="124">
        <f t="shared" si="4"/>
        <v>0</v>
      </c>
      <c r="S36" s="124">
        <f t="shared" si="5"/>
        <v>0</v>
      </c>
      <c r="T36" s="124">
        <f t="shared" si="6"/>
        <v>0</v>
      </c>
      <c r="U36" s="124">
        <f t="shared" si="7"/>
        <v>0</v>
      </c>
      <c r="V36" s="224" t="s">
        <v>1524</v>
      </c>
      <c r="W36" s="224" t="s">
        <v>1528</v>
      </c>
      <c r="X36" s="600">
        <f>SUMIF($V$34:$V$222,170,$U$34:$U$222)</f>
        <v>1003879.8384206598</v>
      </c>
      <c r="AB36" s="16"/>
      <c r="AC36" s="634"/>
      <c r="AD36" s="635"/>
      <c r="AE36" s="340"/>
      <c r="AF36" s="340"/>
    </row>
    <row r="37" spans="1:32" ht="15" x14ac:dyDescent="0.25">
      <c r="A37" s="123" t="s">
        <v>972</v>
      </c>
      <c r="B37" s="620"/>
      <c r="C37" s="124">
        <f>HR!Z669</f>
        <v>30811.857242400001</v>
      </c>
      <c r="D37" s="124">
        <f>'Prof Serv'!N1526+'Prof Serv'!N1336</f>
        <v>4000</v>
      </c>
      <c r="E37" s="124">
        <f>'Prof Serv'!N1148</f>
        <v>0</v>
      </c>
      <c r="F37" s="124">
        <f>Travel!P356+Travel!P544+Travel!P732+Travel!P920+Travel!P1108+Travel!P1296+Travel!P1484</f>
        <v>750</v>
      </c>
      <c r="G37" s="124">
        <f>'Other Operating Expenses'!N637</f>
        <v>0</v>
      </c>
      <c r="H37" s="124">
        <f>Supplies!N212</f>
        <v>0</v>
      </c>
      <c r="I37" s="124">
        <f>'Prof Serv'!N582+'Prof Serv'!N772+'Prof Serv'!N960+'Prof Serv'!N1716+'Prof Serv'!N1904+'Prof Serv'!N2092</f>
        <v>0</v>
      </c>
      <c r="J37" s="124">
        <f>'Prof Serv'!N394</f>
        <v>0</v>
      </c>
      <c r="K37" s="124">
        <v>0</v>
      </c>
      <c r="L37" s="124">
        <v>0</v>
      </c>
      <c r="M37" s="124">
        <f t="shared" si="8"/>
        <v>35561.857242400001</v>
      </c>
      <c r="N37" s="282">
        <f>-'Other Operating Expenses'!N835</f>
        <v>0</v>
      </c>
      <c r="O37" s="282">
        <f>-'Other Operating Expenses'!N1023</f>
        <v>0</v>
      </c>
      <c r="P37" s="282"/>
      <c r="Q37" s="124">
        <f t="shared" si="9"/>
        <v>35561.857242400001</v>
      </c>
      <c r="R37" s="124">
        <f t="shared" si="4"/>
        <v>4826.7082488792021</v>
      </c>
      <c r="S37" s="124">
        <f t="shared" si="5"/>
        <v>2370.9090223508083</v>
      </c>
      <c r="T37" s="124">
        <f t="shared" si="6"/>
        <v>0</v>
      </c>
      <c r="U37" s="124">
        <f t="shared" si="7"/>
        <v>42759.474513630012</v>
      </c>
      <c r="V37" s="224">
        <v>180</v>
      </c>
      <c r="W37" s="224" t="s">
        <v>1529</v>
      </c>
      <c r="X37" s="600">
        <f>SUMIF($V$34:$V$222,172,$U$34:$U$222)</f>
        <v>1323264.3017916</v>
      </c>
      <c r="AB37" s="16"/>
      <c r="AC37" s="634"/>
      <c r="AD37" s="635"/>
      <c r="AE37" s="340"/>
      <c r="AF37" s="340"/>
    </row>
    <row r="38" spans="1:32" ht="15" x14ac:dyDescent="0.25">
      <c r="A38" s="123" t="s">
        <v>973</v>
      </c>
      <c r="B38" s="620"/>
      <c r="C38" s="124">
        <f>HR!Z670</f>
        <v>203290.26987232006</v>
      </c>
      <c r="D38" s="124">
        <f>'Prof Serv'!N1527+'Prof Serv'!N1337</f>
        <v>325305</v>
      </c>
      <c r="E38" s="124">
        <f>'Prof Serv'!N1149</f>
        <v>0</v>
      </c>
      <c r="F38" s="124">
        <f>Travel!P357+Travel!P545+Travel!P733+Travel!P921+Travel!P1109+Travel!P1297+Travel!P1485</f>
        <v>0</v>
      </c>
      <c r="G38" s="124">
        <f>'Other Operating Expenses'!N638</f>
        <v>0</v>
      </c>
      <c r="H38" s="124">
        <f>Supplies!N213</f>
        <v>0</v>
      </c>
      <c r="I38" s="124">
        <f>'Prof Serv'!N583+'Prof Serv'!N773+'Prof Serv'!N961+'Prof Serv'!N1717+'Prof Serv'!N1905+'Prof Serv'!N2093</f>
        <v>0</v>
      </c>
      <c r="J38" s="124">
        <f>'Prof Serv'!N395</f>
        <v>0</v>
      </c>
      <c r="K38" s="124">
        <v>0</v>
      </c>
      <c r="L38" s="124">
        <v>0</v>
      </c>
      <c r="M38" s="124">
        <f t="shared" si="8"/>
        <v>528595.26987232012</v>
      </c>
      <c r="N38" s="282">
        <f>-'Other Operating Expenses'!N836</f>
        <v>0</v>
      </c>
      <c r="O38" s="282">
        <f>-'Other Operating Expenses'!N1024</f>
        <v>0</v>
      </c>
      <c r="P38" s="282"/>
      <c r="Q38" s="124">
        <f t="shared" si="9"/>
        <v>528595.26987232012</v>
      </c>
      <c r="R38" s="124">
        <f t="shared" si="4"/>
        <v>31845.62406576881</v>
      </c>
      <c r="S38" s="124">
        <f t="shared" si="5"/>
        <v>35241.446642387593</v>
      </c>
      <c r="T38" s="124">
        <f t="shared" si="6"/>
        <v>0</v>
      </c>
      <c r="U38" s="124">
        <f t="shared" si="7"/>
        <v>595682.34058047645</v>
      </c>
      <c r="V38" s="224">
        <v>180</v>
      </c>
      <c r="W38" s="224" t="s">
        <v>1530</v>
      </c>
      <c r="X38" s="600">
        <f>SUMIF($V$34:$V$222,178,$U$34:$U$222)</f>
        <v>1183636.8552960004</v>
      </c>
      <c r="AB38" s="16"/>
      <c r="AC38" s="634"/>
      <c r="AD38" s="635"/>
      <c r="AE38" s="340"/>
      <c r="AF38" s="340"/>
    </row>
    <row r="39" spans="1:32" s="236" customFormat="1" ht="15" x14ac:dyDescent="0.25">
      <c r="A39" s="251" t="s">
        <v>980</v>
      </c>
      <c r="B39" s="620"/>
      <c r="C39" s="124">
        <f>HR!Z671</f>
        <v>0</v>
      </c>
      <c r="D39" s="124">
        <f>'Prof Serv'!N1528+'Prof Serv'!N1338</f>
        <v>0</v>
      </c>
      <c r="E39" s="124">
        <f>'Prof Serv'!N1150</f>
        <v>0</v>
      </c>
      <c r="F39" s="124">
        <f>Travel!P358+Travel!P546+Travel!P734+Travel!P922+Travel!P1110+Travel!P1298+Travel!P1486</f>
        <v>0</v>
      </c>
      <c r="G39" s="124">
        <f>'Other Operating Expenses'!N639</f>
        <v>0</v>
      </c>
      <c r="H39" s="124">
        <f>Supplies!N214</f>
        <v>0</v>
      </c>
      <c r="I39" s="124">
        <f>'Prof Serv'!N584+'Prof Serv'!N774+'Prof Serv'!N962+'Prof Serv'!N1718+'Prof Serv'!N1906+'Prof Serv'!N2094</f>
        <v>0</v>
      </c>
      <c r="J39" s="124">
        <f>'Prof Serv'!N396</f>
        <v>0</v>
      </c>
      <c r="K39" s="124">
        <v>0</v>
      </c>
      <c r="L39" s="124">
        <v>0</v>
      </c>
      <c r="M39" s="124">
        <f t="shared" si="8"/>
        <v>0</v>
      </c>
      <c r="N39" s="282">
        <f>-'Other Operating Expenses'!N837</f>
        <v>0</v>
      </c>
      <c r="O39" s="282">
        <f>-'Other Operating Expenses'!N1025</f>
        <v>0</v>
      </c>
      <c r="P39" s="282"/>
      <c r="Q39" s="124">
        <f t="shared" si="9"/>
        <v>0</v>
      </c>
      <c r="R39" s="124">
        <f t="shared" si="4"/>
        <v>0</v>
      </c>
      <c r="S39" s="124">
        <f t="shared" si="5"/>
        <v>0</v>
      </c>
      <c r="T39" s="124">
        <f t="shared" si="6"/>
        <v>0</v>
      </c>
      <c r="U39" s="124">
        <f t="shared" si="7"/>
        <v>0</v>
      </c>
      <c r="V39" s="224">
        <v>110</v>
      </c>
      <c r="W39" s="224" t="s">
        <v>1554</v>
      </c>
      <c r="X39" s="600">
        <f>SUMIF($V$34:$V$222,180,$U$34:$U$222)</f>
        <v>3355712.0849101767</v>
      </c>
      <c r="AB39" s="16"/>
      <c r="AC39" s="634"/>
      <c r="AD39" s="635"/>
      <c r="AE39" s="340"/>
      <c r="AF39" s="340"/>
    </row>
    <row r="40" spans="1:32" s="236" customFormat="1" ht="15" x14ac:dyDescent="0.25">
      <c r="A40" s="406" t="s">
        <v>982</v>
      </c>
      <c r="B40" s="620"/>
      <c r="C40" s="124">
        <f>HR!Z672</f>
        <v>0</v>
      </c>
      <c r="D40" s="124">
        <f>'Prof Serv'!N1529+'Prof Serv'!N1339</f>
        <v>0</v>
      </c>
      <c r="E40" s="124">
        <f>'Prof Serv'!N1151</f>
        <v>0</v>
      </c>
      <c r="F40" s="124">
        <f>Travel!P359+Travel!P547+Travel!P735+Travel!P923+Travel!P1111+Travel!P1299+Travel!P1487</f>
        <v>0</v>
      </c>
      <c r="G40" s="124">
        <f>'Other Operating Expenses'!N640</f>
        <v>0</v>
      </c>
      <c r="H40" s="124">
        <f>Supplies!N215</f>
        <v>24100</v>
      </c>
      <c r="I40" s="124">
        <f>'Prof Serv'!N585+'Prof Serv'!N775+'Prof Serv'!N963+'Prof Serv'!N1719+'Prof Serv'!N1907+'Prof Serv'!N2095</f>
        <v>0</v>
      </c>
      <c r="J40" s="124">
        <f>'Prof Serv'!N397</f>
        <v>0</v>
      </c>
      <c r="K40" s="124">
        <v>0</v>
      </c>
      <c r="L40" s="124">
        <v>0</v>
      </c>
      <c r="M40" s="124">
        <f t="shared" si="8"/>
        <v>24100</v>
      </c>
      <c r="N40" s="282">
        <f>-'Other Operating Expenses'!N838</f>
        <v>0</v>
      </c>
      <c r="O40" s="282">
        <f>-'Other Operating Expenses'!N1026</f>
        <v>0</v>
      </c>
      <c r="P40" s="282"/>
      <c r="Q40" s="124">
        <f t="shared" si="9"/>
        <v>24100</v>
      </c>
      <c r="R40" s="124">
        <f t="shared" si="4"/>
        <v>0</v>
      </c>
      <c r="S40" s="124">
        <f t="shared" si="5"/>
        <v>1606.7470000000003</v>
      </c>
      <c r="T40" s="124">
        <f t="shared" si="6"/>
        <v>0</v>
      </c>
      <c r="U40" s="124">
        <f t="shared" si="7"/>
        <v>25706.746999999999</v>
      </c>
      <c r="V40" s="224">
        <v>110</v>
      </c>
      <c r="AB40" s="16"/>
      <c r="AC40" s="634"/>
      <c r="AD40" s="635"/>
      <c r="AE40" s="340"/>
      <c r="AF40" s="340"/>
    </row>
    <row r="41" spans="1:32" ht="15" x14ac:dyDescent="0.25">
      <c r="A41" s="123" t="s">
        <v>46</v>
      </c>
      <c r="B41" s="620"/>
      <c r="C41" s="124">
        <f>HR!Z673</f>
        <v>326296.00061759999</v>
      </c>
      <c r="D41" s="124">
        <f>'Prof Serv'!N1530+'Prof Serv'!N1340</f>
        <v>6000</v>
      </c>
      <c r="E41" s="124">
        <f>'Prof Serv'!N1152</f>
        <v>0</v>
      </c>
      <c r="F41" s="124">
        <f>Travel!P360+Travel!P548+Travel!P736+Travel!P924+Travel!P1112+Travel!P1300+Travel!P1488</f>
        <v>94600</v>
      </c>
      <c r="G41" s="124">
        <f>'Other Operating Expenses'!N641</f>
        <v>0</v>
      </c>
      <c r="H41" s="124">
        <f>Supplies!N216</f>
        <v>68930</v>
      </c>
      <c r="I41" s="124">
        <f>'Prof Serv'!N586+'Prof Serv'!N776+'Prof Serv'!N964+'Prof Serv'!N1720+'Prof Serv'!N1908+'Prof Serv'!N2096</f>
        <v>0</v>
      </c>
      <c r="J41" s="124">
        <f>'Prof Serv'!N398</f>
        <v>0</v>
      </c>
      <c r="K41" s="124">
        <v>0</v>
      </c>
      <c r="L41" s="124">
        <v>0</v>
      </c>
      <c r="M41" s="124">
        <f t="shared" si="8"/>
        <v>495826.00061759999</v>
      </c>
      <c r="N41" s="282">
        <f>-'Other Operating Expenses'!N839</f>
        <v>0</v>
      </c>
      <c r="O41" s="282">
        <f>-'Other Operating Expenses'!N1027</f>
        <v>0</v>
      </c>
      <c r="P41" s="282"/>
      <c r="Q41" s="124">
        <f t="shared" si="9"/>
        <v>495826.00061759999</v>
      </c>
      <c r="R41" s="124"/>
      <c r="S41" s="124"/>
      <c r="T41" s="124">
        <f t="shared" si="6"/>
        <v>0</v>
      </c>
      <c r="U41" s="124">
        <f t="shared" si="7"/>
        <v>0</v>
      </c>
      <c r="V41" s="224" t="s">
        <v>1524</v>
      </c>
      <c r="AB41" s="16"/>
      <c r="AC41" s="634"/>
      <c r="AD41" s="635"/>
      <c r="AE41" s="634"/>
      <c r="AF41" s="340"/>
    </row>
    <row r="42" spans="1:32" ht="15" x14ac:dyDescent="0.25">
      <c r="A42" s="123" t="s">
        <v>1019</v>
      </c>
      <c r="B42" s="620"/>
      <c r="C42" s="124">
        <f>HR!Z674</f>
        <v>5121826.1407562234</v>
      </c>
      <c r="D42" s="124">
        <f>'Prof Serv'!N1531+'Prof Serv'!N1341</f>
        <v>156800.35</v>
      </c>
      <c r="E42" s="124">
        <f>'Prof Serv'!N1153</f>
        <v>51500</v>
      </c>
      <c r="F42" s="124">
        <f>Travel!P361+Travel!P549+Travel!P737+Travel!P925+Travel!P1113+Travel!P1301+Travel!P1489</f>
        <v>90272</v>
      </c>
      <c r="G42" s="124">
        <f>'Other Operating Expenses'!N642</f>
        <v>4000</v>
      </c>
      <c r="H42" s="124">
        <f>Supplies!N217</f>
        <v>0</v>
      </c>
      <c r="I42" s="124">
        <f>'Prof Serv'!N587+'Prof Serv'!N777+'Prof Serv'!N965+'Prof Serv'!N1721+'Prof Serv'!N1909+'Prof Serv'!N2097</f>
        <v>20781</v>
      </c>
      <c r="J42" s="124">
        <f>'Prof Serv'!N399</f>
        <v>167055</v>
      </c>
      <c r="K42" s="124">
        <f>'Bldg Maint ONLY'!O279</f>
        <v>577306.77</v>
      </c>
      <c r="L42" s="124">
        <v>0</v>
      </c>
      <c r="M42" s="124">
        <f t="shared" si="8"/>
        <v>6189541.2607562225</v>
      </c>
      <c r="N42" s="282">
        <f>-'Other Operating Expenses'!N840</f>
        <v>-3000</v>
      </c>
      <c r="O42" s="282">
        <f>-'Other Operating Expenses'!N1028</f>
        <v>-38500</v>
      </c>
      <c r="P42" s="282"/>
      <c r="Q42" s="124">
        <f t="shared" si="9"/>
        <v>6148041.2607562225</v>
      </c>
      <c r="R42" s="124"/>
      <c r="S42" s="124"/>
      <c r="T42" s="124">
        <f t="shared" si="6"/>
        <v>0</v>
      </c>
      <c r="U42" s="124">
        <f t="shared" si="7"/>
        <v>0</v>
      </c>
      <c r="V42" s="224" t="s">
        <v>1524</v>
      </c>
      <c r="AB42" s="16"/>
      <c r="AC42" s="634"/>
      <c r="AD42" s="635"/>
      <c r="AE42" s="340"/>
      <c r="AF42" s="340"/>
    </row>
    <row r="43" spans="1:32" ht="15" x14ac:dyDescent="0.25">
      <c r="A43" s="123" t="s">
        <v>1050</v>
      </c>
      <c r="B43" s="620"/>
      <c r="C43" s="124">
        <f>HR!Z675</f>
        <v>0</v>
      </c>
      <c r="D43" s="124">
        <f>'Prof Serv'!N1532+'Prof Serv'!N1342</f>
        <v>0</v>
      </c>
      <c r="E43" s="124">
        <f>'Prof Serv'!N1154</f>
        <v>0</v>
      </c>
      <c r="F43" s="124">
        <f>Travel!P362+Travel!P550+Travel!P738+Travel!P926+Travel!P1114+Travel!P1302+Travel!P1490</f>
        <v>0</v>
      </c>
      <c r="G43" s="124">
        <f>'Other Operating Expenses'!N643</f>
        <v>595576.76</v>
      </c>
      <c r="H43" s="124">
        <f>Supplies!N218</f>
        <v>0</v>
      </c>
      <c r="I43" s="124">
        <f>'Prof Serv'!N588+'Prof Serv'!N778+'Prof Serv'!N966+'Prof Serv'!N1722+'Prof Serv'!N1910+'Prof Serv'!N2098</f>
        <v>0</v>
      </c>
      <c r="J43" s="124">
        <f>'Prof Serv'!N400</f>
        <v>0</v>
      </c>
      <c r="K43" s="124">
        <v>0</v>
      </c>
      <c r="L43" s="124">
        <v>0</v>
      </c>
      <c r="M43" s="124">
        <f t="shared" si="8"/>
        <v>595576.76</v>
      </c>
      <c r="N43" s="282">
        <f>-'Other Operating Expenses'!N841</f>
        <v>0</v>
      </c>
      <c r="O43" s="282">
        <f>-'Other Operating Expenses'!N1029</f>
        <v>0</v>
      </c>
      <c r="P43" s="282"/>
      <c r="Q43" s="124">
        <f t="shared" si="9"/>
        <v>595576.76</v>
      </c>
      <c r="R43" s="124"/>
      <c r="S43" s="124"/>
      <c r="T43" s="124">
        <f t="shared" si="6"/>
        <v>0</v>
      </c>
      <c r="U43" s="124">
        <f t="shared" si="7"/>
        <v>0</v>
      </c>
      <c r="V43" s="224" t="s">
        <v>1524</v>
      </c>
      <c r="AB43" s="16"/>
      <c r="AC43" s="634"/>
      <c r="AD43" s="635"/>
      <c r="AE43" s="340"/>
      <c r="AF43" s="340"/>
    </row>
    <row r="44" spans="1:32" ht="15" x14ac:dyDescent="0.25">
      <c r="A44" s="123" t="s">
        <v>100</v>
      </c>
      <c r="B44" s="620"/>
      <c r="C44" s="124">
        <f>HR!Z676</f>
        <v>7303.2452480000002</v>
      </c>
      <c r="D44" s="124">
        <f>'Prof Serv'!N1533+'Prof Serv'!N1343</f>
        <v>0</v>
      </c>
      <c r="E44" s="124">
        <f>'Prof Serv'!N1155</f>
        <v>0</v>
      </c>
      <c r="F44" s="124">
        <f>Travel!P363+Travel!P551+Travel!P739+Travel!P927+Travel!P1115+Travel!P1303+Travel!P1491</f>
        <v>0</v>
      </c>
      <c r="G44" s="124">
        <f>'Other Operating Expenses'!N644</f>
        <v>0</v>
      </c>
      <c r="H44" s="124">
        <f>Supplies!N219</f>
        <v>0</v>
      </c>
      <c r="I44" s="124">
        <f>'Prof Serv'!N589+'Prof Serv'!N779+'Prof Serv'!N967+'Prof Serv'!N1723+'Prof Serv'!N1911+'Prof Serv'!N2099</f>
        <v>0</v>
      </c>
      <c r="J44" s="124">
        <f>'Prof Serv'!N401</f>
        <v>0</v>
      </c>
      <c r="K44" s="124">
        <v>0</v>
      </c>
      <c r="L44" s="124">
        <v>0</v>
      </c>
      <c r="M44" s="124">
        <f t="shared" si="8"/>
        <v>7303.2452480000002</v>
      </c>
      <c r="N44" s="282">
        <f>-'Other Operating Expenses'!N842</f>
        <v>0</v>
      </c>
      <c r="O44" s="282">
        <f>-'Other Operating Expenses'!N1030</f>
        <v>0</v>
      </c>
      <c r="P44" s="282"/>
      <c r="Q44" s="124">
        <f t="shared" si="9"/>
        <v>7303.2452480000002</v>
      </c>
      <c r="R44" s="124"/>
      <c r="S44" s="124"/>
      <c r="T44" s="124">
        <f t="shared" si="6"/>
        <v>0</v>
      </c>
      <c r="U44" s="124">
        <f t="shared" si="7"/>
        <v>0</v>
      </c>
      <c r="V44" s="224" t="s">
        <v>1524</v>
      </c>
      <c r="AB44" s="16"/>
      <c r="AC44" s="634"/>
      <c r="AD44" s="635"/>
      <c r="AE44" s="340"/>
      <c r="AF44" s="340"/>
    </row>
    <row r="45" spans="1:32" ht="15" x14ac:dyDescent="0.25">
      <c r="A45" s="123" t="s">
        <v>101</v>
      </c>
      <c r="B45" s="620"/>
      <c r="C45" s="124">
        <f>HR!Z677</f>
        <v>7303.2452480000002</v>
      </c>
      <c r="D45" s="124">
        <f>'Prof Serv'!N1534+'Prof Serv'!N1344</f>
        <v>0</v>
      </c>
      <c r="E45" s="124">
        <f>'Prof Serv'!N1156</f>
        <v>0</v>
      </c>
      <c r="F45" s="124">
        <f>Travel!P364+Travel!P552+Travel!P740+Travel!P928+Travel!P1116+Travel!P1304+Travel!P1492</f>
        <v>0</v>
      </c>
      <c r="G45" s="124">
        <f>'Other Operating Expenses'!N645</f>
        <v>0</v>
      </c>
      <c r="H45" s="124">
        <f>Supplies!N220</f>
        <v>534</v>
      </c>
      <c r="I45" s="124">
        <f>'Prof Serv'!N590+'Prof Serv'!N780+'Prof Serv'!N968+'Prof Serv'!N1724+'Prof Serv'!N1912+'Prof Serv'!N2100</f>
        <v>0</v>
      </c>
      <c r="J45" s="124">
        <f>'Prof Serv'!N402</f>
        <v>0</v>
      </c>
      <c r="K45" s="124">
        <v>0</v>
      </c>
      <c r="L45" s="124">
        <v>0</v>
      </c>
      <c r="M45" s="124">
        <f t="shared" si="8"/>
        <v>7837.2452480000002</v>
      </c>
      <c r="N45" s="282">
        <f>-'Other Operating Expenses'!N843</f>
        <v>0</v>
      </c>
      <c r="O45" s="282">
        <f>-'Other Operating Expenses'!N1031</f>
        <v>0</v>
      </c>
      <c r="P45" s="282"/>
      <c r="Q45" s="124">
        <f t="shared" si="9"/>
        <v>7837.2452480000002</v>
      </c>
      <c r="R45" s="124"/>
      <c r="S45" s="124"/>
      <c r="T45" s="124">
        <f t="shared" si="6"/>
        <v>0</v>
      </c>
      <c r="U45" s="124">
        <f t="shared" si="7"/>
        <v>0</v>
      </c>
      <c r="V45" s="224" t="s">
        <v>1524</v>
      </c>
      <c r="AB45" s="16"/>
      <c r="AC45" s="634"/>
      <c r="AD45" s="635"/>
      <c r="AE45" s="340"/>
      <c r="AF45" s="340"/>
    </row>
    <row r="46" spans="1:32" ht="15" x14ac:dyDescent="0.25">
      <c r="A46" s="123" t="s">
        <v>1056</v>
      </c>
      <c r="B46" s="620"/>
      <c r="C46" s="124">
        <f>HR!Z678</f>
        <v>47778.757946400008</v>
      </c>
      <c r="D46" s="124">
        <f>'Prof Serv'!N1535+'Prof Serv'!N1345</f>
        <v>0</v>
      </c>
      <c r="E46" s="124">
        <f>'Prof Serv'!N1157</f>
        <v>0</v>
      </c>
      <c r="F46" s="124">
        <f>Travel!P365+Travel!P553+Travel!P741+Travel!P929+Travel!P1117+Travel!P1305+Travel!P1493</f>
        <v>0</v>
      </c>
      <c r="G46" s="124">
        <f>'Other Operating Expenses'!N646</f>
        <v>0</v>
      </c>
      <c r="H46" s="124">
        <f>Supplies!N221</f>
        <v>0</v>
      </c>
      <c r="I46" s="124">
        <f>'Prof Serv'!N591+'Prof Serv'!N781+'Prof Serv'!N969+'Prof Serv'!N1725+'Prof Serv'!N1913+'Prof Serv'!N2101</f>
        <v>0</v>
      </c>
      <c r="J46" s="124">
        <f>'Prof Serv'!N403</f>
        <v>0</v>
      </c>
      <c r="K46" s="124">
        <v>0</v>
      </c>
      <c r="L46" s="124">
        <v>0</v>
      </c>
      <c r="M46" s="124">
        <f t="shared" si="8"/>
        <v>47778.757946400008</v>
      </c>
      <c r="N46" s="282">
        <f>-'Other Operating Expenses'!N844</f>
        <v>0</v>
      </c>
      <c r="O46" s="282">
        <f>-'Other Operating Expenses'!N1032</f>
        <v>0</v>
      </c>
      <c r="P46" s="282"/>
      <c r="Q46" s="124">
        <f t="shared" si="9"/>
        <v>47778.757946400008</v>
      </c>
      <c r="R46" s="124"/>
      <c r="S46" s="124"/>
      <c r="T46" s="124"/>
      <c r="U46" s="124">
        <f t="shared" si="7"/>
        <v>47778.757946400008</v>
      </c>
      <c r="V46" s="224">
        <v>172</v>
      </c>
      <c r="AB46" s="16"/>
      <c r="AC46" s="634"/>
      <c r="AD46" s="635"/>
      <c r="AE46" s="634"/>
      <c r="AF46" s="340"/>
    </row>
    <row r="47" spans="1:32" ht="15" x14ac:dyDescent="0.25">
      <c r="A47" s="123" t="s">
        <v>1057</v>
      </c>
      <c r="B47" s="620"/>
      <c r="C47" s="124">
        <f>HR!Z679</f>
        <v>65374.186810400002</v>
      </c>
      <c r="D47" s="124">
        <f>'Prof Serv'!N1536+'Prof Serv'!N1346</f>
        <v>0</v>
      </c>
      <c r="E47" s="124">
        <f>'Prof Serv'!N1158</f>
        <v>0</v>
      </c>
      <c r="F47" s="124">
        <f>Travel!P366+Travel!P554+Travel!P742+Travel!P930+Travel!P1118+Travel!P1306+Travel!P1494</f>
        <v>11148</v>
      </c>
      <c r="G47" s="124">
        <f>'Other Operating Expenses'!N647</f>
        <v>42731</v>
      </c>
      <c r="H47" s="124">
        <f>Supplies!N222</f>
        <v>0</v>
      </c>
      <c r="I47" s="124">
        <f>'Prof Serv'!N592+'Prof Serv'!N782+'Prof Serv'!N970+'Prof Serv'!N1726+'Prof Serv'!N1914+'Prof Serv'!N2102</f>
        <v>0</v>
      </c>
      <c r="J47" s="124">
        <f>'Prof Serv'!N404</f>
        <v>0</v>
      </c>
      <c r="K47" s="124">
        <v>0</v>
      </c>
      <c r="L47" s="124">
        <v>0</v>
      </c>
      <c r="M47" s="124">
        <f t="shared" si="8"/>
        <v>119253.1868104</v>
      </c>
      <c r="N47" s="282">
        <f>-'Other Operating Expenses'!N845</f>
        <v>0</v>
      </c>
      <c r="O47" s="282">
        <f>-'Other Operating Expenses'!N1033</f>
        <v>0</v>
      </c>
      <c r="P47" s="282"/>
      <c r="Q47" s="124">
        <f t="shared" si="9"/>
        <v>119253.1868104</v>
      </c>
      <c r="R47" s="124"/>
      <c r="S47" s="124"/>
      <c r="T47" s="124"/>
      <c r="U47" s="124">
        <f t="shared" si="7"/>
        <v>119253.1868104</v>
      </c>
      <c r="V47" s="224">
        <v>172</v>
      </c>
      <c r="AB47" s="16"/>
      <c r="AC47" s="634"/>
      <c r="AD47" s="635"/>
      <c r="AE47" s="340"/>
      <c r="AF47" s="340"/>
    </row>
    <row r="48" spans="1:32" ht="15" x14ac:dyDescent="0.25">
      <c r="A48" s="738" t="s">
        <v>1631</v>
      </c>
      <c r="B48" s="620"/>
      <c r="C48" s="124">
        <f>HR!Z680</f>
        <v>15365.203776</v>
      </c>
      <c r="D48" s="124">
        <f>'Prof Serv'!N1537+'Prof Serv'!N1347</f>
        <v>0</v>
      </c>
      <c r="E48" s="124">
        <f>'Prof Serv'!N1159</f>
        <v>0</v>
      </c>
      <c r="F48" s="124">
        <f>Travel!P367+Travel!P555+Travel!P743+Travel!P931+Travel!P1119+Travel!P1307+Travel!P1495</f>
        <v>0</v>
      </c>
      <c r="G48" s="124">
        <f>'Other Operating Expenses'!N648</f>
        <v>2720</v>
      </c>
      <c r="H48" s="124">
        <f>Supplies!N223</f>
        <v>0</v>
      </c>
      <c r="I48" s="124">
        <f>'Prof Serv'!N593+'Prof Serv'!N783+'Prof Serv'!N971+'Prof Serv'!N1727+'Prof Serv'!N1915+'Prof Serv'!N2103</f>
        <v>0</v>
      </c>
      <c r="J48" s="124">
        <f>'Prof Serv'!N405</f>
        <v>0</v>
      </c>
      <c r="K48" s="124">
        <v>0</v>
      </c>
      <c r="L48" s="124">
        <v>0</v>
      </c>
      <c r="M48" s="124">
        <f t="shared" si="8"/>
        <v>18085.203776000002</v>
      </c>
      <c r="N48" s="282">
        <f>-'Other Operating Expenses'!N846</f>
        <v>0</v>
      </c>
      <c r="O48" s="282">
        <f>-'Other Operating Expenses'!N1034</f>
        <v>0</v>
      </c>
      <c r="P48" s="282"/>
      <c r="Q48" s="124">
        <f t="shared" si="9"/>
        <v>18085.203776000002</v>
      </c>
      <c r="R48" s="124">
        <f t="shared" ref="R48:R99" si="10">IF(V48&lt;&gt;"n/a",C48*33.33%*47%,0)</f>
        <v>0</v>
      </c>
      <c r="S48" s="124">
        <f t="shared" ref="S48:S99" si="11">IF(V48&lt;&gt;"n/a",Q48*66.67%*10%,0)</f>
        <v>0</v>
      </c>
      <c r="T48" s="124">
        <f t="shared" si="6"/>
        <v>0</v>
      </c>
      <c r="U48" s="124">
        <f>IF(V48="n/a",0,SUM(M48,R48,S48,T48))</f>
        <v>0</v>
      </c>
      <c r="V48" s="224" t="s">
        <v>1524</v>
      </c>
      <c r="AB48" s="16"/>
      <c r="AC48" s="634"/>
      <c r="AD48" s="635"/>
      <c r="AE48" s="340"/>
      <c r="AF48" s="340"/>
    </row>
    <row r="49" spans="1:32" ht="15" x14ac:dyDescent="0.25">
      <c r="A49" s="738" t="s">
        <v>1632</v>
      </c>
      <c r="B49" s="620"/>
      <c r="C49" s="124">
        <f>HR!Z681</f>
        <v>35649.016000000003</v>
      </c>
      <c r="D49" s="124">
        <f>'Prof Serv'!N1538+'Prof Serv'!N1348</f>
        <v>0</v>
      </c>
      <c r="E49" s="124">
        <f>'Prof Serv'!N1160</f>
        <v>0</v>
      </c>
      <c r="F49" s="124">
        <f>Travel!P368+Travel!P556+Travel!P744+Travel!P932+Travel!P1120+Travel!P1308+Travel!P1496</f>
        <v>0</v>
      </c>
      <c r="G49" s="124">
        <f>'Other Operating Expenses'!N649</f>
        <v>0</v>
      </c>
      <c r="H49" s="124">
        <f>Supplies!N224</f>
        <v>0</v>
      </c>
      <c r="I49" s="124">
        <f>'Prof Serv'!N594+'Prof Serv'!N784+'Prof Serv'!N972+'Prof Serv'!N1728+'Prof Serv'!N1916+'Prof Serv'!N2104</f>
        <v>0</v>
      </c>
      <c r="J49" s="124">
        <f>'Prof Serv'!N406</f>
        <v>0</v>
      </c>
      <c r="K49" s="124">
        <v>0</v>
      </c>
      <c r="L49" s="124">
        <v>0</v>
      </c>
      <c r="M49" s="124">
        <f t="shared" si="8"/>
        <v>35649.016000000003</v>
      </c>
      <c r="N49" s="282">
        <f>-'Other Operating Expenses'!N847</f>
        <v>0</v>
      </c>
      <c r="O49" s="282">
        <f>-'Other Operating Expenses'!N1035</f>
        <v>0</v>
      </c>
      <c r="P49" s="282"/>
      <c r="Q49" s="124">
        <f t="shared" si="9"/>
        <v>35649.016000000003</v>
      </c>
      <c r="R49" s="124">
        <f t="shared" si="10"/>
        <v>0</v>
      </c>
      <c r="S49" s="124">
        <f t="shared" si="11"/>
        <v>0</v>
      </c>
      <c r="T49" s="124">
        <f t="shared" si="6"/>
        <v>0</v>
      </c>
      <c r="U49" s="124">
        <f t="shared" si="7"/>
        <v>0</v>
      </c>
      <c r="V49" s="224" t="s">
        <v>1524</v>
      </c>
      <c r="AB49" s="16"/>
      <c r="AC49" s="634"/>
      <c r="AD49" s="635"/>
      <c r="AE49" s="634"/>
      <c r="AF49" s="340"/>
    </row>
    <row r="50" spans="1:32" ht="15" x14ac:dyDescent="0.25">
      <c r="A50" s="123" t="s">
        <v>965</v>
      </c>
      <c r="B50" s="620"/>
      <c r="C50" s="124">
        <f>HR!Z682</f>
        <v>0</v>
      </c>
      <c r="D50" s="124">
        <f>'Prof Serv'!N1539+'Prof Serv'!N1349</f>
        <v>0</v>
      </c>
      <c r="E50" s="124">
        <f>'Prof Serv'!N1161</f>
        <v>0</v>
      </c>
      <c r="F50" s="124">
        <f>Travel!P369+Travel!P557+Travel!P745+Travel!P933+Travel!P1121+Travel!P1309+Travel!P1497</f>
        <v>0</v>
      </c>
      <c r="G50" s="124">
        <f>'Other Operating Expenses'!N650</f>
        <v>8493.01</v>
      </c>
      <c r="H50" s="124">
        <f>Supplies!N225</f>
        <v>0</v>
      </c>
      <c r="I50" s="124">
        <f>'Prof Serv'!N595+'Prof Serv'!N785+'Prof Serv'!N973+'Prof Serv'!N1729+'Prof Serv'!N1917+'Prof Serv'!N2105</f>
        <v>0</v>
      </c>
      <c r="J50" s="124">
        <f>'Prof Serv'!N407</f>
        <v>0</v>
      </c>
      <c r="K50" s="124">
        <v>0</v>
      </c>
      <c r="L50" s="124">
        <v>0</v>
      </c>
      <c r="M50" s="124">
        <f t="shared" si="8"/>
        <v>8493.01</v>
      </c>
      <c r="N50" s="282">
        <f>-'Other Operating Expenses'!N848</f>
        <v>0</v>
      </c>
      <c r="O50" s="282">
        <f>-'Other Operating Expenses'!N1036</f>
        <v>0</v>
      </c>
      <c r="P50" s="282"/>
      <c r="Q50" s="124">
        <f t="shared" si="9"/>
        <v>8493.01</v>
      </c>
      <c r="R50" s="124">
        <f t="shared" si="10"/>
        <v>0</v>
      </c>
      <c r="S50" s="124">
        <f t="shared" si="11"/>
        <v>0</v>
      </c>
      <c r="T50" s="124">
        <f t="shared" si="6"/>
        <v>0</v>
      </c>
      <c r="U50" s="124">
        <f t="shared" si="7"/>
        <v>0</v>
      </c>
      <c r="V50" s="224" t="s">
        <v>1524</v>
      </c>
      <c r="AB50" s="16"/>
      <c r="AC50" s="634"/>
      <c r="AD50" s="635"/>
      <c r="AE50" s="634"/>
      <c r="AF50" s="340"/>
    </row>
    <row r="51" spans="1:32" ht="15" x14ac:dyDescent="0.25">
      <c r="A51" s="123" t="s">
        <v>1011</v>
      </c>
      <c r="B51" s="620"/>
      <c r="C51" s="124">
        <f>HR!Z683</f>
        <v>5512.6784075999994</v>
      </c>
      <c r="D51" s="124">
        <f>'Prof Serv'!N1540+'Prof Serv'!N1350</f>
        <v>0</v>
      </c>
      <c r="E51" s="124">
        <f>'Prof Serv'!N1162</f>
        <v>0</v>
      </c>
      <c r="F51" s="124">
        <f>Travel!P370+Travel!P558+Travel!P746+Travel!P934+Travel!P1122+Travel!P1310+Travel!P1498</f>
        <v>0</v>
      </c>
      <c r="G51" s="124">
        <f>'Other Operating Expenses'!N651</f>
        <v>0</v>
      </c>
      <c r="H51" s="124">
        <f>Supplies!N226</f>
        <v>100</v>
      </c>
      <c r="I51" s="124">
        <f>'Prof Serv'!N596+'Prof Serv'!N786+'Prof Serv'!N974+'Prof Serv'!N1730+'Prof Serv'!N1918+'Prof Serv'!N2106</f>
        <v>0</v>
      </c>
      <c r="J51" s="124">
        <f>'Prof Serv'!N408</f>
        <v>0</v>
      </c>
      <c r="K51" s="124">
        <v>0</v>
      </c>
      <c r="L51" s="124">
        <v>0</v>
      </c>
      <c r="M51" s="124">
        <f t="shared" si="8"/>
        <v>5612.6784075999994</v>
      </c>
      <c r="N51" s="282">
        <f>-'Other Operating Expenses'!N849</f>
        <v>0</v>
      </c>
      <c r="O51" s="282">
        <f>-'Other Operating Expenses'!N1037</f>
        <v>0</v>
      </c>
      <c r="P51" s="282"/>
      <c r="Q51" s="124">
        <f t="shared" si="9"/>
        <v>5612.6784075999994</v>
      </c>
      <c r="R51" s="124">
        <f t="shared" si="10"/>
        <v>863.56658522894747</v>
      </c>
      <c r="S51" s="124">
        <f t="shared" si="11"/>
        <v>374.19726943469203</v>
      </c>
      <c r="T51" s="124">
        <f t="shared" si="6"/>
        <v>0</v>
      </c>
      <c r="U51" s="124">
        <f t="shared" si="7"/>
        <v>6850.4422622636393</v>
      </c>
      <c r="V51" s="224">
        <v>170</v>
      </c>
      <c r="AB51" s="16"/>
      <c r="AC51" s="634"/>
      <c r="AD51" s="635"/>
      <c r="AE51" s="634"/>
      <c r="AF51" s="340"/>
    </row>
    <row r="52" spans="1:32" ht="15" x14ac:dyDescent="0.25">
      <c r="A52" s="123" t="s">
        <v>1010</v>
      </c>
      <c r="B52" s="620"/>
      <c r="C52" s="124">
        <f>HR!Z684</f>
        <v>67562.617215999999</v>
      </c>
      <c r="D52" s="124">
        <f>'Prof Serv'!N1541+'Prof Serv'!N1351</f>
        <v>26500.16</v>
      </c>
      <c r="E52" s="124">
        <f>'Prof Serv'!N1163</f>
        <v>0</v>
      </c>
      <c r="F52" s="124">
        <f>Travel!P371+Travel!P559+Travel!P747+Travel!P935+Travel!P1123+Travel!P1311+Travel!P1499</f>
        <v>0</v>
      </c>
      <c r="G52" s="124">
        <f>'Other Operating Expenses'!N652</f>
        <v>0</v>
      </c>
      <c r="H52" s="124">
        <f>Supplies!N227</f>
        <v>0</v>
      </c>
      <c r="I52" s="124">
        <f>'Prof Serv'!N597+'Prof Serv'!N787+'Prof Serv'!N975+'Prof Serv'!N1731+'Prof Serv'!N1919+'Prof Serv'!N2107</f>
        <v>0</v>
      </c>
      <c r="J52" s="124">
        <f>'Prof Serv'!N409</f>
        <v>0</v>
      </c>
      <c r="K52" s="124">
        <v>0</v>
      </c>
      <c r="L52" s="124">
        <v>0</v>
      </c>
      <c r="M52" s="124">
        <f t="shared" si="8"/>
        <v>94062.777216000002</v>
      </c>
      <c r="N52" s="282">
        <f>-'Other Operating Expenses'!N850</f>
        <v>0</v>
      </c>
      <c r="O52" s="282">
        <f>-'Other Operating Expenses'!N1038</f>
        <v>0</v>
      </c>
      <c r="P52" s="282"/>
      <c r="Q52" s="124">
        <f t="shared" si="9"/>
        <v>94062.777216000002</v>
      </c>
      <c r="R52" s="124">
        <f t="shared" si="10"/>
        <v>10583.751549503615</v>
      </c>
      <c r="S52" s="124">
        <f t="shared" si="11"/>
        <v>6271.1653569907212</v>
      </c>
      <c r="T52" s="124">
        <f t="shared" si="6"/>
        <v>0</v>
      </c>
      <c r="U52" s="124">
        <f t="shared" si="7"/>
        <v>110917.69412249434</v>
      </c>
      <c r="V52" s="224">
        <v>170</v>
      </c>
      <c r="AB52" s="16"/>
      <c r="AC52" s="634"/>
      <c r="AD52" s="635"/>
      <c r="AE52" s="634"/>
      <c r="AF52" s="340"/>
    </row>
    <row r="53" spans="1:32" ht="15" x14ac:dyDescent="0.25">
      <c r="A53" s="123" t="s">
        <v>1013</v>
      </c>
      <c r="B53" s="620"/>
      <c r="C53" s="124">
        <f>HR!Z685</f>
        <v>4280.8192076000005</v>
      </c>
      <c r="D53" s="124">
        <f>'Prof Serv'!N1542+'Prof Serv'!N1352</f>
        <v>0</v>
      </c>
      <c r="E53" s="124">
        <f>'Prof Serv'!N1164</f>
        <v>0</v>
      </c>
      <c r="F53" s="124">
        <f>Travel!P372+Travel!P560+Travel!P748+Travel!P936+Travel!P1124+Travel!P1312+Travel!P1500</f>
        <v>0</v>
      </c>
      <c r="G53" s="124">
        <f>'Other Operating Expenses'!N653</f>
        <v>450</v>
      </c>
      <c r="H53" s="124">
        <f>Supplies!N228</f>
        <v>0</v>
      </c>
      <c r="I53" s="124">
        <f>'Prof Serv'!N598+'Prof Serv'!N788+'Prof Serv'!N976+'Prof Serv'!N1732+'Prof Serv'!N1920+'Prof Serv'!N2108</f>
        <v>0</v>
      </c>
      <c r="J53" s="124">
        <f>'Prof Serv'!N410</f>
        <v>0</v>
      </c>
      <c r="K53" s="124">
        <v>0</v>
      </c>
      <c r="L53" s="124">
        <v>0</v>
      </c>
      <c r="M53" s="124">
        <f t="shared" si="8"/>
        <v>4730.8192076000005</v>
      </c>
      <c r="N53" s="282">
        <f>-'Other Operating Expenses'!N851</f>
        <v>0</v>
      </c>
      <c r="O53" s="282">
        <f>-'Other Operating Expenses'!N1039</f>
        <v>0</v>
      </c>
      <c r="P53" s="282"/>
      <c r="Q53" s="124">
        <f t="shared" si="9"/>
        <v>4730.8192076000005</v>
      </c>
      <c r="R53" s="124">
        <f t="shared" si="10"/>
        <v>670.5946096897477</v>
      </c>
      <c r="S53" s="124">
        <f t="shared" si="11"/>
        <v>315.4037165706921</v>
      </c>
      <c r="T53" s="124">
        <f t="shared" si="6"/>
        <v>0</v>
      </c>
      <c r="U53" s="124">
        <f t="shared" si="7"/>
        <v>5716.8175338604406</v>
      </c>
      <c r="V53" s="224">
        <v>170</v>
      </c>
      <c r="AC53" s="628"/>
      <c r="AD53" s="297"/>
      <c r="AE53" s="628"/>
      <c r="AF53" s="48"/>
    </row>
    <row r="54" spans="1:32" ht="15" x14ac:dyDescent="0.25">
      <c r="A54" s="123" t="s">
        <v>1012</v>
      </c>
      <c r="B54" s="620"/>
      <c r="C54" s="124">
        <f>HR!Z686</f>
        <v>0</v>
      </c>
      <c r="D54" s="124">
        <f>'Prof Serv'!N1543+'Prof Serv'!N1353</f>
        <v>0</v>
      </c>
      <c r="E54" s="124">
        <f>'Prof Serv'!N1165</f>
        <v>0</v>
      </c>
      <c r="F54" s="124">
        <f>Travel!P373+Travel!P561+Travel!P749+Travel!P937+Travel!P1125+Travel!P1313+Travel!P1501</f>
        <v>0</v>
      </c>
      <c r="G54" s="124">
        <f>'Other Operating Expenses'!N654</f>
        <v>0</v>
      </c>
      <c r="H54" s="124">
        <f>Supplies!N229</f>
        <v>0</v>
      </c>
      <c r="I54" s="124">
        <f>'Prof Serv'!N599+'Prof Serv'!N789+'Prof Serv'!N977+'Prof Serv'!N1733+'Prof Serv'!N1921+'Prof Serv'!N2109</f>
        <v>0</v>
      </c>
      <c r="J54" s="124">
        <f>'Prof Serv'!N411</f>
        <v>0</v>
      </c>
      <c r="K54" s="124">
        <v>0</v>
      </c>
      <c r="L54" s="124">
        <v>0</v>
      </c>
      <c r="M54" s="124">
        <f t="shared" si="8"/>
        <v>0</v>
      </c>
      <c r="N54" s="282">
        <f>-'Other Operating Expenses'!N852</f>
        <v>0</v>
      </c>
      <c r="O54" s="282">
        <f>-'Other Operating Expenses'!N1040</f>
        <v>0</v>
      </c>
      <c r="P54" s="282"/>
      <c r="Q54" s="124">
        <f t="shared" si="9"/>
        <v>0</v>
      </c>
      <c r="R54" s="124">
        <f t="shared" si="10"/>
        <v>0</v>
      </c>
      <c r="S54" s="124">
        <f t="shared" si="11"/>
        <v>0</v>
      </c>
      <c r="T54" s="124">
        <f t="shared" si="6"/>
        <v>0</v>
      </c>
      <c r="U54" s="124">
        <f t="shared" si="7"/>
        <v>0</v>
      </c>
      <c r="V54" s="224">
        <v>170</v>
      </c>
      <c r="AC54" s="628"/>
      <c r="AD54" s="297"/>
      <c r="AE54" s="628"/>
      <c r="AF54" s="48"/>
    </row>
    <row r="55" spans="1:32" ht="15" x14ac:dyDescent="0.25">
      <c r="A55" s="123" t="s">
        <v>1052</v>
      </c>
      <c r="B55" s="620"/>
      <c r="C55" s="124">
        <f>HR!Z687</f>
        <v>3069.4186692000003</v>
      </c>
      <c r="D55" s="124">
        <f>'Prof Serv'!N1544+'Prof Serv'!N1354</f>
        <v>0</v>
      </c>
      <c r="E55" s="124">
        <f>'Prof Serv'!N1166</f>
        <v>0</v>
      </c>
      <c r="F55" s="124">
        <f>Travel!P374+Travel!P562+Travel!P750+Travel!P938+Travel!P1126+Travel!P1314+Travel!P1502</f>
        <v>0</v>
      </c>
      <c r="G55" s="124">
        <f>'Other Operating Expenses'!N655</f>
        <v>0</v>
      </c>
      <c r="H55" s="124">
        <f>Supplies!N230</f>
        <v>100</v>
      </c>
      <c r="I55" s="124">
        <f>'Prof Serv'!N600+'Prof Serv'!N790+'Prof Serv'!N978+'Prof Serv'!N1734+'Prof Serv'!N1922+'Prof Serv'!N2110</f>
        <v>0</v>
      </c>
      <c r="J55" s="124">
        <f>'Prof Serv'!N412</f>
        <v>0</v>
      </c>
      <c r="K55" s="124">
        <v>0</v>
      </c>
      <c r="L55" s="124">
        <v>0</v>
      </c>
      <c r="M55" s="124">
        <f t="shared" si="8"/>
        <v>3169.4186692000003</v>
      </c>
      <c r="N55" s="282">
        <f>-'Other Operating Expenses'!N853</f>
        <v>0</v>
      </c>
      <c r="O55" s="282">
        <f>-'Other Operating Expenses'!N1041</f>
        <v>0</v>
      </c>
      <c r="P55" s="282"/>
      <c r="Q55" s="124">
        <f t="shared" si="9"/>
        <v>3169.4186692000003</v>
      </c>
      <c r="R55" s="124">
        <f t="shared" si="10"/>
        <v>480.8275039488492</v>
      </c>
      <c r="S55" s="124">
        <f t="shared" si="11"/>
        <v>211.30514267556407</v>
      </c>
      <c r="T55" s="124">
        <f t="shared" si="6"/>
        <v>0</v>
      </c>
      <c r="U55" s="124">
        <f t="shared" si="7"/>
        <v>3861.5513158244135</v>
      </c>
      <c r="V55" s="224">
        <v>170</v>
      </c>
      <c r="AC55" s="628"/>
      <c r="AD55" s="297"/>
      <c r="AE55" s="629"/>
      <c r="AF55" s="48"/>
    </row>
    <row r="56" spans="1:32" ht="15" x14ac:dyDescent="0.25">
      <c r="A56" s="123" t="s">
        <v>1053</v>
      </c>
      <c r="B56" s="620"/>
      <c r="C56" s="124">
        <f>HR!Z688</f>
        <v>64670.071520000005</v>
      </c>
      <c r="D56" s="124">
        <f>'Prof Serv'!N1545+'Prof Serv'!N1355</f>
        <v>26500.16</v>
      </c>
      <c r="E56" s="124">
        <f>'Prof Serv'!N1167</f>
        <v>0</v>
      </c>
      <c r="F56" s="124">
        <f>Travel!P375+Travel!P563+Travel!P751+Travel!P939+Travel!P1127+Travel!P1315+Travel!P1503</f>
        <v>0</v>
      </c>
      <c r="G56" s="124">
        <f>'Other Operating Expenses'!N656</f>
        <v>0</v>
      </c>
      <c r="H56" s="124">
        <f>Supplies!N231</f>
        <v>0</v>
      </c>
      <c r="I56" s="124">
        <f>'Prof Serv'!N601+'Prof Serv'!N791+'Prof Serv'!N979+'Prof Serv'!N1735+'Prof Serv'!N1923+'Prof Serv'!N2111</f>
        <v>0</v>
      </c>
      <c r="J56" s="124">
        <f>'Prof Serv'!N413</f>
        <v>0</v>
      </c>
      <c r="K56" s="124">
        <v>0</v>
      </c>
      <c r="L56" s="124">
        <v>0</v>
      </c>
      <c r="M56" s="124">
        <f t="shared" si="8"/>
        <v>91170.231520000001</v>
      </c>
      <c r="N56" s="282">
        <f>-'Other Operating Expenses'!N854</f>
        <v>0</v>
      </c>
      <c r="O56" s="282">
        <f>-'Other Operating Expenses'!N1042</f>
        <v>0</v>
      </c>
      <c r="P56" s="282"/>
      <c r="Q56" s="124">
        <f t="shared" si="9"/>
        <v>91170.231520000001</v>
      </c>
      <c r="R56" s="124">
        <f t="shared" si="10"/>
        <v>10130.63137367952</v>
      </c>
      <c r="S56" s="124">
        <f t="shared" si="11"/>
        <v>6078.3193354384011</v>
      </c>
      <c r="T56" s="124">
        <f t="shared" si="6"/>
        <v>0</v>
      </c>
      <c r="U56" s="124">
        <f t="shared" si="7"/>
        <v>107379.18222911793</v>
      </c>
      <c r="V56" s="224">
        <v>170</v>
      </c>
      <c r="AC56" s="628"/>
      <c r="AD56" s="297"/>
      <c r="AE56" s="629"/>
      <c r="AF56" s="48"/>
    </row>
    <row r="57" spans="1:32" ht="15" x14ac:dyDescent="0.25">
      <c r="A57" s="123" t="s">
        <v>984</v>
      </c>
      <c r="B57" s="620"/>
      <c r="C57" s="124">
        <f>HR!Z689</f>
        <v>1817.1008076000001</v>
      </c>
      <c r="D57" s="124">
        <f>'Prof Serv'!N1546+'Prof Serv'!N1356</f>
        <v>0</v>
      </c>
      <c r="E57" s="124">
        <f>'Prof Serv'!N1168</f>
        <v>0</v>
      </c>
      <c r="F57" s="124">
        <f>Travel!P376+Travel!P564+Travel!P752+Travel!P940+Travel!P1128+Travel!P1316+Travel!P1504</f>
        <v>0</v>
      </c>
      <c r="G57" s="124">
        <f>'Other Operating Expenses'!N657</f>
        <v>450</v>
      </c>
      <c r="H57" s="124">
        <f>Supplies!N232</f>
        <v>100</v>
      </c>
      <c r="I57" s="124">
        <f>'Prof Serv'!N602+'Prof Serv'!N792+'Prof Serv'!N980+'Prof Serv'!N1736+'Prof Serv'!N1924+'Prof Serv'!N2112</f>
        <v>0</v>
      </c>
      <c r="J57" s="124">
        <f>'Prof Serv'!N414</f>
        <v>0</v>
      </c>
      <c r="K57" s="124">
        <v>0</v>
      </c>
      <c r="L57" s="124">
        <v>0</v>
      </c>
      <c r="M57" s="124">
        <f t="shared" si="8"/>
        <v>2367.1008075999998</v>
      </c>
      <c r="N57" s="282">
        <f>-'Other Operating Expenses'!N855</f>
        <v>0</v>
      </c>
      <c r="O57" s="282">
        <f>-'Other Operating Expenses'!N1043</f>
        <v>0</v>
      </c>
      <c r="P57" s="282"/>
      <c r="Q57" s="124">
        <f t="shared" si="9"/>
        <v>2367.1008075999998</v>
      </c>
      <c r="R57" s="124">
        <f t="shared" si="10"/>
        <v>284.65065861134758</v>
      </c>
      <c r="S57" s="124">
        <f t="shared" si="11"/>
        <v>157.81461084269202</v>
      </c>
      <c r="T57" s="124">
        <f t="shared" si="6"/>
        <v>0</v>
      </c>
      <c r="U57" s="124">
        <f t="shared" si="7"/>
        <v>2809.5660770540394</v>
      </c>
      <c r="V57" s="224">
        <v>170</v>
      </c>
      <c r="AC57" s="628"/>
      <c r="AD57" s="297"/>
      <c r="AE57" s="629"/>
      <c r="AF57" s="48"/>
    </row>
    <row r="58" spans="1:32" ht="15" x14ac:dyDescent="0.25">
      <c r="A58" s="123" t="s">
        <v>985</v>
      </c>
      <c r="B58" s="620"/>
      <c r="C58" s="124">
        <f>HR!Z690</f>
        <v>71474.150592000005</v>
      </c>
      <c r="D58" s="124">
        <f>'Prof Serv'!N1547+'Prof Serv'!N1357</f>
        <v>26500.16</v>
      </c>
      <c r="E58" s="124">
        <f>'Prof Serv'!N1169</f>
        <v>0</v>
      </c>
      <c r="F58" s="124">
        <f>Travel!P377+Travel!P565+Travel!P753+Travel!P941+Travel!P1129+Travel!P1317+Travel!P1505</f>
        <v>750</v>
      </c>
      <c r="G58" s="124">
        <f>'Other Operating Expenses'!N658</f>
        <v>0</v>
      </c>
      <c r="H58" s="124">
        <f>Supplies!N233</f>
        <v>0</v>
      </c>
      <c r="I58" s="124">
        <f>'Prof Serv'!N603+'Prof Serv'!N793+'Prof Serv'!N981+'Prof Serv'!N1737+'Prof Serv'!N1925+'Prof Serv'!N2113</f>
        <v>0</v>
      </c>
      <c r="J58" s="124">
        <f>'Prof Serv'!N415</f>
        <v>0</v>
      </c>
      <c r="K58" s="124">
        <v>0</v>
      </c>
      <c r="L58" s="124">
        <v>0</v>
      </c>
      <c r="M58" s="124">
        <f t="shared" si="8"/>
        <v>98724.310592000009</v>
      </c>
      <c r="N58" s="282">
        <f>-'Other Operating Expenses'!N856</f>
        <v>0</v>
      </c>
      <c r="O58" s="282">
        <f>-'Other Operating Expenses'!N1044</f>
        <v>0</v>
      </c>
      <c r="P58" s="282"/>
      <c r="Q58" s="124">
        <f t="shared" si="9"/>
        <v>98724.310592000009</v>
      </c>
      <c r="R58" s="124">
        <f t="shared" si="10"/>
        <v>11196.497164387392</v>
      </c>
      <c r="S58" s="124">
        <f t="shared" si="11"/>
        <v>6581.9497871686417</v>
      </c>
      <c r="T58" s="124">
        <f t="shared" si="6"/>
        <v>0</v>
      </c>
      <c r="U58" s="124">
        <f t="shared" si="7"/>
        <v>116502.75754355604</v>
      </c>
      <c r="V58" s="224">
        <v>170</v>
      </c>
      <c r="AC58" s="628"/>
      <c r="AD58" s="297"/>
      <c r="AE58" s="629"/>
      <c r="AF58" s="48"/>
    </row>
    <row r="59" spans="1:32" ht="15" x14ac:dyDescent="0.25">
      <c r="A59" s="123" t="s">
        <v>1005</v>
      </c>
      <c r="B59" s="620"/>
      <c r="C59" s="124">
        <f>HR!Z691</f>
        <v>0</v>
      </c>
      <c r="D59" s="124">
        <f>'Prof Serv'!N1548+'Prof Serv'!N1358</f>
        <v>0</v>
      </c>
      <c r="E59" s="124">
        <f>'Prof Serv'!N1170</f>
        <v>0</v>
      </c>
      <c r="F59" s="124">
        <f>Travel!P378+Travel!P566+Travel!P754+Travel!P942+Travel!P1130+Travel!P1318+Travel!P1506</f>
        <v>0</v>
      </c>
      <c r="G59" s="124">
        <f>'Other Operating Expenses'!N659</f>
        <v>450</v>
      </c>
      <c r="H59" s="124">
        <f>Supplies!N234</f>
        <v>0</v>
      </c>
      <c r="I59" s="124">
        <f>'Prof Serv'!N604+'Prof Serv'!N794+'Prof Serv'!N982+'Prof Serv'!N1738+'Prof Serv'!N1926+'Prof Serv'!N2114</f>
        <v>0</v>
      </c>
      <c r="J59" s="124">
        <f>'Prof Serv'!N416</f>
        <v>0</v>
      </c>
      <c r="K59" s="124">
        <v>0</v>
      </c>
      <c r="L59" s="124">
        <v>0</v>
      </c>
      <c r="M59" s="124">
        <f t="shared" si="8"/>
        <v>450</v>
      </c>
      <c r="N59" s="282">
        <f>-'Other Operating Expenses'!N857</f>
        <v>0</v>
      </c>
      <c r="O59" s="282">
        <f>-'Other Operating Expenses'!N1045</f>
        <v>0</v>
      </c>
      <c r="P59" s="282"/>
      <c r="Q59" s="124">
        <f t="shared" si="9"/>
        <v>450</v>
      </c>
      <c r="R59" s="124">
        <f t="shared" si="10"/>
        <v>0</v>
      </c>
      <c r="S59" s="124">
        <f t="shared" si="11"/>
        <v>30.001500000000007</v>
      </c>
      <c r="T59" s="124">
        <f t="shared" si="6"/>
        <v>0</v>
      </c>
      <c r="U59" s="124">
        <f t="shared" si="7"/>
        <v>480.00150000000002</v>
      </c>
      <c r="V59" s="224">
        <v>150</v>
      </c>
      <c r="AC59" s="628"/>
      <c r="AD59" s="297"/>
      <c r="AE59" s="629"/>
      <c r="AF59" s="48"/>
    </row>
    <row r="60" spans="1:32" ht="15" x14ac:dyDescent="0.25">
      <c r="A60" s="123" t="s">
        <v>1004</v>
      </c>
      <c r="B60" s="620"/>
      <c r="C60" s="124">
        <f>HR!Z692</f>
        <v>0</v>
      </c>
      <c r="D60" s="124">
        <f>'Prof Serv'!N1549+'Prof Serv'!N1359</f>
        <v>0</v>
      </c>
      <c r="E60" s="124">
        <f>'Prof Serv'!N1171</f>
        <v>0</v>
      </c>
      <c r="F60" s="124">
        <f>Travel!P379+Travel!P567+Travel!P755+Travel!P943+Travel!P1131+Travel!P1319+Travel!P1507</f>
        <v>0</v>
      </c>
      <c r="G60" s="124">
        <f>'Other Operating Expenses'!N660</f>
        <v>0</v>
      </c>
      <c r="H60" s="124">
        <f>Supplies!N235</f>
        <v>0</v>
      </c>
      <c r="I60" s="124">
        <f>'Prof Serv'!N605+'Prof Serv'!N795+'Prof Serv'!N983+'Prof Serv'!N1739+'Prof Serv'!N1927+'Prof Serv'!N2115</f>
        <v>0</v>
      </c>
      <c r="J60" s="124">
        <f>'Prof Serv'!N417</f>
        <v>0</v>
      </c>
      <c r="K60" s="124">
        <v>0</v>
      </c>
      <c r="L60" s="124">
        <v>0</v>
      </c>
      <c r="M60" s="124">
        <f t="shared" si="8"/>
        <v>0</v>
      </c>
      <c r="N60" s="282">
        <f>-'Other Operating Expenses'!N858</f>
        <v>0</v>
      </c>
      <c r="O60" s="282">
        <f>-'Other Operating Expenses'!N1046</f>
        <v>0</v>
      </c>
      <c r="P60" s="282"/>
      <c r="Q60" s="124">
        <f t="shared" si="9"/>
        <v>0</v>
      </c>
      <c r="R60" s="124">
        <f t="shared" si="10"/>
        <v>0</v>
      </c>
      <c r="S60" s="124">
        <f t="shared" si="11"/>
        <v>0</v>
      </c>
      <c r="T60" s="124">
        <f t="shared" si="6"/>
        <v>0</v>
      </c>
      <c r="U60" s="124">
        <f t="shared" si="7"/>
        <v>0</v>
      </c>
      <c r="V60" s="224">
        <v>150</v>
      </c>
      <c r="AC60" s="628"/>
      <c r="AD60" s="297"/>
      <c r="AE60" s="629"/>
      <c r="AF60" s="48"/>
    </row>
    <row r="61" spans="1:32" ht="15" x14ac:dyDescent="0.25">
      <c r="A61" s="123" t="s">
        <v>1008</v>
      </c>
      <c r="B61" s="620"/>
      <c r="C61" s="124">
        <f>HR!Z693</f>
        <v>0</v>
      </c>
      <c r="D61" s="124">
        <f>'Prof Serv'!N1550+'Prof Serv'!N1360</f>
        <v>0</v>
      </c>
      <c r="E61" s="124">
        <f>'Prof Serv'!N1172</f>
        <v>0</v>
      </c>
      <c r="F61" s="124">
        <f>Travel!P380+Travel!P568+Travel!P756+Travel!P944+Travel!P1132+Travel!P1320+Travel!P1508</f>
        <v>0</v>
      </c>
      <c r="G61" s="124">
        <f>'Other Operating Expenses'!N661</f>
        <v>0</v>
      </c>
      <c r="H61" s="124">
        <f>Supplies!N236</f>
        <v>0</v>
      </c>
      <c r="I61" s="124">
        <f>'Prof Serv'!N606+'Prof Serv'!N796+'Prof Serv'!N984+'Prof Serv'!N1740+'Prof Serv'!N1928+'Prof Serv'!N2116</f>
        <v>0</v>
      </c>
      <c r="J61" s="124">
        <f>'Prof Serv'!N418</f>
        <v>0</v>
      </c>
      <c r="K61" s="124">
        <v>0</v>
      </c>
      <c r="L61" s="124">
        <v>0</v>
      </c>
      <c r="M61" s="124">
        <f t="shared" si="8"/>
        <v>0</v>
      </c>
      <c r="N61" s="282">
        <f>-'Other Operating Expenses'!N859</f>
        <v>0</v>
      </c>
      <c r="O61" s="282">
        <f>-'Other Operating Expenses'!N1047</f>
        <v>0</v>
      </c>
      <c r="P61" s="282"/>
      <c r="Q61" s="124">
        <f t="shared" si="9"/>
        <v>0</v>
      </c>
      <c r="R61" s="124">
        <f t="shared" si="10"/>
        <v>0</v>
      </c>
      <c r="S61" s="124">
        <f t="shared" si="11"/>
        <v>0</v>
      </c>
      <c r="T61" s="124">
        <f t="shared" si="6"/>
        <v>0</v>
      </c>
      <c r="U61" s="124">
        <f t="shared" si="7"/>
        <v>0</v>
      </c>
      <c r="V61" s="224">
        <v>150</v>
      </c>
      <c r="AC61" s="628"/>
      <c r="AD61" s="297"/>
      <c r="AE61" s="629"/>
      <c r="AF61" s="48"/>
    </row>
    <row r="62" spans="1:32" ht="15" x14ac:dyDescent="0.25">
      <c r="A62" s="123" t="s">
        <v>1006</v>
      </c>
      <c r="B62" s="620"/>
      <c r="C62" s="124">
        <f>HR!Z694</f>
        <v>0</v>
      </c>
      <c r="D62" s="124">
        <f>'Prof Serv'!N1551+'Prof Serv'!N1361</f>
        <v>0</v>
      </c>
      <c r="E62" s="124">
        <f>'Prof Serv'!N1173</f>
        <v>0</v>
      </c>
      <c r="F62" s="124">
        <f>Travel!P381+Travel!P569+Travel!P757+Travel!P945+Travel!P1133+Travel!P1321+Travel!P1509</f>
        <v>0</v>
      </c>
      <c r="G62" s="124">
        <f>'Other Operating Expenses'!N662</f>
        <v>0</v>
      </c>
      <c r="H62" s="124">
        <f>Supplies!N237</f>
        <v>0</v>
      </c>
      <c r="I62" s="124">
        <f>'Prof Serv'!N607+'Prof Serv'!N797+'Prof Serv'!N985+'Prof Serv'!N1741+'Prof Serv'!N1929+'Prof Serv'!N2117</f>
        <v>0</v>
      </c>
      <c r="J62" s="124">
        <f>'Prof Serv'!N419</f>
        <v>0</v>
      </c>
      <c r="K62" s="124">
        <v>0</v>
      </c>
      <c r="L62" s="124">
        <v>0</v>
      </c>
      <c r="M62" s="124">
        <f t="shared" si="8"/>
        <v>0</v>
      </c>
      <c r="N62" s="282">
        <f>-'Other Operating Expenses'!N860</f>
        <v>0</v>
      </c>
      <c r="O62" s="282">
        <f>-'Other Operating Expenses'!N1048</f>
        <v>0</v>
      </c>
      <c r="P62" s="282"/>
      <c r="Q62" s="124">
        <f t="shared" si="9"/>
        <v>0</v>
      </c>
      <c r="R62" s="124">
        <f t="shared" si="10"/>
        <v>0</v>
      </c>
      <c r="S62" s="124">
        <f t="shared" si="11"/>
        <v>0</v>
      </c>
      <c r="T62" s="124">
        <f t="shared" si="6"/>
        <v>0</v>
      </c>
      <c r="U62" s="124">
        <f t="shared" si="7"/>
        <v>0</v>
      </c>
      <c r="V62" s="224">
        <v>150</v>
      </c>
      <c r="AC62" s="628"/>
      <c r="AD62" s="297"/>
      <c r="AE62" s="629"/>
      <c r="AF62" s="48"/>
    </row>
    <row r="63" spans="1:32" ht="15" x14ac:dyDescent="0.25">
      <c r="A63" s="123" t="s">
        <v>1034</v>
      </c>
      <c r="B63" s="620"/>
      <c r="C63" s="124">
        <f>HR!Z695</f>
        <v>1837.5594692</v>
      </c>
      <c r="D63" s="124">
        <f>'Prof Serv'!N1552+'Prof Serv'!N1362</f>
        <v>0</v>
      </c>
      <c r="E63" s="124">
        <f>'Prof Serv'!N1174</f>
        <v>0</v>
      </c>
      <c r="F63" s="124">
        <f>Travel!P382+Travel!P570+Travel!P758+Travel!P946+Travel!P1134+Travel!P1322+Travel!P1510</f>
        <v>0</v>
      </c>
      <c r="G63" s="124">
        <f>'Other Operating Expenses'!N663</f>
        <v>0</v>
      </c>
      <c r="H63" s="124">
        <f>Supplies!N238</f>
        <v>0</v>
      </c>
      <c r="I63" s="124">
        <f>'Prof Serv'!N608+'Prof Serv'!N798+'Prof Serv'!N986+'Prof Serv'!N1742+'Prof Serv'!N1930+'Prof Serv'!N2118</f>
        <v>0</v>
      </c>
      <c r="J63" s="124">
        <f>'Prof Serv'!N420</f>
        <v>0</v>
      </c>
      <c r="K63" s="124">
        <v>0</v>
      </c>
      <c r="L63" s="124">
        <v>0</v>
      </c>
      <c r="M63" s="124">
        <f t="shared" si="8"/>
        <v>1837.5594692</v>
      </c>
      <c r="N63" s="282">
        <f>-'Other Operating Expenses'!N861</f>
        <v>0</v>
      </c>
      <c r="O63" s="282">
        <f>-'Other Operating Expenses'!N1049</f>
        <v>0</v>
      </c>
      <c r="P63" s="282"/>
      <c r="Q63" s="124">
        <f t="shared" si="9"/>
        <v>1837.5594692</v>
      </c>
      <c r="R63" s="124">
        <f t="shared" si="10"/>
        <v>287.85552840964914</v>
      </c>
      <c r="S63" s="124">
        <f t="shared" si="11"/>
        <v>122.51008981156401</v>
      </c>
      <c r="T63" s="124">
        <f t="shared" si="6"/>
        <v>0</v>
      </c>
      <c r="U63" s="124">
        <f t="shared" si="7"/>
        <v>2247.925087421213</v>
      </c>
      <c r="V63" s="224">
        <v>150</v>
      </c>
      <c r="AC63" s="628"/>
      <c r="AD63" s="297"/>
      <c r="AE63" s="629"/>
      <c r="AF63" s="48"/>
    </row>
    <row r="64" spans="1:32" ht="15" x14ac:dyDescent="0.25">
      <c r="A64" s="123" t="s">
        <v>1035</v>
      </c>
      <c r="B64" s="620"/>
      <c r="C64" s="124">
        <f>HR!Z696</f>
        <v>0</v>
      </c>
      <c r="D64" s="124">
        <f>'Prof Serv'!N1553+'Prof Serv'!N1363</f>
        <v>0</v>
      </c>
      <c r="E64" s="124">
        <f>'Prof Serv'!N1175</f>
        <v>0</v>
      </c>
      <c r="F64" s="124">
        <f>Travel!P383+Travel!P571+Travel!P759+Travel!P947+Travel!P1135+Travel!P1323+Travel!P1511</f>
        <v>0</v>
      </c>
      <c r="G64" s="124">
        <f>'Other Operating Expenses'!N664</f>
        <v>0</v>
      </c>
      <c r="H64" s="124">
        <f>Supplies!N239</f>
        <v>0</v>
      </c>
      <c r="I64" s="124">
        <f>'Prof Serv'!N609+'Prof Serv'!N799+'Prof Serv'!N987+'Prof Serv'!N1743+'Prof Serv'!N1931+'Prof Serv'!N2119</f>
        <v>0</v>
      </c>
      <c r="J64" s="124">
        <f>'Prof Serv'!N421</f>
        <v>0</v>
      </c>
      <c r="K64" s="124">
        <v>0</v>
      </c>
      <c r="L64" s="124">
        <v>0</v>
      </c>
      <c r="M64" s="124">
        <f t="shared" si="8"/>
        <v>0</v>
      </c>
      <c r="N64" s="282">
        <f>-'Other Operating Expenses'!N862</f>
        <v>0</v>
      </c>
      <c r="O64" s="282">
        <f>-'Other Operating Expenses'!N1050</f>
        <v>0</v>
      </c>
      <c r="P64" s="282"/>
      <c r="Q64" s="124">
        <f t="shared" si="9"/>
        <v>0</v>
      </c>
      <c r="R64" s="124">
        <f t="shared" si="10"/>
        <v>0</v>
      </c>
      <c r="S64" s="124">
        <f t="shared" si="11"/>
        <v>0</v>
      </c>
      <c r="T64" s="124">
        <f t="shared" si="6"/>
        <v>0</v>
      </c>
      <c r="U64" s="124">
        <f t="shared" si="7"/>
        <v>0</v>
      </c>
      <c r="V64" s="224">
        <v>150</v>
      </c>
      <c r="AC64" s="628"/>
      <c r="AD64" s="297"/>
      <c r="AE64" s="629"/>
      <c r="AF64" s="48"/>
    </row>
    <row r="65" spans="1:32" ht="15" x14ac:dyDescent="0.25">
      <c r="A65" s="123" t="s">
        <v>922</v>
      </c>
      <c r="B65" s="620"/>
      <c r="C65" s="124">
        <f>HR!Z697</f>
        <v>0</v>
      </c>
      <c r="D65" s="124">
        <f>'Prof Serv'!N1554+'Prof Serv'!N1364</f>
        <v>0</v>
      </c>
      <c r="E65" s="124">
        <f>'Prof Serv'!N1176</f>
        <v>0</v>
      </c>
      <c r="F65" s="124">
        <f>Travel!P384+Travel!P572+Travel!P760+Travel!P948+Travel!P1136+Travel!P1324+Travel!P1512</f>
        <v>0</v>
      </c>
      <c r="G65" s="124">
        <f>'Other Operating Expenses'!N665</f>
        <v>0</v>
      </c>
      <c r="H65" s="124">
        <f>Supplies!N240</f>
        <v>0</v>
      </c>
      <c r="I65" s="124">
        <f>'Prof Serv'!N610+'Prof Serv'!N800+'Prof Serv'!N988+'Prof Serv'!N1744+'Prof Serv'!N1932+'Prof Serv'!N2120</f>
        <v>0</v>
      </c>
      <c r="J65" s="124">
        <f>'Prof Serv'!N422</f>
        <v>0</v>
      </c>
      <c r="K65" s="124">
        <v>0</v>
      </c>
      <c r="L65" s="124">
        <v>0</v>
      </c>
      <c r="M65" s="124">
        <f t="shared" si="8"/>
        <v>0</v>
      </c>
      <c r="N65" s="282">
        <f>-'Other Operating Expenses'!N863</f>
        <v>0</v>
      </c>
      <c r="O65" s="282">
        <f>-'Other Operating Expenses'!N1051</f>
        <v>0</v>
      </c>
      <c r="P65" s="282"/>
      <c r="Q65" s="124">
        <f t="shared" si="9"/>
        <v>0</v>
      </c>
      <c r="R65" s="124">
        <f t="shared" si="10"/>
        <v>0</v>
      </c>
      <c r="S65" s="124">
        <f t="shared" si="11"/>
        <v>0</v>
      </c>
      <c r="T65" s="124">
        <f t="shared" si="6"/>
        <v>0</v>
      </c>
      <c r="U65" s="124">
        <f t="shared" si="7"/>
        <v>0</v>
      </c>
      <c r="V65" s="224" t="s">
        <v>1524</v>
      </c>
      <c r="AC65" s="628"/>
      <c r="AD65" s="297"/>
      <c r="AE65" s="629"/>
      <c r="AF65" s="48"/>
    </row>
    <row r="66" spans="1:32" ht="15" x14ac:dyDescent="0.25">
      <c r="A66" s="123" t="s">
        <v>942</v>
      </c>
      <c r="B66" s="620"/>
      <c r="C66" s="124">
        <f>HR!Z698</f>
        <v>9187.7973460000012</v>
      </c>
      <c r="D66" s="124">
        <f>'Prof Serv'!N1555+'Prof Serv'!N1365</f>
        <v>0</v>
      </c>
      <c r="E66" s="124">
        <f>'Prof Serv'!N1177</f>
        <v>0</v>
      </c>
      <c r="F66" s="124">
        <f>Travel!P385+Travel!P573+Travel!P761+Travel!P949+Travel!P1137+Travel!P1325+Travel!P1513</f>
        <v>0</v>
      </c>
      <c r="G66" s="124">
        <f>'Other Operating Expenses'!N666</f>
        <v>0</v>
      </c>
      <c r="H66" s="124">
        <f>Supplies!N241</f>
        <v>0</v>
      </c>
      <c r="I66" s="124">
        <f>'Prof Serv'!N611+'Prof Serv'!N801+'Prof Serv'!N989+'Prof Serv'!N1745+'Prof Serv'!N1933+'Prof Serv'!N2121</f>
        <v>0</v>
      </c>
      <c r="J66" s="124">
        <f>'Prof Serv'!N423</f>
        <v>0</v>
      </c>
      <c r="K66" s="124">
        <v>0</v>
      </c>
      <c r="L66" s="124">
        <v>0</v>
      </c>
      <c r="M66" s="124">
        <f t="shared" si="8"/>
        <v>9187.7973460000012</v>
      </c>
      <c r="N66" s="282">
        <f>-'Other Operating Expenses'!N864</f>
        <v>0</v>
      </c>
      <c r="O66" s="282">
        <f>-'Other Operating Expenses'!N1052</f>
        <v>0</v>
      </c>
      <c r="P66" s="282"/>
      <c r="Q66" s="124">
        <f t="shared" si="9"/>
        <v>9187.7973460000012</v>
      </c>
      <c r="R66" s="124">
        <f t="shared" si="10"/>
        <v>1439.277642048246</v>
      </c>
      <c r="S66" s="124">
        <f t="shared" si="11"/>
        <v>612.55044905782017</v>
      </c>
      <c r="T66" s="124">
        <f t="shared" ref="T66:T102" si="12">IF(V66="n/a",0,IF(S66&lt;&gt;"",0,ROUND(SUM(Q66)*10%,2)))</f>
        <v>0</v>
      </c>
      <c r="U66" s="124">
        <f t="shared" ref="U66:U102" si="13">IF(V66="n/a",0,SUM(M66,R66,S66,T66))</f>
        <v>11239.625437106068</v>
      </c>
      <c r="V66" s="224">
        <v>180</v>
      </c>
      <c r="AC66" s="628"/>
      <c r="AD66" s="297"/>
      <c r="AE66" s="629"/>
      <c r="AF66" s="48"/>
    </row>
    <row r="67" spans="1:32" ht="15" x14ac:dyDescent="0.25">
      <c r="A67" s="123" t="s">
        <v>943</v>
      </c>
      <c r="B67" s="620"/>
      <c r="C67" s="124">
        <f>HR!Z699</f>
        <v>56533.204304319996</v>
      </c>
      <c r="D67" s="124">
        <f>'Prof Serv'!N1556+'Prof Serv'!N1366</f>
        <v>0</v>
      </c>
      <c r="E67" s="124">
        <f>'Prof Serv'!N1178</f>
        <v>0</v>
      </c>
      <c r="F67" s="124">
        <f>Travel!P386+Travel!P574+Travel!P762+Travel!P950+Travel!P1138+Travel!P1326+Travel!P1514</f>
        <v>0</v>
      </c>
      <c r="G67" s="124">
        <f>'Other Operating Expenses'!N667</f>
        <v>0</v>
      </c>
      <c r="H67" s="124">
        <f>Supplies!N242</f>
        <v>0</v>
      </c>
      <c r="I67" s="124">
        <f>'Prof Serv'!N612+'Prof Serv'!N802+'Prof Serv'!N990+'Prof Serv'!N1746+'Prof Serv'!N1934+'Prof Serv'!N2122</f>
        <v>0</v>
      </c>
      <c r="J67" s="124">
        <f>'Prof Serv'!N424</f>
        <v>0</v>
      </c>
      <c r="K67" s="124">
        <v>0</v>
      </c>
      <c r="L67" s="124">
        <v>0</v>
      </c>
      <c r="M67" s="124">
        <f t="shared" si="8"/>
        <v>56533.204304319996</v>
      </c>
      <c r="N67" s="282">
        <f>-'Other Operating Expenses'!N865</f>
        <v>0</v>
      </c>
      <c r="O67" s="282">
        <f>-'Other Operating Expenses'!N1053</f>
        <v>0</v>
      </c>
      <c r="P67" s="282"/>
      <c r="Q67" s="124">
        <f t="shared" si="9"/>
        <v>56533.204304319996</v>
      </c>
      <c r="R67" s="124">
        <f t="shared" si="10"/>
        <v>8855.9829874760308</v>
      </c>
      <c r="S67" s="124">
        <f t="shared" si="11"/>
        <v>3769.0687309690147</v>
      </c>
      <c r="T67" s="124">
        <f t="shared" si="12"/>
        <v>0</v>
      </c>
      <c r="U67" s="124">
        <f t="shared" si="13"/>
        <v>69158.256022765039</v>
      </c>
      <c r="V67" s="224">
        <v>180</v>
      </c>
      <c r="AC67" s="628"/>
      <c r="AD67" s="297"/>
      <c r="AE67" s="629"/>
      <c r="AF67" s="48"/>
    </row>
    <row r="68" spans="1:32" ht="15" x14ac:dyDescent="0.25">
      <c r="A68" s="123" t="s">
        <v>938</v>
      </c>
      <c r="B68" s="620"/>
      <c r="C68" s="124">
        <f>HR!Z700</f>
        <v>22071.172292000003</v>
      </c>
      <c r="D68" s="124">
        <f>'Prof Serv'!N1557+'Prof Serv'!N1367</f>
        <v>0</v>
      </c>
      <c r="E68" s="124">
        <f>'Prof Serv'!N1179</f>
        <v>0</v>
      </c>
      <c r="F68" s="124">
        <f>Travel!P387+Travel!P575+Travel!P763+Travel!P951+Travel!P1139+Travel!P1327+Travel!P1515</f>
        <v>0</v>
      </c>
      <c r="G68" s="124">
        <f>'Other Operating Expenses'!N668</f>
        <v>4000</v>
      </c>
      <c r="H68" s="124">
        <f>Supplies!N243</f>
        <v>500</v>
      </c>
      <c r="I68" s="124">
        <f>'Prof Serv'!N613+'Prof Serv'!N803+'Prof Serv'!N991+'Prof Serv'!N1747+'Prof Serv'!N1935+'Prof Serv'!N2123</f>
        <v>0</v>
      </c>
      <c r="J68" s="124">
        <f>'Prof Serv'!N425</f>
        <v>0</v>
      </c>
      <c r="K68" s="124">
        <v>0</v>
      </c>
      <c r="L68" s="124">
        <v>0</v>
      </c>
      <c r="M68" s="124">
        <f t="shared" si="8"/>
        <v>26571.172292000003</v>
      </c>
      <c r="N68" s="282">
        <f>-'Other Operating Expenses'!N866</f>
        <v>0</v>
      </c>
      <c r="O68" s="282">
        <f>-'Other Operating Expenses'!N1054</f>
        <v>0</v>
      </c>
      <c r="P68" s="282"/>
      <c r="Q68" s="124">
        <f t="shared" si="9"/>
        <v>26571.172292000003</v>
      </c>
      <c r="R68" s="124">
        <f t="shared" si="10"/>
        <v>3457.4712107140922</v>
      </c>
      <c r="S68" s="124">
        <f t="shared" si="11"/>
        <v>1771.5000567076404</v>
      </c>
      <c r="T68" s="124">
        <f t="shared" si="12"/>
        <v>0</v>
      </c>
      <c r="U68" s="124">
        <f t="shared" si="13"/>
        <v>31800.143559421733</v>
      </c>
      <c r="V68" s="224">
        <v>170</v>
      </c>
      <c r="AC68" s="628"/>
      <c r="AD68" s="297"/>
      <c r="AE68" s="629"/>
      <c r="AF68" s="48"/>
    </row>
    <row r="69" spans="1:32" s="236" customFormat="1" ht="15" x14ac:dyDescent="0.25">
      <c r="A69" s="123" t="s">
        <v>939</v>
      </c>
      <c r="B69" s="620"/>
      <c r="C69" s="124">
        <f>HR!Z701</f>
        <v>156999.33516799999</v>
      </c>
      <c r="D69" s="124"/>
      <c r="E69" s="124"/>
      <c r="F69" s="124"/>
      <c r="G69" s="124"/>
      <c r="H69" s="124"/>
      <c r="I69" s="124"/>
      <c r="J69" s="124"/>
      <c r="K69" s="124"/>
      <c r="L69" s="124"/>
      <c r="M69" s="124">
        <f t="shared" si="8"/>
        <v>156999.33516799999</v>
      </c>
      <c r="N69" s="282"/>
      <c r="O69" s="282"/>
      <c r="P69" s="282"/>
      <c r="Q69" s="124">
        <f t="shared" si="9"/>
        <v>156999.33516799999</v>
      </c>
      <c r="R69" s="124">
        <f t="shared" si="10"/>
        <v>24594.102853402364</v>
      </c>
      <c r="S69" s="124">
        <f t="shared" si="11"/>
        <v>10467.145675650561</v>
      </c>
      <c r="T69" s="124"/>
      <c r="U69" s="124">
        <f t="shared" si="13"/>
        <v>192060.58369705291</v>
      </c>
      <c r="V69" s="224"/>
      <c r="AC69" s="628"/>
      <c r="AD69" s="297"/>
      <c r="AE69" s="629"/>
      <c r="AF69" s="48"/>
    </row>
    <row r="70" spans="1:32" ht="15" x14ac:dyDescent="0.25">
      <c r="A70" s="738" t="s">
        <v>1602</v>
      </c>
      <c r="B70" s="620"/>
      <c r="C70" s="124">
        <f>HR!Z702</f>
        <v>8550.2227199999998</v>
      </c>
      <c r="D70" s="124">
        <f>'Prof Serv'!N1558+'Prof Serv'!N1368</f>
        <v>188500.16</v>
      </c>
      <c r="E70" s="124">
        <f>'Prof Serv'!N1180</f>
        <v>0</v>
      </c>
      <c r="F70" s="124">
        <f>Travel!P388+Travel!P576+Travel!P764+Travel!P952+Travel!P1140+Travel!P1328+Travel!P1516</f>
        <v>4000</v>
      </c>
      <c r="G70" s="124">
        <f>'Other Operating Expenses'!N669</f>
        <v>0</v>
      </c>
      <c r="H70" s="124">
        <f>Supplies!N244</f>
        <v>0</v>
      </c>
      <c r="I70" s="124">
        <f>'Prof Serv'!N614+'Prof Serv'!N804+'Prof Serv'!N992+'Prof Serv'!N1748+'Prof Serv'!N1936+'Prof Serv'!N2124</f>
        <v>50</v>
      </c>
      <c r="J70" s="124">
        <f>'Prof Serv'!N426</f>
        <v>0</v>
      </c>
      <c r="K70" s="124">
        <v>0</v>
      </c>
      <c r="L70" s="124">
        <v>0</v>
      </c>
      <c r="M70" s="124">
        <f t="shared" si="8"/>
        <v>201100.38271999999</v>
      </c>
      <c r="N70" s="282">
        <f>-'Other Operating Expenses'!N867</f>
        <v>0</v>
      </c>
      <c r="O70" s="282">
        <f>-'Other Operating Expenses'!N1055</f>
        <v>0</v>
      </c>
      <c r="P70" s="282"/>
      <c r="Q70" s="124">
        <f t="shared" si="9"/>
        <v>201100.38271999999</v>
      </c>
      <c r="R70" s="124">
        <f t="shared" si="10"/>
        <v>1339.4009393107199</v>
      </c>
      <c r="S70" s="124">
        <f t="shared" si="11"/>
        <v>13407.362515942401</v>
      </c>
      <c r="T70" s="124">
        <f t="shared" si="12"/>
        <v>0</v>
      </c>
      <c r="U70" s="124">
        <f t="shared" si="13"/>
        <v>215847.14617525312</v>
      </c>
      <c r="V70" s="224">
        <v>170</v>
      </c>
      <c r="AC70" s="628"/>
      <c r="AD70" s="297"/>
      <c r="AE70" s="629"/>
      <c r="AF70" s="48"/>
    </row>
    <row r="71" spans="1:32" ht="15" x14ac:dyDescent="0.25">
      <c r="A71" s="123" t="s">
        <v>934</v>
      </c>
      <c r="B71" s="620"/>
      <c r="C71" s="124">
        <f>HR!Z703</f>
        <v>43090.242338000004</v>
      </c>
      <c r="D71" s="124">
        <f>'Prof Serv'!N1559+'Prof Serv'!N1369</f>
        <v>4000</v>
      </c>
      <c r="E71" s="124">
        <f>'Prof Serv'!N1181</f>
        <v>0</v>
      </c>
      <c r="F71" s="124">
        <f>Travel!P389+Travel!P577+Travel!P765+Travel!P953+Travel!P1141+Travel!P1329+Travel!P1517</f>
        <v>1750</v>
      </c>
      <c r="G71" s="124">
        <f>'Other Operating Expenses'!N670</f>
        <v>8793.01</v>
      </c>
      <c r="H71" s="124">
        <f>Supplies!N245</f>
        <v>0</v>
      </c>
      <c r="I71" s="124">
        <f>'Prof Serv'!N615+'Prof Serv'!N805+'Prof Serv'!N993+'Prof Serv'!N1749+'Prof Serv'!N1937+'Prof Serv'!N2125</f>
        <v>0</v>
      </c>
      <c r="J71" s="124">
        <f>'Prof Serv'!N427</f>
        <v>0</v>
      </c>
      <c r="K71" s="124">
        <v>0</v>
      </c>
      <c r="L71" s="124">
        <v>0</v>
      </c>
      <c r="M71" s="124">
        <f t="shared" si="8"/>
        <v>57633.252338000006</v>
      </c>
      <c r="N71" s="282">
        <f>-'Other Operating Expenses'!N868</f>
        <v>0</v>
      </c>
      <c r="O71" s="282">
        <f>-'Other Operating Expenses'!N1056</f>
        <v>0</v>
      </c>
      <c r="P71" s="282"/>
      <c r="Q71" s="124">
        <f t="shared" si="9"/>
        <v>57633.252338000006</v>
      </c>
      <c r="R71" s="124">
        <f t="shared" si="10"/>
        <v>6750.1295524900379</v>
      </c>
      <c r="S71" s="124">
        <f t="shared" si="11"/>
        <v>3842.4089333744614</v>
      </c>
      <c r="T71" s="124">
        <f t="shared" si="12"/>
        <v>0</v>
      </c>
      <c r="U71" s="124">
        <f t="shared" si="13"/>
        <v>68225.790823864503</v>
      </c>
      <c r="V71" s="224">
        <v>180</v>
      </c>
      <c r="AC71" s="628"/>
      <c r="AD71" s="297"/>
      <c r="AE71" s="629"/>
      <c r="AF71" s="48"/>
    </row>
    <row r="72" spans="1:32" ht="15" x14ac:dyDescent="0.25">
      <c r="A72" s="123" t="s">
        <v>935</v>
      </c>
      <c r="B72" s="620"/>
      <c r="C72" s="124">
        <f>HR!Z704</f>
        <v>35200.936576000007</v>
      </c>
      <c r="D72" s="124">
        <f>'Prof Serv'!N1560+'Prof Serv'!N1370</f>
        <v>0</v>
      </c>
      <c r="E72" s="124">
        <f>'Prof Serv'!N1182</f>
        <v>0</v>
      </c>
      <c r="F72" s="124">
        <f>Travel!P390+Travel!P578+Travel!P766+Travel!P954+Travel!P1142+Travel!P1330+Travel!P1518</f>
        <v>0</v>
      </c>
      <c r="G72" s="124">
        <f>'Other Operating Expenses'!N671</f>
        <v>0</v>
      </c>
      <c r="H72" s="124">
        <f>Supplies!N246</f>
        <v>0</v>
      </c>
      <c r="I72" s="124">
        <f>'Prof Serv'!N616+'Prof Serv'!N806+'Prof Serv'!N994+'Prof Serv'!N1750+'Prof Serv'!N1938+'Prof Serv'!N2126</f>
        <v>0</v>
      </c>
      <c r="J72" s="124">
        <f>'Prof Serv'!N428</f>
        <v>0</v>
      </c>
      <c r="K72" s="124">
        <v>0</v>
      </c>
      <c r="L72" s="124">
        <v>0</v>
      </c>
      <c r="M72" s="124">
        <f t="shared" si="8"/>
        <v>35200.936576000007</v>
      </c>
      <c r="N72" s="282">
        <f>-'Other Operating Expenses'!N869</f>
        <v>0</v>
      </c>
      <c r="O72" s="282">
        <f>-'Other Operating Expenses'!N1057</f>
        <v>0</v>
      </c>
      <c r="P72" s="282"/>
      <c r="Q72" s="124">
        <f t="shared" si="9"/>
        <v>35200.936576000007</v>
      </c>
      <c r="R72" s="124">
        <f t="shared" si="10"/>
        <v>5514.2619155669772</v>
      </c>
      <c r="S72" s="124">
        <f t="shared" si="11"/>
        <v>2346.846441521921</v>
      </c>
      <c r="T72" s="124">
        <f t="shared" si="12"/>
        <v>0</v>
      </c>
      <c r="U72" s="124">
        <f t="shared" si="13"/>
        <v>43062.044933088902</v>
      </c>
      <c r="V72" s="224">
        <v>180</v>
      </c>
      <c r="AC72" s="628"/>
      <c r="AD72" s="297"/>
      <c r="AE72" s="630"/>
      <c r="AF72" s="48"/>
    </row>
    <row r="73" spans="1:32" s="236" customFormat="1" ht="15" x14ac:dyDescent="0.25">
      <c r="A73" s="123" t="s">
        <v>1663</v>
      </c>
      <c r="B73" s="620"/>
      <c r="C73" s="124">
        <f>HR!Z705</f>
        <v>4171.5232000000005</v>
      </c>
      <c r="D73" s="124">
        <f>'Prof Serv'!N1563+'Prof Serv'!N1373</f>
        <v>0</v>
      </c>
      <c r="E73" s="124">
        <f>'Prof Serv'!N1183</f>
        <v>0</v>
      </c>
      <c r="F73" s="124">
        <f>Travel!P391+Travel!P579+Travel!P767+Travel!P955+Travel!P1143+Travel!P1331+Travel!P1519</f>
        <v>0</v>
      </c>
      <c r="G73" s="124">
        <f>'Other Operating Expenses'!N672</f>
        <v>11090.01</v>
      </c>
      <c r="H73" s="124">
        <f>Supplies!N247</f>
        <v>0</v>
      </c>
      <c r="I73" s="124">
        <f>'Prof Serv'!N619+'Prof Serv'!N807+'Prof Serv'!N995+'Prof Serv'!N1751+'Prof Serv'!N1939+'Prof Serv'!N2127</f>
        <v>0</v>
      </c>
      <c r="J73" s="124">
        <f>'Prof Serv'!N429</f>
        <v>0</v>
      </c>
      <c r="K73" s="124">
        <v>0</v>
      </c>
      <c r="L73" s="124">
        <v>0</v>
      </c>
      <c r="M73" s="124">
        <f t="shared" ref="M73:M74" si="14">SUM(C73:L73)</f>
        <v>15261.533200000002</v>
      </c>
      <c r="N73" s="282">
        <f>-'Other Operating Expenses'!N870</f>
        <v>0</v>
      </c>
      <c r="O73" s="282">
        <f>-'Other Operating Expenses'!N1060</f>
        <v>0</v>
      </c>
      <c r="P73" s="282"/>
      <c r="Q73" s="124">
        <f t="shared" ref="Q73:Q74" si="15">SUM(M73:P73)</f>
        <v>15261.533200000002</v>
      </c>
      <c r="R73" s="124">
        <f t="shared" ref="R73:R74" si="16">IF(V73&lt;&gt;"n/a",C73*33.33%*47%,0)</f>
        <v>653.47328080319994</v>
      </c>
      <c r="S73" s="124">
        <f t="shared" ref="S73:S74" si="17">IF(V73&lt;&gt;"n/a",Q73*66.67%*10%,0)</f>
        <v>1017.4864184440003</v>
      </c>
      <c r="T73" s="124">
        <f t="shared" ref="T73:T74" si="18">IF(V73="n/a",0,IF(S73&lt;&gt;"",0,ROUND(SUM(Q73)*10%,2)))</f>
        <v>0</v>
      </c>
      <c r="U73" s="124">
        <f t="shared" ref="U73:U74" si="19">IF(V73="n/a",0,SUM(M73,R73,S73,T73))</f>
        <v>16932.492899247201</v>
      </c>
      <c r="V73" s="224"/>
      <c r="AC73" s="628"/>
      <c r="AD73" s="297"/>
      <c r="AE73" s="630"/>
      <c r="AF73" s="48"/>
    </row>
    <row r="74" spans="1:32" s="236" customFormat="1" ht="15" x14ac:dyDescent="0.25">
      <c r="A74" s="123" t="s">
        <v>1661</v>
      </c>
      <c r="B74" s="620"/>
      <c r="C74" s="124">
        <f>HR!Z706</f>
        <v>65476.132958080001</v>
      </c>
      <c r="D74" s="124">
        <f>'Prof Serv'!N1564+'Prof Serv'!N1372</f>
        <v>10000</v>
      </c>
      <c r="E74" s="124">
        <f>'Prof Serv'!N1184</f>
        <v>0</v>
      </c>
      <c r="F74" s="124">
        <f>Travel!P392+Travel!P580+Travel!P768+Travel!P956+Travel!P1144+Travel!P1332+Travel!P1520</f>
        <v>0</v>
      </c>
      <c r="G74" s="124">
        <f>'Other Operating Expenses'!N673</f>
        <v>0</v>
      </c>
      <c r="H74" s="124">
        <f>Supplies!N248</f>
        <v>0</v>
      </c>
      <c r="I74" s="124">
        <f>'Prof Serv'!N618+'Prof Serv'!N808+'Prof Serv'!N996+'Prof Serv'!N1752+'Prof Serv'!N1940+'Prof Serv'!N2128</f>
        <v>150</v>
      </c>
      <c r="J74" s="124">
        <f>'Prof Serv'!N430</f>
        <v>0</v>
      </c>
      <c r="K74" s="124">
        <v>0</v>
      </c>
      <c r="L74" s="124">
        <v>0</v>
      </c>
      <c r="M74" s="124">
        <f t="shared" si="14"/>
        <v>75626.132958080008</v>
      </c>
      <c r="N74" s="282">
        <f>-'Other Operating Expenses'!N871</f>
        <v>0</v>
      </c>
      <c r="O74" s="282">
        <f>-'Other Operating Expenses'!N1061</f>
        <v>0</v>
      </c>
      <c r="P74" s="282"/>
      <c r="Q74" s="124">
        <f t="shared" si="15"/>
        <v>75626.132958080008</v>
      </c>
      <c r="R74" s="124">
        <f t="shared" si="16"/>
        <v>10256.901704016191</v>
      </c>
      <c r="S74" s="124">
        <f t="shared" si="17"/>
        <v>5041.9942843151948</v>
      </c>
      <c r="T74" s="124">
        <f t="shared" si="18"/>
        <v>0</v>
      </c>
      <c r="U74" s="124">
        <f t="shared" si="19"/>
        <v>90925.028946411388</v>
      </c>
      <c r="V74" s="224"/>
      <c r="AC74" s="628"/>
      <c r="AD74" s="297"/>
      <c r="AE74" s="630"/>
      <c r="AF74" s="48"/>
    </row>
    <row r="75" spans="1:32" ht="15" x14ac:dyDescent="0.25">
      <c r="A75" s="123" t="s">
        <v>953</v>
      </c>
      <c r="B75" s="620"/>
      <c r="C75" s="124">
        <f>HR!Z707</f>
        <v>1211.4005384</v>
      </c>
      <c r="D75" s="124">
        <f>'Prof Serv'!N1563+'Prof Serv'!N1373</f>
        <v>0</v>
      </c>
      <c r="E75" s="124">
        <f>'Prof Serv'!N1185</f>
        <v>0</v>
      </c>
      <c r="F75" s="124">
        <f>Travel!P393+Travel!P581+Travel!P769+Travel!P957+Travel!P1145+Travel!P1333+Travel!P1521</f>
        <v>0</v>
      </c>
      <c r="G75" s="124">
        <f>'Other Operating Expenses'!N674</f>
        <v>18288</v>
      </c>
      <c r="H75" s="124">
        <f>Supplies!N249</f>
        <v>0</v>
      </c>
      <c r="I75" s="124">
        <f>'Prof Serv'!N619+'Prof Serv'!N807+'Prof Serv'!N995+'Prof Serv'!N1751+'Prof Serv'!N1939+'Prof Serv'!N2127</f>
        <v>0</v>
      </c>
      <c r="J75" s="124">
        <f>'Prof Serv'!N429</f>
        <v>0</v>
      </c>
      <c r="K75" s="124">
        <v>0</v>
      </c>
      <c r="L75" s="124">
        <v>0</v>
      </c>
      <c r="M75" s="124">
        <f t="shared" si="8"/>
        <v>19499.400538400001</v>
      </c>
      <c r="N75" s="282">
        <f>-'Other Operating Expenses'!N870</f>
        <v>0</v>
      </c>
      <c r="O75" s="282">
        <f>-'Other Operating Expenses'!N1060</f>
        <v>0</v>
      </c>
      <c r="P75" s="282"/>
      <c r="Q75" s="124">
        <f t="shared" si="9"/>
        <v>19499.400538400001</v>
      </c>
      <c r="R75" s="124">
        <f t="shared" si="10"/>
        <v>189.76710574089836</v>
      </c>
      <c r="S75" s="124">
        <f t="shared" si="11"/>
        <v>1300.0250338951282</v>
      </c>
      <c r="T75" s="124">
        <f t="shared" si="12"/>
        <v>0</v>
      </c>
      <c r="U75" s="124">
        <f t="shared" si="13"/>
        <v>20989.19267803603</v>
      </c>
      <c r="V75" s="224">
        <v>150</v>
      </c>
      <c r="AC75" s="628"/>
      <c r="AD75" s="297"/>
      <c r="AE75" s="630"/>
      <c r="AF75" s="48"/>
    </row>
    <row r="76" spans="1:32" ht="15" x14ac:dyDescent="0.25">
      <c r="A76" s="123" t="s">
        <v>924</v>
      </c>
      <c r="B76" s="620"/>
      <c r="C76" s="124">
        <f>HR!Z708</f>
        <v>31108.609279999997</v>
      </c>
      <c r="D76" s="124">
        <f>'Prof Serv'!N1564+'Prof Serv'!N1374</f>
        <v>0</v>
      </c>
      <c r="E76" s="124">
        <f>'Prof Serv'!N1186</f>
        <v>0</v>
      </c>
      <c r="F76" s="124">
        <f>Travel!P394+Travel!P582+Travel!P770+Travel!P958+Travel!P1146+Travel!P1334+Travel!P1522</f>
        <v>0</v>
      </c>
      <c r="G76" s="124">
        <f>'Other Operating Expenses'!N675</f>
        <v>0</v>
      </c>
      <c r="H76" s="124">
        <f>Supplies!N250</f>
        <v>0</v>
      </c>
      <c r="I76" s="124">
        <f>'Prof Serv'!N620+'Prof Serv'!N808+'Prof Serv'!N996+'Prof Serv'!N1752+'Prof Serv'!N1940+'Prof Serv'!N2128</f>
        <v>0</v>
      </c>
      <c r="J76" s="124">
        <f>'Prof Serv'!N430</f>
        <v>0</v>
      </c>
      <c r="K76" s="124">
        <v>0</v>
      </c>
      <c r="L76" s="124">
        <v>0</v>
      </c>
      <c r="M76" s="124">
        <f t="shared" si="8"/>
        <v>31108.609279999997</v>
      </c>
      <c r="N76" s="282">
        <f>-'Other Operating Expenses'!N871</f>
        <v>0</v>
      </c>
      <c r="O76" s="282">
        <f>-'Other Operating Expenses'!N1061</f>
        <v>0</v>
      </c>
      <c r="P76" s="282"/>
      <c r="Q76" s="124">
        <f t="shared" si="9"/>
        <v>31108.609279999997</v>
      </c>
      <c r="R76" s="124">
        <f t="shared" si="10"/>
        <v>4873.1947523212784</v>
      </c>
      <c r="S76" s="124">
        <f t="shared" si="11"/>
        <v>2074.0109806976002</v>
      </c>
      <c r="T76" s="124">
        <f t="shared" si="12"/>
        <v>0</v>
      </c>
      <c r="U76" s="124">
        <f t="shared" si="13"/>
        <v>38055.815013018881</v>
      </c>
      <c r="V76" s="224">
        <v>150</v>
      </c>
      <c r="AC76" s="628"/>
      <c r="AD76" s="297"/>
      <c r="AE76" s="629"/>
      <c r="AF76" s="48"/>
    </row>
    <row r="77" spans="1:32" ht="15" x14ac:dyDescent="0.25">
      <c r="A77" s="123" t="s">
        <v>927</v>
      </c>
      <c r="B77" s="620"/>
      <c r="C77" s="124">
        <f>HR!Z709</f>
        <v>12639.155360000001</v>
      </c>
      <c r="D77" s="124">
        <f>'Prof Serv'!N1565+'Prof Serv'!N1375</f>
        <v>0</v>
      </c>
      <c r="E77" s="124">
        <f>'Prof Serv'!N1187</f>
        <v>0</v>
      </c>
      <c r="F77" s="124">
        <f>Travel!P393+Travel!P581+Travel!P769+Travel!P957+Travel!P1145+Travel!P1333+Travel!P1521</f>
        <v>0</v>
      </c>
      <c r="G77" s="124">
        <f>'Other Operating Expenses'!N676</f>
        <v>0</v>
      </c>
      <c r="H77" s="124">
        <f>Supplies!N251</f>
        <v>0</v>
      </c>
      <c r="I77" s="124">
        <f>'Prof Serv'!N621+'Prof Serv'!N809+'Prof Serv'!N997+'Prof Serv'!N1753+'Prof Serv'!N1941+'Prof Serv'!N2129</f>
        <v>0</v>
      </c>
      <c r="J77" s="124">
        <f>'Prof Serv'!N431</f>
        <v>0</v>
      </c>
      <c r="K77" s="124">
        <v>0</v>
      </c>
      <c r="L77" s="124">
        <v>0</v>
      </c>
      <c r="M77" s="124">
        <f t="shared" si="8"/>
        <v>12639.155360000001</v>
      </c>
      <c r="N77" s="282">
        <f>-'Other Operating Expenses'!N872</f>
        <v>0</v>
      </c>
      <c r="O77" s="282">
        <f>-'Other Operating Expenses'!N1062</f>
        <v>0</v>
      </c>
      <c r="P77" s="282"/>
      <c r="Q77" s="124">
        <f t="shared" si="9"/>
        <v>12639.155360000001</v>
      </c>
      <c r="R77" s="124">
        <f t="shared" si="10"/>
        <v>1979.9363262993602</v>
      </c>
      <c r="S77" s="124">
        <f t="shared" si="11"/>
        <v>842.65248785120025</v>
      </c>
      <c r="T77" s="124">
        <f t="shared" si="12"/>
        <v>0</v>
      </c>
      <c r="U77" s="124">
        <f t="shared" si="13"/>
        <v>15461.744174150563</v>
      </c>
      <c r="V77" s="224">
        <v>150</v>
      </c>
      <c r="AA77" s="2"/>
      <c r="AC77" s="628"/>
      <c r="AD77" s="297"/>
      <c r="AE77" s="629"/>
      <c r="AF77" s="48"/>
    </row>
    <row r="78" spans="1:32" ht="15" x14ac:dyDescent="0.25">
      <c r="A78" s="123" t="s">
        <v>951</v>
      </c>
      <c r="B78" s="620"/>
      <c r="C78" s="124">
        <f>HR!Z710</f>
        <v>5512.6784075999994</v>
      </c>
      <c r="D78" s="124">
        <f>'Prof Serv'!N1566+'Prof Serv'!N1376</f>
        <v>0</v>
      </c>
      <c r="E78" s="124">
        <f>'Prof Serv'!N1188</f>
        <v>0</v>
      </c>
      <c r="F78" s="124">
        <f>Travel!P394+Travel!P582+Travel!P770+Travel!P958+Travel!P1146+Travel!P1334+Travel!P1522</f>
        <v>0</v>
      </c>
      <c r="G78" s="124">
        <f>'Other Operating Expenses'!N677</f>
        <v>0</v>
      </c>
      <c r="H78" s="124">
        <f>Supplies!N252</f>
        <v>0</v>
      </c>
      <c r="I78" s="124">
        <f>'Prof Serv'!N622+'Prof Serv'!N810+'Prof Serv'!N998+'Prof Serv'!N1754+'Prof Serv'!N1942+'Prof Serv'!N2130</f>
        <v>0</v>
      </c>
      <c r="J78" s="124">
        <f>'Prof Serv'!N432</f>
        <v>0</v>
      </c>
      <c r="K78" s="124">
        <v>0</v>
      </c>
      <c r="L78" s="124">
        <v>0</v>
      </c>
      <c r="M78" s="124">
        <f t="shared" si="8"/>
        <v>5512.6784075999994</v>
      </c>
      <c r="N78" s="282">
        <f>-'Other Operating Expenses'!N873</f>
        <v>0</v>
      </c>
      <c r="O78" s="282">
        <f>-'Other Operating Expenses'!N1063</f>
        <v>0</v>
      </c>
      <c r="P78" s="282"/>
      <c r="Q78" s="124">
        <f t="shared" si="9"/>
        <v>5512.6784075999994</v>
      </c>
      <c r="R78" s="124">
        <f t="shared" si="10"/>
        <v>863.56658522894747</v>
      </c>
      <c r="S78" s="124">
        <f t="shared" si="11"/>
        <v>367.530269434692</v>
      </c>
      <c r="T78" s="124">
        <f t="shared" si="12"/>
        <v>0</v>
      </c>
      <c r="U78" s="124">
        <f t="shared" si="13"/>
        <v>6743.775262263639</v>
      </c>
      <c r="V78" s="224">
        <v>150</v>
      </c>
      <c r="AC78" s="628"/>
      <c r="AD78" s="297"/>
      <c r="AE78" s="628"/>
      <c r="AF78" s="48"/>
    </row>
    <row r="79" spans="1:32" ht="15" x14ac:dyDescent="0.25">
      <c r="A79" s="123" t="s">
        <v>1055</v>
      </c>
      <c r="B79" s="620"/>
      <c r="C79" s="124">
        <f>HR!Z711</f>
        <v>9187.7973460000012</v>
      </c>
      <c r="D79" s="124">
        <f>'Prof Serv'!N1567+'Prof Serv'!N1377</f>
        <v>0</v>
      </c>
      <c r="E79" s="124">
        <f>'Prof Serv'!N1189</f>
        <v>0</v>
      </c>
      <c r="F79" s="124">
        <f>Travel!P395+Travel!P583+Travel!P771+Travel!P959+Travel!P1147+Travel!P1335+Travel!P1523</f>
        <v>0</v>
      </c>
      <c r="G79" s="124">
        <f>'Other Operating Expenses'!N678</f>
        <v>618</v>
      </c>
      <c r="H79" s="124">
        <f>Supplies!N253</f>
        <v>0</v>
      </c>
      <c r="I79" s="124">
        <f>'Prof Serv'!N623+'Prof Serv'!N811+'Prof Serv'!N999+'Prof Serv'!N1755+'Prof Serv'!N1943+'Prof Serv'!N2131</f>
        <v>0</v>
      </c>
      <c r="J79" s="124">
        <f>'Prof Serv'!N433</f>
        <v>0</v>
      </c>
      <c r="K79" s="124">
        <v>0</v>
      </c>
      <c r="L79" s="124">
        <v>0</v>
      </c>
      <c r="M79" s="124">
        <f t="shared" si="8"/>
        <v>9805.7973460000012</v>
      </c>
      <c r="N79" s="282">
        <f>-'Other Operating Expenses'!N874</f>
        <v>0</v>
      </c>
      <c r="O79" s="282">
        <f>-'Other Operating Expenses'!N1064</f>
        <v>0</v>
      </c>
      <c r="P79" s="282"/>
      <c r="Q79" s="124">
        <f t="shared" si="9"/>
        <v>9805.7973460000012</v>
      </c>
      <c r="R79" s="124">
        <f t="shared" si="10"/>
        <v>1439.277642048246</v>
      </c>
      <c r="S79" s="124">
        <f t="shared" si="11"/>
        <v>653.75250905782013</v>
      </c>
      <c r="T79" s="124">
        <f t="shared" si="12"/>
        <v>0</v>
      </c>
      <c r="U79" s="124">
        <f t="shared" si="13"/>
        <v>11898.827497106067</v>
      </c>
      <c r="V79" s="224">
        <v>110</v>
      </c>
      <c r="AC79" s="628"/>
      <c r="AD79" s="297"/>
      <c r="AE79" s="628"/>
      <c r="AF79" s="48"/>
    </row>
    <row r="80" spans="1:32" s="236" customFormat="1" ht="15" x14ac:dyDescent="0.25">
      <c r="A80" s="123" t="s">
        <v>1474</v>
      </c>
      <c r="B80" s="620"/>
      <c r="C80" s="124">
        <f>HR!Z712</f>
        <v>173882.07670400004</v>
      </c>
      <c r="D80" s="124">
        <f>'Prof Serv'!N1568+'Prof Serv'!N1378</f>
        <v>0</v>
      </c>
      <c r="E80" s="124">
        <f>'Prof Serv'!N1188</f>
        <v>0</v>
      </c>
      <c r="F80" s="124">
        <f>Travel!P396+Travel!P584+Travel!P772+Travel!P960+Travel!P1148+Travel!P1336+Travel!P1524</f>
        <v>0</v>
      </c>
      <c r="G80" s="124">
        <f>'Other Operating Expenses'!N679</f>
        <v>0</v>
      </c>
      <c r="H80" s="124">
        <f>Supplies!N254</f>
        <v>500</v>
      </c>
      <c r="I80" s="124">
        <f>'Prof Serv'!N624+'Prof Serv'!N812+'Prof Serv'!N1000+'Prof Serv'!N1756+'Prof Serv'!N1944+'Prof Serv'!N2132</f>
        <v>0</v>
      </c>
      <c r="J80" s="124">
        <f>'Prof Serv'!N434</f>
        <v>0</v>
      </c>
      <c r="K80" s="124">
        <v>0</v>
      </c>
      <c r="L80" s="124">
        <v>0</v>
      </c>
      <c r="M80" s="124">
        <f t="shared" ref="M80" si="20">SUM(C80:L80)</f>
        <v>174382.07670400004</v>
      </c>
      <c r="N80" s="282">
        <f>-'Other Operating Expenses'!N875</f>
        <v>0</v>
      </c>
      <c r="O80" s="282">
        <f>-'Other Operating Expenses'!N1065</f>
        <v>0</v>
      </c>
      <c r="P80" s="282"/>
      <c r="Q80" s="124">
        <f t="shared" ref="Q80" si="21">SUM(M80:P80)</f>
        <v>174382.07670400004</v>
      </c>
      <c r="R80" s="124">
        <f t="shared" ref="R80" si="22">IF(V80&lt;&gt;"n/a",C80*33.33%*47%,0)</f>
        <v>27238.801197758305</v>
      </c>
      <c r="S80" s="124">
        <f t="shared" si="11"/>
        <v>11626.053053855685</v>
      </c>
      <c r="T80" s="124"/>
      <c r="U80" s="124">
        <f t="shared" si="13"/>
        <v>213246.93095561402</v>
      </c>
      <c r="V80" s="224">
        <v>110</v>
      </c>
      <c r="AC80" s="628"/>
      <c r="AD80" s="297"/>
      <c r="AE80" s="628"/>
      <c r="AF80" s="48"/>
    </row>
    <row r="81" spans="1:32" s="236" customFormat="1" ht="15" x14ac:dyDescent="0.25">
      <c r="A81" s="406" t="s">
        <v>940</v>
      </c>
      <c r="B81" s="620"/>
      <c r="C81" s="124">
        <f>HR!Z713</f>
        <v>9187.7973460000012</v>
      </c>
      <c r="D81" s="124">
        <f>'Prof Serv'!N1568+'Prof Serv'!N1378</f>
        <v>0</v>
      </c>
      <c r="E81" s="124">
        <f>'Prof Serv'!N1188</f>
        <v>0</v>
      </c>
      <c r="F81" s="124">
        <f>Travel!P396+Travel!P584+Travel!P772+Travel!P960+Travel!P1148+Travel!P1336+Travel!P1524</f>
        <v>0</v>
      </c>
      <c r="G81" s="124">
        <f>'Other Operating Expenses'!N680</f>
        <v>0</v>
      </c>
      <c r="H81" s="124">
        <f>Supplies!N255</f>
        <v>0</v>
      </c>
      <c r="I81" s="124">
        <f>'Prof Serv'!N624+'Prof Serv'!N812+'Prof Serv'!N1000+'Prof Serv'!N1756+'Prof Serv'!N1944+'Prof Serv'!N2132</f>
        <v>0</v>
      </c>
      <c r="J81" s="124">
        <f>'Prof Serv'!N434</f>
        <v>0</v>
      </c>
      <c r="K81" s="124">
        <v>0</v>
      </c>
      <c r="L81" s="124">
        <v>0</v>
      </c>
      <c r="M81" s="124">
        <f t="shared" si="8"/>
        <v>9187.7973460000012</v>
      </c>
      <c r="N81" s="282">
        <f>-'Other Operating Expenses'!N875</f>
        <v>0</v>
      </c>
      <c r="O81" s="282">
        <f>-'Other Operating Expenses'!N1065</f>
        <v>0</v>
      </c>
      <c r="P81" s="282"/>
      <c r="Q81" s="124">
        <f t="shared" si="9"/>
        <v>9187.7973460000012</v>
      </c>
      <c r="R81" s="124">
        <f t="shared" si="10"/>
        <v>1439.277642048246</v>
      </c>
      <c r="S81" s="124">
        <f t="shared" si="11"/>
        <v>612.55044905782017</v>
      </c>
      <c r="T81" s="124">
        <f t="shared" si="12"/>
        <v>0</v>
      </c>
      <c r="U81" s="124">
        <f t="shared" si="13"/>
        <v>11239.625437106068</v>
      </c>
      <c r="V81" s="224">
        <v>180</v>
      </c>
      <c r="AC81" s="628"/>
      <c r="AD81" s="297"/>
      <c r="AE81" s="629"/>
      <c r="AF81" s="48"/>
    </row>
    <row r="82" spans="1:32" ht="15" x14ac:dyDescent="0.25">
      <c r="A82" s="123" t="s">
        <v>941</v>
      </c>
      <c r="B82" s="620"/>
      <c r="C82" s="124">
        <f>HR!Z714</f>
        <v>41058.144304319998</v>
      </c>
      <c r="D82" s="124">
        <f>'Prof Serv'!N1569+'Prof Serv'!N1379</f>
        <v>0</v>
      </c>
      <c r="E82" s="124">
        <f>'Prof Serv'!N1189</f>
        <v>0</v>
      </c>
      <c r="F82" s="124">
        <f>Travel!P397+Travel!P585+Travel!P773+Travel!P961+Travel!P1149+Travel!P1337+Travel!P1525</f>
        <v>0</v>
      </c>
      <c r="G82" s="124">
        <f>'Other Operating Expenses'!N681</f>
        <v>0</v>
      </c>
      <c r="H82" s="124">
        <f>Supplies!N256</f>
        <v>0</v>
      </c>
      <c r="I82" s="124">
        <f>'Prof Serv'!N625+'Prof Serv'!N813+'Prof Serv'!N1001+'Prof Serv'!N1757+'Prof Serv'!N1945+'Prof Serv'!N2133</f>
        <v>0</v>
      </c>
      <c r="J82" s="124">
        <f>'Prof Serv'!N435</f>
        <v>0</v>
      </c>
      <c r="K82" s="124">
        <v>0</v>
      </c>
      <c r="L82" s="124">
        <v>0</v>
      </c>
      <c r="M82" s="124">
        <f t="shared" si="8"/>
        <v>41058.144304319998</v>
      </c>
      <c r="N82" s="282">
        <f>-'Other Operating Expenses'!N876</f>
        <v>0</v>
      </c>
      <c r="O82" s="282">
        <f>-'Other Operating Expenses'!N1066</f>
        <v>0</v>
      </c>
      <c r="P82" s="282"/>
      <c r="Q82" s="124">
        <f t="shared" si="9"/>
        <v>41058.144304319998</v>
      </c>
      <c r="R82" s="124">
        <f t="shared" si="10"/>
        <v>6431.7993634160312</v>
      </c>
      <c r="S82" s="124">
        <f t="shared" si="11"/>
        <v>2737.3464807690148</v>
      </c>
      <c r="T82" s="124">
        <f t="shared" si="12"/>
        <v>0</v>
      </c>
      <c r="U82" s="124">
        <f t="shared" si="13"/>
        <v>50227.290148505046</v>
      </c>
      <c r="V82" s="224">
        <v>180</v>
      </c>
      <c r="AC82" s="628"/>
      <c r="AD82" s="297"/>
      <c r="AE82" s="628"/>
      <c r="AF82" s="48"/>
    </row>
    <row r="83" spans="1:32" ht="15" x14ac:dyDescent="0.25">
      <c r="A83" s="123" t="s">
        <v>936</v>
      </c>
      <c r="B83" s="620"/>
      <c r="C83" s="124">
        <f>HR!Z715</f>
        <v>6159.2960000000003</v>
      </c>
      <c r="D83" s="124">
        <f>'Prof Serv'!N1570+'Prof Serv'!N1380</f>
        <v>164000</v>
      </c>
      <c r="E83" s="124">
        <f>'Prof Serv'!N1190</f>
        <v>0</v>
      </c>
      <c r="F83" s="124">
        <f>Travel!P398+Travel!P586+Travel!P774+Travel!P962+Travel!P1150+Travel!P1338+Travel!P1526</f>
        <v>0</v>
      </c>
      <c r="G83" s="124">
        <f>'Other Operating Expenses'!N682</f>
        <v>4000</v>
      </c>
      <c r="H83" s="124">
        <f>Supplies!N257</f>
        <v>0</v>
      </c>
      <c r="I83" s="124">
        <f>'Prof Serv'!N626+'Prof Serv'!N814+'Prof Serv'!N1002+'Prof Serv'!N1758+'Prof Serv'!N1946+'Prof Serv'!N2134</f>
        <v>0</v>
      </c>
      <c r="J83" s="124">
        <f>'Prof Serv'!N436</f>
        <v>0</v>
      </c>
      <c r="K83" s="124">
        <v>0</v>
      </c>
      <c r="L83" s="124">
        <v>0</v>
      </c>
      <c r="M83" s="124">
        <f t="shared" si="8"/>
        <v>174159.296</v>
      </c>
      <c r="N83" s="282">
        <f>-'Other Operating Expenses'!N877</f>
        <v>0</v>
      </c>
      <c r="O83" s="282">
        <f>-'Other Operating Expenses'!N1067</f>
        <v>0</v>
      </c>
      <c r="P83" s="282"/>
      <c r="Q83" s="124">
        <f t="shared" si="9"/>
        <v>174159.296</v>
      </c>
      <c r="R83" s="124">
        <f t="shared" si="10"/>
        <v>964.85987769600001</v>
      </c>
      <c r="S83" s="124">
        <f t="shared" si="11"/>
        <v>11611.200264320003</v>
      </c>
      <c r="T83" s="124">
        <f t="shared" si="12"/>
        <v>0</v>
      </c>
      <c r="U83" s="124">
        <f t="shared" si="13"/>
        <v>186735.35614201601</v>
      </c>
      <c r="V83" s="224">
        <v>170</v>
      </c>
      <c r="AC83" s="628"/>
      <c r="AD83" s="297"/>
      <c r="AE83" s="628"/>
      <c r="AF83" s="48"/>
    </row>
    <row r="84" spans="1:32" ht="15" x14ac:dyDescent="0.25">
      <c r="A84" s="123" t="s">
        <v>937</v>
      </c>
      <c r="B84" s="620"/>
      <c r="C84" s="124">
        <f>HR!Z716</f>
        <v>149488.35366399999</v>
      </c>
      <c r="D84" s="124">
        <f>'Prof Serv'!N1571+'Prof Serv'!N1381</f>
        <v>26500.16</v>
      </c>
      <c r="E84" s="124">
        <f>'Prof Serv'!N1191</f>
        <v>0</v>
      </c>
      <c r="F84" s="124">
        <f>Travel!P399+Travel!P587+Travel!P775+Travel!P963+Travel!P1151+Travel!P1339+Travel!P1527</f>
        <v>4000</v>
      </c>
      <c r="G84" s="124">
        <f>'Other Operating Expenses'!N683</f>
        <v>0</v>
      </c>
      <c r="H84" s="124">
        <f>Supplies!N258</f>
        <v>0</v>
      </c>
      <c r="I84" s="124">
        <f>'Prof Serv'!N627+'Prof Serv'!N815+'Prof Serv'!N1003+'Prof Serv'!N1759+'Prof Serv'!N1947+'Prof Serv'!N2135</f>
        <v>50</v>
      </c>
      <c r="J84" s="124">
        <f>'Prof Serv'!N437</f>
        <v>0</v>
      </c>
      <c r="K84" s="124">
        <v>0</v>
      </c>
      <c r="L84" s="124">
        <v>0</v>
      </c>
      <c r="M84" s="124">
        <f t="shared" si="8"/>
        <v>180038.513664</v>
      </c>
      <c r="N84" s="282">
        <f>-'Other Operating Expenses'!N878</f>
        <v>0</v>
      </c>
      <c r="O84" s="282">
        <f>-'Other Operating Expenses'!N1068</f>
        <v>0</v>
      </c>
      <c r="P84" s="282"/>
      <c r="Q84" s="124">
        <f t="shared" si="9"/>
        <v>180038.513664</v>
      </c>
      <c r="R84" s="124">
        <f t="shared" si="10"/>
        <v>23417.500089819263</v>
      </c>
      <c r="S84" s="124">
        <f t="shared" si="11"/>
        <v>12003.167705978882</v>
      </c>
      <c r="T84" s="124">
        <f t="shared" si="12"/>
        <v>0</v>
      </c>
      <c r="U84" s="124">
        <f t="shared" si="13"/>
        <v>215459.18145979813</v>
      </c>
      <c r="V84" s="224">
        <v>170</v>
      </c>
      <c r="AC84" s="628"/>
      <c r="AD84" s="297"/>
      <c r="AE84" s="628"/>
      <c r="AF84" s="48"/>
    </row>
    <row r="85" spans="1:32" ht="15" x14ac:dyDescent="0.25">
      <c r="A85" s="123" t="s">
        <v>932</v>
      </c>
      <c r="B85" s="620"/>
      <c r="C85" s="124">
        <f>HR!Z717</f>
        <v>85135.455121600011</v>
      </c>
      <c r="D85" s="124">
        <f>'Prof Serv'!N1572+'Prof Serv'!N1382</f>
        <v>4000</v>
      </c>
      <c r="E85" s="124">
        <f>'Prof Serv'!N1192</f>
        <v>0</v>
      </c>
      <c r="F85" s="124">
        <f>Travel!P400+Travel!P588+Travel!P776+Travel!P964+Travel!P1152+Travel!P1340+Travel!P1528</f>
        <v>1750</v>
      </c>
      <c r="G85" s="124">
        <f>'Other Operating Expenses'!N684</f>
        <v>450</v>
      </c>
      <c r="H85" s="124">
        <f>Supplies!N259</f>
        <v>0</v>
      </c>
      <c r="I85" s="124">
        <f>'Prof Serv'!N628+'Prof Serv'!N816+'Prof Serv'!N1004+'Prof Serv'!N1760+'Prof Serv'!N1948+'Prof Serv'!N2136</f>
        <v>600</v>
      </c>
      <c r="J85" s="124">
        <f>'Prof Serv'!N438</f>
        <v>0</v>
      </c>
      <c r="K85" s="124">
        <v>0</v>
      </c>
      <c r="L85" s="124">
        <v>0</v>
      </c>
      <c r="M85" s="124">
        <f t="shared" si="8"/>
        <v>91935.455121600011</v>
      </c>
      <c r="N85" s="282">
        <f>-'Other Operating Expenses'!N879</f>
        <v>0</v>
      </c>
      <c r="O85" s="282">
        <f>-'Other Operating Expenses'!N1069</f>
        <v>0</v>
      </c>
      <c r="P85" s="282"/>
      <c r="Q85" s="124">
        <f t="shared" si="9"/>
        <v>91935.455121600011</v>
      </c>
      <c r="R85" s="124">
        <f t="shared" si="10"/>
        <v>13336.554180253763</v>
      </c>
      <c r="S85" s="124">
        <f t="shared" si="11"/>
        <v>6129.3367929570741</v>
      </c>
      <c r="T85" s="124">
        <f t="shared" si="12"/>
        <v>0</v>
      </c>
      <c r="U85" s="124">
        <f t="shared" si="13"/>
        <v>111401.34609481084</v>
      </c>
      <c r="V85" s="224">
        <v>180</v>
      </c>
      <c r="AC85" s="628"/>
      <c r="AD85" s="297"/>
      <c r="AE85" s="628"/>
      <c r="AF85" s="48"/>
    </row>
    <row r="86" spans="1:32" ht="15" x14ac:dyDescent="0.25">
      <c r="A86" s="123" t="s">
        <v>933</v>
      </c>
      <c r="B86" s="620"/>
      <c r="C86" s="124">
        <f>HR!Z718</f>
        <v>72894.985392319999</v>
      </c>
      <c r="D86" s="124">
        <f>'Prof Serv'!N1573+'Prof Serv'!N1383</f>
        <v>12000</v>
      </c>
      <c r="E86" s="124">
        <f>'Prof Serv'!N1193</f>
        <v>0</v>
      </c>
      <c r="F86" s="124">
        <f>Travel!P401+Travel!P589+Travel!P777+Travel!P965+Travel!P1153+Travel!P1341+Travel!P1529</f>
        <v>2469</v>
      </c>
      <c r="G86" s="124">
        <f>'Other Operating Expenses'!N685</f>
        <v>0</v>
      </c>
      <c r="H86" s="124">
        <f>Supplies!N260</f>
        <v>0</v>
      </c>
      <c r="I86" s="124">
        <f>'Prof Serv'!N629+'Prof Serv'!N817+'Prof Serv'!N1005+'Prof Serv'!N1761+'Prof Serv'!N1949+'Prof Serv'!N2137</f>
        <v>600</v>
      </c>
      <c r="J86" s="124">
        <f>'Prof Serv'!N439</f>
        <v>0</v>
      </c>
      <c r="K86" s="124">
        <v>0</v>
      </c>
      <c r="L86" s="124">
        <v>0</v>
      </c>
      <c r="M86" s="124">
        <f t="shared" si="8"/>
        <v>87963.985392319999</v>
      </c>
      <c r="N86" s="282">
        <f>-'Other Operating Expenses'!N880</f>
        <v>0</v>
      </c>
      <c r="O86" s="282">
        <f>-'Other Operating Expenses'!N1070</f>
        <v>0</v>
      </c>
      <c r="P86" s="282"/>
      <c r="Q86" s="124">
        <f t="shared" si="9"/>
        <v>87963.985392319999</v>
      </c>
      <c r="R86" s="124">
        <f t="shared" si="10"/>
        <v>11419.072356692319</v>
      </c>
      <c r="S86" s="124">
        <f t="shared" si="11"/>
        <v>5864.5589061059754</v>
      </c>
      <c r="T86" s="124">
        <f t="shared" si="12"/>
        <v>0</v>
      </c>
      <c r="U86" s="124">
        <f t="shared" si="13"/>
        <v>105247.61665511828</v>
      </c>
      <c r="V86" s="224">
        <v>180</v>
      </c>
      <c r="AC86" s="628"/>
      <c r="AD86" s="297"/>
      <c r="AE86" s="628"/>
      <c r="AF86" s="48"/>
    </row>
    <row r="87" spans="1:32" ht="15" x14ac:dyDescent="0.25">
      <c r="A87" s="123" t="s">
        <v>952</v>
      </c>
      <c r="B87" s="620"/>
      <c r="C87" s="124">
        <f>HR!Z719</f>
        <v>3675.1189383999999</v>
      </c>
      <c r="D87" s="124">
        <f>'Prof Serv'!N1574+'Prof Serv'!N1384</f>
        <v>0</v>
      </c>
      <c r="E87" s="124">
        <f>'Prof Serv'!N1194</f>
        <v>0</v>
      </c>
      <c r="F87" s="124">
        <f>Travel!P402+Travel!P590+Travel!P778+Travel!P966+Travel!P1154+Travel!P1342+Travel!P1530</f>
        <v>0</v>
      </c>
      <c r="G87" s="124">
        <f>'Other Operating Expenses'!N686</f>
        <v>13090.01</v>
      </c>
      <c r="H87" s="124">
        <f>Supplies!N261</f>
        <v>0</v>
      </c>
      <c r="I87" s="124">
        <f>'Prof Serv'!N630+'Prof Serv'!N818+'Prof Serv'!N1006+'Prof Serv'!N1762+'Prof Serv'!N1950+'Prof Serv'!N2138</f>
        <v>0</v>
      </c>
      <c r="J87" s="124">
        <f>'Prof Serv'!N440</f>
        <v>0</v>
      </c>
      <c r="K87" s="124">
        <v>0</v>
      </c>
      <c r="L87" s="124">
        <v>0</v>
      </c>
      <c r="M87" s="124">
        <f t="shared" si="8"/>
        <v>16765.128938400001</v>
      </c>
      <c r="N87" s="282">
        <f>-'Other Operating Expenses'!N881</f>
        <v>0</v>
      </c>
      <c r="O87" s="282">
        <f>-'Other Operating Expenses'!N1071</f>
        <v>0</v>
      </c>
      <c r="P87" s="282"/>
      <c r="Q87" s="124">
        <f t="shared" si="9"/>
        <v>16765.128938400001</v>
      </c>
      <c r="R87" s="124">
        <f t="shared" si="10"/>
        <v>575.71105681929828</v>
      </c>
      <c r="S87" s="124">
        <f t="shared" si="11"/>
        <v>1117.7311463231283</v>
      </c>
      <c r="T87" s="124">
        <f t="shared" si="12"/>
        <v>0</v>
      </c>
      <c r="U87" s="124">
        <f t="shared" si="13"/>
        <v>18458.571141542427</v>
      </c>
      <c r="V87" s="224">
        <v>150</v>
      </c>
      <c r="AC87" s="628"/>
      <c r="AD87" s="297"/>
      <c r="AE87" s="628"/>
      <c r="AF87" s="48"/>
    </row>
    <row r="88" spans="1:32" s="236" customFormat="1" ht="15" x14ac:dyDescent="0.25">
      <c r="A88" s="406" t="s">
        <v>923</v>
      </c>
      <c r="B88" s="620"/>
      <c r="C88" s="124">
        <f>HR!Z720</f>
        <v>0</v>
      </c>
      <c r="D88" s="124">
        <f>'Prof Serv'!N1575+'Prof Serv'!N1385</f>
        <v>0</v>
      </c>
      <c r="E88" s="124">
        <f>'Prof Serv'!N1195</f>
        <v>0</v>
      </c>
      <c r="F88" s="124">
        <f>Travel!P403+Travel!P591+Travel!P779+Travel!P967+Travel!P1155+Travel!P1343+Travel!P1531</f>
        <v>0</v>
      </c>
      <c r="G88" s="124">
        <f>'Other Operating Expenses'!N687</f>
        <v>0</v>
      </c>
      <c r="H88" s="124">
        <f>Supplies!N262</f>
        <v>0</v>
      </c>
      <c r="I88" s="124">
        <f>'Prof Serv'!N631+'Prof Serv'!N819+'Prof Serv'!N1007+'Prof Serv'!N1763+'Prof Serv'!N1951+'Prof Serv'!N2139</f>
        <v>0</v>
      </c>
      <c r="J88" s="124">
        <f>'Prof Serv'!N441</f>
        <v>0</v>
      </c>
      <c r="K88" s="124">
        <v>0</v>
      </c>
      <c r="L88" s="124">
        <v>0</v>
      </c>
      <c r="M88" s="124">
        <f t="shared" si="8"/>
        <v>0</v>
      </c>
      <c r="N88" s="282">
        <f>-'Other Operating Expenses'!N882</f>
        <v>0</v>
      </c>
      <c r="O88" s="282">
        <f>-'Other Operating Expenses'!N1072</f>
        <v>0</v>
      </c>
      <c r="P88" s="282"/>
      <c r="Q88" s="124">
        <f t="shared" si="9"/>
        <v>0</v>
      </c>
      <c r="R88" s="124">
        <f t="shared" si="10"/>
        <v>0</v>
      </c>
      <c r="S88" s="124">
        <f t="shared" si="11"/>
        <v>0</v>
      </c>
      <c r="T88" s="124">
        <f t="shared" si="12"/>
        <v>0</v>
      </c>
      <c r="U88" s="124">
        <f t="shared" si="13"/>
        <v>0</v>
      </c>
      <c r="V88" s="224">
        <v>150</v>
      </c>
      <c r="AC88" s="628"/>
      <c r="AD88" s="297"/>
      <c r="AE88" s="628"/>
      <c r="AF88" s="629"/>
    </row>
    <row r="89" spans="1:32" ht="15" x14ac:dyDescent="0.25">
      <c r="A89" s="123" t="s">
        <v>925</v>
      </c>
      <c r="B89" s="620"/>
      <c r="C89" s="124">
        <f>HR!Z721</f>
        <v>10824.96272</v>
      </c>
      <c r="D89" s="124">
        <f>'Prof Serv'!N1576+'Prof Serv'!N1386</f>
        <v>0</v>
      </c>
      <c r="E89" s="124">
        <f>'Prof Serv'!N1196</f>
        <v>0</v>
      </c>
      <c r="F89" s="124">
        <f>Travel!P404+Travel!P592+Travel!P780+Travel!P968+Travel!P1156+Travel!P1344+Travel!P1532</f>
        <v>0</v>
      </c>
      <c r="G89" s="124">
        <f>'Other Operating Expenses'!N688</f>
        <v>0</v>
      </c>
      <c r="H89" s="124">
        <f>Supplies!N263</f>
        <v>0</v>
      </c>
      <c r="I89" s="124">
        <f>'Prof Serv'!N632+'Prof Serv'!N820+'Prof Serv'!N1008+'Prof Serv'!N1764+'Prof Serv'!N1952+'Prof Serv'!N2140</f>
        <v>0</v>
      </c>
      <c r="J89" s="124">
        <f>'Prof Serv'!N442</f>
        <v>0</v>
      </c>
      <c r="K89" s="124">
        <v>0</v>
      </c>
      <c r="L89" s="124">
        <v>0</v>
      </c>
      <c r="M89" s="124">
        <f t="shared" si="8"/>
        <v>10824.96272</v>
      </c>
      <c r="N89" s="282">
        <f>-'Other Operating Expenses'!N883</f>
        <v>0</v>
      </c>
      <c r="O89" s="282">
        <f>-'Other Operating Expenses'!N1073</f>
        <v>0</v>
      </c>
      <c r="P89" s="282"/>
      <c r="Q89" s="124">
        <f t="shared" si="9"/>
        <v>10824.96272</v>
      </c>
      <c r="R89" s="124">
        <f t="shared" si="10"/>
        <v>1695.7412350507198</v>
      </c>
      <c r="S89" s="124">
        <f t="shared" si="11"/>
        <v>721.70026454240008</v>
      </c>
      <c r="T89" s="124">
        <f t="shared" si="12"/>
        <v>0</v>
      </c>
      <c r="U89" s="124">
        <f t="shared" si="13"/>
        <v>13242.40421959312</v>
      </c>
      <c r="V89" s="224">
        <v>150</v>
      </c>
      <c r="AC89" s="628"/>
      <c r="AD89" s="297"/>
      <c r="AE89" s="629"/>
      <c r="AF89" s="48"/>
    </row>
    <row r="90" spans="1:32" s="236" customFormat="1" ht="15" x14ac:dyDescent="0.25">
      <c r="A90" s="123" t="s">
        <v>1603</v>
      </c>
      <c r="B90" s="620"/>
      <c r="C90" s="124">
        <f>HR!Z722</f>
        <v>22088.722785999998</v>
      </c>
      <c r="D90" s="124">
        <f>'Prof Serv'!N1577+'Prof Serv'!N1387</f>
        <v>300</v>
      </c>
      <c r="E90" s="124">
        <f>'Prof Serv'!N1197</f>
        <v>0</v>
      </c>
      <c r="F90" s="124">
        <f>Travel!P405+Travel!P593+Travel!P781+Travel!P969+Travel!P1157+Travel!P1345+Travel!P1533</f>
        <v>0</v>
      </c>
      <c r="G90" s="124">
        <f>'Other Operating Expenses'!N689</f>
        <v>0</v>
      </c>
      <c r="H90" s="124">
        <f>Supplies!N264</f>
        <v>0</v>
      </c>
      <c r="I90" s="124"/>
      <c r="J90" s="124"/>
      <c r="K90" s="124"/>
      <c r="L90" s="124"/>
      <c r="M90" s="124">
        <f t="shared" si="8"/>
        <v>22388.722785999998</v>
      </c>
      <c r="N90" s="282"/>
      <c r="O90" s="282"/>
      <c r="P90" s="282"/>
      <c r="Q90" s="124">
        <f t="shared" si="9"/>
        <v>22388.722785999998</v>
      </c>
      <c r="R90" s="124"/>
      <c r="S90" s="124"/>
      <c r="T90" s="124"/>
      <c r="U90" s="124"/>
      <c r="V90" s="224"/>
      <c r="AC90" s="628"/>
      <c r="AD90" s="297"/>
      <c r="AE90" s="629"/>
      <c r="AF90" s="48"/>
    </row>
    <row r="91" spans="1:32" ht="15" x14ac:dyDescent="0.25">
      <c r="A91" s="123" t="s">
        <v>950</v>
      </c>
      <c r="B91" s="620"/>
      <c r="C91" s="124">
        <f>HR!Z723</f>
        <v>5512.6784075999994</v>
      </c>
      <c r="D91" s="124">
        <f>'Prof Serv'!N1578+'Prof Serv'!N1388</f>
        <v>0</v>
      </c>
      <c r="E91" s="124">
        <f>'Prof Serv'!N1198</f>
        <v>0</v>
      </c>
      <c r="F91" s="124">
        <f>Travel!P406+Travel!P594+Travel!P782+Travel!P970+Travel!P1158+Travel!P1346+Travel!P1534</f>
        <v>0</v>
      </c>
      <c r="G91" s="124">
        <f>'Other Operating Expenses'!N690</f>
        <v>0</v>
      </c>
      <c r="H91" s="124">
        <f>Supplies!N265</f>
        <v>0</v>
      </c>
      <c r="I91" s="124">
        <f>'Prof Serv'!N633+'Prof Serv'!N821+'Prof Serv'!N1009+'Prof Serv'!N1765+'Prof Serv'!N1953+'Prof Serv'!N2141</f>
        <v>0</v>
      </c>
      <c r="J91" s="124">
        <f>'Prof Serv'!N443</f>
        <v>0</v>
      </c>
      <c r="K91" s="124">
        <v>0</v>
      </c>
      <c r="L91" s="124">
        <v>0</v>
      </c>
      <c r="M91" s="124">
        <f t="shared" si="8"/>
        <v>5512.6784075999994</v>
      </c>
      <c r="N91" s="282">
        <f>-'Other Operating Expenses'!N884</f>
        <v>0</v>
      </c>
      <c r="O91" s="282">
        <f>-'Other Operating Expenses'!N1074</f>
        <v>0</v>
      </c>
      <c r="P91" s="282"/>
      <c r="Q91" s="124">
        <f t="shared" si="9"/>
        <v>5512.6784075999994</v>
      </c>
      <c r="R91" s="124">
        <f t="shared" si="10"/>
        <v>863.56658522894747</v>
      </c>
      <c r="S91" s="124">
        <f t="shared" si="11"/>
        <v>367.530269434692</v>
      </c>
      <c r="T91" s="124">
        <f t="shared" si="12"/>
        <v>0</v>
      </c>
      <c r="U91" s="124">
        <f t="shared" si="13"/>
        <v>6743.775262263639</v>
      </c>
      <c r="V91" s="224">
        <v>150</v>
      </c>
      <c r="AC91" s="628"/>
      <c r="AD91" s="297"/>
      <c r="AE91" s="629"/>
      <c r="AF91" s="48"/>
    </row>
    <row r="92" spans="1:32" ht="15" x14ac:dyDescent="0.25">
      <c r="A92" s="123" t="s">
        <v>1054</v>
      </c>
      <c r="B92" s="620"/>
      <c r="C92" s="124">
        <f>HR!Z724</f>
        <v>9187.7973460000012</v>
      </c>
      <c r="D92" s="124">
        <f>'Prof Serv'!N1578+'Prof Serv'!N1388</f>
        <v>0</v>
      </c>
      <c r="E92" s="124">
        <f>'Prof Serv'!N1198</f>
        <v>0</v>
      </c>
      <c r="F92" s="124">
        <f>Travel!P407+Travel!P595+Travel!P783+Travel!P971+Travel!P1159+Travel!P1347+Travel!P1535</f>
        <v>0</v>
      </c>
      <c r="G92" s="124">
        <f>'Other Operating Expenses'!N690</f>
        <v>0</v>
      </c>
      <c r="H92" s="124">
        <f>Supplies!N266</f>
        <v>0</v>
      </c>
      <c r="I92" s="124">
        <f>'Prof Serv'!N634+'Prof Serv'!N822+'Prof Serv'!N1010+'Prof Serv'!N1766+'Prof Serv'!N1954+'Prof Serv'!N2142</f>
        <v>0</v>
      </c>
      <c r="J92" s="124">
        <f>'Prof Serv'!N444</f>
        <v>0</v>
      </c>
      <c r="K92" s="124">
        <v>0</v>
      </c>
      <c r="L92" s="124">
        <v>0</v>
      </c>
      <c r="M92" s="124">
        <f t="shared" si="8"/>
        <v>9187.7973460000012</v>
      </c>
      <c r="N92" s="282">
        <f>-'Other Operating Expenses'!N885</f>
        <v>0</v>
      </c>
      <c r="O92" s="282">
        <f>-'Other Operating Expenses'!N1075</f>
        <v>0</v>
      </c>
      <c r="P92" s="282"/>
      <c r="Q92" s="124">
        <f t="shared" si="9"/>
        <v>9187.7973460000012</v>
      </c>
      <c r="R92" s="124">
        <f t="shared" si="10"/>
        <v>1439.277642048246</v>
      </c>
      <c r="S92" s="124">
        <f t="shared" si="11"/>
        <v>612.55044905782017</v>
      </c>
      <c r="T92" s="124">
        <f t="shared" si="12"/>
        <v>0</v>
      </c>
      <c r="U92" s="124">
        <f t="shared" si="13"/>
        <v>11239.625437106068</v>
      </c>
      <c r="V92" s="224">
        <v>110</v>
      </c>
      <c r="AC92" s="628"/>
      <c r="AD92" s="297"/>
      <c r="AE92" s="629"/>
      <c r="AF92" s="48"/>
    </row>
    <row r="93" spans="1:32" ht="15" x14ac:dyDescent="0.25">
      <c r="A93" s="123" t="s">
        <v>921</v>
      </c>
      <c r="B93" s="620"/>
      <c r="C93" s="124">
        <f>HR!Z725</f>
        <v>0</v>
      </c>
      <c r="D93" s="124">
        <f>'Prof Serv'!N1579+'Prof Serv'!N1389</f>
        <v>0</v>
      </c>
      <c r="E93" s="124">
        <f>'Prof Serv'!N1199</f>
        <v>0</v>
      </c>
      <c r="F93" s="124">
        <f>Travel!P407+Travel!P595+Travel!P783+Travel!P971+Travel!P1159+Travel!P1347+Travel!P1535</f>
        <v>0</v>
      </c>
      <c r="G93" s="124">
        <f>'Other Operating Expenses'!N691</f>
        <v>0</v>
      </c>
      <c r="H93" s="124">
        <f>Supplies!N267</f>
        <v>0</v>
      </c>
      <c r="I93" s="124">
        <f>'Prof Serv'!N635+'Prof Serv'!N823+'Prof Serv'!N1011+'Prof Serv'!N1767+'Prof Serv'!N1955+'Prof Serv'!N2143</f>
        <v>0</v>
      </c>
      <c r="J93" s="124">
        <f>'Prof Serv'!N445</f>
        <v>0</v>
      </c>
      <c r="K93" s="124">
        <v>0</v>
      </c>
      <c r="L93" s="124">
        <v>0</v>
      </c>
      <c r="M93" s="124">
        <f t="shared" si="8"/>
        <v>0</v>
      </c>
      <c r="N93" s="282">
        <f>-'Other Operating Expenses'!N886</f>
        <v>0</v>
      </c>
      <c r="O93" s="282">
        <f>-'Other Operating Expenses'!N1076</f>
        <v>0</v>
      </c>
      <c r="P93" s="282"/>
      <c r="Q93" s="124">
        <f t="shared" si="9"/>
        <v>0</v>
      </c>
      <c r="R93" s="124">
        <f t="shared" si="10"/>
        <v>0</v>
      </c>
      <c r="S93" s="124">
        <f t="shared" si="11"/>
        <v>0</v>
      </c>
      <c r="T93" s="124">
        <f t="shared" si="12"/>
        <v>0</v>
      </c>
      <c r="U93" s="124">
        <f t="shared" si="13"/>
        <v>0</v>
      </c>
      <c r="V93" s="224" t="s">
        <v>1524</v>
      </c>
      <c r="AC93" s="628"/>
      <c r="AD93" s="297"/>
      <c r="AE93" s="628"/>
      <c r="AF93" s="48"/>
    </row>
    <row r="94" spans="1:32" ht="15" x14ac:dyDescent="0.25">
      <c r="A94" s="123" t="s">
        <v>1022</v>
      </c>
      <c r="B94" s="620"/>
      <c r="C94" s="124">
        <f>HR!Z726</f>
        <v>56185.136607599998</v>
      </c>
      <c r="D94" s="124">
        <f>'Prof Serv'!N1580+'Prof Serv'!N1390</f>
        <v>4000</v>
      </c>
      <c r="E94" s="124">
        <f>'Prof Serv'!N1200</f>
        <v>0</v>
      </c>
      <c r="F94" s="124">
        <f>Travel!P408+Travel!P596+Travel!P784+Travel!P972+Travel!P1160+Travel!P1348+Travel!P1536</f>
        <v>750</v>
      </c>
      <c r="G94" s="124">
        <f>'Other Operating Expenses'!N692</f>
        <v>0</v>
      </c>
      <c r="H94" s="124">
        <f>Supplies!N267</f>
        <v>0</v>
      </c>
      <c r="I94" s="124">
        <f>'Prof Serv'!N636+'Prof Serv'!N824+'Prof Serv'!N1012+'Prof Serv'!N1768+'Prof Serv'!N1956+'Prof Serv'!N2144</f>
        <v>0</v>
      </c>
      <c r="J94" s="124">
        <f>'Prof Serv'!N446</f>
        <v>0</v>
      </c>
      <c r="K94" s="124">
        <v>0</v>
      </c>
      <c r="L94" s="124">
        <v>0</v>
      </c>
      <c r="M94" s="124">
        <f t="shared" si="8"/>
        <v>60935.136607599998</v>
      </c>
      <c r="N94" s="282">
        <f>-'Other Operating Expenses'!N887</f>
        <v>0</v>
      </c>
      <c r="O94" s="282">
        <f>-'Other Operating Expenses'!N1077</f>
        <v>0</v>
      </c>
      <c r="P94" s="282"/>
      <c r="Q94" s="124">
        <f t="shared" si="9"/>
        <v>60935.136607599998</v>
      </c>
      <c r="R94" s="124">
        <f t="shared" si="10"/>
        <v>8801.4578347171464</v>
      </c>
      <c r="S94" s="124">
        <f t="shared" si="11"/>
        <v>4062.5455576286922</v>
      </c>
      <c r="T94" s="124">
        <f t="shared" si="12"/>
        <v>0</v>
      </c>
      <c r="U94" s="124">
        <f t="shared" si="13"/>
        <v>73799.139999945837</v>
      </c>
      <c r="V94" s="224">
        <v>180</v>
      </c>
      <c r="AC94" s="628"/>
      <c r="AD94" s="297"/>
      <c r="AE94" s="628"/>
      <c r="AF94" s="48"/>
    </row>
    <row r="95" spans="1:32" ht="15" x14ac:dyDescent="0.25">
      <c r="A95" s="123" t="s">
        <v>1023</v>
      </c>
      <c r="B95" s="620"/>
      <c r="C95" s="124">
        <f>HR!Z727</f>
        <v>39937.64237632</v>
      </c>
      <c r="D95" s="124">
        <f>'Prof Serv'!N1581+'Prof Serv'!N1391</f>
        <v>0</v>
      </c>
      <c r="E95" s="124">
        <f>'Prof Serv'!N1201</f>
        <v>0</v>
      </c>
      <c r="F95" s="124">
        <f>Travel!P409+Travel!P597+Travel!P785+Travel!P973+Travel!P1161+Travel!P1349+Travel!P1537</f>
        <v>0</v>
      </c>
      <c r="G95" s="124">
        <f>'Other Operating Expenses'!N693</f>
        <v>0</v>
      </c>
      <c r="H95" s="124">
        <f>Supplies!N268</f>
        <v>0</v>
      </c>
      <c r="I95" s="124">
        <f>'Prof Serv'!N637+'Prof Serv'!N825+'Prof Serv'!N1013+'Prof Serv'!N1769+'Prof Serv'!N1957+'Prof Serv'!N2145</f>
        <v>0</v>
      </c>
      <c r="J95" s="124">
        <f>'Prof Serv'!N447</f>
        <v>0</v>
      </c>
      <c r="K95" s="124">
        <v>0</v>
      </c>
      <c r="L95" s="124">
        <v>0</v>
      </c>
      <c r="M95" s="124">
        <f t="shared" si="8"/>
        <v>39937.64237632</v>
      </c>
      <c r="N95" s="282">
        <f>-'Other Operating Expenses'!N888</f>
        <v>0</v>
      </c>
      <c r="O95" s="282">
        <f>-'Other Operating Expenses'!N1078</f>
        <v>0</v>
      </c>
      <c r="P95" s="282"/>
      <c r="Q95" s="124">
        <f t="shared" si="9"/>
        <v>39937.64237632</v>
      </c>
      <c r="R95" s="124">
        <f t="shared" si="10"/>
        <v>6256.2716158929043</v>
      </c>
      <c r="S95" s="124">
        <f t="shared" si="11"/>
        <v>2662.6426172292549</v>
      </c>
      <c r="T95" s="124">
        <f t="shared" si="12"/>
        <v>0</v>
      </c>
      <c r="U95" s="124">
        <f t="shared" si="13"/>
        <v>48856.556609442159</v>
      </c>
      <c r="V95" s="224">
        <v>180</v>
      </c>
      <c r="AC95" s="628"/>
      <c r="AD95" s="297"/>
      <c r="AE95" s="628"/>
      <c r="AF95" s="48"/>
    </row>
    <row r="96" spans="1:32" ht="15" x14ac:dyDescent="0.25">
      <c r="A96" s="123" t="s">
        <v>137</v>
      </c>
      <c r="B96" s="620"/>
      <c r="C96" s="124">
        <f>HR!Z728</f>
        <v>5842.9321600000003</v>
      </c>
      <c r="D96" s="124">
        <f>'Prof Serv'!N1582+'Prof Serv'!N1392</f>
        <v>0</v>
      </c>
      <c r="E96" s="124">
        <f>'Prof Serv'!N1202</f>
        <v>0</v>
      </c>
      <c r="F96" s="124">
        <f>Travel!P410+Travel!P598+Travel!P786+Travel!P974+Travel!P1162+Travel!P1350+Travel!P1538</f>
        <v>0</v>
      </c>
      <c r="G96" s="124">
        <f>'Other Operating Expenses'!N694</f>
        <v>0</v>
      </c>
      <c r="H96" s="124">
        <f>Supplies!N269</f>
        <v>0</v>
      </c>
      <c r="I96" s="124">
        <f>'Prof Serv'!N638+'Prof Serv'!N826+'Prof Serv'!N1014+'Prof Serv'!N1770+'Prof Serv'!N1958+'Prof Serv'!N2146</f>
        <v>0</v>
      </c>
      <c r="J96" s="124">
        <f>'Prof Serv'!N448</f>
        <v>0</v>
      </c>
      <c r="K96" s="124">
        <v>0</v>
      </c>
      <c r="L96" s="124">
        <v>0</v>
      </c>
      <c r="M96" s="124">
        <f t="shared" si="8"/>
        <v>5842.9321600000003</v>
      </c>
      <c r="N96" s="282">
        <f>-'Other Operating Expenses'!N889</f>
        <v>0</v>
      </c>
      <c r="O96" s="282">
        <f>-'Other Operating Expenses'!N1079</f>
        <v>0</v>
      </c>
      <c r="P96" s="282"/>
      <c r="Q96" s="124">
        <f t="shared" si="9"/>
        <v>5842.9321600000003</v>
      </c>
      <c r="R96" s="124">
        <f t="shared" si="10"/>
        <v>915.30116579615992</v>
      </c>
      <c r="S96" s="124">
        <f t="shared" si="11"/>
        <v>389.54828710720011</v>
      </c>
      <c r="T96" s="124">
        <f t="shared" si="12"/>
        <v>0</v>
      </c>
      <c r="U96" s="124">
        <f t="shared" si="13"/>
        <v>7147.7816129033599</v>
      </c>
      <c r="V96" s="224">
        <v>180</v>
      </c>
      <c r="AC96" s="628"/>
      <c r="AD96" s="297"/>
      <c r="AE96" s="628"/>
      <c r="AF96" s="48"/>
    </row>
    <row r="97" spans="1:32" ht="15" x14ac:dyDescent="0.25">
      <c r="A97" s="123" t="s">
        <v>956</v>
      </c>
      <c r="B97" s="620"/>
      <c r="C97" s="124">
        <f>HR!Z729</f>
        <v>0</v>
      </c>
      <c r="D97" s="124">
        <f>'Prof Serv'!N1583+'Prof Serv'!N1393</f>
        <v>0</v>
      </c>
      <c r="E97" s="124">
        <f>'Prof Serv'!N1203</f>
        <v>0</v>
      </c>
      <c r="F97" s="124">
        <f>Travel!P411+Travel!P599+Travel!P787+Travel!P975+Travel!P1163+Travel!P1351+Travel!P1539</f>
        <v>0</v>
      </c>
      <c r="G97" s="124">
        <f>'Other Operating Expenses'!N695</f>
        <v>0</v>
      </c>
      <c r="H97" s="124">
        <f>Supplies!N270</f>
        <v>0</v>
      </c>
      <c r="I97" s="124">
        <f>'Prof Serv'!N639+'Prof Serv'!N827+'Prof Serv'!N1015+'Prof Serv'!N1771+'Prof Serv'!N1959+'Prof Serv'!N2147</f>
        <v>0</v>
      </c>
      <c r="J97" s="124">
        <f>'Prof Serv'!N449</f>
        <v>0</v>
      </c>
      <c r="K97" s="124">
        <v>0</v>
      </c>
      <c r="L97" s="124">
        <v>0</v>
      </c>
      <c r="M97" s="124">
        <f t="shared" si="8"/>
        <v>0</v>
      </c>
      <c r="N97" s="282">
        <f>-'Other Operating Expenses'!N890</f>
        <v>0</v>
      </c>
      <c r="O97" s="282">
        <f>-'Other Operating Expenses'!N1080</f>
        <v>0</v>
      </c>
      <c r="P97" s="282"/>
      <c r="Q97" s="124">
        <f t="shared" si="9"/>
        <v>0</v>
      </c>
      <c r="R97" s="124">
        <f t="shared" si="10"/>
        <v>0</v>
      </c>
      <c r="S97" s="124">
        <f t="shared" si="11"/>
        <v>0</v>
      </c>
      <c r="T97" s="124">
        <f t="shared" si="12"/>
        <v>0</v>
      </c>
      <c r="U97" s="124">
        <f t="shared" si="13"/>
        <v>0</v>
      </c>
      <c r="V97" s="224" t="s">
        <v>1524</v>
      </c>
      <c r="AC97" s="628"/>
      <c r="AD97" s="297"/>
      <c r="AE97" s="628"/>
      <c r="AF97" s="48"/>
    </row>
    <row r="98" spans="1:32" ht="15" x14ac:dyDescent="0.25">
      <c r="A98" s="123" t="s">
        <v>1045</v>
      </c>
      <c r="B98" s="620"/>
      <c r="C98" s="124">
        <f>HR!Z730</f>
        <v>1837.5594692</v>
      </c>
      <c r="D98" s="124">
        <f>'Prof Serv'!N1584+'Prof Serv'!N1394</f>
        <v>0</v>
      </c>
      <c r="E98" s="124">
        <f>'Prof Serv'!N1204</f>
        <v>0</v>
      </c>
      <c r="F98" s="124">
        <f>Travel!P412+Travel!P600+Travel!P788+Travel!P976+Travel!P1164+Travel!P1352+Travel!P1540</f>
        <v>0</v>
      </c>
      <c r="G98" s="124">
        <f>'Other Operating Expenses'!N696</f>
        <v>0</v>
      </c>
      <c r="H98" s="124">
        <f>Supplies!N271</f>
        <v>1000</v>
      </c>
      <c r="I98" s="124">
        <f>'Prof Serv'!N640+'Prof Serv'!N828+'Prof Serv'!N1016+'Prof Serv'!N1772+'Prof Serv'!N1960+'Prof Serv'!N2148</f>
        <v>0</v>
      </c>
      <c r="J98" s="124">
        <f>'Prof Serv'!N450</f>
        <v>0</v>
      </c>
      <c r="K98" s="124">
        <v>0</v>
      </c>
      <c r="L98" s="124">
        <v>0</v>
      </c>
      <c r="M98" s="124">
        <f t="shared" si="8"/>
        <v>2837.5594692</v>
      </c>
      <c r="N98" s="282">
        <f>-'Other Operating Expenses'!N891</f>
        <v>0</v>
      </c>
      <c r="O98" s="282">
        <f>-'Other Operating Expenses'!N1081</f>
        <v>0</v>
      </c>
      <c r="P98" s="282"/>
      <c r="Q98" s="124">
        <f t="shared" si="9"/>
        <v>2837.5594692</v>
      </c>
      <c r="R98" s="124">
        <f t="shared" si="10"/>
        <v>287.85552840964914</v>
      </c>
      <c r="S98" s="124">
        <f t="shared" si="11"/>
        <v>189.18008981156402</v>
      </c>
      <c r="T98" s="124">
        <f t="shared" si="12"/>
        <v>0</v>
      </c>
      <c r="U98" s="124">
        <f t="shared" si="13"/>
        <v>3314.5950874212131</v>
      </c>
      <c r="V98" s="224">
        <v>180</v>
      </c>
      <c r="AC98" s="628"/>
      <c r="AD98" s="297"/>
      <c r="AE98" s="628"/>
      <c r="AF98" s="48"/>
    </row>
    <row r="99" spans="1:32" s="236" customFormat="1" ht="15" x14ac:dyDescent="0.25">
      <c r="A99" s="123" t="s">
        <v>1046</v>
      </c>
      <c r="B99" s="620"/>
      <c r="C99" s="124">
        <f>HR!Z731</f>
        <v>22238.765336320001</v>
      </c>
      <c r="D99" s="124">
        <f>'Prof Serv'!N1585+'Prof Serv'!N1395</f>
        <v>0</v>
      </c>
      <c r="E99" s="124">
        <f>'Prof Serv'!N1205</f>
        <v>0</v>
      </c>
      <c r="F99" s="124">
        <f>Travel!P413+Travel!P601+Travel!P789+Travel!P977+Travel!P1165+Travel!P1353+Travel!P1541</f>
        <v>0</v>
      </c>
      <c r="G99" s="124">
        <f>'Other Operating Expenses'!N697</f>
        <v>0</v>
      </c>
      <c r="H99" s="124">
        <f>Supplies!N272</f>
        <v>0</v>
      </c>
      <c r="I99" s="124">
        <f>'Prof Serv'!N641+'Prof Serv'!N829+'Prof Serv'!N1017+'Prof Serv'!N1773+'Prof Serv'!N1961+'Prof Serv'!N2149</f>
        <v>0</v>
      </c>
      <c r="J99" s="124">
        <f>'Prof Serv'!N451</f>
        <v>0</v>
      </c>
      <c r="K99" s="124">
        <v>0</v>
      </c>
      <c r="L99" s="124">
        <v>0</v>
      </c>
      <c r="M99" s="124">
        <f t="shared" si="8"/>
        <v>22238.765336320001</v>
      </c>
      <c r="N99" s="282">
        <f>-'Other Operating Expenses'!N892</f>
        <v>0</v>
      </c>
      <c r="O99" s="282">
        <f>-'Other Operating Expenses'!N1082</f>
        <v>0</v>
      </c>
      <c r="P99" s="282"/>
      <c r="Q99" s="124">
        <f t="shared" si="9"/>
        <v>22238.765336320001</v>
      </c>
      <c r="R99" s="124">
        <f t="shared" si="10"/>
        <v>3483.7248286998638</v>
      </c>
      <c r="S99" s="124">
        <f t="shared" si="11"/>
        <v>1482.6584849724547</v>
      </c>
      <c r="T99" s="124">
        <f t="shared" si="12"/>
        <v>0</v>
      </c>
      <c r="U99" s="124">
        <f t="shared" si="13"/>
        <v>27205.148649992319</v>
      </c>
      <c r="V99" s="224">
        <v>180</v>
      </c>
      <c r="AC99" s="628"/>
      <c r="AD99" s="297"/>
      <c r="AE99" s="628"/>
      <c r="AF99" s="48"/>
    </row>
    <row r="100" spans="1:32" s="236" customFormat="1" ht="15" x14ac:dyDescent="0.25">
      <c r="A100" s="123" t="s">
        <v>1036</v>
      </c>
      <c r="B100" s="620"/>
      <c r="C100" s="124">
        <f>HR!Z732</f>
        <v>1460.3130879999999</v>
      </c>
      <c r="D100" s="124">
        <f>'Prof Serv'!N1586+'Prof Serv'!N1396</f>
        <v>0</v>
      </c>
      <c r="E100" s="124">
        <f>'Prof Serv'!N1206</f>
        <v>0</v>
      </c>
      <c r="F100" s="124">
        <f>Travel!P414+Travel!P602+Travel!P790+Travel!P978+Travel!P1166+Travel!P1354+Travel!P1542</f>
        <v>0</v>
      </c>
      <c r="G100" s="124">
        <f>'Other Operating Expenses'!N698</f>
        <v>0</v>
      </c>
      <c r="H100" s="124">
        <f>Supplies!N273</f>
        <v>0</v>
      </c>
      <c r="I100" s="124">
        <f>'Prof Serv'!N642+'Prof Serv'!N830+'Prof Serv'!N1018+'Prof Serv'!N1774+'Prof Serv'!N1962+'Prof Serv'!N2150</f>
        <v>0</v>
      </c>
      <c r="J100" s="124">
        <f>'Prof Serv'!N452</f>
        <v>0</v>
      </c>
      <c r="K100" s="124">
        <v>0</v>
      </c>
      <c r="L100" s="124">
        <v>0</v>
      </c>
      <c r="M100" s="124">
        <f t="shared" si="8"/>
        <v>1460.3130879999999</v>
      </c>
      <c r="N100" s="282">
        <f>-'Other Operating Expenses'!N893</f>
        <v>0</v>
      </c>
      <c r="O100" s="282">
        <f>-'Other Operating Expenses'!N1083</f>
        <v>0</v>
      </c>
      <c r="P100" s="282"/>
      <c r="Q100" s="124">
        <f t="shared" si="9"/>
        <v>1460.3130879999999</v>
      </c>
      <c r="R100" s="124"/>
      <c r="S100" s="124"/>
      <c r="T100" s="124">
        <f t="shared" si="12"/>
        <v>0</v>
      </c>
      <c r="U100" s="124">
        <f t="shared" si="13"/>
        <v>0</v>
      </c>
      <c r="V100" s="224" t="s">
        <v>1524</v>
      </c>
      <c r="AC100" s="628"/>
      <c r="AD100" s="297"/>
      <c r="AE100" s="628"/>
      <c r="AF100" s="48"/>
    </row>
    <row r="101" spans="1:32" s="236" customFormat="1" ht="15" x14ac:dyDescent="0.25">
      <c r="A101" s="123" t="s">
        <v>1037</v>
      </c>
      <c r="B101" s="620"/>
      <c r="C101" s="124">
        <f>HR!Z733</f>
        <v>58635.775200000004</v>
      </c>
      <c r="D101" s="124">
        <f>'Prof Serv'!N1587+'Prof Serv'!N1397</f>
        <v>0</v>
      </c>
      <c r="E101" s="124">
        <f>'Prof Serv'!N1207</f>
        <v>0</v>
      </c>
      <c r="F101" s="124">
        <f>Travel!P415+Travel!P603+Travel!P791+Travel!P979+Travel!P1167+Travel!P1355+Travel!P1543</f>
        <v>0</v>
      </c>
      <c r="G101" s="124">
        <f>'Other Operating Expenses'!N699</f>
        <v>0</v>
      </c>
      <c r="H101" s="124">
        <f>Supplies!N274</f>
        <v>0</v>
      </c>
      <c r="I101" s="124">
        <f>'Prof Serv'!N643+'Prof Serv'!N831+'Prof Serv'!N1019+'Prof Serv'!N1775+'Prof Serv'!N1963+'Prof Serv'!N2151</f>
        <v>0</v>
      </c>
      <c r="J101" s="124">
        <f>'Prof Serv'!N453</f>
        <v>0</v>
      </c>
      <c r="K101" s="124">
        <v>0</v>
      </c>
      <c r="L101" s="124">
        <v>0</v>
      </c>
      <c r="M101" s="124">
        <f t="shared" si="8"/>
        <v>58635.775200000004</v>
      </c>
      <c r="N101" s="282">
        <f>-'Other Operating Expenses'!N894</f>
        <v>0</v>
      </c>
      <c r="O101" s="282">
        <f>-'Other Operating Expenses'!N1084</f>
        <v>0</v>
      </c>
      <c r="P101" s="282"/>
      <c r="Q101" s="124">
        <f t="shared" si="9"/>
        <v>58635.775200000004</v>
      </c>
      <c r="R101" s="124"/>
      <c r="S101" s="124"/>
      <c r="T101" s="124">
        <f t="shared" si="12"/>
        <v>0</v>
      </c>
      <c r="U101" s="124">
        <f t="shared" si="13"/>
        <v>0</v>
      </c>
      <c r="V101" s="224" t="s">
        <v>1524</v>
      </c>
      <c r="AC101" s="628"/>
      <c r="AD101" s="297"/>
      <c r="AE101" s="628"/>
      <c r="AF101" s="48"/>
    </row>
    <row r="102" spans="1:32" s="236" customFormat="1" ht="15" x14ac:dyDescent="0.25">
      <c r="A102" s="123" t="s">
        <v>990</v>
      </c>
      <c r="B102" s="620"/>
      <c r="C102" s="124">
        <f>HR!Z734</f>
        <v>7710.3187199999993</v>
      </c>
      <c r="D102" s="124">
        <f>'Prof Serv'!N1588+'Prof Serv'!N1398</f>
        <v>0</v>
      </c>
      <c r="E102" s="124">
        <f>'Prof Serv'!N1208</f>
        <v>0</v>
      </c>
      <c r="F102" s="124">
        <f>Travel!P416+Travel!P604+Travel!P792+Travel!P980+Travel!P1168+Travel!P1356+Travel!P1544</f>
        <v>0</v>
      </c>
      <c r="G102" s="124">
        <f>'Other Operating Expenses'!N700</f>
        <v>0</v>
      </c>
      <c r="H102" s="124">
        <f>Supplies!N275</f>
        <v>0</v>
      </c>
      <c r="I102" s="124">
        <f>'Prof Serv'!N644+'Prof Serv'!N832+'Prof Serv'!N1020+'Prof Serv'!N1776+'Prof Serv'!N1964+'Prof Serv'!N2152</f>
        <v>0</v>
      </c>
      <c r="J102" s="124">
        <f>'Prof Serv'!N454</f>
        <v>0</v>
      </c>
      <c r="K102" s="124">
        <v>0</v>
      </c>
      <c r="L102" s="124">
        <v>0</v>
      </c>
      <c r="M102" s="124">
        <f t="shared" si="8"/>
        <v>7710.3187199999993</v>
      </c>
      <c r="N102" s="282">
        <f>-'Other Operating Expenses'!N895</f>
        <v>0</v>
      </c>
      <c r="O102" s="282">
        <f>-'Other Operating Expenses'!N1085</f>
        <v>0</v>
      </c>
      <c r="P102" s="282"/>
      <c r="Q102" s="124">
        <f t="shared" si="9"/>
        <v>7710.3187199999993</v>
      </c>
      <c r="R102" s="124"/>
      <c r="S102" s="124"/>
      <c r="T102" s="124">
        <f t="shared" si="12"/>
        <v>0</v>
      </c>
      <c r="U102" s="124">
        <f t="shared" si="13"/>
        <v>0</v>
      </c>
      <c r="V102" s="224" t="s">
        <v>1524</v>
      </c>
      <c r="AC102" s="628"/>
      <c r="AD102" s="297"/>
      <c r="AE102" s="628"/>
      <c r="AF102" s="48"/>
    </row>
    <row r="103" spans="1:32" s="236" customFormat="1" ht="15" x14ac:dyDescent="0.25">
      <c r="A103" s="123" t="s">
        <v>1040</v>
      </c>
      <c r="B103" s="620"/>
      <c r="C103" s="124">
        <f>HR!Z735</f>
        <v>17297.501759999999</v>
      </c>
      <c r="D103" s="124">
        <f>'Prof Serv'!N1589+'Prof Serv'!N1399</f>
        <v>0</v>
      </c>
      <c r="E103" s="124">
        <f>'Prof Serv'!N1209</f>
        <v>0</v>
      </c>
      <c r="F103" s="124">
        <f>Travel!P417+Travel!P605+Travel!P793+Travel!P981+Travel!P1169+Travel!P1357+Travel!P1545</f>
        <v>0</v>
      </c>
      <c r="G103" s="124">
        <f>'Other Operating Expenses'!N701</f>
        <v>0</v>
      </c>
      <c r="H103" s="124">
        <f>Supplies!N276</f>
        <v>0</v>
      </c>
      <c r="I103" s="124">
        <f>'Prof Serv'!N645+'Prof Serv'!N833+'Prof Serv'!N1021+'Prof Serv'!N1777+'Prof Serv'!N1965+'Prof Serv'!N2153</f>
        <v>0</v>
      </c>
      <c r="J103" s="124">
        <f>'Prof Serv'!N455</f>
        <v>0</v>
      </c>
      <c r="K103" s="124">
        <v>0</v>
      </c>
      <c r="L103" s="124">
        <v>0</v>
      </c>
      <c r="M103" s="124">
        <f t="shared" si="8"/>
        <v>17297.501759999999</v>
      </c>
      <c r="N103" s="282">
        <f>-'Other Operating Expenses'!N896</f>
        <v>0</v>
      </c>
      <c r="O103" s="282">
        <f>-'Other Operating Expenses'!N1086</f>
        <v>0</v>
      </c>
      <c r="P103" s="282"/>
      <c r="Q103" s="124">
        <f t="shared" si="9"/>
        <v>17297.501759999999</v>
      </c>
      <c r="R103" s="124"/>
      <c r="S103" s="124"/>
      <c r="T103" s="124">
        <f t="shared" ref="T103:T132" si="23">IF(V103="n/a",0,IF(S103&lt;&gt;"",0,ROUND(SUM(Q103)*10%,2)))</f>
        <v>0</v>
      </c>
      <c r="U103" s="124">
        <f t="shared" ref="U103:U132" si="24">IF(V103="n/a",0,SUM(M103,R103,S103,T103))</f>
        <v>0</v>
      </c>
      <c r="V103" s="224" t="s">
        <v>1524</v>
      </c>
      <c r="AC103" s="628"/>
      <c r="AD103" s="297"/>
      <c r="AE103" s="628"/>
      <c r="AF103" s="48"/>
    </row>
    <row r="104" spans="1:32" s="236" customFormat="1" ht="15" x14ac:dyDescent="0.25">
      <c r="A104" s="123" t="s">
        <v>991</v>
      </c>
      <c r="B104" s="620"/>
      <c r="C104" s="124">
        <f>HR!Z736</f>
        <v>0</v>
      </c>
      <c r="D104" s="124">
        <f>'Prof Serv'!N1590+'Prof Serv'!N1400</f>
        <v>0</v>
      </c>
      <c r="E104" s="124">
        <f>'Prof Serv'!N1210</f>
        <v>0</v>
      </c>
      <c r="F104" s="124">
        <f>Travel!P418+Travel!P606+Travel!P794+Travel!P982+Travel!P1170+Travel!P1358+Travel!P1546</f>
        <v>0</v>
      </c>
      <c r="G104" s="124">
        <f>'Other Operating Expenses'!N702</f>
        <v>0</v>
      </c>
      <c r="H104" s="124">
        <f>Supplies!N277</f>
        <v>0</v>
      </c>
      <c r="I104" s="124">
        <f>'Prof Serv'!N646+'Prof Serv'!N834+'Prof Serv'!N1022+'Prof Serv'!N1778+'Prof Serv'!N1966+'Prof Serv'!N2154</f>
        <v>0</v>
      </c>
      <c r="J104" s="124">
        <f>'Prof Serv'!N456</f>
        <v>0</v>
      </c>
      <c r="K104" s="124">
        <v>0</v>
      </c>
      <c r="L104" s="124">
        <v>0</v>
      </c>
      <c r="M104" s="124">
        <f t="shared" ref="M104:M165" si="25">SUM(C104:L104)</f>
        <v>0</v>
      </c>
      <c r="N104" s="282">
        <f>-'Other Operating Expenses'!N897</f>
        <v>0</v>
      </c>
      <c r="O104" s="282">
        <f>-'Other Operating Expenses'!N1087</f>
        <v>0</v>
      </c>
      <c r="P104" s="282"/>
      <c r="Q104" s="124">
        <f t="shared" ref="Q104:Q165" si="26">SUM(M104:P104)</f>
        <v>0</v>
      </c>
      <c r="R104" s="124"/>
      <c r="S104" s="124"/>
      <c r="T104" s="124">
        <f t="shared" si="23"/>
        <v>0</v>
      </c>
      <c r="U104" s="124">
        <f t="shared" si="24"/>
        <v>0</v>
      </c>
      <c r="V104" s="224" t="s">
        <v>1524</v>
      </c>
      <c r="AC104" s="628"/>
      <c r="AD104" s="297"/>
      <c r="AE104" s="628"/>
      <c r="AF104" s="48"/>
    </row>
    <row r="105" spans="1:32" s="236" customFormat="1" ht="15" x14ac:dyDescent="0.25">
      <c r="A105" s="123" t="s">
        <v>959</v>
      </c>
      <c r="B105" s="620"/>
      <c r="C105" s="124">
        <f>HR!Z737</f>
        <v>0</v>
      </c>
      <c r="D105" s="124">
        <f>'Prof Serv'!N1591+'Prof Serv'!N1401</f>
        <v>0</v>
      </c>
      <c r="E105" s="124">
        <f>'Prof Serv'!N1211</f>
        <v>0</v>
      </c>
      <c r="F105" s="124">
        <f>Travel!P419+Travel!P607+Travel!P795+Travel!P983+Travel!P1171+Travel!P1359+Travel!P1547</f>
        <v>0</v>
      </c>
      <c r="G105" s="124">
        <f>'Other Operating Expenses'!N703</f>
        <v>0</v>
      </c>
      <c r="H105" s="124">
        <f>Supplies!N278</f>
        <v>750</v>
      </c>
      <c r="I105" s="124">
        <f>'Prof Serv'!N647+'Prof Serv'!N835+'Prof Serv'!N1023+'Prof Serv'!N1779+'Prof Serv'!N1967+'Prof Serv'!N2155</f>
        <v>0</v>
      </c>
      <c r="J105" s="124">
        <f>'Prof Serv'!N457</f>
        <v>0</v>
      </c>
      <c r="K105" s="124">
        <v>0</v>
      </c>
      <c r="L105" s="124">
        <v>0</v>
      </c>
      <c r="M105" s="124">
        <f t="shared" si="25"/>
        <v>750</v>
      </c>
      <c r="N105" s="282">
        <f>-'Other Operating Expenses'!N898</f>
        <v>0</v>
      </c>
      <c r="O105" s="282">
        <f>-'Other Operating Expenses'!N1088</f>
        <v>0</v>
      </c>
      <c r="P105" s="282"/>
      <c r="Q105" s="124">
        <f t="shared" si="26"/>
        <v>750</v>
      </c>
      <c r="R105" s="124"/>
      <c r="S105" s="124"/>
      <c r="T105" s="124">
        <f t="shared" si="23"/>
        <v>0</v>
      </c>
      <c r="U105" s="124">
        <f t="shared" si="24"/>
        <v>0</v>
      </c>
      <c r="V105" s="224" t="s">
        <v>1524</v>
      </c>
      <c r="AC105" s="628"/>
      <c r="AD105" s="297"/>
      <c r="AE105" s="628"/>
      <c r="AF105" s="48"/>
    </row>
    <row r="106" spans="1:32" s="236" customFormat="1" ht="15" x14ac:dyDescent="0.25">
      <c r="A106" s="123" t="s">
        <v>964</v>
      </c>
      <c r="B106" s="620"/>
      <c r="C106" s="124">
        <f>HR!Z738</f>
        <v>0</v>
      </c>
      <c r="D106" s="124">
        <f>'Prof Serv'!N1592+'Prof Serv'!N1402</f>
        <v>0</v>
      </c>
      <c r="E106" s="124">
        <f>'Prof Serv'!N1212</f>
        <v>0</v>
      </c>
      <c r="F106" s="124">
        <f>Travel!P420+Travel!P608+Travel!P796+Travel!P984+Travel!P1172+Travel!P1360+Travel!P1548</f>
        <v>0</v>
      </c>
      <c r="G106" s="124">
        <f>'Other Operating Expenses'!N704</f>
        <v>0</v>
      </c>
      <c r="H106" s="124">
        <f>Supplies!N279</f>
        <v>4500</v>
      </c>
      <c r="I106" s="124">
        <f>'Prof Serv'!N648+'Prof Serv'!N836+'Prof Serv'!N1024+'Prof Serv'!N1780+'Prof Serv'!N1968+'Prof Serv'!N2156</f>
        <v>0</v>
      </c>
      <c r="J106" s="124">
        <f>'Prof Serv'!N458</f>
        <v>0</v>
      </c>
      <c r="K106" s="124">
        <v>0</v>
      </c>
      <c r="L106" s="124">
        <v>0</v>
      </c>
      <c r="M106" s="124">
        <f t="shared" si="25"/>
        <v>4500</v>
      </c>
      <c r="N106" s="282">
        <f>-'Other Operating Expenses'!N899</f>
        <v>0</v>
      </c>
      <c r="O106" s="282">
        <f>-'Other Operating Expenses'!N1089</f>
        <v>0</v>
      </c>
      <c r="P106" s="282"/>
      <c r="Q106" s="124">
        <f t="shared" si="26"/>
        <v>4500</v>
      </c>
      <c r="R106" s="124"/>
      <c r="S106" s="124"/>
      <c r="T106" s="124">
        <f t="shared" si="23"/>
        <v>0</v>
      </c>
      <c r="U106" s="124">
        <f t="shared" si="24"/>
        <v>0</v>
      </c>
      <c r="V106" s="224" t="s">
        <v>1524</v>
      </c>
      <c r="AC106" s="628"/>
      <c r="AD106" s="297"/>
      <c r="AE106" s="628"/>
      <c r="AF106" s="48"/>
    </row>
    <row r="107" spans="1:32" s="236" customFormat="1" ht="15" x14ac:dyDescent="0.25">
      <c r="A107" s="123" t="s">
        <v>1003</v>
      </c>
      <c r="B107" s="620"/>
      <c r="C107" s="124">
        <f>HR!Z739</f>
        <v>127093.433376</v>
      </c>
      <c r="D107" s="124">
        <f>'Prof Serv'!N1593+'Prof Serv'!N1403</f>
        <v>20000</v>
      </c>
      <c r="E107" s="124">
        <f>'Prof Serv'!N1213</f>
        <v>0</v>
      </c>
      <c r="F107" s="124">
        <f>Travel!P421+Travel!P609+Travel!P797+Travel!P985+Travel!P1173+Travel!P1361+Travel!P1549</f>
        <v>0</v>
      </c>
      <c r="G107" s="124">
        <f>'Other Operating Expenses'!N705</f>
        <v>0</v>
      </c>
      <c r="H107" s="124">
        <f>Supplies!N280</f>
        <v>0</v>
      </c>
      <c r="I107" s="124">
        <f>'Prof Serv'!N649+'Prof Serv'!N837+'Prof Serv'!N1025+'Prof Serv'!N1781+'Prof Serv'!N1969+'Prof Serv'!N2157</f>
        <v>0</v>
      </c>
      <c r="J107" s="124">
        <f>'Prof Serv'!N459</f>
        <v>0</v>
      </c>
      <c r="K107" s="124">
        <v>0</v>
      </c>
      <c r="L107" s="124">
        <v>0</v>
      </c>
      <c r="M107" s="124">
        <f t="shared" si="25"/>
        <v>147093.433376</v>
      </c>
      <c r="N107" s="282">
        <f>-'Other Operating Expenses'!N900</f>
        <v>0</v>
      </c>
      <c r="O107" s="282">
        <f>-'Other Operating Expenses'!N1090</f>
        <v>0</v>
      </c>
      <c r="P107" s="282"/>
      <c r="Q107" s="124">
        <f t="shared" si="26"/>
        <v>147093.433376</v>
      </c>
      <c r="R107" s="124"/>
      <c r="S107" s="124"/>
      <c r="T107" s="124">
        <f t="shared" si="23"/>
        <v>0</v>
      </c>
      <c r="U107" s="124">
        <f t="shared" si="24"/>
        <v>0</v>
      </c>
      <c r="V107" s="224" t="s">
        <v>1524</v>
      </c>
      <c r="AC107" s="628"/>
      <c r="AD107" s="297"/>
      <c r="AE107" s="628"/>
      <c r="AF107" s="48"/>
    </row>
    <row r="108" spans="1:32" s="236" customFormat="1" ht="15" x14ac:dyDescent="0.25">
      <c r="A108" s="123" t="s">
        <v>992</v>
      </c>
      <c r="B108" s="620"/>
      <c r="C108" s="124">
        <f>HR!Z740</f>
        <v>0</v>
      </c>
      <c r="D108" s="124">
        <f>'Prof Serv'!N1594+'Prof Serv'!N1404</f>
        <v>0</v>
      </c>
      <c r="E108" s="124">
        <f>'Prof Serv'!N1214</f>
        <v>0</v>
      </c>
      <c r="F108" s="124">
        <f>Travel!P422+Travel!P610+Travel!P798+Travel!P986+Travel!P1174+Travel!P1362+Travel!P1550</f>
        <v>0</v>
      </c>
      <c r="G108" s="124">
        <f>'Other Operating Expenses'!N706</f>
        <v>0</v>
      </c>
      <c r="H108" s="124">
        <f>Supplies!N281</f>
        <v>0</v>
      </c>
      <c r="I108" s="124">
        <f>'Prof Serv'!N650+'Prof Serv'!N838+'Prof Serv'!N1026+'Prof Serv'!N1782+'Prof Serv'!N1970+'Prof Serv'!N2158</f>
        <v>0</v>
      </c>
      <c r="J108" s="124">
        <f>'Prof Serv'!N460</f>
        <v>0</v>
      </c>
      <c r="K108" s="124">
        <v>0</v>
      </c>
      <c r="L108" s="124">
        <v>0</v>
      </c>
      <c r="M108" s="124">
        <f t="shared" si="25"/>
        <v>0</v>
      </c>
      <c r="N108" s="282">
        <f>-'Other Operating Expenses'!N901</f>
        <v>0</v>
      </c>
      <c r="O108" s="282">
        <f>-'Other Operating Expenses'!N1091</f>
        <v>0</v>
      </c>
      <c r="P108" s="282"/>
      <c r="Q108" s="124">
        <f t="shared" si="26"/>
        <v>0</v>
      </c>
      <c r="R108" s="124"/>
      <c r="S108" s="124"/>
      <c r="T108" s="124">
        <f t="shared" si="23"/>
        <v>0</v>
      </c>
      <c r="U108" s="124">
        <f t="shared" si="24"/>
        <v>0</v>
      </c>
      <c r="V108" s="224" t="s">
        <v>1524</v>
      </c>
      <c r="AC108" s="628"/>
      <c r="AD108" s="297"/>
      <c r="AE108" s="628"/>
      <c r="AF108" s="48"/>
    </row>
    <row r="109" spans="1:32" s="236" customFormat="1" ht="15" x14ac:dyDescent="0.25">
      <c r="A109" s="123" t="s">
        <v>994</v>
      </c>
      <c r="B109" s="620"/>
      <c r="C109" s="124">
        <f>HR!Z741</f>
        <v>69110.344128000012</v>
      </c>
      <c r="D109" s="124">
        <f>'Prof Serv'!N1595+'Prof Serv'!N1405</f>
        <v>0</v>
      </c>
      <c r="E109" s="124">
        <f>'Prof Serv'!N1215</f>
        <v>0</v>
      </c>
      <c r="F109" s="124">
        <f>Travel!P423+Travel!P611+Travel!P799+Travel!P987+Travel!P1175+Travel!P1363+Travel!P1551</f>
        <v>7000</v>
      </c>
      <c r="G109" s="124">
        <f>'Other Operating Expenses'!N707</f>
        <v>0</v>
      </c>
      <c r="H109" s="124">
        <f>Supplies!N282</f>
        <v>0</v>
      </c>
      <c r="I109" s="124">
        <f>'Prof Serv'!N651+'Prof Serv'!N839+'Prof Serv'!N1027+'Prof Serv'!N1783+'Prof Serv'!N1971+'Prof Serv'!N2159</f>
        <v>0</v>
      </c>
      <c r="J109" s="124">
        <f>'Prof Serv'!N461</f>
        <v>0</v>
      </c>
      <c r="K109" s="124">
        <v>0</v>
      </c>
      <c r="L109" s="124">
        <v>0</v>
      </c>
      <c r="M109" s="124">
        <f t="shared" si="25"/>
        <v>76110.344128000012</v>
      </c>
      <c r="N109" s="282">
        <f>-'Other Operating Expenses'!N902</f>
        <v>0</v>
      </c>
      <c r="O109" s="282">
        <f>-'Other Operating Expenses'!N1092</f>
        <v>0</v>
      </c>
      <c r="P109" s="282"/>
      <c r="Q109" s="124">
        <f t="shared" si="26"/>
        <v>76110.344128000012</v>
      </c>
      <c r="R109" s="124"/>
      <c r="S109" s="124"/>
      <c r="T109" s="124">
        <f t="shared" si="23"/>
        <v>0</v>
      </c>
      <c r="U109" s="124">
        <f t="shared" si="24"/>
        <v>0</v>
      </c>
      <c r="V109" s="224" t="s">
        <v>1524</v>
      </c>
      <c r="AC109" s="628"/>
      <c r="AD109" s="297"/>
      <c r="AE109" s="628"/>
      <c r="AF109" s="48"/>
    </row>
    <row r="110" spans="1:32" s="236" customFormat="1" ht="15" x14ac:dyDescent="0.25">
      <c r="A110" s="123" t="s">
        <v>993</v>
      </c>
      <c r="B110" s="620"/>
      <c r="C110" s="124">
        <f>HR!Z742</f>
        <v>263810.70108799997</v>
      </c>
      <c r="D110" s="124">
        <f>'Prof Serv'!N1596+'Prof Serv'!N1406</f>
        <v>54000</v>
      </c>
      <c r="E110" s="124">
        <f>'Prof Serv'!N1216</f>
        <v>0</v>
      </c>
      <c r="F110" s="124">
        <f>Travel!P424+Travel!P612+Travel!P800+Travel!P988+Travel!P1176+Travel!P1364+Travel!P1552</f>
        <v>49500</v>
      </c>
      <c r="G110" s="124">
        <f>'Other Operating Expenses'!N708</f>
        <v>0</v>
      </c>
      <c r="H110" s="124">
        <f>Supplies!N283</f>
        <v>0</v>
      </c>
      <c r="I110" s="124">
        <f>'Prof Serv'!N652+'Prof Serv'!N840+'Prof Serv'!N1028+'Prof Serv'!N1784+'Prof Serv'!N1972+'Prof Serv'!N2160</f>
        <v>0</v>
      </c>
      <c r="J110" s="124">
        <f>'Prof Serv'!N462</f>
        <v>0</v>
      </c>
      <c r="K110" s="124">
        <v>0</v>
      </c>
      <c r="L110" s="124">
        <v>0</v>
      </c>
      <c r="M110" s="124">
        <f t="shared" si="25"/>
        <v>367310.70108799997</v>
      </c>
      <c r="N110" s="282">
        <f>-'Other Operating Expenses'!N903</f>
        <v>0</v>
      </c>
      <c r="O110" s="282">
        <f>-'Other Operating Expenses'!N1093</f>
        <v>0</v>
      </c>
      <c r="P110" s="282"/>
      <c r="Q110" s="124">
        <f t="shared" si="26"/>
        <v>367310.70108799997</v>
      </c>
      <c r="R110" s="124"/>
      <c r="S110" s="124"/>
      <c r="T110" s="124">
        <f t="shared" si="23"/>
        <v>0</v>
      </c>
      <c r="U110" s="124">
        <f t="shared" si="24"/>
        <v>0</v>
      </c>
      <c r="V110" s="224" t="s">
        <v>1524</v>
      </c>
      <c r="AC110" s="628"/>
      <c r="AD110" s="297"/>
      <c r="AE110" s="628"/>
      <c r="AF110" s="48"/>
    </row>
    <row r="111" spans="1:32" s="236" customFormat="1" ht="15" x14ac:dyDescent="0.25">
      <c r="A111" s="123" t="s">
        <v>995</v>
      </c>
      <c r="B111" s="620"/>
      <c r="C111" s="124">
        <f>HR!Z743</f>
        <v>111625.76131200002</v>
      </c>
      <c r="D111" s="124">
        <f>'Prof Serv'!N1597+'Prof Serv'!N1407</f>
        <v>6730</v>
      </c>
      <c r="E111" s="124">
        <f>'Prof Serv'!N1217</f>
        <v>0</v>
      </c>
      <c r="F111" s="124">
        <f>Travel!P425+Travel!P613+Travel!P801+Travel!P989+Travel!P1177+Travel!P1365+Travel!P1553</f>
        <v>15000</v>
      </c>
      <c r="G111" s="124">
        <f>'Other Operating Expenses'!N709</f>
        <v>0</v>
      </c>
      <c r="H111" s="124">
        <f>Supplies!N284</f>
        <v>0</v>
      </c>
      <c r="I111" s="124">
        <f>'Prof Serv'!N653+'Prof Serv'!N841+'Prof Serv'!N1029+'Prof Serv'!N1785+'Prof Serv'!N1973+'Prof Serv'!N2161</f>
        <v>0</v>
      </c>
      <c r="J111" s="124">
        <f>'Prof Serv'!N463</f>
        <v>0</v>
      </c>
      <c r="K111" s="124">
        <v>0</v>
      </c>
      <c r="L111" s="124">
        <v>0</v>
      </c>
      <c r="M111" s="124">
        <f t="shared" si="25"/>
        <v>133355.76131200002</v>
      </c>
      <c r="N111" s="282">
        <f>-'Other Operating Expenses'!N904</f>
        <v>0</v>
      </c>
      <c r="O111" s="282">
        <f>-'Other Operating Expenses'!N1094</f>
        <v>0</v>
      </c>
      <c r="P111" s="282"/>
      <c r="Q111" s="124">
        <f t="shared" si="26"/>
        <v>133355.76131200002</v>
      </c>
      <c r="R111" s="124"/>
      <c r="S111" s="124"/>
      <c r="T111" s="124">
        <f t="shared" si="23"/>
        <v>0</v>
      </c>
      <c r="U111" s="124">
        <f t="shared" si="24"/>
        <v>0</v>
      </c>
      <c r="V111" s="224" t="s">
        <v>1524</v>
      </c>
      <c r="AC111" s="628"/>
      <c r="AD111" s="297"/>
      <c r="AE111" s="628"/>
      <c r="AF111" s="48"/>
    </row>
    <row r="112" spans="1:32" s="236" customFormat="1" ht="15" x14ac:dyDescent="0.25">
      <c r="A112" s="123" t="s">
        <v>1001</v>
      </c>
      <c r="B112" s="620"/>
      <c r="C112" s="124">
        <f>HR!Z744</f>
        <v>0</v>
      </c>
      <c r="D112" s="124">
        <f>'Prof Serv'!N1598+'Prof Serv'!N1408</f>
        <v>0</v>
      </c>
      <c r="E112" s="124">
        <f>'Prof Serv'!N1218</f>
        <v>0</v>
      </c>
      <c r="F112" s="124">
        <f>Travel!P426+Travel!P614+Travel!P802+Travel!P990+Travel!P1178+Travel!P1366+Travel!P1554</f>
        <v>0</v>
      </c>
      <c r="G112" s="124">
        <f>'Other Operating Expenses'!N710</f>
        <v>0</v>
      </c>
      <c r="H112" s="124">
        <f>Supplies!N285</f>
        <v>0</v>
      </c>
      <c r="I112" s="124">
        <f>'Prof Serv'!N654+'Prof Serv'!N842+'Prof Serv'!N1030+'Prof Serv'!N1786+'Prof Serv'!N1974+'Prof Serv'!N2162</f>
        <v>0</v>
      </c>
      <c r="J112" s="124">
        <f>'Prof Serv'!N464</f>
        <v>0</v>
      </c>
      <c r="K112" s="124">
        <v>0</v>
      </c>
      <c r="L112" s="124">
        <v>0</v>
      </c>
      <c r="M112" s="124">
        <f t="shared" si="25"/>
        <v>0</v>
      </c>
      <c r="N112" s="282">
        <f>-'Other Operating Expenses'!N905</f>
        <v>0</v>
      </c>
      <c r="O112" s="282">
        <f>-'Other Operating Expenses'!N1095</f>
        <v>0</v>
      </c>
      <c r="P112" s="282"/>
      <c r="Q112" s="124">
        <f t="shared" si="26"/>
        <v>0</v>
      </c>
      <c r="R112" s="124"/>
      <c r="S112" s="124"/>
      <c r="T112" s="124">
        <f t="shared" si="23"/>
        <v>0</v>
      </c>
      <c r="U112" s="124">
        <f t="shared" si="24"/>
        <v>0</v>
      </c>
      <c r="V112" s="224" t="s">
        <v>1524</v>
      </c>
      <c r="AC112" s="628"/>
      <c r="AD112" s="297"/>
      <c r="AE112" s="628"/>
      <c r="AF112" s="48"/>
    </row>
    <row r="113" spans="1:32" s="236" customFormat="1" ht="15" x14ac:dyDescent="0.25">
      <c r="A113" s="123" t="s">
        <v>978</v>
      </c>
      <c r="B113" s="620"/>
      <c r="C113" s="124">
        <f>HR!Z745</f>
        <v>70886.865218000006</v>
      </c>
      <c r="D113" s="124">
        <f>'Prof Serv'!N1599+'Prof Serv'!N1409</f>
        <v>0</v>
      </c>
      <c r="E113" s="124">
        <f>'Prof Serv'!N1219</f>
        <v>0</v>
      </c>
      <c r="F113" s="124">
        <f>Travel!P427+Travel!P615+Travel!P803+Travel!P991+Travel!P1179+Travel!P1367+Travel!P1555</f>
        <v>0</v>
      </c>
      <c r="G113" s="124">
        <f>'Other Operating Expenses'!N711</f>
        <v>0</v>
      </c>
      <c r="H113" s="124">
        <f>Supplies!N286</f>
        <v>0</v>
      </c>
      <c r="I113" s="124">
        <f>'Prof Serv'!N655+'Prof Serv'!N843+'Prof Serv'!N1031+'Prof Serv'!N1787+'Prof Serv'!N1975+'Prof Serv'!N2163</f>
        <v>0</v>
      </c>
      <c r="J113" s="124">
        <f>'Prof Serv'!N465</f>
        <v>0</v>
      </c>
      <c r="K113" s="124">
        <v>0</v>
      </c>
      <c r="L113" s="124">
        <v>0</v>
      </c>
      <c r="M113" s="124">
        <f t="shared" si="25"/>
        <v>70886.865218000006</v>
      </c>
      <c r="N113" s="282">
        <f>-'Other Operating Expenses'!N906</f>
        <v>0</v>
      </c>
      <c r="O113" s="282">
        <f>-'Other Operating Expenses'!N1096</f>
        <v>0</v>
      </c>
      <c r="P113" s="282"/>
      <c r="Q113" s="124">
        <f t="shared" si="26"/>
        <v>70886.865218000006</v>
      </c>
      <c r="R113" s="124"/>
      <c r="S113" s="124"/>
      <c r="T113" s="124">
        <f t="shared" si="23"/>
        <v>7088.69</v>
      </c>
      <c r="U113" s="124">
        <f t="shared" si="24"/>
        <v>77975.555218000009</v>
      </c>
      <c r="V113" s="224">
        <v>172</v>
      </c>
      <c r="AC113" s="628"/>
      <c r="AD113" s="297"/>
      <c r="AE113" s="628"/>
      <c r="AF113" s="48"/>
    </row>
    <row r="114" spans="1:32" s="236" customFormat="1" ht="15" x14ac:dyDescent="0.25">
      <c r="A114" s="123" t="s">
        <v>494</v>
      </c>
      <c r="B114" s="620"/>
      <c r="C114" s="124">
        <f>HR!Z746</f>
        <v>0</v>
      </c>
      <c r="D114" s="124">
        <f>'Prof Serv'!N1600+'Prof Serv'!N1410</f>
        <v>0</v>
      </c>
      <c r="E114" s="124">
        <f>'Prof Serv'!N1220</f>
        <v>0</v>
      </c>
      <c r="F114" s="124">
        <f>Travel!P428+Travel!P616+Travel!P804+Travel!P992+Travel!P1180+Travel!P1368+Travel!P1556</f>
        <v>0</v>
      </c>
      <c r="G114" s="124">
        <f>'Other Operating Expenses'!N712</f>
        <v>23185</v>
      </c>
      <c r="H114" s="124">
        <f>Supplies!N287</f>
        <v>0</v>
      </c>
      <c r="I114" s="124">
        <f>'Prof Serv'!N656+'Prof Serv'!N844+'Prof Serv'!N1032+'Prof Serv'!N1788+'Prof Serv'!N1976+'Prof Serv'!N2164</f>
        <v>0</v>
      </c>
      <c r="J114" s="124">
        <f>'Prof Serv'!N466</f>
        <v>0</v>
      </c>
      <c r="K114" s="124">
        <v>0</v>
      </c>
      <c r="L114" s="124">
        <v>0</v>
      </c>
      <c r="M114" s="124">
        <f t="shared" si="25"/>
        <v>23185</v>
      </c>
      <c r="N114" s="282">
        <f>-'Other Operating Expenses'!N907</f>
        <v>0</v>
      </c>
      <c r="O114" s="282">
        <f>-'Other Operating Expenses'!N1097</f>
        <v>0</v>
      </c>
      <c r="P114" s="282"/>
      <c r="Q114" s="124">
        <f t="shared" si="26"/>
        <v>23185</v>
      </c>
      <c r="R114" s="124"/>
      <c r="S114" s="124"/>
      <c r="T114" s="124">
        <f t="shared" si="23"/>
        <v>0</v>
      </c>
      <c r="U114" s="124">
        <f t="shared" si="24"/>
        <v>0</v>
      </c>
      <c r="V114" s="224" t="s">
        <v>1524</v>
      </c>
      <c r="AC114" s="628"/>
      <c r="AD114" s="297"/>
      <c r="AE114" s="628"/>
      <c r="AF114" s="48"/>
    </row>
    <row r="115" spans="1:32" s="236" customFormat="1" ht="15" x14ac:dyDescent="0.25">
      <c r="A115" s="123" t="s">
        <v>976</v>
      </c>
      <c r="B115" s="620"/>
      <c r="C115" s="124">
        <f>HR!Z747</f>
        <v>77352.899610400011</v>
      </c>
      <c r="D115" s="124">
        <f>'Prof Serv'!N1601+'Prof Serv'!N1411</f>
        <v>0</v>
      </c>
      <c r="E115" s="124">
        <f>'Prof Serv'!N1221</f>
        <v>0</v>
      </c>
      <c r="F115" s="124">
        <f>Travel!P429+Travel!P617+Travel!P805+Travel!P993+Travel!P1181+Travel!P1369+Travel!P1557</f>
        <v>9147</v>
      </c>
      <c r="G115" s="124">
        <f>'Other Operating Expenses'!N713</f>
        <v>0</v>
      </c>
      <c r="H115" s="124">
        <f>Supplies!N288</f>
        <v>0</v>
      </c>
      <c r="I115" s="124">
        <f>'Prof Serv'!N657+'Prof Serv'!N845+'Prof Serv'!N1033+'Prof Serv'!N1789+'Prof Serv'!N1977+'Prof Serv'!N2165</f>
        <v>0</v>
      </c>
      <c r="J115" s="124">
        <f>'Prof Serv'!N467</f>
        <v>0</v>
      </c>
      <c r="K115" s="124">
        <v>0</v>
      </c>
      <c r="L115" s="124">
        <v>0</v>
      </c>
      <c r="M115" s="124">
        <f t="shared" si="25"/>
        <v>86499.899610400011</v>
      </c>
      <c r="N115" s="282">
        <f>-'Other Operating Expenses'!N908</f>
        <v>0</v>
      </c>
      <c r="O115" s="282">
        <f>-'Other Operating Expenses'!N1098</f>
        <v>0</v>
      </c>
      <c r="P115" s="282"/>
      <c r="Q115" s="124">
        <f t="shared" si="26"/>
        <v>86499.899610400011</v>
      </c>
      <c r="R115" s="124"/>
      <c r="S115" s="124"/>
      <c r="T115" s="124"/>
      <c r="U115" s="124">
        <f t="shared" si="24"/>
        <v>86499.899610400011</v>
      </c>
      <c r="V115" s="224">
        <v>172</v>
      </c>
      <c r="AC115" s="628"/>
      <c r="AD115" s="297"/>
      <c r="AE115" s="628"/>
      <c r="AF115" s="48"/>
    </row>
    <row r="116" spans="1:32" s="236" customFormat="1" ht="15" x14ac:dyDescent="0.25">
      <c r="A116" s="123" t="s">
        <v>1002</v>
      </c>
      <c r="B116" s="620"/>
      <c r="C116" s="124">
        <f>HR!Z748</f>
        <v>0</v>
      </c>
      <c r="D116" s="124">
        <f>'Prof Serv'!N1602+'Prof Serv'!N1412</f>
        <v>0</v>
      </c>
      <c r="E116" s="124">
        <f>'Prof Serv'!N1222</f>
        <v>0</v>
      </c>
      <c r="F116" s="124">
        <f>Travel!P430+Travel!P618+Travel!P806+Travel!P994+Travel!P1182+Travel!P1370+Travel!P1558</f>
        <v>0</v>
      </c>
      <c r="G116" s="124">
        <f>'Other Operating Expenses'!N714</f>
        <v>14018</v>
      </c>
      <c r="H116" s="124">
        <f>Supplies!N289</f>
        <v>0</v>
      </c>
      <c r="I116" s="124">
        <f>'Prof Serv'!N658+'Prof Serv'!N846+'Prof Serv'!N1034+'Prof Serv'!N1790+'Prof Serv'!N1978+'Prof Serv'!N2166</f>
        <v>0</v>
      </c>
      <c r="J116" s="124">
        <f>'Prof Serv'!N468</f>
        <v>0</v>
      </c>
      <c r="K116" s="124">
        <v>0</v>
      </c>
      <c r="L116" s="124">
        <v>0</v>
      </c>
      <c r="M116" s="124">
        <f t="shared" si="25"/>
        <v>14018</v>
      </c>
      <c r="N116" s="282">
        <f>-'Other Operating Expenses'!N909</f>
        <v>0</v>
      </c>
      <c r="O116" s="282">
        <f>-'Other Operating Expenses'!N1099</f>
        <v>0</v>
      </c>
      <c r="P116" s="282"/>
      <c r="Q116" s="124">
        <f t="shared" si="26"/>
        <v>14018</v>
      </c>
      <c r="R116" s="124">
        <f>IF(V116&lt;&gt;"n/a",C116*33.33%*47%,0)</f>
        <v>0</v>
      </c>
      <c r="S116" s="124">
        <f>IF(V116&lt;&gt;"n/a",Q116*66.67%*10%,0)</f>
        <v>0</v>
      </c>
      <c r="T116" s="124">
        <f t="shared" si="23"/>
        <v>0</v>
      </c>
      <c r="U116" s="124">
        <f t="shared" si="24"/>
        <v>0</v>
      </c>
      <c r="V116" s="224" t="s">
        <v>1524</v>
      </c>
      <c r="AC116" s="628"/>
      <c r="AD116" s="297"/>
      <c r="AE116" s="628"/>
      <c r="AF116" s="48"/>
    </row>
    <row r="117" spans="1:32" s="236" customFormat="1" ht="15" x14ac:dyDescent="0.25">
      <c r="A117" s="123" t="s">
        <v>1014</v>
      </c>
      <c r="B117" s="620"/>
      <c r="C117" s="124">
        <f>HR!Z749</f>
        <v>0</v>
      </c>
      <c r="D117" s="124">
        <f>'Prof Serv'!N1603+'Prof Serv'!N1413</f>
        <v>0</v>
      </c>
      <c r="E117" s="124">
        <f>'Prof Serv'!N1223</f>
        <v>0</v>
      </c>
      <c r="F117" s="124">
        <f>Travel!P431+Travel!P619+Travel!P807+Travel!P995+Travel!P1183+Travel!P1371+Travel!P1559</f>
        <v>0</v>
      </c>
      <c r="G117" s="124">
        <f>'Other Operating Expenses'!N715</f>
        <v>0</v>
      </c>
      <c r="H117" s="124">
        <f>Supplies!N290</f>
        <v>870</v>
      </c>
      <c r="I117" s="124">
        <f>'Prof Serv'!N659+'Prof Serv'!N847+'Prof Serv'!N1035+'Prof Serv'!N1791+'Prof Serv'!N1979+'Prof Serv'!N2167</f>
        <v>0</v>
      </c>
      <c r="J117" s="124">
        <f>'Prof Serv'!N469</f>
        <v>0</v>
      </c>
      <c r="K117" s="124">
        <v>0</v>
      </c>
      <c r="L117" s="124">
        <v>0</v>
      </c>
      <c r="M117" s="124">
        <f t="shared" si="25"/>
        <v>870</v>
      </c>
      <c r="N117" s="282">
        <f>-'Other Operating Expenses'!N910</f>
        <v>0</v>
      </c>
      <c r="O117" s="282">
        <f>-'Other Operating Expenses'!N1100</f>
        <v>0</v>
      </c>
      <c r="P117" s="282"/>
      <c r="Q117" s="124">
        <f t="shared" si="26"/>
        <v>870</v>
      </c>
      <c r="R117" s="124">
        <f>IF(V117&lt;&gt;"n/a",C117*33.33%*47%,0)</f>
        <v>0</v>
      </c>
      <c r="S117" s="124">
        <f>IF(V117&lt;&gt;"n/a",Q117*66.67%*10%,0)</f>
        <v>0</v>
      </c>
      <c r="T117" s="124">
        <f t="shared" si="23"/>
        <v>0</v>
      </c>
      <c r="U117" s="124">
        <f t="shared" si="24"/>
        <v>0</v>
      </c>
      <c r="V117" s="224" t="s">
        <v>1524</v>
      </c>
      <c r="AC117" s="628"/>
      <c r="AD117" s="297"/>
      <c r="AE117" s="628"/>
      <c r="AF117" s="48"/>
    </row>
    <row r="118" spans="1:32" s="236" customFormat="1" ht="15" x14ac:dyDescent="0.25">
      <c r="A118" s="123" t="s">
        <v>998</v>
      </c>
      <c r="B118" s="620"/>
      <c r="C118" s="124">
        <f>HR!Z750</f>
        <v>0</v>
      </c>
      <c r="D118" s="124">
        <f>'Prof Serv'!N1604+'Prof Serv'!N1414</f>
        <v>0</v>
      </c>
      <c r="E118" s="124">
        <f>'Prof Serv'!N1224</f>
        <v>0</v>
      </c>
      <c r="F118" s="124">
        <f>Travel!P432+Travel!P620+Travel!P808+Travel!P996+Travel!P1184+Travel!P1372+Travel!P1560</f>
        <v>0</v>
      </c>
      <c r="G118" s="124">
        <f>'Other Operating Expenses'!N716</f>
        <v>0</v>
      </c>
      <c r="H118" s="124">
        <f>Supplies!N291</f>
        <v>0</v>
      </c>
      <c r="I118" s="124">
        <f>'Prof Serv'!N660+'Prof Serv'!N848+'Prof Serv'!N1036+'Prof Serv'!N1792+'Prof Serv'!N1980+'Prof Serv'!N2168</f>
        <v>0</v>
      </c>
      <c r="J118" s="124">
        <f>'Prof Serv'!N470</f>
        <v>0</v>
      </c>
      <c r="K118" s="124">
        <v>0</v>
      </c>
      <c r="L118" s="124">
        <v>0</v>
      </c>
      <c r="M118" s="124">
        <f t="shared" si="25"/>
        <v>0</v>
      </c>
      <c r="N118" s="282">
        <f>-'Other Operating Expenses'!N911</f>
        <v>0</v>
      </c>
      <c r="O118" s="282">
        <f>-'Other Operating Expenses'!N1101</f>
        <v>0</v>
      </c>
      <c r="P118" s="282"/>
      <c r="Q118" s="124">
        <f t="shared" si="26"/>
        <v>0</v>
      </c>
      <c r="R118" s="124">
        <f>IF(V118&lt;&gt;"n/a",C118*33.33%*47%,0)</f>
        <v>0</v>
      </c>
      <c r="S118" s="124">
        <f>IF(V118&lt;&gt;"n/a",Q118*66.67%*10%,0)</f>
        <v>0</v>
      </c>
      <c r="T118" s="124">
        <f t="shared" si="23"/>
        <v>0</v>
      </c>
      <c r="U118" s="124">
        <f t="shared" si="24"/>
        <v>0</v>
      </c>
      <c r="V118" s="224" t="s">
        <v>1524</v>
      </c>
      <c r="AC118" s="628"/>
      <c r="AD118" s="297"/>
      <c r="AE118" s="628"/>
      <c r="AF118" s="48"/>
    </row>
    <row r="119" spans="1:32" s="236" customFormat="1" ht="15" x14ac:dyDescent="0.25">
      <c r="A119" s="123" t="s">
        <v>996</v>
      </c>
      <c r="B119" s="620"/>
      <c r="C119" s="124">
        <f>HR!Z751</f>
        <v>0</v>
      </c>
      <c r="D119" s="124">
        <f>'Prof Serv'!N1605+'Prof Serv'!N1415</f>
        <v>0</v>
      </c>
      <c r="E119" s="124">
        <f>'Prof Serv'!N1225</f>
        <v>0</v>
      </c>
      <c r="F119" s="124">
        <f>Travel!P433+Travel!P621+Travel!P809+Travel!P997+Travel!P1185+Travel!P1373+Travel!P1561</f>
        <v>0</v>
      </c>
      <c r="G119" s="124">
        <f>'Other Operating Expenses'!N717</f>
        <v>0</v>
      </c>
      <c r="H119" s="124">
        <f>Supplies!N292</f>
        <v>0</v>
      </c>
      <c r="I119" s="124">
        <f>'Prof Serv'!N661+'Prof Serv'!N849+'Prof Serv'!N1037+'Prof Serv'!N1793+'Prof Serv'!N1981+'Prof Serv'!N2169</f>
        <v>0</v>
      </c>
      <c r="J119" s="124">
        <f>'Prof Serv'!N471</f>
        <v>0</v>
      </c>
      <c r="K119" s="124">
        <v>0</v>
      </c>
      <c r="L119" s="124">
        <v>0</v>
      </c>
      <c r="M119" s="124">
        <f t="shared" si="25"/>
        <v>0</v>
      </c>
      <c r="N119" s="282">
        <f>-'Other Operating Expenses'!N912</f>
        <v>0</v>
      </c>
      <c r="O119" s="282">
        <f>-'Other Operating Expenses'!N1102</f>
        <v>0</v>
      </c>
      <c r="P119" s="282"/>
      <c r="Q119" s="124">
        <f t="shared" si="26"/>
        <v>0</v>
      </c>
      <c r="R119" s="124">
        <f>IF(V119&lt;&gt;"n/a",C119*33.33%*47%,0)</f>
        <v>0</v>
      </c>
      <c r="S119" s="124">
        <f>IF(V119&lt;&gt;"n/a",Q119*66.67%*10%,0)</f>
        <v>0</v>
      </c>
      <c r="T119" s="124">
        <f t="shared" si="23"/>
        <v>0</v>
      </c>
      <c r="U119" s="124">
        <f t="shared" si="24"/>
        <v>0</v>
      </c>
      <c r="V119" s="224" t="s">
        <v>1524</v>
      </c>
      <c r="AC119" s="628"/>
      <c r="AD119" s="297"/>
      <c r="AE119" s="628"/>
      <c r="AF119" s="48"/>
    </row>
    <row r="120" spans="1:32" s="236" customFormat="1" ht="15" x14ac:dyDescent="0.25">
      <c r="A120" s="123" t="s">
        <v>1043</v>
      </c>
      <c r="B120" s="620"/>
      <c r="C120" s="124">
        <f>HR!Z752</f>
        <v>0</v>
      </c>
      <c r="D120" s="124">
        <f>'Prof Serv'!N1606+'Prof Serv'!N1416</f>
        <v>0</v>
      </c>
      <c r="E120" s="124">
        <f>'Prof Serv'!N1226</f>
        <v>0</v>
      </c>
      <c r="F120" s="124">
        <f>Travel!P434+Travel!P622+Travel!P810+Travel!P998+Travel!P1186+Travel!P1374+Travel!P1562</f>
        <v>0</v>
      </c>
      <c r="G120" s="124">
        <f>'Other Operating Expenses'!N718</f>
        <v>0</v>
      </c>
      <c r="H120" s="124">
        <f>Supplies!N293</f>
        <v>0</v>
      </c>
      <c r="I120" s="124">
        <f>'Prof Serv'!N662+'Prof Serv'!N850+'Prof Serv'!N1038+'Prof Serv'!N1794+'Prof Serv'!N1982+'Prof Serv'!N2170</f>
        <v>0</v>
      </c>
      <c r="J120" s="124">
        <f>'Prof Serv'!N472</f>
        <v>0</v>
      </c>
      <c r="K120" s="124">
        <v>0</v>
      </c>
      <c r="L120" s="124">
        <v>0</v>
      </c>
      <c r="M120" s="124">
        <f t="shared" si="25"/>
        <v>0</v>
      </c>
      <c r="N120" s="282">
        <f>-'Other Operating Expenses'!N913</f>
        <v>0</v>
      </c>
      <c r="O120" s="282">
        <f>-'Other Operating Expenses'!N1103</f>
        <v>0</v>
      </c>
      <c r="P120" s="282"/>
      <c r="Q120" s="124">
        <f t="shared" si="26"/>
        <v>0</v>
      </c>
      <c r="R120" s="124"/>
      <c r="S120" s="124"/>
      <c r="T120" s="124">
        <f t="shared" si="23"/>
        <v>0</v>
      </c>
      <c r="U120" s="124">
        <f t="shared" si="24"/>
        <v>0</v>
      </c>
      <c r="V120" s="224" t="s">
        <v>1524</v>
      </c>
      <c r="AC120" s="628"/>
      <c r="AD120" s="297"/>
      <c r="AE120" s="628"/>
      <c r="AF120" s="48"/>
    </row>
    <row r="121" spans="1:32" s="236" customFormat="1" ht="15" x14ac:dyDescent="0.25">
      <c r="A121" s="123" t="s">
        <v>1044</v>
      </c>
      <c r="B121" s="620"/>
      <c r="C121" s="124">
        <f>HR!Z753</f>
        <v>25377.979328000001</v>
      </c>
      <c r="D121" s="124">
        <f>'Prof Serv'!N1607+'Prof Serv'!N1417</f>
        <v>50</v>
      </c>
      <c r="E121" s="124">
        <f>'Prof Serv'!N1227</f>
        <v>0</v>
      </c>
      <c r="F121" s="124">
        <f>Travel!P435+Travel!P623+Travel!P811+Travel!P999+Travel!P1187+Travel!P1375+Travel!P1563</f>
        <v>0</v>
      </c>
      <c r="G121" s="124">
        <f>'Other Operating Expenses'!N719</f>
        <v>0</v>
      </c>
      <c r="H121" s="124">
        <f>Supplies!N294</f>
        <v>1000</v>
      </c>
      <c r="I121" s="124">
        <f>'Prof Serv'!N663+'Prof Serv'!N851+'Prof Serv'!N1039+'Prof Serv'!N1795+'Prof Serv'!N1983+'Prof Serv'!N2171</f>
        <v>93.490000000000009</v>
      </c>
      <c r="J121" s="124">
        <f>'Prof Serv'!N473</f>
        <v>750</v>
      </c>
      <c r="K121" s="124">
        <v>0</v>
      </c>
      <c r="L121" s="124">
        <v>0</v>
      </c>
      <c r="M121" s="124">
        <f t="shared" si="25"/>
        <v>27271.469328000003</v>
      </c>
      <c r="N121" s="282">
        <f>-'Other Operating Expenses'!N914</f>
        <v>0</v>
      </c>
      <c r="O121" s="282">
        <f>-'Other Operating Expenses'!N1104</f>
        <v>0</v>
      </c>
      <c r="P121" s="282"/>
      <c r="Q121" s="124">
        <f t="shared" si="26"/>
        <v>27271.469328000003</v>
      </c>
      <c r="R121" s="124"/>
      <c r="S121" s="124"/>
      <c r="T121" s="124">
        <f t="shared" si="23"/>
        <v>2727.15</v>
      </c>
      <c r="U121" s="124">
        <f t="shared" si="24"/>
        <v>29998.619328000004</v>
      </c>
      <c r="V121" s="224">
        <v>178</v>
      </c>
      <c r="AC121" s="628"/>
      <c r="AD121" s="297"/>
      <c r="AE121" s="628"/>
      <c r="AF121" s="48"/>
    </row>
    <row r="122" spans="1:32" s="236" customFormat="1" ht="15" x14ac:dyDescent="0.25">
      <c r="A122" s="123" t="s">
        <v>1039</v>
      </c>
      <c r="B122" s="620"/>
      <c r="C122" s="124">
        <f>HR!Z754</f>
        <v>20310.294975999997</v>
      </c>
      <c r="D122" s="124">
        <f>'Prof Serv'!N1608+'Prof Serv'!N1418</f>
        <v>0</v>
      </c>
      <c r="E122" s="124">
        <f>'Prof Serv'!N1228</f>
        <v>0</v>
      </c>
      <c r="F122" s="124">
        <f>Travel!P436+Travel!P624+Travel!P812+Travel!P1000+Travel!P1188+Travel!P1376+Travel!P1564</f>
        <v>0</v>
      </c>
      <c r="G122" s="124">
        <f>'Other Operating Expenses'!N720</f>
        <v>4346.68</v>
      </c>
      <c r="H122" s="124">
        <f>Supplies!N295</f>
        <v>0</v>
      </c>
      <c r="I122" s="124">
        <f>'Prof Serv'!N664+'Prof Serv'!N852+'Prof Serv'!N1040+'Prof Serv'!N1796+'Prof Serv'!N1984+'Prof Serv'!N2172</f>
        <v>0</v>
      </c>
      <c r="J122" s="124">
        <f>'Prof Serv'!N474</f>
        <v>0</v>
      </c>
      <c r="K122" s="124">
        <v>0</v>
      </c>
      <c r="L122" s="124">
        <v>0</v>
      </c>
      <c r="M122" s="124">
        <f t="shared" si="25"/>
        <v>24656.974975999998</v>
      </c>
      <c r="N122" s="282">
        <f>-'Other Operating Expenses'!N915</f>
        <v>0</v>
      </c>
      <c r="O122" s="282">
        <f>-'Other Operating Expenses'!N1105</f>
        <v>0</v>
      </c>
      <c r="P122" s="282"/>
      <c r="Q122" s="124">
        <f t="shared" si="26"/>
        <v>24656.974975999998</v>
      </c>
      <c r="R122" s="124"/>
      <c r="S122" s="124"/>
      <c r="T122" s="124">
        <f t="shared" si="23"/>
        <v>0</v>
      </c>
      <c r="U122" s="124">
        <f t="shared" si="24"/>
        <v>0</v>
      </c>
      <c r="V122" s="224" t="s">
        <v>1524</v>
      </c>
      <c r="AC122" s="628"/>
      <c r="AD122" s="297"/>
      <c r="AE122" s="628"/>
      <c r="AF122" s="48"/>
    </row>
    <row r="123" spans="1:32" s="236" customFormat="1" ht="15" x14ac:dyDescent="0.25">
      <c r="A123" s="123" t="s">
        <v>113</v>
      </c>
      <c r="B123" s="620"/>
      <c r="C123" s="124">
        <f>HR!Z755</f>
        <v>53067.934399999998</v>
      </c>
      <c r="D123" s="124">
        <f>'Prof Serv'!N1611+'Prof Serv'!N1421</f>
        <v>3</v>
      </c>
      <c r="E123" s="124">
        <f>'Prof Serv'!N1231</f>
        <v>0</v>
      </c>
      <c r="F123" s="124">
        <f>Travel!P439+Travel!P627+Travel!P815+Travel!P1003+Travel!P1191+Travel!P1379+Travel!P1567</f>
        <v>13000</v>
      </c>
      <c r="G123" s="124">
        <f>'Other Operating Expenses'!N721</f>
        <v>0</v>
      </c>
      <c r="H123" s="124">
        <f>Supplies!N296</f>
        <v>0</v>
      </c>
      <c r="I123" s="124">
        <f>'Prof Serv'!N667+'Prof Serv'!N855+'Prof Serv'!N1043+'Prof Serv'!N1799+'Prof Serv'!N1987+'Prof Serv'!N2175</f>
        <v>0</v>
      </c>
      <c r="J123" s="124">
        <f>'Prof Serv'!N477</f>
        <v>0</v>
      </c>
      <c r="K123" s="124">
        <v>0</v>
      </c>
      <c r="L123" s="124">
        <v>0</v>
      </c>
      <c r="M123" s="124">
        <f t="shared" si="25"/>
        <v>66070.934399999998</v>
      </c>
      <c r="N123" s="282">
        <f>-'Other Operating Expenses'!N918</f>
        <v>0</v>
      </c>
      <c r="O123" s="282">
        <f>-'Other Operating Expenses'!N1108</f>
        <v>0</v>
      </c>
      <c r="P123" s="282"/>
      <c r="Q123" s="124">
        <f t="shared" si="26"/>
        <v>66070.934399999998</v>
      </c>
      <c r="R123" s="124"/>
      <c r="S123" s="124"/>
      <c r="T123" s="124">
        <f t="shared" si="23"/>
        <v>6607.09</v>
      </c>
      <c r="U123" s="124">
        <f t="shared" si="24"/>
        <v>72678.024399999995</v>
      </c>
      <c r="V123" s="224">
        <v>150</v>
      </c>
      <c r="AC123" s="628"/>
      <c r="AD123" s="297"/>
      <c r="AE123" s="628"/>
      <c r="AF123" s="48"/>
    </row>
    <row r="124" spans="1:32" s="236" customFormat="1" ht="15" x14ac:dyDescent="0.25">
      <c r="A124" s="123" t="s">
        <v>1038</v>
      </c>
      <c r="B124" s="620"/>
      <c r="C124" s="124">
        <f>HR!Z756</f>
        <v>0</v>
      </c>
      <c r="D124" s="124">
        <f>'Prof Serv'!N1612+'Prof Serv'!N1422</f>
        <v>0</v>
      </c>
      <c r="E124" s="124">
        <f>'Prof Serv'!N1232</f>
        <v>0</v>
      </c>
      <c r="F124" s="124">
        <f>Travel!P440+Travel!P628+Travel!P816+Travel!P1004+Travel!P1192+Travel!P1380+Travel!P1568</f>
        <v>0</v>
      </c>
      <c r="G124" s="124">
        <f>'Other Operating Expenses'!N722</f>
        <v>0</v>
      </c>
      <c r="H124" s="124">
        <f>Supplies!N297</f>
        <v>0</v>
      </c>
      <c r="I124" s="124">
        <f>'Prof Serv'!N668+'Prof Serv'!N856+'Prof Serv'!N1044+'Prof Serv'!N1800+'Prof Serv'!N1988+'Prof Serv'!N2176</f>
        <v>0</v>
      </c>
      <c r="J124" s="124">
        <f>'Prof Serv'!N478</f>
        <v>0</v>
      </c>
      <c r="K124" s="124">
        <v>0</v>
      </c>
      <c r="L124" s="124">
        <v>0</v>
      </c>
      <c r="M124" s="124">
        <f t="shared" si="25"/>
        <v>0</v>
      </c>
      <c r="N124" s="282">
        <f>-'Other Operating Expenses'!N919</f>
        <v>0</v>
      </c>
      <c r="O124" s="282">
        <f>-'Other Operating Expenses'!N1109</f>
        <v>0</v>
      </c>
      <c r="P124" s="282"/>
      <c r="Q124" s="124">
        <f t="shared" si="26"/>
        <v>0</v>
      </c>
      <c r="R124" s="124"/>
      <c r="S124" s="124"/>
      <c r="T124" s="124">
        <f t="shared" si="23"/>
        <v>0</v>
      </c>
      <c r="U124" s="124">
        <f t="shared" si="24"/>
        <v>0</v>
      </c>
      <c r="V124" s="224" t="s">
        <v>1524</v>
      </c>
      <c r="AC124" s="628"/>
      <c r="AD124" s="297"/>
      <c r="AE124" s="628"/>
      <c r="AF124" s="48"/>
    </row>
    <row r="125" spans="1:32" s="236" customFormat="1" ht="15" x14ac:dyDescent="0.25">
      <c r="A125" s="123" t="s">
        <v>1033</v>
      </c>
      <c r="B125" s="620"/>
      <c r="C125" s="124">
        <f>HR!Z757</f>
        <v>0</v>
      </c>
      <c r="D125" s="124">
        <f>'Prof Serv'!N1613+'Prof Serv'!N1423</f>
        <v>0</v>
      </c>
      <c r="E125" s="124">
        <f>'Prof Serv'!N1233</f>
        <v>0</v>
      </c>
      <c r="F125" s="124">
        <f>Travel!P441+Travel!P629+Travel!P817+Travel!P1005+Travel!P1193+Travel!P1381+Travel!P1569</f>
        <v>0</v>
      </c>
      <c r="G125" s="124">
        <f>'Other Operating Expenses'!N723</f>
        <v>0</v>
      </c>
      <c r="H125" s="124">
        <f>Supplies!N298</f>
        <v>0</v>
      </c>
      <c r="I125" s="124">
        <f>'Prof Serv'!N669+'Prof Serv'!N857+'Prof Serv'!N1045+'Prof Serv'!N1801+'Prof Serv'!N1989+'Prof Serv'!N2177</f>
        <v>0</v>
      </c>
      <c r="J125" s="124">
        <f>'Prof Serv'!N479</f>
        <v>0</v>
      </c>
      <c r="K125" s="124">
        <v>0</v>
      </c>
      <c r="L125" s="124">
        <v>0</v>
      </c>
      <c r="M125" s="124">
        <f t="shared" si="25"/>
        <v>0</v>
      </c>
      <c r="N125" s="282">
        <f>-'Other Operating Expenses'!N920</f>
        <v>0</v>
      </c>
      <c r="O125" s="282">
        <f>-'Other Operating Expenses'!N1110</f>
        <v>0</v>
      </c>
      <c r="P125" s="282"/>
      <c r="Q125" s="124">
        <f t="shared" si="26"/>
        <v>0</v>
      </c>
      <c r="R125" s="124"/>
      <c r="S125" s="124"/>
      <c r="T125" s="124">
        <f t="shared" si="23"/>
        <v>0</v>
      </c>
      <c r="U125" s="124">
        <f t="shared" si="24"/>
        <v>0</v>
      </c>
      <c r="V125" s="224" t="s">
        <v>1524</v>
      </c>
      <c r="AC125" s="628"/>
      <c r="AD125" s="297"/>
      <c r="AE125" s="628"/>
      <c r="AF125" s="48"/>
    </row>
    <row r="126" spans="1:32" s="236" customFormat="1" ht="15" x14ac:dyDescent="0.25">
      <c r="A126" s="123" t="s">
        <v>1007</v>
      </c>
      <c r="B126" s="620"/>
      <c r="C126" s="124">
        <f>HR!Z758</f>
        <v>0</v>
      </c>
      <c r="D126" s="124">
        <f>'Prof Serv'!N1614+'Prof Serv'!N1424</f>
        <v>0</v>
      </c>
      <c r="E126" s="124">
        <f>'Prof Serv'!N1234</f>
        <v>0</v>
      </c>
      <c r="F126" s="124">
        <f>Travel!P442+Travel!P630+Travel!P818+Travel!P1006+Travel!P1194+Travel!P1382+Travel!P1570</f>
        <v>0</v>
      </c>
      <c r="G126" s="124">
        <f>'Other Operating Expenses'!N724</f>
        <v>0</v>
      </c>
      <c r="H126" s="124">
        <f>Supplies!N299</f>
        <v>0</v>
      </c>
      <c r="I126" s="124">
        <f>'Prof Serv'!N670+'Prof Serv'!N858+'Prof Serv'!N1046+'Prof Serv'!N1802+'Prof Serv'!N1990+'Prof Serv'!N2178</f>
        <v>0</v>
      </c>
      <c r="J126" s="124">
        <f>'Prof Serv'!N480</f>
        <v>0</v>
      </c>
      <c r="K126" s="124">
        <v>0</v>
      </c>
      <c r="L126" s="124">
        <v>0</v>
      </c>
      <c r="M126" s="124">
        <f t="shared" si="25"/>
        <v>0</v>
      </c>
      <c r="N126" s="282">
        <f>-'Other Operating Expenses'!N921</f>
        <v>0</v>
      </c>
      <c r="O126" s="282">
        <f>-'Other Operating Expenses'!N1111</f>
        <v>0</v>
      </c>
      <c r="P126" s="282"/>
      <c r="Q126" s="124">
        <f t="shared" si="26"/>
        <v>0</v>
      </c>
      <c r="R126" s="124"/>
      <c r="S126" s="124"/>
      <c r="T126" s="124">
        <f t="shared" si="23"/>
        <v>0</v>
      </c>
      <c r="U126" s="124">
        <f t="shared" si="24"/>
        <v>0</v>
      </c>
      <c r="V126" s="224" t="s">
        <v>1524</v>
      </c>
      <c r="AC126" s="628"/>
      <c r="AD126" s="297"/>
      <c r="AE126" s="628"/>
      <c r="AF126" s="48"/>
    </row>
    <row r="127" spans="1:32" s="236" customFormat="1" ht="15" x14ac:dyDescent="0.25">
      <c r="A127" s="123" t="s">
        <v>969</v>
      </c>
      <c r="B127" s="620"/>
      <c r="C127" s="124">
        <f>HR!Z759</f>
        <v>0</v>
      </c>
      <c r="D127" s="124">
        <f>'Prof Serv'!N1615+'Prof Serv'!N1425</f>
        <v>0</v>
      </c>
      <c r="E127" s="124">
        <f>'Prof Serv'!N1235</f>
        <v>0</v>
      </c>
      <c r="F127" s="124">
        <f>Travel!P443+Travel!P631+Travel!P819+Travel!P1007+Travel!P1195+Travel!P1383+Travel!P1571</f>
        <v>0</v>
      </c>
      <c r="G127" s="124">
        <f>'Other Operating Expenses'!N725</f>
        <v>0</v>
      </c>
      <c r="H127" s="124">
        <f>Supplies!N300</f>
        <v>0</v>
      </c>
      <c r="I127" s="124">
        <f>'Prof Serv'!N671+'Prof Serv'!N859+'Prof Serv'!N1047+'Prof Serv'!N1803+'Prof Serv'!N1991+'Prof Serv'!N2179</f>
        <v>0</v>
      </c>
      <c r="J127" s="124">
        <f>'Prof Serv'!N481</f>
        <v>0</v>
      </c>
      <c r="K127" s="124">
        <v>0</v>
      </c>
      <c r="L127" s="124">
        <v>0</v>
      </c>
      <c r="M127" s="124">
        <f t="shared" si="25"/>
        <v>0</v>
      </c>
      <c r="N127" s="282">
        <f>-'Other Operating Expenses'!N922</f>
        <v>0</v>
      </c>
      <c r="O127" s="282">
        <f>-'Other Operating Expenses'!N1112</f>
        <v>0</v>
      </c>
      <c r="P127" s="282"/>
      <c r="Q127" s="124">
        <f t="shared" si="26"/>
        <v>0</v>
      </c>
      <c r="R127" s="124">
        <f t="shared" ref="R127:R137" si="27">IF(V127&lt;&gt;"n/a",C127*33.33%*47%,0)</f>
        <v>0</v>
      </c>
      <c r="S127" s="124">
        <f t="shared" ref="S127:S137" si="28">IF(V127&lt;&gt;"n/a",Q127*66.67%*10%,0)</f>
        <v>0</v>
      </c>
      <c r="T127" s="124">
        <f t="shared" si="23"/>
        <v>0</v>
      </c>
      <c r="U127" s="124">
        <f t="shared" si="24"/>
        <v>0</v>
      </c>
      <c r="V127" s="224" t="s">
        <v>1524</v>
      </c>
      <c r="AC127" s="628"/>
      <c r="AD127" s="297"/>
      <c r="AE127" s="628"/>
      <c r="AF127" s="48"/>
    </row>
    <row r="128" spans="1:32" s="236" customFormat="1" ht="15" x14ac:dyDescent="0.25">
      <c r="A128" s="123" t="s">
        <v>987</v>
      </c>
      <c r="B128" s="620"/>
      <c r="C128" s="124">
        <f>HR!Z760</f>
        <v>0</v>
      </c>
      <c r="D128" s="124">
        <f>'Prof Serv'!N1616+'Prof Serv'!N1426</f>
        <v>0</v>
      </c>
      <c r="E128" s="124">
        <f>'Prof Serv'!N1236</f>
        <v>0</v>
      </c>
      <c r="F128" s="124">
        <f>Travel!P444+Travel!P632+Travel!P820+Travel!P1008+Travel!P1196+Travel!P1384+Travel!P1572</f>
        <v>0</v>
      </c>
      <c r="G128" s="124">
        <f>'Other Operating Expenses'!N726</f>
        <v>0</v>
      </c>
      <c r="H128" s="124">
        <f>Supplies!N301</f>
        <v>0</v>
      </c>
      <c r="I128" s="124">
        <f>'Prof Serv'!N672+'Prof Serv'!N860+'Prof Serv'!N1048+'Prof Serv'!N1804+'Prof Serv'!N1992+'Prof Serv'!N2180</f>
        <v>0</v>
      </c>
      <c r="J128" s="124">
        <f>'Prof Serv'!N482</f>
        <v>0</v>
      </c>
      <c r="K128" s="124">
        <v>0</v>
      </c>
      <c r="L128" s="124">
        <v>0</v>
      </c>
      <c r="M128" s="124">
        <f t="shared" si="25"/>
        <v>0</v>
      </c>
      <c r="N128" s="282">
        <f>-'Other Operating Expenses'!N923</f>
        <v>0</v>
      </c>
      <c r="O128" s="282">
        <f>-'Other Operating Expenses'!N1113</f>
        <v>0</v>
      </c>
      <c r="P128" s="282"/>
      <c r="Q128" s="124">
        <f t="shared" si="26"/>
        <v>0</v>
      </c>
      <c r="R128" s="124">
        <f t="shared" si="27"/>
        <v>0</v>
      </c>
      <c r="S128" s="124">
        <f t="shared" si="28"/>
        <v>0</v>
      </c>
      <c r="T128" s="124">
        <f t="shared" si="23"/>
        <v>0</v>
      </c>
      <c r="U128" s="124">
        <f t="shared" si="24"/>
        <v>0</v>
      </c>
      <c r="V128" s="224" t="s">
        <v>1524</v>
      </c>
      <c r="AC128" s="628"/>
      <c r="AD128" s="297"/>
      <c r="AE128" s="628"/>
      <c r="AF128" s="48"/>
    </row>
    <row r="129" spans="1:32" s="236" customFormat="1" ht="15" x14ac:dyDescent="0.25">
      <c r="A129" s="123" t="s">
        <v>1000</v>
      </c>
      <c r="B129" s="620"/>
      <c r="C129" s="124">
        <f>HR!Z761</f>
        <v>0</v>
      </c>
      <c r="D129" s="124">
        <f>'Prof Serv'!N1617+'Prof Serv'!N1427</f>
        <v>0</v>
      </c>
      <c r="E129" s="124">
        <f>'Prof Serv'!N1237</f>
        <v>0</v>
      </c>
      <c r="F129" s="124">
        <f>Travel!P445+Travel!P633+Travel!P821+Travel!P1009+Travel!P1197+Travel!P1385+Travel!P1573</f>
        <v>0</v>
      </c>
      <c r="G129" s="124">
        <f>'Other Operating Expenses'!N727</f>
        <v>0</v>
      </c>
      <c r="H129" s="124">
        <f>Supplies!N302</f>
        <v>0</v>
      </c>
      <c r="I129" s="124">
        <f>'Prof Serv'!N673+'Prof Serv'!N861+'Prof Serv'!N1049+'Prof Serv'!N1805+'Prof Serv'!N1993+'Prof Serv'!N2181</f>
        <v>0</v>
      </c>
      <c r="J129" s="124">
        <f>'Prof Serv'!N483</f>
        <v>0</v>
      </c>
      <c r="K129" s="124">
        <v>0</v>
      </c>
      <c r="L129" s="124">
        <v>0</v>
      </c>
      <c r="M129" s="124">
        <f t="shared" si="25"/>
        <v>0</v>
      </c>
      <c r="N129" s="282">
        <f>-'Other Operating Expenses'!N924</f>
        <v>0</v>
      </c>
      <c r="O129" s="282">
        <f>-'Other Operating Expenses'!N1114</f>
        <v>0</v>
      </c>
      <c r="P129" s="282"/>
      <c r="Q129" s="124">
        <f t="shared" si="26"/>
        <v>0</v>
      </c>
      <c r="R129" s="124">
        <f t="shared" si="27"/>
        <v>0</v>
      </c>
      <c r="S129" s="124">
        <f t="shared" si="28"/>
        <v>0</v>
      </c>
      <c r="T129" s="124">
        <f t="shared" si="23"/>
        <v>0</v>
      </c>
      <c r="U129" s="124">
        <f t="shared" si="24"/>
        <v>0</v>
      </c>
      <c r="V129" s="224" t="s">
        <v>1524</v>
      </c>
      <c r="AC129" s="628"/>
      <c r="AD129" s="297"/>
      <c r="AE129" s="628"/>
      <c r="AF129" s="48"/>
    </row>
    <row r="130" spans="1:32" s="236" customFormat="1" ht="15" x14ac:dyDescent="0.25">
      <c r="A130" s="123" t="s">
        <v>116</v>
      </c>
      <c r="B130" s="620"/>
      <c r="C130" s="124">
        <f>HR!Z762</f>
        <v>0</v>
      </c>
      <c r="D130" s="124">
        <f>'Prof Serv'!N1618+'Prof Serv'!N1428</f>
        <v>0</v>
      </c>
      <c r="E130" s="124">
        <f>'Prof Serv'!N1238</f>
        <v>0</v>
      </c>
      <c r="F130" s="124">
        <f>Travel!P446+Travel!P634+Travel!P822+Travel!P1010+Travel!P1198+Travel!P1386+Travel!P1574</f>
        <v>0</v>
      </c>
      <c r="G130" s="124">
        <f>'Other Operating Expenses'!N728</f>
        <v>0</v>
      </c>
      <c r="H130" s="124">
        <f>Supplies!N303</f>
        <v>0</v>
      </c>
      <c r="I130" s="124">
        <f>'Prof Serv'!N674+'Prof Serv'!N862+'Prof Serv'!N1050+'Prof Serv'!N1806+'Prof Serv'!N1994+'Prof Serv'!N2182</f>
        <v>0</v>
      </c>
      <c r="J130" s="124">
        <f>'Prof Serv'!N484</f>
        <v>0</v>
      </c>
      <c r="K130" s="124">
        <v>0</v>
      </c>
      <c r="L130" s="124">
        <v>0</v>
      </c>
      <c r="M130" s="124">
        <f t="shared" si="25"/>
        <v>0</v>
      </c>
      <c r="N130" s="282">
        <f>-'Other Operating Expenses'!N925</f>
        <v>0</v>
      </c>
      <c r="O130" s="282">
        <f>-'Other Operating Expenses'!N1115</f>
        <v>0</v>
      </c>
      <c r="P130" s="282"/>
      <c r="Q130" s="124">
        <f t="shared" si="26"/>
        <v>0</v>
      </c>
      <c r="R130" s="124">
        <f t="shared" si="27"/>
        <v>0</v>
      </c>
      <c r="S130" s="124">
        <f t="shared" si="28"/>
        <v>0</v>
      </c>
      <c r="T130" s="124">
        <f t="shared" si="23"/>
        <v>0</v>
      </c>
      <c r="U130" s="124">
        <f t="shared" si="24"/>
        <v>0</v>
      </c>
      <c r="V130" s="224" t="s">
        <v>1524</v>
      </c>
      <c r="AC130" s="628"/>
      <c r="AD130" s="297"/>
      <c r="AE130" s="628"/>
      <c r="AF130" s="48"/>
    </row>
    <row r="131" spans="1:32" s="236" customFormat="1" ht="15" x14ac:dyDescent="0.25">
      <c r="A131" s="123" t="s">
        <v>114</v>
      </c>
      <c r="B131" s="620"/>
      <c r="C131" s="124">
        <f>HR!Z763</f>
        <v>0</v>
      </c>
      <c r="D131" s="124">
        <f>'Prof Serv'!N1619+'Prof Serv'!N1429</f>
        <v>0</v>
      </c>
      <c r="E131" s="124">
        <f>'Prof Serv'!N1239</f>
        <v>0</v>
      </c>
      <c r="F131" s="124">
        <f>Travel!P447+Travel!P635+Travel!P823+Travel!P1011+Travel!P1199+Travel!P1387+Travel!P1575</f>
        <v>0</v>
      </c>
      <c r="G131" s="124">
        <f>'Other Operating Expenses'!N729</f>
        <v>0</v>
      </c>
      <c r="H131" s="124">
        <f>Supplies!N304</f>
        <v>0</v>
      </c>
      <c r="I131" s="124">
        <f>'Prof Serv'!N675+'Prof Serv'!N863+'Prof Serv'!N1051+'Prof Serv'!N1807+'Prof Serv'!N1995+'Prof Serv'!N2183</f>
        <v>0</v>
      </c>
      <c r="J131" s="124">
        <f>'Prof Serv'!N485</f>
        <v>0</v>
      </c>
      <c r="K131" s="124">
        <v>0</v>
      </c>
      <c r="L131" s="124">
        <v>0</v>
      </c>
      <c r="M131" s="124">
        <f t="shared" si="25"/>
        <v>0</v>
      </c>
      <c r="N131" s="282">
        <f>-'Other Operating Expenses'!N926</f>
        <v>0</v>
      </c>
      <c r="O131" s="282">
        <f>-'Other Operating Expenses'!N1116</f>
        <v>0</v>
      </c>
      <c r="P131" s="282"/>
      <c r="Q131" s="124">
        <f t="shared" si="26"/>
        <v>0</v>
      </c>
      <c r="R131" s="124">
        <f t="shared" si="27"/>
        <v>0</v>
      </c>
      <c r="S131" s="124">
        <f t="shared" si="28"/>
        <v>0</v>
      </c>
      <c r="T131" s="124">
        <f t="shared" si="23"/>
        <v>0</v>
      </c>
      <c r="U131" s="124">
        <f t="shared" si="24"/>
        <v>0</v>
      </c>
      <c r="V131" s="224" t="s">
        <v>1524</v>
      </c>
      <c r="AC131" s="628"/>
      <c r="AD131" s="297"/>
      <c r="AE131" s="628"/>
      <c r="AF131" s="48"/>
    </row>
    <row r="132" spans="1:32" s="236" customFormat="1" ht="15" x14ac:dyDescent="0.25">
      <c r="A132" s="123" t="s">
        <v>111</v>
      </c>
      <c r="B132" s="620"/>
      <c r="C132" s="124">
        <f>HR!Z764</f>
        <v>0</v>
      </c>
      <c r="D132" s="124">
        <f>'Prof Serv'!N1620+'Prof Serv'!N1430</f>
        <v>0</v>
      </c>
      <c r="E132" s="124">
        <f>'Prof Serv'!N1240</f>
        <v>0</v>
      </c>
      <c r="F132" s="124">
        <f>Travel!P448+Travel!P636+Travel!P824+Travel!P1012+Travel!P1200+Travel!P1388+Travel!P1576</f>
        <v>0</v>
      </c>
      <c r="G132" s="124">
        <f>'Other Operating Expenses'!N730</f>
        <v>0</v>
      </c>
      <c r="H132" s="124">
        <f>Supplies!N305</f>
        <v>0</v>
      </c>
      <c r="I132" s="124">
        <f>'Prof Serv'!N676+'Prof Serv'!N864+'Prof Serv'!N1052+'Prof Serv'!N1808+'Prof Serv'!N1996+'Prof Serv'!N2184</f>
        <v>0</v>
      </c>
      <c r="J132" s="124">
        <f>'Prof Serv'!N486</f>
        <v>0</v>
      </c>
      <c r="K132" s="124">
        <v>0</v>
      </c>
      <c r="L132" s="124">
        <v>0</v>
      </c>
      <c r="M132" s="124">
        <f t="shared" si="25"/>
        <v>0</v>
      </c>
      <c r="N132" s="282">
        <f>-'Other Operating Expenses'!N927</f>
        <v>0</v>
      </c>
      <c r="O132" s="282">
        <f>-'Other Operating Expenses'!N1117</f>
        <v>0</v>
      </c>
      <c r="P132" s="282"/>
      <c r="Q132" s="124">
        <f t="shared" si="26"/>
        <v>0</v>
      </c>
      <c r="R132" s="124">
        <f t="shared" si="27"/>
        <v>0</v>
      </c>
      <c r="S132" s="124">
        <f t="shared" si="28"/>
        <v>0</v>
      </c>
      <c r="T132" s="124">
        <f t="shared" si="23"/>
        <v>0</v>
      </c>
      <c r="U132" s="124">
        <f t="shared" si="24"/>
        <v>0</v>
      </c>
      <c r="V132" s="224" t="s">
        <v>1524</v>
      </c>
      <c r="AC132" s="628"/>
      <c r="AD132" s="297"/>
      <c r="AE132" s="628"/>
      <c r="AF132" s="48"/>
    </row>
    <row r="133" spans="1:32" s="236" customFormat="1" ht="15" x14ac:dyDescent="0.25">
      <c r="A133" s="123" t="s">
        <v>117</v>
      </c>
      <c r="B133" s="620"/>
      <c r="C133" s="124">
        <f>HR!Z765</f>
        <v>0</v>
      </c>
      <c r="D133" s="124">
        <f>'Prof Serv'!N1621+'Prof Serv'!N1431</f>
        <v>0</v>
      </c>
      <c r="E133" s="124">
        <f>'Prof Serv'!N1241</f>
        <v>0</v>
      </c>
      <c r="F133" s="124">
        <f>Travel!P449+Travel!P637+Travel!P825+Travel!P1013+Travel!P1201+Travel!P1389+Travel!P1577</f>
        <v>0</v>
      </c>
      <c r="G133" s="124">
        <f>'Other Operating Expenses'!N731</f>
        <v>0</v>
      </c>
      <c r="H133" s="124">
        <f>Supplies!N306</f>
        <v>0</v>
      </c>
      <c r="I133" s="124">
        <f>'Prof Serv'!N677+'Prof Serv'!N865+'Prof Serv'!N1053+'Prof Serv'!N1809+'Prof Serv'!N1997+'Prof Serv'!N2185</f>
        <v>0</v>
      </c>
      <c r="J133" s="124">
        <f>'Prof Serv'!N487</f>
        <v>0</v>
      </c>
      <c r="K133" s="124">
        <v>0</v>
      </c>
      <c r="L133" s="124">
        <v>0</v>
      </c>
      <c r="M133" s="124">
        <f t="shared" si="25"/>
        <v>0</v>
      </c>
      <c r="N133" s="282">
        <f>-'Other Operating Expenses'!N928</f>
        <v>0</v>
      </c>
      <c r="O133" s="282">
        <f>-'Other Operating Expenses'!N1118</f>
        <v>0</v>
      </c>
      <c r="P133" s="282"/>
      <c r="Q133" s="124">
        <f t="shared" si="26"/>
        <v>0</v>
      </c>
      <c r="R133" s="124">
        <f t="shared" si="27"/>
        <v>0</v>
      </c>
      <c r="S133" s="124">
        <f t="shared" si="28"/>
        <v>0</v>
      </c>
      <c r="T133" s="124">
        <f t="shared" ref="T133:T164" si="29">IF(V133="n/a",0,IF(S133&lt;&gt;"",0,ROUND(SUM(Q133)*10%,2)))</f>
        <v>0</v>
      </c>
      <c r="U133" s="124">
        <f t="shared" ref="U133:U164" si="30">IF(V133="n/a",0,SUM(M133,R133,S133,T133))</f>
        <v>0</v>
      </c>
      <c r="V133" s="224" t="s">
        <v>1524</v>
      </c>
      <c r="AC133" s="628"/>
      <c r="AD133" s="297"/>
      <c r="AE133" s="628"/>
      <c r="AF133" s="48"/>
    </row>
    <row r="134" spans="1:32" s="236" customFormat="1" ht="15" x14ac:dyDescent="0.25">
      <c r="A134" s="123" t="s">
        <v>112</v>
      </c>
      <c r="B134" s="620"/>
      <c r="C134" s="124">
        <f>HR!Z766</f>
        <v>0</v>
      </c>
      <c r="D134" s="124">
        <f>'Prof Serv'!N1622+'Prof Serv'!N1432</f>
        <v>0</v>
      </c>
      <c r="E134" s="124">
        <f>'Prof Serv'!N1242</f>
        <v>0</v>
      </c>
      <c r="F134" s="124">
        <f>Travel!P450+Travel!P638+Travel!P826+Travel!P1014+Travel!P1202+Travel!P1390+Travel!P1578</f>
        <v>0</v>
      </c>
      <c r="G134" s="124">
        <f>'Other Operating Expenses'!N732</f>
        <v>0</v>
      </c>
      <c r="H134" s="124">
        <f>Supplies!N307</f>
        <v>0</v>
      </c>
      <c r="I134" s="124">
        <f>'Prof Serv'!N678+'Prof Serv'!N866+'Prof Serv'!N1054+'Prof Serv'!N1810+'Prof Serv'!N1998+'Prof Serv'!N2186</f>
        <v>0</v>
      </c>
      <c r="J134" s="124">
        <f>'Prof Serv'!N488</f>
        <v>0</v>
      </c>
      <c r="K134" s="124">
        <v>0</v>
      </c>
      <c r="L134" s="124">
        <v>0</v>
      </c>
      <c r="M134" s="124">
        <f t="shared" si="25"/>
        <v>0</v>
      </c>
      <c r="N134" s="282">
        <f>-'Other Operating Expenses'!N929</f>
        <v>0</v>
      </c>
      <c r="O134" s="282">
        <f>-'Other Operating Expenses'!N1119</f>
        <v>0</v>
      </c>
      <c r="P134" s="282"/>
      <c r="Q134" s="124">
        <f t="shared" si="26"/>
        <v>0</v>
      </c>
      <c r="R134" s="124">
        <f t="shared" si="27"/>
        <v>0</v>
      </c>
      <c r="S134" s="124">
        <f t="shared" si="28"/>
        <v>0</v>
      </c>
      <c r="T134" s="124">
        <f t="shared" si="29"/>
        <v>0</v>
      </c>
      <c r="U134" s="124">
        <f t="shared" si="30"/>
        <v>0</v>
      </c>
      <c r="V134" s="224" t="s">
        <v>1524</v>
      </c>
      <c r="AC134" s="628"/>
      <c r="AD134" s="297"/>
      <c r="AE134" s="628"/>
      <c r="AF134" s="48"/>
    </row>
    <row r="135" spans="1:32" s="236" customFormat="1" ht="15" x14ac:dyDescent="0.25">
      <c r="A135" s="123" t="s">
        <v>136</v>
      </c>
      <c r="B135" s="620"/>
      <c r="C135" s="124">
        <f>HR!Z767</f>
        <v>0</v>
      </c>
      <c r="D135" s="124">
        <f>'Prof Serv'!N1623+'Prof Serv'!N1433</f>
        <v>0</v>
      </c>
      <c r="E135" s="124">
        <f>'Prof Serv'!N1243</f>
        <v>0</v>
      </c>
      <c r="F135" s="124">
        <f>Travel!P451+Travel!P639+Travel!P827+Travel!P1015+Travel!P1203+Travel!P1391+Travel!P1579</f>
        <v>0</v>
      </c>
      <c r="G135" s="124">
        <f>'Other Operating Expenses'!N733</f>
        <v>0</v>
      </c>
      <c r="H135" s="124">
        <f>Supplies!N308</f>
        <v>0</v>
      </c>
      <c r="I135" s="124">
        <f>'Prof Serv'!N679+'Prof Serv'!N867+'Prof Serv'!N1055+'Prof Serv'!N1811+'Prof Serv'!N1999+'Prof Serv'!N2187</f>
        <v>0</v>
      </c>
      <c r="J135" s="124">
        <f>'Prof Serv'!N489</f>
        <v>0</v>
      </c>
      <c r="K135" s="124">
        <v>0</v>
      </c>
      <c r="L135" s="124">
        <v>0</v>
      </c>
      <c r="M135" s="124">
        <f t="shared" si="25"/>
        <v>0</v>
      </c>
      <c r="N135" s="282">
        <f>-'Other Operating Expenses'!N930</f>
        <v>0</v>
      </c>
      <c r="O135" s="282">
        <f>-'Other Operating Expenses'!N1120</f>
        <v>0</v>
      </c>
      <c r="P135" s="282"/>
      <c r="Q135" s="124">
        <f t="shared" si="26"/>
        <v>0</v>
      </c>
      <c r="R135" s="124">
        <f t="shared" si="27"/>
        <v>0</v>
      </c>
      <c r="S135" s="124">
        <f t="shared" si="28"/>
        <v>0</v>
      </c>
      <c r="T135" s="124">
        <f t="shared" si="29"/>
        <v>0</v>
      </c>
      <c r="U135" s="124">
        <f t="shared" si="30"/>
        <v>0</v>
      </c>
      <c r="V135" s="224" t="s">
        <v>1524</v>
      </c>
      <c r="AC135" s="628"/>
      <c r="AD135" s="297"/>
      <c r="AE135" s="628"/>
      <c r="AF135" s="48"/>
    </row>
    <row r="136" spans="1:32" s="236" customFormat="1" ht="15" x14ac:dyDescent="0.25">
      <c r="A136" s="123" t="s">
        <v>962</v>
      </c>
      <c r="B136" s="620"/>
      <c r="C136" s="124">
        <f>HR!Z768</f>
        <v>0</v>
      </c>
      <c r="D136" s="124">
        <f>'Prof Serv'!N1624+'Prof Serv'!N1434</f>
        <v>0</v>
      </c>
      <c r="E136" s="124">
        <f>'Prof Serv'!N1244</f>
        <v>0</v>
      </c>
      <c r="F136" s="124">
        <f>Travel!P452+Travel!P640+Travel!P828+Travel!P1016+Travel!P1204+Travel!P1392+Travel!P1580</f>
        <v>0</v>
      </c>
      <c r="G136" s="124">
        <f>'Other Operating Expenses'!N734</f>
        <v>0</v>
      </c>
      <c r="H136" s="124">
        <f>Supplies!N309</f>
        <v>0</v>
      </c>
      <c r="I136" s="124">
        <f>'Prof Serv'!N680+'Prof Serv'!N868+'Prof Serv'!N1056+'Prof Serv'!N1812+'Prof Serv'!N2000+'Prof Serv'!N2188</f>
        <v>0</v>
      </c>
      <c r="J136" s="124">
        <f>'Prof Serv'!N490</f>
        <v>0</v>
      </c>
      <c r="K136" s="124">
        <v>0</v>
      </c>
      <c r="L136" s="124">
        <v>0</v>
      </c>
      <c r="M136" s="124">
        <f t="shared" si="25"/>
        <v>0</v>
      </c>
      <c r="N136" s="282">
        <f>-'Other Operating Expenses'!N931</f>
        <v>0</v>
      </c>
      <c r="O136" s="282">
        <f>-'Other Operating Expenses'!N1121</f>
        <v>0</v>
      </c>
      <c r="P136" s="282"/>
      <c r="Q136" s="124">
        <f t="shared" si="26"/>
        <v>0</v>
      </c>
      <c r="R136" s="124">
        <f t="shared" si="27"/>
        <v>0</v>
      </c>
      <c r="S136" s="124">
        <f t="shared" si="28"/>
        <v>0</v>
      </c>
      <c r="T136" s="124">
        <f t="shared" si="29"/>
        <v>0</v>
      </c>
      <c r="U136" s="124">
        <f t="shared" si="30"/>
        <v>0</v>
      </c>
      <c r="V136" s="224" t="s">
        <v>1524</v>
      </c>
      <c r="AC136" s="628"/>
      <c r="AD136" s="297"/>
      <c r="AE136" s="628"/>
      <c r="AF136" s="48"/>
    </row>
    <row r="137" spans="1:32" s="236" customFormat="1" ht="15" x14ac:dyDescent="0.25">
      <c r="A137" s="123" t="s">
        <v>115</v>
      </c>
      <c r="B137" s="620"/>
      <c r="C137" s="124">
        <f>HR!Z769</f>
        <v>0</v>
      </c>
      <c r="D137" s="124">
        <f>'Prof Serv'!N1625+'Prof Serv'!N1435</f>
        <v>0</v>
      </c>
      <c r="E137" s="124">
        <f>'Prof Serv'!N1245</f>
        <v>0</v>
      </c>
      <c r="F137" s="124">
        <f>Travel!P453+Travel!P641+Travel!P829+Travel!P1017+Travel!P1205+Travel!P1393+Travel!P1581</f>
        <v>0</v>
      </c>
      <c r="G137" s="124">
        <f>'Other Operating Expenses'!N735</f>
        <v>0</v>
      </c>
      <c r="H137" s="124">
        <f>Supplies!N310</f>
        <v>0</v>
      </c>
      <c r="I137" s="124">
        <f>'Prof Serv'!N681+'Prof Serv'!N869+'Prof Serv'!N1057+'Prof Serv'!N1813+'Prof Serv'!N2001+'Prof Serv'!N2189</f>
        <v>0</v>
      </c>
      <c r="J137" s="124">
        <f>'Prof Serv'!N491</f>
        <v>0</v>
      </c>
      <c r="K137" s="124">
        <v>0</v>
      </c>
      <c r="L137" s="124">
        <v>0</v>
      </c>
      <c r="M137" s="124">
        <f t="shared" si="25"/>
        <v>0</v>
      </c>
      <c r="N137" s="282">
        <f>-'Other Operating Expenses'!N932</f>
        <v>0</v>
      </c>
      <c r="O137" s="282">
        <f>-'Other Operating Expenses'!N1122</f>
        <v>0</v>
      </c>
      <c r="P137" s="282"/>
      <c r="Q137" s="124">
        <f t="shared" si="26"/>
        <v>0</v>
      </c>
      <c r="R137" s="124">
        <f t="shared" si="27"/>
        <v>0</v>
      </c>
      <c r="S137" s="124">
        <f t="shared" si="28"/>
        <v>0</v>
      </c>
      <c r="T137" s="124">
        <f t="shared" si="29"/>
        <v>0</v>
      </c>
      <c r="U137" s="124">
        <f t="shared" si="30"/>
        <v>0</v>
      </c>
      <c r="V137" s="224" t="s">
        <v>1524</v>
      </c>
      <c r="AC137" s="628"/>
      <c r="AD137" s="297"/>
      <c r="AE137" s="628"/>
      <c r="AF137" s="48"/>
    </row>
    <row r="138" spans="1:32" s="236" customFormat="1" ht="15" x14ac:dyDescent="0.25">
      <c r="A138" s="123" t="s">
        <v>997</v>
      </c>
      <c r="B138" s="620"/>
      <c r="C138" s="124">
        <f>HR!Z770</f>
        <v>0</v>
      </c>
      <c r="D138" s="124">
        <f>'Prof Serv'!N1626+'Prof Serv'!N1436</f>
        <v>0</v>
      </c>
      <c r="E138" s="124">
        <f>'Prof Serv'!N1246</f>
        <v>0</v>
      </c>
      <c r="F138" s="124">
        <f>Travel!P454+Travel!P642+Travel!P830+Travel!P1018+Travel!P1206+Travel!P1394+Travel!P1582</f>
        <v>0</v>
      </c>
      <c r="G138" s="124">
        <f>'Other Operating Expenses'!N736</f>
        <v>0</v>
      </c>
      <c r="H138" s="124">
        <f>Supplies!N311</f>
        <v>1000</v>
      </c>
      <c r="I138" s="124">
        <f>'Prof Serv'!N682+'Prof Serv'!N870+'Prof Serv'!N1058+'Prof Serv'!N1814+'Prof Serv'!N2002+'Prof Serv'!N2190</f>
        <v>0</v>
      </c>
      <c r="J138" s="124">
        <f>'Prof Serv'!N492</f>
        <v>0</v>
      </c>
      <c r="K138" s="124">
        <v>0</v>
      </c>
      <c r="L138" s="124">
        <v>0</v>
      </c>
      <c r="M138" s="124">
        <f t="shared" si="25"/>
        <v>1000</v>
      </c>
      <c r="N138" s="282">
        <f>-'Other Operating Expenses'!N933</f>
        <v>0</v>
      </c>
      <c r="O138" s="282">
        <f>-'Other Operating Expenses'!N1123</f>
        <v>0</v>
      </c>
      <c r="P138" s="282"/>
      <c r="Q138" s="124">
        <f t="shared" si="26"/>
        <v>1000</v>
      </c>
      <c r="R138" s="124"/>
      <c r="S138" s="124"/>
      <c r="T138" s="124">
        <f t="shared" si="29"/>
        <v>0</v>
      </c>
      <c r="U138" s="124">
        <f t="shared" si="30"/>
        <v>0</v>
      </c>
      <c r="V138" s="224" t="s">
        <v>1524</v>
      </c>
      <c r="AC138" s="628"/>
      <c r="AD138" s="297"/>
      <c r="AE138" s="628"/>
      <c r="AF138" s="48"/>
    </row>
    <row r="139" spans="1:32" s="236" customFormat="1" ht="15" x14ac:dyDescent="0.25">
      <c r="A139" s="123" t="s">
        <v>999</v>
      </c>
      <c r="B139" s="620"/>
      <c r="C139" s="124">
        <f>HR!Z771</f>
        <v>0</v>
      </c>
      <c r="D139" s="124">
        <f>'Prof Serv'!N1627+'Prof Serv'!N1437</f>
        <v>0</v>
      </c>
      <c r="E139" s="124">
        <f>'Prof Serv'!N1247</f>
        <v>0</v>
      </c>
      <c r="F139" s="124">
        <f>Travel!P455+Travel!P643+Travel!P831+Travel!P1019+Travel!P1207+Travel!P1395+Travel!P1583</f>
        <v>0</v>
      </c>
      <c r="G139" s="124">
        <f>'Other Operating Expenses'!N737</f>
        <v>0</v>
      </c>
      <c r="H139" s="124">
        <f>Supplies!N312</f>
        <v>2400</v>
      </c>
      <c r="I139" s="124">
        <f>'Prof Serv'!N683+'Prof Serv'!N871+'Prof Serv'!N1059+'Prof Serv'!N1815+'Prof Serv'!N2003+'Prof Serv'!N2191</f>
        <v>0</v>
      </c>
      <c r="J139" s="124">
        <f>'Prof Serv'!N493</f>
        <v>0</v>
      </c>
      <c r="K139" s="124">
        <v>0</v>
      </c>
      <c r="L139" s="124">
        <v>0</v>
      </c>
      <c r="M139" s="124">
        <f t="shared" si="25"/>
        <v>2400</v>
      </c>
      <c r="N139" s="282">
        <f>-'Other Operating Expenses'!N934</f>
        <v>0</v>
      </c>
      <c r="O139" s="282">
        <f>-'Other Operating Expenses'!N1124</f>
        <v>0</v>
      </c>
      <c r="P139" s="282"/>
      <c r="Q139" s="124">
        <f t="shared" si="26"/>
        <v>2400</v>
      </c>
      <c r="R139" s="124"/>
      <c r="S139" s="124"/>
      <c r="T139" s="124">
        <f t="shared" si="29"/>
        <v>0</v>
      </c>
      <c r="U139" s="124">
        <f t="shared" si="30"/>
        <v>0</v>
      </c>
      <c r="V139" s="224" t="s">
        <v>1524</v>
      </c>
      <c r="AC139" s="628"/>
      <c r="AD139" s="297"/>
      <c r="AE139" s="628"/>
      <c r="AF139" s="48"/>
    </row>
    <row r="140" spans="1:32" s="236" customFormat="1" ht="15" x14ac:dyDescent="0.25">
      <c r="A140" s="123" t="s">
        <v>1049</v>
      </c>
      <c r="B140" s="620"/>
      <c r="C140" s="124">
        <f>HR!Z772</f>
        <v>75446.056608000014</v>
      </c>
      <c r="D140" s="124">
        <f>'Prof Serv'!N1628+'Prof Serv'!N1438</f>
        <v>65014</v>
      </c>
      <c r="E140" s="124">
        <f>'Prof Serv'!N1248</f>
        <v>0</v>
      </c>
      <c r="F140" s="124">
        <f>Travel!P456+Travel!P644+Travel!P832+Travel!P1020+Travel!P1208+Travel!P1396+Travel!P1584</f>
        <v>0</v>
      </c>
      <c r="G140" s="124">
        <f>'Other Operating Expenses'!N738</f>
        <v>0</v>
      </c>
      <c r="H140" s="124">
        <f>Supplies!N313</f>
        <v>0</v>
      </c>
      <c r="I140" s="124">
        <f>'Prof Serv'!N684+'Prof Serv'!N872+'Prof Serv'!N1060+'Prof Serv'!N1816+'Prof Serv'!N2004+'Prof Serv'!N2192</f>
        <v>0</v>
      </c>
      <c r="J140" s="124">
        <f>'Prof Serv'!N494</f>
        <v>0</v>
      </c>
      <c r="K140" s="124">
        <v>0</v>
      </c>
      <c r="L140" s="124">
        <v>0</v>
      </c>
      <c r="M140" s="124">
        <f t="shared" si="25"/>
        <v>140460.05660800001</v>
      </c>
      <c r="N140" s="282">
        <f>-'Other Operating Expenses'!N935</f>
        <v>0</v>
      </c>
      <c r="O140" s="282">
        <f>-'Other Operating Expenses'!N1125</f>
        <v>0</v>
      </c>
      <c r="P140" s="282"/>
      <c r="Q140" s="124">
        <f t="shared" si="26"/>
        <v>140460.05660800001</v>
      </c>
      <c r="R140" s="124"/>
      <c r="S140" s="124"/>
      <c r="T140" s="124">
        <f>IF(V140="n/a",0,IF(S140&lt;&gt;"",0,ROUND(SUM(Q140)*10%,2)))</f>
        <v>14046.01</v>
      </c>
      <c r="U140" s="124">
        <f t="shared" si="30"/>
        <v>154506.06660800002</v>
      </c>
      <c r="V140" s="224">
        <v>180</v>
      </c>
      <c r="AC140" s="628"/>
      <c r="AD140" s="297"/>
      <c r="AE140" s="628"/>
      <c r="AF140" s="48"/>
    </row>
    <row r="141" spans="1:32" s="236" customFormat="1" ht="15" x14ac:dyDescent="0.25">
      <c r="A141" s="745" t="s">
        <v>1797</v>
      </c>
      <c r="B141" s="620"/>
      <c r="C141" s="124">
        <f>HR!Z773</f>
        <v>905.13654399999996</v>
      </c>
      <c r="D141" s="124"/>
      <c r="E141" s="124"/>
      <c r="F141" s="124"/>
      <c r="G141" s="124">
        <f>'Other Operating Expenses'!N739</f>
        <v>3708.01</v>
      </c>
      <c r="H141" s="124">
        <f>Supplies!N314</f>
        <v>0</v>
      </c>
      <c r="I141" s="124"/>
      <c r="J141" s="124"/>
      <c r="K141" s="124"/>
      <c r="L141" s="124"/>
      <c r="M141" s="124">
        <f t="shared" si="25"/>
        <v>4613.1465440000002</v>
      </c>
      <c r="N141" s="282"/>
      <c r="O141" s="282"/>
      <c r="P141" s="282"/>
      <c r="Q141" s="124">
        <f t="shared" si="26"/>
        <v>4613.1465440000002</v>
      </c>
      <c r="R141" s="124"/>
      <c r="S141" s="124"/>
      <c r="T141" s="124">
        <f t="shared" ref="T141:T142" si="31">IF(V141="n/a",0,IF(S141&lt;&gt;"",0,ROUND(SUM(Q141)*10%,2)))</f>
        <v>461.31</v>
      </c>
      <c r="U141" s="124">
        <f t="shared" si="30"/>
        <v>5074.4565440000006</v>
      </c>
      <c r="V141" s="224">
        <v>150</v>
      </c>
      <c r="AC141" s="628"/>
      <c r="AD141" s="297"/>
      <c r="AE141" s="628"/>
      <c r="AF141" s="48"/>
    </row>
    <row r="142" spans="1:32" s="236" customFormat="1" ht="15" x14ac:dyDescent="0.25">
      <c r="A142" s="123" t="s">
        <v>96</v>
      </c>
      <c r="B142" s="620"/>
      <c r="C142" s="124">
        <f>HR!Z774</f>
        <v>971262.30518400017</v>
      </c>
      <c r="D142" s="124">
        <f>'Prof Serv'!N1629+'Prof Serv'!N1439</f>
        <v>425000</v>
      </c>
      <c r="E142" s="124">
        <f>'Prof Serv'!N1249</f>
        <v>0</v>
      </c>
      <c r="F142" s="124">
        <f>Travel!P457+Travel!P645+Travel!P833+Travel!P1021+Travel!P1209+Travel!P1397+Travel!P1585</f>
        <v>26830</v>
      </c>
      <c r="G142" s="124">
        <f>'Other Operating Expenses'!N740</f>
        <v>39126.009999999995</v>
      </c>
      <c r="H142" s="124">
        <f>Supplies!N315</f>
        <v>0</v>
      </c>
      <c r="I142" s="124">
        <f>'Prof Serv'!N685+'Prof Serv'!N873+'Prof Serv'!N1061+'Prof Serv'!N1817+'Prof Serv'!N2005+'Prof Serv'!N2193</f>
        <v>0</v>
      </c>
      <c r="J142" s="124">
        <f>'Prof Serv'!N495</f>
        <v>0</v>
      </c>
      <c r="K142" s="124">
        <v>0</v>
      </c>
      <c r="L142" s="124">
        <v>0</v>
      </c>
      <c r="M142" s="124">
        <f t="shared" si="25"/>
        <v>1462218.3151840002</v>
      </c>
      <c r="N142" s="282">
        <f>-'Other Operating Expenses'!N936</f>
        <v>0</v>
      </c>
      <c r="O142" s="282">
        <f>-'Other Operating Expenses'!N1126</f>
        <v>0</v>
      </c>
      <c r="P142" s="282"/>
      <c r="Q142" s="124">
        <f t="shared" si="26"/>
        <v>1462218.3151840002</v>
      </c>
      <c r="R142" s="124"/>
      <c r="S142" s="124"/>
      <c r="T142" s="124">
        <f t="shared" si="31"/>
        <v>146221.82999999999</v>
      </c>
      <c r="U142" s="124">
        <f t="shared" si="30"/>
        <v>1608440.1451840003</v>
      </c>
      <c r="V142" s="224">
        <v>180</v>
      </c>
      <c r="AC142" s="628"/>
      <c r="AD142" s="297"/>
      <c r="AE142" s="628"/>
      <c r="AF142" s="48"/>
    </row>
    <row r="143" spans="1:32" s="236" customFormat="1" ht="15" x14ac:dyDescent="0.25">
      <c r="A143" s="123" t="s">
        <v>983</v>
      </c>
      <c r="B143" s="620"/>
      <c r="C143" s="124">
        <f>HR!Z775</f>
        <v>138356.682768</v>
      </c>
      <c r="D143" s="124">
        <f>'Prof Serv'!N1630+'Prof Serv'!N1440</f>
        <v>5145</v>
      </c>
      <c r="E143" s="124">
        <f>'Prof Serv'!N1250</f>
        <v>0</v>
      </c>
      <c r="F143" s="124">
        <f>Travel!P458+Travel!P646+Travel!P834+Travel!P1022+Travel!P1210+Travel!P1398+Travel!P1586</f>
        <v>0</v>
      </c>
      <c r="G143" s="124">
        <f>'Other Operating Expenses'!N741</f>
        <v>595</v>
      </c>
      <c r="H143" s="124">
        <f>Supplies!N316</f>
        <v>0</v>
      </c>
      <c r="I143" s="124">
        <f>'Prof Serv'!N686+'Prof Serv'!N874+'Prof Serv'!N1062+'Prof Serv'!N1818+'Prof Serv'!N2006+'Prof Serv'!N2194</f>
        <v>0</v>
      </c>
      <c r="J143" s="124">
        <f>'Prof Serv'!N496</f>
        <v>0</v>
      </c>
      <c r="K143" s="124">
        <v>0</v>
      </c>
      <c r="L143" s="124">
        <v>0</v>
      </c>
      <c r="M143" s="124">
        <f t="shared" si="25"/>
        <v>144096.682768</v>
      </c>
      <c r="N143" s="282">
        <f>-'Other Operating Expenses'!N937</f>
        <v>0</v>
      </c>
      <c r="O143" s="282">
        <f>-'Other Operating Expenses'!N1127</f>
        <v>0</v>
      </c>
      <c r="P143" s="282"/>
      <c r="Q143" s="124">
        <f t="shared" si="26"/>
        <v>144096.682768</v>
      </c>
      <c r="R143" s="124"/>
      <c r="S143" s="124"/>
      <c r="T143" s="124">
        <f t="shared" si="29"/>
        <v>0</v>
      </c>
      <c r="U143" s="124">
        <f t="shared" si="30"/>
        <v>0</v>
      </c>
      <c r="V143" s="224" t="s">
        <v>1524</v>
      </c>
      <c r="AC143" s="628"/>
      <c r="AD143" s="297"/>
      <c r="AE143" s="628"/>
      <c r="AF143" s="48"/>
    </row>
    <row r="144" spans="1:32" s="236" customFormat="1" ht="15" x14ac:dyDescent="0.25">
      <c r="A144" s="123" t="s">
        <v>1042</v>
      </c>
      <c r="B144" s="620"/>
      <c r="C144" s="124">
        <f>HR!Z776</f>
        <v>0</v>
      </c>
      <c r="D144" s="124">
        <f>'Prof Serv'!N1631+'Prof Serv'!N1441</f>
        <v>0</v>
      </c>
      <c r="E144" s="124">
        <f>'Prof Serv'!N1251</f>
        <v>0</v>
      </c>
      <c r="F144" s="124">
        <f>Travel!P459+Travel!P647+Travel!P835+Travel!P1023+Travel!P1211+Travel!P1399+Travel!P1587</f>
        <v>0</v>
      </c>
      <c r="G144" s="124">
        <f>'Other Operating Expenses'!N742</f>
        <v>0</v>
      </c>
      <c r="H144" s="124">
        <f>Supplies!N317</f>
        <v>0</v>
      </c>
      <c r="I144" s="124">
        <f>'Prof Serv'!N687+'Prof Serv'!N875+'Prof Serv'!N1063+'Prof Serv'!N1819+'Prof Serv'!N2007+'Prof Serv'!N2195</f>
        <v>0</v>
      </c>
      <c r="J144" s="124">
        <f>'Prof Serv'!N497</f>
        <v>0</v>
      </c>
      <c r="K144" s="124">
        <v>0</v>
      </c>
      <c r="L144" s="124">
        <v>0</v>
      </c>
      <c r="M144" s="124">
        <f t="shared" si="25"/>
        <v>0</v>
      </c>
      <c r="N144" s="282">
        <f>-'Other Operating Expenses'!N938</f>
        <v>0</v>
      </c>
      <c r="O144" s="282">
        <f>-'Other Operating Expenses'!N1128</f>
        <v>0</v>
      </c>
      <c r="P144" s="282"/>
      <c r="Q144" s="124">
        <f t="shared" si="26"/>
        <v>0</v>
      </c>
      <c r="R144" s="124"/>
      <c r="S144" s="124"/>
      <c r="T144" s="124">
        <f t="shared" si="29"/>
        <v>0</v>
      </c>
      <c r="U144" s="124">
        <f t="shared" si="30"/>
        <v>0</v>
      </c>
      <c r="V144" s="224" t="s">
        <v>1524</v>
      </c>
      <c r="AC144" s="628"/>
      <c r="AD144" s="297"/>
      <c r="AE144" s="628"/>
      <c r="AF144" s="48"/>
    </row>
    <row r="145" spans="1:32" s="236" customFormat="1" ht="15" x14ac:dyDescent="0.25">
      <c r="A145" s="123" t="s">
        <v>979</v>
      </c>
      <c r="B145" s="620"/>
      <c r="C145" s="124">
        <f>HR!Z777</f>
        <v>11044.996290432002</v>
      </c>
      <c r="D145" s="124">
        <f>'Prof Serv'!N1632+'Prof Serv'!N1442</f>
        <v>0</v>
      </c>
      <c r="E145" s="124">
        <f>'Prof Serv'!N1252</f>
        <v>0</v>
      </c>
      <c r="F145" s="124">
        <f>Travel!P460+Travel!P648+Travel!P836+Travel!P1024+Travel!P1212+Travel!P1400+Travel!P1588</f>
        <v>0</v>
      </c>
      <c r="G145" s="124">
        <f>'Other Operating Expenses'!N743</f>
        <v>0</v>
      </c>
      <c r="H145" s="124">
        <f>Supplies!N318</f>
        <v>0</v>
      </c>
      <c r="I145" s="124">
        <f>'Prof Serv'!N688+'Prof Serv'!N876+'Prof Serv'!N1064+'Prof Serv'!N1820+'Prof Serv'!N2008+'Prof Serv'!N2196</f>
        <v>0</v>
      </c>
      <c r="J145" s="124">
        <f>'Prof Serv'!N498</f>
        <v>0</v>
      </c>
      <c r="K145" s="124">
        <v>0</v>
      </c>
      <c r="L145" s="124">
        <v>0</v>
      </c>
      <c r="M145" s="124">
        <f t="shared" si="25"/>
        <v>11044.996290432002</v>
      </c>
      <c r="N145" s="282">
        <f>-'Other Operating Expenses'!N939</f>
        <v>0</v>
      </c>
      <c r="O145" s="282">
        <f>-'Other Operating Expenses'!N1129</f>
        <v>0</v>
      </c>
      <c r="P145" s="282"/>
      <c r="Q145" s="124">
        <f t="shared" si="26"/>
        <v>11044.996290432002</v>
      </c>
      <c r="R145" s="124"/>
      <c r="S145" s="124"/>
      <c r="T145" s="124">
        <f t="shared" si="29"/>
        <v>0</v>
      </c>
      <c r="U145" s="124">
        <f t="shared" si="30"/>
        <v>0</v>
      </c>
      <c r="V145" s="224" t="s">
        <v>1524</v>
      </c>
      <c r="AC145" s="628"/>
      <c r="AD145" s="297"/>
      <c r="AE145" s="628"/>
      <c r="AF145" s="48"/>
    </row>
    <row r="146" spans="1:32" s="236" customFormat="1" ht="15" x14ac:dyDescent="0.25">
      <c r="A146" s="123" t="s">
        <v>47</v>
      </c>
      <c r="B146" s="620"/>
      <c r="C146" s="124">
        <f>HR!Z778</f>
        <v>32041.070744799999</v>
      </c>
      <c r="D146" s="124">
        <f>'Prof Serv'!N1633+'Prof Serv'!N1443</f>
        <v>0</v>
      </c>
      <c r="E146" s="124">
        <f>'Prof Serv'!N1253</f>
        <v>0</v>
      </c>
      <c r="F146" s="124">
        <f>Travel!P461+Travel!P649+Travel!P837+Travel!P1025+Travel!P1213+Travel!P1401+Travel!P1589</f>
        <v>0</v>
      </c>
      <c r="G146" s="124">
        <f>'Other Operating Expenses'!N744</f>
        <v>0</v>
      </c>
      <c r="H146" s="124">
        <f>Supplies!N319</f>
        <v>0</v>
      </c>
      <c r="I146" s="124">
        <f>'Prof Serv'!N689+'Prof Serv'!N877+'Prof Serv'!N1065+'Prof Serv'!N1821+'Prof Serv'!N2009+'Prof Serv'!N2197</f>
        <v>0</v>
      </c>
      <c r="J146" s="124">
        <f>'Prof Serv'!N499</f>
        <v>8750</v>
      </c>
      <c r="K146" s="124">
        <v>0</v>
      </c>
      <c r="L146" s="124">
        <v>0</v>
      </c>
      <c r="M146" s="124">
        <f t="shared" si="25"/>
        <v>40791.070744800003</v>
      </c>
      <c r="N146" s="282">
        <f>-'Other Operating Expenses'!N940</f>
        <v>0</v>
      </c>
      <c r="O146" s="282">
        <f>-'Other Operating Expenses'!N1130</f>
        <v>0</v>
      </c>
      <c r="P146" s="282"/>
      <c r="Q146" s="124">
        <f t="shared" si="26"/>
        <v>40791.070744800003</v>
      </c>
      <c r="R146" s="124"/>
      <c r="S146" s="124"/>
      <c r="T146" s="124">
        <f t="shared" si="29"/>
        <v>0</v>
      </c>
      <c r="U146" s="124">
        <f t="shared" si="30"/>
        <v>0</v>
      </c>
      <c r="V146" s="224" t="s">
        <v>1524</v>
      </c>
      <c r="AC146" s="628"/>
      <c r="AD146" s="297"/>
      <c r="AE146" s="628"/>
      <c r="AF146" s="48"/>
    </row>
    <row r="147" spans="1:32" s="236" customFormat="1" ht="15" x14ac:dyDescent="0.25">
      <c r="A147" s="123" t="s">
        <v>48</v>
      </c>
      <c r="B147" s="620"/>
      <c r="C147" s="124">
        <f>HR!Z779</f>
        <v>32041.070744799999</v>
      </c>
      <c r="D147" s="124">
        <f>'Prof Serv'!N1634+'Prof Serv'!N1444</f>
        <v>0</v>
      </c>
      <c r="E147" s="124">
        <f>'Prof Serv'!N1254</f>
        <v>0</v>
      </c>
      <c r="F147" s="124">
        <f>Travel!P462+Travel!P650+Travel!P838+Travel!P1026+Travel!P1214+Travel!P1402+Travel!P1590</f>
        <v>0</v>
      </c>
      <c r="G147" s="124">
        <f>'Other Operating Expenses'!N745</f>
        <v>0</v>
      </c>
      <c r="H147" s="124">
        <f>Supplies!N320</f>
        <v>0</v>
      </c>
      <c r="I147" s="124">
        <f>'Prof Serv'!N690+'Prof Serv'!N878+'Prof Serv'!N1066+'Prof Serv'!N1822+'Prof Serv'!N2010+'Prof Serv'!N2198</f>
        <v>0</v>
      </c>
      <c r="J147" s="124">
        <f>'Prof Serv'!N500</f>
        <v>8750</v>
      </c>
      <c r="K147" s="124">
        <v>0</v>
      </c>
      <c r="L147" s="124">
        <v>0</v>
      </c>
      <c r="M147" s="124">
        <f t="shared" si="25"/>
        <v>40791.070744800003</v>
      </c>
      <c r="N147" s="282">
        <f>-'Other Operating Expenses'!N941</f>
        <v>0</v>
      </c>
      <c r="O147" s="282">
        <f>-'Other Operating Expenses'!N1131</f>
        <v>0</v>
      </c>
      <c r="P147" s="282"/>
      <c r="Q147" s="124">
        <f t="shared" si="26"/>
        <v>40791.070744800003</v>
      </c>
      <c r="R147" s="124"/>
      <c r="S147" s="124"/>
      <c r="T147" s="124">
        <f t="shared" si="29"/>
        <v>0</v>
      </c>
      <c r="U147" s="124">
        <f t="shared" si="30"/>
        <v>0</v>
      </c>
      <c r="V147" s="224" t="s">
        <v>1524</v>
      </c>
      <c r="AC147" s="628"/>
      <c r="AD147" s="297"/>
      <c r="AE147" s="628"/>
      <c r="AF147" s="48"/>
    </row>
    <row r="148" spans="1:32" s="236" customFormat="1" ht="15" x14ac:dyDescent="0.25">
      <c r="A148" s="123" t="s">
        <v>1051</v>
      </c>
      <c r="B148" s="620"/>
      <c r="C148" s="124">
        <f>HR!Z780</f>
        <v>0</v>
      </c>
      <c r="D148" s="124">
        <f>'Prof Serv'!N1635+'Prof Serv'!N1445</f>
        <v>0</v>
      </c>
      <c r="E148" s="124">
        <f>'Prof Serv'!N1255</f>
        <v>0</v>
      </c>
      <c r="F148" s="124">
        <f>Travel!P463+Travel!P651+Travel!P839+Travel!P1027+Travel!P1215+Travel!P1403+Travel!P1591</f>
        <v>0</v>
      </c>
      <c r="G148" s="124">
        <f>'Other Operating Expenses'!N746</f>
        <v>0</v>
      </c>
      <c r="H148" s="124">
        <f>Supplies!N321</f>
        <v>0</v>
      </c>
      <c r="I148" s="124">
        <f>'Prof Serv'!N691+'Prof Serv'!N879+'Prof Serv'!N1067+'Prof Serv'!N1823+'Prof Serv'!N2011+'Prof Serv'!N2199</f>
        <v>0</v>
      </c>
      <c r="J148" s="124">
        <f>'Prof Serv'!N501</f>
        <v>0</v>
      </c>
      <c r="K148" s="124">
        <v>0</v>
      </c>
      <c r="L148" s="124">
        <v>0</v>
      </c>
      <c r="M148" s="124">
        <f t="shared" si="25"/>
        <v>0</v>
      </c>
      <c r="N148" s="282">
        <f>-'Other Operating Expenses'!N942</f>
        <v>0</v>
      </c>
      <c r="O148" s="282">
        <f>-'Other Operating Expenses'!N1132</f>
        <v>0</v>
      </c>
      <c r="P148" s="282"/>
      <c r="Q148" s="124">
        <f t="shared" si="26"/>
        <v>0</v>
      </c>
      <c r="R148" s="124"/>
      <c r="S148" s="124"/>
      <c r="T148" s="124">
        <f t="shared" si="29"/>
        <v>0</v>
      </c>
      <c r="U148" s="124">
        <f t="shared" si="30"/>
        <v>0</v>
      </c>
      <c r="V148" s="224" t="s">
        <v>1524</v>
      </c>
      <c r="AC148" s="628"/>
      <c r="AD148" s="297"/>
      <c r="AE148" s="628"/>
      <c r="AF148" s="48"/>
    </row>
    <row r="149" spans="1:32" s="236" customFormat="1" ht="15" x14ac:dyDescent="0.25">
      <c r="A149" s="123" t="s">
        <v>970</v>
      </c>
      <c r="B149" s="620"/>
      <c r="C149" s="124">
        <f>HR!Z781</f>
        <v>0</v>
      </c>
      <c r="D149" s="124">
        <f>'Prof Serv'!N1637+'Prof Serv'!N1447</f>
        <v>0</v>
      </c>
      <c r="E149" s="124">
        <f>'Prof Serv'!N1257</f>
        <v>0</v>
      </c>
      <c r="F149" s="124">
        <f>Travel!P465+Travel!P653+Travel!P841+Travel!P1029+Travel!P1217+Travel!P1405+Travel!P1593</f>
        <v>0</v>
      </c>
      <c r="G149" s="124">
        <f>'Other Operating Expenses'!N747</f>
        <v>0</v>
      </c>
      <c r="H149" s="124">
        <f>Supplies!N322</f>
        <v>0</v>
      </c>
      <c r="I149" s="124">
        <f>'Prof Serv'!N693+'Prof Serv'!N881+'Prof Serv'!N1069+'Prof Serv'!N1825+'Prof Serv'!N2013+'Prof Serv'!N2201</f>
        <v>0</v>
      </c>
      <c r="J149" s="124">
        <f>'Prof Serv'!N503</f>
        <v>0</v>
      </c>
      <c r="K149" s="124">
        <v>0</v>
      </c>
      <c r="L149" s="124">
        <v>0</v>
      </c>
      <c r="M149" s="124">
        <f t="shared" si="25"/>
        <v>0</v>
      </c>
      <c r="N149" s="282">
        <f>-'Other Operating Expenses'!N944</f>
        <v>0</v>
      </c>
      <c r="O149" s="282">
        <f>-'Other Operating Expenses'!N1133</f>
        <v>0</v>
      </c>
      <c r="P149" s="282"/>
      <c r="Q149" s="124">
        <f t="shared" si="26"/>
        <v>0</v>
      </c>
      <c r="R149" s="124">
        <f t="shared" ref="R149:R187" si="32">IF(V149&lt;&gt;"n/a",C149*33.33%*47%,0)</f>
        <v>0</v>
      </c>
      <c r="S149" s="124">
        <f t="shared" ref="S149:S187" si="33">IF(V149&lt;&gt;"n/a",Q149*66.67%*10%,0)</f>
        <v>0</v>
      </c>
      <c r="T149" s="124">
        <f t="shared" si="29"/>
        <v>0</v>
      </c>
      <c r="U149" s="124">
        <f t="shared" si="30"/>
        <v>0</v>
      </c>
      <c r="V149" s="224" t="s">
        <v>1524</v>
      </c>
      <c r="AC149" s="628"/>
      <c r="AD149" s="297"/>
      <c r="AE149" s="628"/>
      <c r="AF149" s="48"/>
    </row>
    <row r="150" spans="1:32" s="236" customFormat="1" ht="15" x14ac:dyDescent="0.25">
      <c r="A150" s="123" t="s">
        <v>122</v>
      </c>
      <c r="B150" s="620"/>
      <c r="C150" s="124">
        <f>HR!Z782</f>
        <v>0</v>
      </c>
      <c r="D150" s="124">
        <f>'Prof Serv'!N1638+'Prof Serv'!N1448</f>
        <v>0</v>
      </c>
      <c r="E150" s="124">
        <f>'Prof Serv'!N1258</f>
        <v>0</v>
      </c>
      <c r="F150" s="124">
        <f>Travel!P466+Travel!P654+Travel!P842+Travel!P1030+Travel!P1218+Travel!P1406+Travel!P1594</f>
        <v>0</v>
      </c>
      <c r="G150" s="124">
        <f>'Other Operating Expenses'!N748</f>
        <v>0</v>
      </c>
      <c r="H150" s="124">
        <f>Supplies!N323</f>
        <v>0</v>
      </c>
      <c r="I150" s="124">
        <f>'Prof Serv'!N694+'Prof Serv'!N882+'Prof Serv'!N1070+'Prof Serv'!N1826+'Prof Serv'!N2014+'Prof Serv'!N2202</f>
        <v>0</v>
      </c>
      <c r="J150" s="124">
        <f>'Prof Serv'!N504</f>
        <v>0</v>
      </c>
      <c r="K150" s="124">
        <v>0</v>
      </c>
      <c r="L150" s="124">
        <v>0</v>
      </c>
      <c r="M150" s="124">
        <f t="shared" si="25"/>
        <v>0</v>
      </c>
      <c r="N150" s="282">
        <f>-'Other Operating Expenses'!N945</f>
        <v>0</v>
      </c>
      <c r="O150" s="282">
        <f>-'Other Operating Expenses'!N1134</f>
        <v>0</v>
      </c>
      <c r="P150" s="282"/>
      <c r="Q150" s="124">
        <f t="shared" si="26"/>
        <v>0</v>
      </c>
      <c r="R150" s="124">
        <f t="shared" si="32"/>
        <v>0</v>
      </c>
      <c r="S150" s="124">
        <f t="shared" si="33"/>
        <v>0</v>
      </c>
      <c r="T150" s="124">
        <f t="shared" si="29"/>
        <v>0</v>
      </c>
      <c r="U150" s="124">
        <f t="shared" si="30"/>
        <v>0</v>
      </c>
      <c r="V150" s="224" t="s">
        <v>1524</v>
      </c>
      <c r="AC150" s="628"/>
      <c r="AD150" s="297"/>
      <c r="AE150" s="628"/>
      <c r="AF150" s="48"/>
    </row>
    <row r="151" spans="1:32" s="236" customFormat="1" ht="15" x14ac:dyDescent="0.25">
      <c r="A151" s="123" t="s">
        <v>135</v>
      </c>
      <c r="B151" s="620"/>
      <c r="C151" s="124">
        <f>HR!Z783</f>
        <v>0</v>
      </c>
      <c r="D151" s="124">
        <f>'Prof Serv'!N1639+'Prof Serv'!N1449</f>
        <v>0</v>
      </c>
      <c r="E151" s="124">
        <f>'Prof Serv'!N1259</f>
        <v>0</v>
      </c>
      <c r="F151" s="124">
        <f>Travel!P467+Travel!P655+Travel!P843+Travel!P1031+Travel!P1219+Travel!P1407+Travel!P1595</f>
        <v>0</v>
      </c>
      <c r="G151" s="124">
        <f>'Other Operating Expenses'!N749</f>
        <v>0</v>
      </c>
      <c r="H151" s="124">
        <f>Supplies!N324</f>
        <v>0</v>
      </c>
      <c r="I151" s="124">
        <f>'Prof Serv'!N695+'Prof Serv'!N883+'Prof Serv'!N1071+'Prof Serv'!N1827+'Prof Serv'!N2015+'Prof Serv'!N2203</f>
        <v>0</v>
      </c>
      <c r="J151" s="124">
        <f>'Prof Serv'!N505</f>
        <v>0</v>
      </c>
      <c r="K151" s="124">
        <v>0</v>
      </c>
      <c r="L151" s="124">
        <v>0</v>
      </c>
      <c r="M151" s="124">
        <f t="shared" si="25"/>
        <v>0</v>
      </c>
      <c r="N151" s="282">
        <f>-'Other Operating Expenses'!N946</f>
        <v>0</v>
      </c>
      <c r="O151" s="282">
        <f>-'Other Operating Expenses'!N1135</f>
        <v>0</v>
      </c>
      <c r="P151" s="282"/>
      <c r="Q151" s="124">
        <f t="shared" si="26"/>
        <v>0</v>
      </c>
      <c r="R151" s="124">
        <f t="shared" si="32"/>
        <v>0</v>
      </c>
      <c r="S151" s="124">
        <f t="shared" si="33"/>
        <v>0</v>
      </c>
      <c r="T151" s="124">
        <f t="shared" si="29"/>
        <v>0</v>
      </c>
      <c r="U151" s="124">
        <f t="shared" si="30"/>
        <v>0</v>
      </c>
      <c r="V151" s="224" t="s">
        <v>1524</v>
      </c>
      <c r="AC151" s="628"/>
      <c r="AD151" s="297"/>
      <c r="AE151" s="628"/>
      <c r="AF151" s="48"/>
    </row>
    <row r="152" spans="1:32" s="236" customFormat="1" ht="15" x14ac:dyDescent="0.25">
      <c r="A152" s="123" t="s">
        <v>123</v>
      </c>
      <c r="B152" s="620"/>
      <c r="C152" s="124">
        <f>HR!Z784</f>
        <v>0</v>
      </c>
      <c r="D152" s="124">
        <f>'Prof Serv'!N1640+'Prof Serv'!N1450</f>
        <v>0</v>
      </c>
      <c r="E152" s="124">
        <f>'Prof Serv'!N1260</f>
        <v>0</v>
      </c>
      <c r="F152" s="124">
        <f>Travel!P468+Travel!P656+Travel!P844+Travel!P1032+Travel!P1220+Travel!P1408+Travel!P1596</f>
        <v>0</v>
      </c>
      <c r="G152" s="124">
        <f>'Other Operating Expenses'!N750</f>
        <v>0</v>
      </c>
      <c r="H152" s="124">
        <f>Supplies!N325</f>
        <v>0</v>
      </c>
      <c r="I152" s="124">
        <f>'Prof Serv'!N696+'Prof Serv'!N884+'Prof Serv'!N1072+'Prof Serv'!N1828+'Prof Serv'!N2016+'Prof Serv'!N2204</f>
        <v>0</v>
      </c>
      <c r="J152" s="124">
        <f>'Prof Serv'!N506</f>
        <v>0</v>
      </c>
      <c r="K152" s="124">
        <v>0</v>
      </c>
      <c r="L152" s="124">
        <v>0</v>
      </c>
      <c r="M152" s="124">
        <f t="shared" si="25"/>
        <v>0</v>
      </c>
      <c r="N152" s="282">
        <f>-'Other Operating Expenses'!N947</f>
        <v>0</v>
      </c>
      <c r="O152" s="282">
        <f>-'Other Operating Expenses'!N1136</f>
        <v>0</v>
      </c>
      <c r="P152" s="282"/>
      <c r="Q152" s="124">
        <f t="shared" si="26"/>
        <v>0</v>
      </c>
      <c r="R152" s="124">
        <f t="shared" si="32"/>
        <v>0</v>
      </c>
      <c r="S152" s="124">
        <f t="shared" si="33"/>
        <v>0</v>
      </c>
      <c r="T152" s="124">
        <f t="shared" si="29"/>
        <v>0</v>
      </c>
      <c r="U152" s="124">
        <f t="shared" si="30"/>
        <v>0</v>
      </c>
      <c r="V152" s="224" t="s">
        <v>1524</v>
      </c>
      <c r="AC152" s="628"/>
      <c r="AD152" s="297"/>
      <c r="AE152" s="628"/>
      <c r="AF152" s="48"/>
    </row>
    <row r="153" spans="1:32" s="236" customFormat="1" ht="15" x14ac:dyDescent="0.25">
      <c r="A153" s="123" t="s">
        <v>974</v>
      </c>
      <c r="B153" s="620"/>
      <c r="C153" s="124">
        <f>HR!Z785</f>
        <v>0</v>
      </c>
      <c r="D153" s="124">
        <f>'Prof Serv'!N1641+'Prof Serv'!N1451</f>
        <v>0</v>
      </c>
      <c r="E153" s="124">
        <f>'Prof Serv'!N1261</f>
        <v>0</v>
      </c>
      <c r="F153" s="124">
        <f>Travel!P469+Travel!P657+Travel!P845+Travel!P1033+Travel!P1221+Travel!P1409+Travel!P1597</f>
        <v>0</v>
      </c>
      <c r="G153" s="124">
        <f>'Other Operating Expenses'!N751</f>
        <v>0</v>
      </c>
      <c r="H153" s="124">
        <f>Supplies!N326</f>
        <v>0</v>
      </c>
      <c r="I153" s="124">
        <f>'Prof Serv'!N697+'Prof Serv'!N885+'Prof Serv'!N1073+'Prof Serv'!N1829+'Prof Serv'!N2017+'Prof Serv'!N2205</f>
        <v>0</v>
      </c>
      <c r="J153" s="124">
        <f>'Prof Serv'!N507</f>
        <v>0</v>
      </c>
      <c r="K153" s="124">
        <v>0</v>
      </c>
      <c r="L153" s="124">
        <v>0</v>
      </c>
      <c r="M153" s="124">
        <f t="shared" si="25"/>
        <v>0</v>
      </c>
      <c r="N153" s="282">
        <f>-'Other Operating Expenses'!N948</f>
        <v>0</v>
      </c>
      <c r="O153" s="282">
        <f>-'Other Operating Expenses'!N1137</f>
        <v>0</v>
      </c>
      <c r="P153" s="282"/>
      <c r="Q153" s="124">
        <f t="shared" si="26"/>
        <v>0</v>
      </c>
      <c r="R153" s="124">
        <f t="shared" si="32"/>
        <v>0</v>
      </c>
      <c r="S153" s="124">
        <f t="shared" si="33"/>
        <v>0</v>
      </c>
      <c r="T153" s="124">
        <f t="shared" si="29"/>
        <v>0</v>
      </c>
      <c r="U153" s="124">
        <f t="shared" si="30"/>
        <v>0</v>
      </c>
      <c r="V153" s="224" t="s">
        <v>1524</v>
      </c>
      <c r="AC153" s="628"/>
      <c r="AD153" s="297"/>
      <c r="AE153" s="628"/>
      <c r="AF153" s="48"/>
    </row>
    <row r="154" spans="1:32" s="236" customFormat="1" ht="15" x14ac:dyDescent="0.25">
      <c r="A154" s="123" t="s">
        <v>975</v>
      </c>
      <c r="B154" s="620"/>
      <c r="C154" s="124">
        <f>HR!Z786</f>
        <v>0</v>
      </c>
      <c r="D154" s="124">
        <f>'Prof Serv'!N1642+'Prof Serv'!N1452</f>
        <v>0</v>
      </c>
      <c r="E154" s="124">
        <f>'Prof Serv'!N1262</f>
        <v>0</v>
      </c>
      <c r="F154" s="124">
        <f>Travel!P470+Travel!P658+Travel!P846+Travel!P1034+Travel!P1222+Travel!P1410+Travel!P1598</f>
        <v>0</v>
      </c>
      <c r="G154" s="124">
        <f>'Other Operating Expenses'!N752</f>
        <v>0</v>
      </c>
      <c r="H154" s="124">
        <f>Supplies!N327</f>
        <v>0</v>
      </c>
      <c r="I154" s="124">
        <f>'Prof Serv'!N698+'Prof Serv'!N886+'Prof Serv'!N1074+'Prof Serv'!N1830+'Prof Serv'!N2018+'Prof Serv'!N2206</f>
        <v>0</v>
      </c>
      <c r="J154" s="124">
        <f>'Prof Serv'!N508</f>
        <v>0</v>
      </c>
      <c r="K154" s="124">
        <v>0</v>
      </c>
      <c r="L154" s="124">
        <v>0</v>
      </c>
      <c r="M154" s="124">
        <f t="shared" si="25"/>
        <v>0</v>
      </c>
      <c r="N154" s="282">
        <f>-'Other Operating Expenses'!N949</f>
        <v>0</v>
      </c>
      <c r="O154" s="282">
        <f>-'Other Operating Expenses'!N1138</f>
        <v>0</v>
      </c>
      <c r="P154" s="282"/>
      <c r="Q154" s="124">
        <f t="shared" si="26"/>
        <v>0</v>
      </c>
      <c r="R154" s="124">
        <f t="shared" si="32"/>
        <v>0</v>
      </c>
      <c r="S154" s="124">
        <f t="shared" si="33"/>
        <v>0</v>
      </c>
      <c r="T154" s="124">
        <f t="shared" si="29"/>
        <v>0</v>
      </c>
      <c r="U154" s="124">
        <f t="shared" si="30"/>
        <v>0</v>
      </c>
      <c r="V154" s="224" t="s">
        <v>1524</v>
      </c>
      <c r="AC154" s="628"/>
      <c r="AD154" s="297"/>
      <c r="AE154" s="628"/>
      <c r="AF154" s="48"/>
    </row>
    <row r="155" spans="1:32" s="236" customFormat="1" ht="15" x14ac:dyDescent="0.25">
      <c r="A155" s="123" t="s">
        <v>126</v>
      </c>
      <c r="B155" s="620"/>
      <c r="C155" s="124">
        <f>HR!Z787</f>
        <v>0</v>
      </c>
      <c r="D155" s="124">
        <f>'Prof Serv'!N1643+'Prof Serv'!N1453</f>
        <v>0</v>
      </c>
      <c r="E155" s="124">
        <f>'Prof Serv'!N1263</f>
        <v>0</v>
      </c>
      <c r="F155" s="124">
        <f>Travel!P471+Travel!P659+Travel!P847+Travel!P1035+Travel!P1223+Travel!P1411+Travel!P1599</f>
        <v>0</v>
      </c>
      <c r="G155" s="124">
        <f>'Other Operating Expenses'!N753</f>
        <v>0</v>
      </c>
      <c r="H155" s="124">
        <f>Supplies!N328</f>
        <v>0</v>
      </c>
      <c r="I155" s="124">
        <f>'Prof Serv'!N699+'Prof Serv'!N887+'Prof Serv'!N1075+'Prof Serv'!N1831+'Prof Serv'!N2019+'Prof Serv'!N2207</f>
        <v>0</v>
      </c>
      <c r="J155" s="124">
        <f>'Prof Serv'!N509</f>
        <v>0</v>
      </c>
      <c r="K155" s="124">
        <v>0</v>
      </c>
      <c r="L155" s="124">
        <v>0</v>
      </c>
      <c r="M155" s="124">
        <f t="shared" si="25"/>
        <v>0</v>
      </c>
      <c r="N155" s="282">
        <f>-'Other Operating Expenses'!N950</f>
        <v>0</v>
      </c>
      <c r="O155" s="282">
        <f>-'Other Operating Expenses'!N1139</f>
        <v>0</v>
      </c>
      <c r="P155" s="282"/>
      <c r="Q155" s="124">
        <f t="shared" si="26"/>
        <v>0</v>
      </c>
      <c r="R155" s="124">
        <f t="shared" si="32"/>
        <v>0</v>
      </c>
      <c r="S155" s="124">
        <f t="shared" si="33"/>
        <v>0</v>
      </c>
      <c r="T155" s="124">
        <f t="shared" si="29"/>
        <v>0</v>
      </c>
      <c r="U155" s="124">
        <f t="shared" si="30"/>
        <v>0</v>
      </c>
      <c r="V155" s="224" t="s">
        <v>1524</v>
      </c>
      <c r="AC155" s="628"/>
      <c r="AD155" s="297"/>
      <c r="AE155" s="628"/>
      <c r="AF155" s="48"/>
    </row>
    <row r="156" spans="1:32" s="236" customFormat="1" ht="15" x14ac:dyDescent="0.25">
      <c r="A156" s="123" t="s">
        <v>127</v>
      </c>
      <c r="B156" s="620"/>
      <c r="C156" s="124">
        <f>HR!Z788</f>
        <v>0</v>
      </c>
      <c r="D156" s="124">
        <f>'Prof Serv'!N1644+'Prof Serv'!N1454</f>
        <v>0</v>
      </c>
      <c r="E156" s="124">
        <f>'Prof Serv'!N1264</f>
        <v>0</v>
      </c>
      <c r="F156" s="124">
        <f>Travel!P472+Travel!P660+Travel!P848+Travel!P1036+Travel!P1224+Travel!P1412+Travel!P1600</f>
        <v>0</v>
      </c>
      <c r="G156" s="124">
        <f>'Other Operating Expenses'!N754</f>
        <v>0</v>
      </c>
      <c r="H156" s="124">
        <f>Supplies!N329</f>
        <v>0</v>
      </c>
      <c r="I156" s="124">
        <f>'Prof Serv'!N700+'Prof Serv'!N888+'Prof Serv'!N1076+'Prof Serv'!N1832+'Prof Serv'!N2020+'Prof Serv'!N2208</f>
        <v>0</v>
      </c>
      <c r="J156" s="124">
        <f>'Prof Serv'!N510</f>
        <v>0</v>
      </c>
      <c r="K156" s="124">
        <v>0</v>
      </c>
      <c r="L156" s="124">
        <v>0</v>
      </c>
      <c r="M156" s="124">
        <f t="shared" si="25"/>
        <v>0</v>
      </c>
      <c r="N156" s="282">
        <f>-'Other Operating Expenses'!N951</f>
        <v>0</v>
      </c>
      <c r="O156" s="282">
        <f>-'Other Operating Expenses'!N1140</f>
        <v>0</v>
      </c>
      <c r="P156" s="282"/>
      <c r="Q156" s="124">
        <f t="shared" si="26"/>
        <v>0</v>
      </c>
      <c r="R156" s="124">
        <f t="shared" si="32"/>
        <v>0</v>
      </c>
      <c r="S156" s="124">
        <f t="shared" si="33"/>
        <v>0</v>
      </c>
      <c r="T156" s="124">
        <f t="shared" si="29"/>
        <v>0</v>
      </c>
      <c r="U156" s="124">
        <f t="shared" si="30"/>
        <v>0</v>
      </c>
      <c r="V156" s="224" t="s">
        <v>1524</v>
      </c>
      <c r="AC156" s="628"/>
      <c r="AD156" s="297"/>
      <c r="AE156" s="628"/>
      <c r="AF156" s="48"/>
    </row>
    <row r="157" spans="1:32" s="236" customFormat="1" ht="15" x14ac:dyDescent="0.25">
      <c r="A157" s="123" t="s">
        <v>130</v>
      </c>
      <c r="B157" s="620"/>
      <c r="C157" s="124">
        <f>HR!Z789</f>
        <v>0</v>
      </c>
      <c r="D157" s="124">
        <f>'Prof Serv'!N1645+'Prof Serv'!N1455</f>
        <v>0</v>
      </c>
      <c r="E157" s="124">
        <f>'Prof Serv'!N1265</f>
        <v>0</v>
      </c>
      <c r="F157" s="124">
        <f>Travel!P473+Travel!P661+Travel!P849+Travel!P1037+Travel!P1225+Travel!P1413+Travel!P1601</f>
        <v>0</v>
      </c>
      <c r="G157" s="124">
        <f>'Other Operating Expenses'!N755</f>
        <v>0</v>
      </c>
      <c r="H157" s="124">
        <f>Supplies!N330</f>
        <v>0</v>
      </c>
      <c r="I157" s="124">
        <f>'Prof Serv'!N701+'Prof Serv'!N889+'Prof Serv'!N1077+'Prof Serv'!N1833+'Prof Serv'!N2021+'Prof Serv'!N2209</f>
        <v>0</v>
      </c>
      <c r="J157" s="124">
        <f>'Prof Serv'!N511</f>
        <v>0</v>
      </c>
      <c r="K157" s="124">
        <v>0</v>
      </c>
      <c r="L157" s="124">
        <v>0</v>
      </c>
      <c r="M157" s="124">
        <f t="shared" si="25"/>
        <v>0</v>
      </c>
      <c r="N157" s="282">
        <f>-'Other Operating Expenses'!N952</f>
        <v>0</v>
      </c>
      <c r="O157" s="282">
        <f>-'Other Operating Expenses'!N1141</f>
        <v>0</v>
      </c>
      <c r="P157" s="282"/>
      <c r="Q157" s="124">
        <f t="shared" si="26"/>
        <v>0</v>
      </c>
      <c r="R157" s="124">
        <f t="shared" si="32"/>
        <v>0</v>
      </c>
      <c r="S157" s="124">
        <f t="shared" si="33"/>
        <v>0</v>
      </c>
      <c r="T157" s="124">
        <f t="shared" si="29"/>
        <v>0</v>
      </c>
      <c r="U157" s="124">
        <f t="shared" si="30"/>
        <v>0</v>
      </c>
      <c r="V157" s="224" t="s">
        <v>1524</v>
      </c>
      <c r="AC157" s="628"/>
      <c r="AD157" s="297"/>
      <c r="AE157" s="628"/>
      <c r="AF157" s="48"/>
    </row>
    <row r="158" spans="1:32" s="236" customFormat="1" ht="15" x14ac:dyDescent="0.25">
      <c r="A158" s="123" t="s">
        <v>125</v>
      </c>
      <c r="B158" s="620"/>
      <c r="C158" s="124">
        <f>HR!Z790</f>
        <v>0</v>
      </c>
      <c r="D158" s="124">
        <f>'Prof Serv'!N1646+'Prof Serv'!N1456</f>
        <v>0</v>
      </c>
      <c r="E158" s="124">
        <f>'Prof Serv'!N1266</f>
        <v>0</v>
      </c>
      <c r="F158" s="124">
        <f>Travel!P474+Travel!P662+Travel!P850+Travel!P1038+Travel!P1226+Travel!P1414+Travel!P1602</f>
        <v>0</v>
      </c>
      <c r="G158" s="124">
        <f>'Other Operating Expenses'!N756</f>
        <v>0</v>
      </c>
      <c r="H158" s="124">
        <f>Supplies!N331</f>
        <v>0</v>
      </c>
      <c r="I158" s="124">
        <f>'Prof Serv'!N702+'Prof Serv'!N890+'Prof Serv'!N1078+'Prof Serv'!N1834+'Prof Serv'!N2022+'Prof Serv'!N2210</f>
        <v>0</v>
      </c>
      <c r="J158" s="124">
        <f>'Prof Serv'!N512</f>
        <v>0</v>
      </c>
      <c r="K158" s="124">
        <v>0</v>
      </c>
      <c r="L158" s="124">
        <v>0</v>
      </c>
      <c r="M158" s="124">
        <f t="shared" si="25"/>
        <v>0</v>
      </c>
      <c r="N158" s="282">
        <f>-'Other Operating Expenses'!N953</f>
        <v>0</v>
      </c>
      <c r="O158" s="282">
        <f>-'Other Operating Expenses'!N1142</f>
        <v>0</v>
      </c>
      <c r="P158" s="282"/>
      <c r="Q158" s="124">
        <f t="shared" si="26"/>
        <v>0</v>
      </c>
      <c r="R158" s="124">
        <f t="shared" si="32"/>
        <v>0</v>
      </c>
      <c r="S158" s="124">
        <f t="shared" si="33"/>
        <v>0</v>
      </c>
      <c r="T158" s="124">
        <f t="shared" si="29"/>
        <v>0</v>
      </c>
      <c r="U158" s="124">
        <f t="shared" si="30"/>
        <v>0</v>
      </c>
      <c r="V158" s="224" t="s">
        <v>1524</v>
      </c>
      <c r="AC158" s="628"/>
      <c r="AD158" s="297"/>
      <c r="AE158" s="628"/>
      <c r="AF158" s="48"/>
    </row>
    <row r="159" spans="1:32" s="236" customFormat="1" ht="15" x14ac:dyDescent="0.25">
      <c r="A159" s="123" t="s">
        <v>128</v>
      </c>
      <c r="B159" s="620"/>
      <c r="C159" s="124">
        <f>HR!Z791</f>
        <v>0</v>
      </c>
      <c r="D159" s="124">
        <f>'Prof Serv'!N1647+'Prof Serv'!N1457</f>
        <v>0</v>
      </c>
      <c r="E159" s="124">
        <f>'Prof Serv'!N1267</f>
        <v>0</v>
      </c>
      <c r="F159" s="124">
        <f>Travel!P475+Travel!P663+Travel!P851+Travel!P1039+Travel!P1227+Travel!P1415+Travel!P1603</f>
        <v>0</v>
      </c>
      <c r="G159" s="124">
        <f>'Other Operating Expenses'!N757</f>
        <v>0</v>
      </c>
      <c r="H159" s="124">
        <f>Supplies!N332</f>
        <v>0</v>
      </c>
      <c r="I159" s="124">
        <f>'Prof Serv'!N703+'Prof Serv'!N891+'Prof Serv'!N1079+'Prof Serv'!N1835+'Prof Serv'!N2023+'Prof Serv'!N2211</f>
        <v>0</v>
      </c>
      <c r="J159" s="124">
        <f>'Prof Serv'!N513</f>
        <v>0</v>
      </c>
      <c r="K159" s="124">
        <v>0</v>
      </c>
      <c r="L159" s="124">
        <v>0</v>
      </c>
      <c r="M159" s="124">
        <f t="shared" si="25"/>
        <v>0</v>
      </c>
      <c r="N159" s="282">
        <f>-'Other Operating Expenses'!N954</f>
        <v>0</v>
      </c>
      <c r="O159" s="282">
        <f>-'Other Operating Expenses'!N1143</f>
        <v>0</v>
      </c>
      <c r="P159" s="282"/>
      <c r="Q159" s="124">
        <f t="shared" si="26"/>
        <v>0</v>
      </c>
      <c r="R159" s="124">
        <f t="shared" si="32"/>
        <v>0</v>
      </c>
      <c r="S159" s="124">
        <f t="shared" si="33"/>
        <v>0</v>
      </c>
      <c r="T159" s="124">
        <f t="shared" si="29"/>
        <v>0</v>
      </c>
      <c r="U159" s="124">
        <f t="shared" si="30"/>
        <v>0</v>
      </c>
      <c r="V159" s="224" t="s">
        <v>1524</v>
      </c>
      <c r="AC159" s="628"/>
      <c r="AD159" s="297"/>
      <c r="AE159" s="628"/>
      <c r="AF159" s="48"/>
    </row>
    <row r="160" spans="1:32" s="236" customFormat="1" ht="15" x14ac:dyDescent="0.25">
      <c r="A160" s="123" t="s">
        <v>1016</v>
      </c>
      <c r="B160" s="620"/>
      <c r="C160" s="124">
        <f>HR!Z792</f>
        <v>0</v>
      </c>
      <c r="D160" s="124">
        <f>'Prof Serv'!N1648+'Prof Serv'!N1458</f>
        <v>0</v>
      </c>
      <c r="E160" s="124">
        <f>'Prof Serv'!N1268</f>
        <v>0</v>
      </c>
      <c r="F160" s="124">
        <f>Travel!P476+Travel!P664+Travel!P852+Travel!P1040+Travel!P1228+Travel!P1416+Travel!P1604</f>
        <v>0</v>
      </c>
      <c r="G160" s="124">
        <f>'Other Operating Expenses'!N758</f>
        <v>0</v>
      </c>
      <c r="H160" s="124">
        <f>Supplies!N333</f>
        <v>0</v>
      </c>
      <c r="I160" s="124">
        <f>'Prof Serv'!N704+'Prof Serv'!N892+'Prof Serv'!N1080+'Prof Serv'!N1836+'Prof Serv'!N2024+'Prof Serv'!N2212</f>
        <v>0</v>
      </c>
      <c r="J160" s="124">
        <f>'Prof Serv'!N514</f>
        <v>0</v>
      </c>
      <c r="K160" s="124">
        <v>0</v>
      </c>
      <c r="L160" s="124">
        <v>0</v>
      </c>
      <c r="M160" s="124">
        <f t="shared" si="25"/>
        <v>0</v>
      </c>
      <c r="N160" s="282">
        <f>-'Other Operating Expenses'!N955</f>
        <v>0</v>
      </c>
      <c r="O160" s="282">
        <f>-'Other Operating Expenses'!N1144</f>
        <v>0</v>
      </c>
      <c r="P160" s="282"/>
      <c r="Q160" s="124">
        <f t="shared" si="26"/>
        <v>0</v>
      </c>
      <c r="R160" s="124">
        <f t="shared" si="32"/>
        <v>0</v>
      </c>
      <c r="S160" s="124">
        <f t="shared" si="33"/>
        <v>0</v>
      </c>
      <c r="T160" s="124">
        <f t="shared" si="29"/>
        <v>0</v>
      </c>
      <c r="U160" s="124">
        <f t="shared" si="30"/>
        <v>0</v>
      </c>
      <c r="V160" s="224" t="s">
        <v>1524</v>
      </c>
      <c r="AC160" s="628"/>
      <c r="AD160" s="297"/>
      <c r="AE160" s="628"/>
      <c r="AF160" s="48"/>
    </row>
    <row r="161" spans="1:32" s="236" customFormat="1" ht="15" x14ac:dyDescent="0.25">
      <c r="A161" s="123" t="s">
        <v>1015</v>
      </c>
      <c r="B161" s="620"/>
      <c r="C161" s="124">
        <f>HR!Z793</f>
        <v>0</v>
      </c>
      <c r="D161" s="124">
        <f>'Prof Serv'!N1649+'Prof Serv'!N1459</f>
        <v>0</v>
      </c>
      <c r="E161" s="124">
        <f>'Prof Serv'!N1269</f>
        <v>0</v>
      </c>
      <c r="F161" s="124">
        <f>Travel!P477+Travel!P665+Travel!P853+Travel!P1041+Travel!P1229+Travel!P1417+Travel!P1605</f>
        <v>0</v>
      </c>
      <c r="G161" s="124">
        <f>'Other Operating Expenses'!N759</f>
        <v>0</v>
      </c>
      <c r="H161" s="124">
        <f>Supplies!N334</f>
        <v>0</v>
      </c>
      <c r="I161" s="124">
        <f>'Prof Serv'!N705+'Prof Serv'!N893+'Prof Serv'!N1081+'Prof Serv'!N1837+'Prof Serv'!N2025+'Prof Serv'!N2213</f>
        <v>0</v>
      </c>
      <c r="J161" s="124">
        <f>'Prof Serv'!N515</f>
        <v>0</v>
      </c>
      <c r="K161" s="124">
        <v>0</v>
      </c>
      <c r="L161" s="124">
        <v>0</v>
      </c>
      <c r="M161" s="124">
        <f t="shared" si="25"/>
        <v>0</v>
      </c>
      <c r="N161" s="282">
        <f>-'Other Operating Expenses'!N956</f>
        <v>0</v>
      </c>
      <c r="O161" s="282">
        <f>-'Other Operating Expenses'!N1145</f>
        <v>0</v>
      </c>
      <c r="P161" s="282"/>
      <c r="Q161" s="124">
        <f t="shared" si="26"/>
        <v>0</v>
      </c>
      <c r="R161" s="124">
        <f t="shared" si="32"/>
        <v>0</v>
      </c>
      <c r="S161" s="124">
        <f t="shared" si="33"/>
        <v>0</v>
      </c>
      <c r="T161" s="124">
        <f t="shared" si="29"/>
        <v>0</v>
      </c>
      <c r="U161" s="124">
        <f t="shared" si="30"/>
        <v>0</v>
      </c>
      <c r="V161" s="224" t="s">
        <v>1524</v>
      </c>
      <c r="AC161" s="628"/>
      <c r="AD161" s="297"/>
      <c r="AE161" s="628"/>
      <c r="AF161" s="48"/>
    </row>
    <row r="162" spans="1:32" s="236" customFormat="1" ht="15" x14ac:dyDescent="0.25">
      <c r="A162" s="123" t="s">
        <v>930</v>
      </c>
      <c r="B162" s="620"/>
      <c r="C162" s="124">
        <f>HR!Z794</f>
        <v>15324.439469200001</v>
      </c>
      <c r="D162" s="124">
        <f>'Prof Serv'!N1650+'Prof Serv'!N1460</f>
        <v>0</v>
      </c>
      <c r="E162" s="124">
        <f>'Prof Serv'!N1270</f>
        <v>0</v>
      </c>
      <c r="F162" s="124">
        <f>Travel!P478+Travel!P666+Travel!P854+Travel!P1042+Travel!P1230+Travel!P1418+Travel!P1606</f>
        <v>0</v>
      </c>
      <c r="G162" s="124">
        <f>'Other Operating Expenses'!N760</f>
        <v>0</v>
      </c>
      <c r="H162" s="124">
        <f>Supplies!N335</f>
        <v>0</v>
      </c>
      <c r="I162" s="124">
        <f>'Prof Serv'!N706+'Prof Serv'!N894+'Prof Serv'!N1082+'Prof Serv'!N1838+'Prof Serv'!N2026+'Prof Serv'!N2214</f>
        <v>0</v>
      </c>
      <c r="J162" s="124">
        <f>'Prof Serv'!N516</f>
        <v>0</v>
      </c>
      <c r="K162" s="124">
        <v>0</v>
      </c>
      <c r="L162" s="124">
        <v>0</v>
      </c>
      <c r="M162" s="124">
        <f t="shared" si="25"/>
        <v>15324.439469200001</v>
      </c>
      <c r="N162" s="282">
        <f>-'Other Operating Expenses'!N957</f>
        <v>0</v>
      </c>
      <c r="O162" s="282">
        <f>-'Other Operating Expenses'!N1146</f>
        <v>0</v>
      </c>
      <c r="P162" s="282"/>
      <c r="Q162" s="124">
        <f t="shared" si="26"/>
        <v>15324.439469200001</v>
      </c>
      <c r="R162" s="124">
        <f t="shared" si="32"/>
        <v>0</v>
      </c>
      <c r="S162" s="124">
        <f t="shared" si="33"/>
        <v>0</v>
      </c>
      <c r="T162" s="124">
        <f t="shared" si="29"/>
        <v>0</v>
      </c>
      <c r="U162" s="124">
        <f t="shared" si="30"/>
        <v>0</v>
      </c>
      <c r="V162" s="224" t="s">
        <v>1524</v>
      </c>
      <c r="AC162" s="628"/>
      <c r="AD162" s="297"/>
      <c r="AE162" s="628"/>
      <c r="AF162" s="48"/>
    </row>
    <row r="163" spans="1:32" s="236" customFormat="1" ht="15" x14ac:dyDescent="0.25">
      <c r="A163" s="123" t="s">
        <v>931</v>
      </c>
      <c r="B163" s="620"/>
      <c r="C163" s="124">
        <f>HR!Z795</f>
        <v>0</v>
      </c>
      <c r="D163" s="124">
        <f>'Prof Serv'!N1651+'Prof Serv'!N1461</f>
        <v>0</v>
      </c>
      <c r="E163" s="124">
        <f>'Prof Serv'!N1271</f>
        <v>0</v>
      </c>
      <c r="F163" s="124">
        <f>Travel!P479+Travel!P667+Travel!P855+Travel!P1043+Travel!P1231+Travel!P1419+Travel!P1607</f>
        <v>0</v>
      </c>
      <c r="G163" s="124">
        <f>'Other Operating Expenses'!N761</f>
        <v>0</v>
      </c>
      <c r="H163" s="124">
        <f>Supplies!N336</f>
        <v>0</v>
      </c>
      <c r="I163" s="124">
        <f>'Prof Serv'!N707+'Prof Serv'!N895+'Prof Serv'!N1083+'Prof Serv'!N1839+'Prof Serv'!N2027+'Prof Serv'!N2215</f>
        <v>0</v>
      </c>
      <c r="J163" s="124">
        <f>'Prof Serv'!N517</f>
        <v>0</v>
      </c>
      <c r="K163" s="124">
        <v>0</v>
      </c>
      <c r="L163" s="124">
        <v>0</v>
      </c>
      <c r="M163" s="124">
        <f t="shared" si="25"/>
        <v>0</v>
      </c>
      <c r="N163" s="282">
        <f>-'Other Operating Expenses'!N958</f>
        <v>0</v>
      </c>
      <c r="O163" s="282">
        <f>-'Other Operating Expenses'!N1147</f>
        <v>0</v>
      </c>
      <c r="P163" s="282"/>
      <c r="Q163" s="124">
        <f t="shared" si="26"/>
        <v>0</v>
      </c>
      <c r="R163" s="124">
        <f t="shared" si="32"/>
        <v>0</v>
      </c>
      <c r="S163" s="124">
        <f t="shared" si="33"/>
        <v>0</v>
      </c>
      <c r="T163" s="124">
        <f t="shared" si="29"/>
        <v>0</v>
      </c>
      <c r="U163" s="124">
        <f t="shared" si="30"/>
        <v>0</v>
      </c>
      <c r="V163" s="224" t="s">
        <v>1524</v>
      </c>
      <c r="AC163" s="628"/>
      <c r="AD163" s="297"/>
      <c r="AE163" s="628"/>
      <c r="AF163" s="48"/>
    </row>
    <row r="164" spans="1:32" s="236" customFormat="1" ht="15" x14ac:dyDescent="0.25">
      <c r="A164" s="123" t="s">
        <v>926</v>
      </c>
      <c r="B164" s="620"/>
      <c r="C164" s="124">
        <f>HR!Z796</f>
        <v>0</v>
      </c>
      <c r="D164" s="124">
        <f>'Prof Serv'!N1652+'Prof Serv'!N1462</f>
        <v>0</v>
      </c>
      <c r="E164" s="124">
        <f>'Prof Serv'!N1272</f>
        <v>0</v>
      </c>
      <c r="F164" s="124">
        <f>Travel!P480+Travel!P668+Travel!P856+Travel!P1044+Travel!P1232+Travel!P1420+Travel!P1608</f>
        <v>0</v>
      </c>
      <c r="G164" s="124">
        <f>'Other Operating Expenses'!N762</f>
        <v>0</v>
      </c>
      <c r="H164" s="124">
        <f>Supplies!N337</f>
        <v>0</v>
      </c>
      <c r="I164" s="124">
        <f>'Prof Serv'!N708+'Prof Serv'!N896+'Prof Serv'!N1084+'Prof Serv'!N1840+'Prof Serv'!N2028+'Prof Serv'!N2216</f>
        <v>0</v>
      </c>
      <c r="J164" s="124">
        <f>'Prof Serv'!N518</f>
        <v>0</v>
      </c>
      <c r="K164" s="124">
        <v>0</v>
      </c>
      <c r="L164" s="124">
        <v>0</v>
      </c>
      <c r="M164" s="124">
        <f t="shared" si="25"/>
        <v>0</v>
      </c>
      <c r="N164" s="282">
        <f>-'Other Operating Expenses'!N959</f>
        <v>0</v>
      </c>
      <c r="O164" s="282">
        <f>-'Other Operating Expenses'!N1148</f>
        <v>0</v>
      </c>
      <c r="P164" s="282"/>
      <c r="Q164" s="124">
        <f t="shared" si="26"/>
        <v>0</v>
      </c>
      <c r="R164" s="124">
        <f t="shared" si="32"/>
        <v>0</v>
      </c>
      <c r="S164" s="124">
        <f t="shared" si="33"/>
        <v>0</v>
      </c>
      <c r="T164" s="124">
        <f t="shared" si="29"/>
        <v>0</v>
      </c>
      <c r="U164" s="124">
        <f t="shared" si="30"/>
        <v>0</v>
      </c>
      <c r="V164" s="224" t="s">
        <v>1524</v>
      </c>
      <c r="AC164" s="628"/>
      <c r="AD164" s="297"/>
      <c r="AE164" s="628"/>
      <c r="AF164" s="48"/>
    </row>
    <row r="165" spans="1:32" s="236" customFormat="1" ht="15" x14ac:dyDescent="0.25">
      <c r="A165" s="123" t="s">
        <v>110</v>
      </c>
      <c r="B165" s="620"/>
      <c r="C165" s="124">
        <f>HR!Z797</f>
        <v>0</v>
      </c>
      <c r="D165" s="124">
        <f>'Prof Serv'!N1653+'Prof Serv'!N1463</f>
        <v>0</v>
      </c>
      <c r="E165" s="124">
        <f>'Prof Serv'!N1273</f>
        <v>0</v>
      </c>
      <c r="F165" s="124">
        <f>Travel!P481+Travel!P669+Travel!P857+Travel!P1045+Travel!P1233+Travel!P1421+Travel!P1609</f>
        <v>0</v>
      </c>
      <c r="G165" s="124">
        <f>'Other Operating Expenses'!N763</f>
        <v>0</v>
      </c>
      <c r="H165" s="124">
        <f>Supplies!N338</f>
        <v>0</v>
      </c>
      <c r="I165" s="124">
        <f>'Prof Serv'!N709+'Prof Serv'!N897+'Prof Serv'!N1085+'Prof Serv'!N1841+'Prof Serv'!N2029+'Prof Serv'!N2217</f>
        <v>0</v>
      </c>
      <c r="J165" s="124">
        <f>'Prof Serv'!N519</f>
        <v>0</v>
      </c>
      <c r="K165" s="124">
        <v>0</v>
      </c>
      <c r="L165" s="124">
        <v>0</v>
      </c>
      <c r="M165" s="124">
        <f t="shared" si="25"/>
        <v>0</v>
      </c>
      <c r="N165" s="282">
        <f>-'Other Operating Expenses'!N960</f>
        <v>0</v>
      </c>
      <c r="O165" s="282">
        <f>-'Other Operating Expenses'!N1149</f>
        <v>0</v>
      </c>
      <c r="P165" s="282"/>
      <c r="Q165" s="124">
        <f t="shared" si="26"/>
        <v>0</v>
      </c>
      <c r="R165" s="124">
        <f t="shared" si="32"/>
        <v>0</v>
      </c>
      <c r="S165" s="124">
        <f t="shared" si="33"/>
        <v>0</v>
      </c>
      <c r="T165" s="124">
        <f t="shared" ref="T165:T197" si="34">IF(V165="n/a",0,IF(S165&lt;&gt;"",0,ROUND(SUM(Q165)*10%,2)))</f>
        <v>0</v>
      </c>
      <c r="U165" s="124">
        <f t="shared" ref="U165:U196" si="35">IF(V165="n/a",0,SUM(M165,R165,S165,T165))</f>
        <v>0</v>
      </c>
      <c r="V165" s="224" t="s">
        <v>1524</v>
      </c>
      <c r="AC165" s="628"/>
      <c r="AD165" s="297"/>
      <c r="AE165" s="628"/>
      <c r="AF165" s="48"/>
    </row>
    <row r="166" spans="1:32" s="236" customFormat="1" ht="15" x14ac:dyDescent="0.25">
      <c r="A166" s="123" t="s">
        <v>133</v>
      </c>
      <c r="B166" s="620"/>
      <c r="C166" s="124">
        <f>HR!Z798</f>
        <v>0</v>
      </c>
      <c r="D166" s="124">
        <f>'Prof Serv'!N1654+'Prof Serv'!N1464</f>
        <v>0</v>
      </c>
      <c r="E166" s="124">
        <f>'Prof Serv'!N1274</f>
        <v>0</v>
      </c>
      <c r="F166" s="124">
        <f>Travel!P482+Travel!P670+Travel!P858+Travel!P1046+Travel!P1234+Travel!P1422+Travel!P1610</f>
        <v>0</v>
      </c>
      <c r="G166" s="124">
        <f>'Other Operating Expenses'!N764</f>
        <v>0</v>
      </c>
      <c r="H166" s="124">
        <f>Supplies!N339</f>
        <v>0</v>
      </c>
      <c r="I166" s="124">
        <f>'Prof Serv'!N710+'Prof Serv'!N898+'Prof Serv'!N1086+'Prof Serv'!N1842+'Prof Serv'!N2030+'Prof Serv'!N2218</f>
        <v>0</v>
      </c>
      <c r="J166" s="124">
        <f>'Prof Serv'!N520</f>
        <v>0</v>
      </c>
      <c r="K166" s="124">
        <v>0</v>
      </c>
      <c r="L166" s="124">
        <v>0</v>
      </c>
      <c r="M166" s="124">
        <f t="shared" ref="M166:M222" si="36">SUM(C166:L166)</f>
        <v>0</v>
      </c>
      <c r="N166" s="282">
        <f>-'Other Operating Expenses'!N961</f>
        <v>0</v>
      </c>
      <c r="O166" s="282">
        <f>-'Other Operating Expenses'!N1150</f>
        <v>0</v>
      </c>
      <c r="P166" s="282"/>
      <c r="Q166" s="124">
        <f t="shared" ref="Q166:Q222" si="37">SUM(M166:P166)</f>
        <v>0</v>
      </c>
      <c r="R166" s="124">
        <f t="shared" si="32"/>
        <v>0</v>
      </c>
      <c r="S166" s="124">
        <f t="shared" si="33"/>
        <v>0</v>
      </c>
      <c r="T166" s="124">
        <f t="shared" si="34"/>
        <v>0</v>
      </c>
      <c r="U166" s="124">
        <f t="shared" si="35"/>
        <v>0</v>
      </c>
      <c r="V166" s="224" t="s">
        <v>1524</v>
      </c>
      <c r="AC166" s="628"/>
      <c r="AD166" s="297"/>
      <c r="AE166" s="628"/>
      <c r="AF166" s="48"/>
    </row>
    <row r="167" spans="1:32" s="236" customFormat="1" ht="15" x14ac:dyDescent="0.25">
      <c r="A167" s="123" t="s">
        <v>134</v>
      </c>
      <c r="B167" s="620"/>
      <c r="C167" s="124">
        <f>HR!Z799</f>
        <v>0</v>
      </c>
      <c r="D167" s="124">
        <f>'Prof Serv'!N1655+'Prof Serv'!N1465</f>
        <v>0</v>
      </c>
      <c r="E167" s="124">
        <f>'Prof Serv'!N1275</f>
        <v>0</v>
      </c>
      <c r="F167" s="124">
        <f>Travel!P483+Travel!P671+Travel!P859+Travel!P1047+Travel!P1235+Travel!P1423+Travel!P1611</f>
        <v>0</v>
      </c>
      <c r="G167" s="124">
        <f>'Other Operating Expenses'!N765</f>
        <v>0</v>
      </c>
      <c r="H167" s="124">
        <f>Supplies!N340</f>
        <v>0</v>
      </c>
      <c r="I167" s="124">
        <f>'Prof Serv'!N711+'Prof Serv'!N899+'Prof Serv'!N1087+'Prof Serv'!N1843+'Prof Serv'!N2031+'Prof Serv'!N2219</f>
        <v>0</v>
      </c>
      <c r="J167" s="124">
        <f>'Prof Serv'!N521</f>
        <v>0</v>
      </c>
      <c r="K167" s="124">
        <v>0</v>
      </c>
      <c r="L167" s="124">
        <v>0</v>
      </c>
      <c r="M167" s="124">
        <f t="shared" si="36"/>
        <v>0</v>
      </c>
      <c r="N167" s="282">
        <f>-'Other Operating Expenses'!N962</f>
        <v>0</v>
      </c>
      <c r="O167" s="282">
        <f>-'Other Operating Expenses'!N1151</f>
        <v>0</v>
      </c>
      <c r="P167" s="282"/>
      <c r="Q167" s="124">
        <f t="shared" si="37"/>
        <v>0</v>
      </c>
      <c r="R167" s="124">
        <f t="shared" si="32"/>
        <v>0</v>
      </c>
      <c r="S167" s="124">
        <f t="shared" si="33"/>
        <v>0</v>
      </c>
      <c r="T167" s="124">
        <f t="shared" si="34"/>
        <v>0</v>
      </c>
      <c r="U167" s="124">
        <f t="shared" si="35"/>
        <v>0</v>
      </c>
      <c r="V167" s="224" t="s">
        <v>1524</v>
      </c>
      <c r="AC167" s="628"/>
      <c r="AD167" s="297"/>
      <c r="AE167" s="628"/>
      <c r="AF167" s="48"/>
    </row>
    <row r="168" spans="1:32" s="236" customFormat="1" ht="15" x14ac:dyDescent="0.25">
      <c r="A168" s="123" t="s">
        <v>138</v>
      </c>
      <c r="B168" s="620"/>
      <c r="C168" s="124">
        <f>HR!Z800</f>
        <v>0</v>
      </c>
      <c r="D168" s="124">
        <f>'Prof Serv'!N1656+'Prof Serv'!N1466</f>
        <v>0</v>
      </c>
      <c r="E168" s="124">
        <f>'Prof Serv'!N1276</f>
        <v>0</v>
      </c>
      <c r="F168" s="124">
        <f>Travel!P484+Travel!P672+Travel!P860+Travel!P1048+Travel!P1236+Travel!P1424+Travel!P1612</f>
        <v>0</v>
      </c>
      <c r="G168" s="124">
        <f>'Other Operating Expenses'!N766</f>
        <v>0</v>
      </c>
      <c r="H168" s="124">
        <f>Supplies!N341</f>
        <v>0</v>
      </c>
      <c r="I168" s="124">
        <f>'Prof Serv'!N712+'Prof Serv'!N900+'Prof Serv'!N1088+'Prof Serv'!N1844+'Prof Serv'!N2032+'Prof Serv'!N2220</f>
        <v>0</v>
      </c>
      <c r="J168" s="124">
        <f>'Prof Serv'!N522</f>
        <v>0</v>
      </c>
      <c r="K168" s="124">
        <v>0</v>
      </c>
      <c r="L168" s="124">
        <v>0</v>
      </c>
      <c r="M168" s="124">
        <f t="shared" si="36"/>
        <v>0</v>
      </c>
      <c r="N168" s="282">
        <f>-'Other Operating Expenses'!N963</f>
        <v>0</v>
      </c>
      <c r="O168" s="282">
        <f>-'Other Operating Expenses'!N1152</f>
        <v>0</v>
      </c>
      <c r="P168" s="282"/>
      <c r="Q168" s="124">
        <f t="shared" si="37"/>
        <v>0</v>
      </c>
      <c r="R168" s="124">
        <f t="shared" si="32"/>
        <v>0</v>
      </c>
      <c r="S168" s="124">
        <f t="shared" si="33"/>
        <v>0</v>
      </c>
      <c r="T168" s="124">
        <f t="shared" si="34"/>
        <v>0</v>
      </c>
      <c r="U168" s="124">
        <f t="shared" si="35"/>
        <v>0</v>
      </c>
      <c r="V168" s="224" t="s">
        <v>1524</v>
      </c>
      <c r="AC168" s="628"/>
      <c r="AD168" s="297"/>
      <c r="AE168" s="628"/>
      <c r="AF168" s="48"/>
    </row>
    <row r="169" spans="1:32" s="236" customFormat="1" ht="15" x14ac:dyDescent="0.25">
      <c r="A169" s="123" t="s">
        <v>106</v>
      </c>
      <c r="B169" s="620"/>
      <c r="C169" s="124">
        <f>HR!Z801</f>
        <v>0</v>
      </c>
      <c r="D169" s="124">
        <f>'Prof Serv'!N1657+'Prof Serv'!N1467</f>
        <v>0</v>
      </c>
      <c r="E169" s="124">
        <f>'Prof Serv'!N1277</f>
        <v>0</v>
      </c>
      <c r="F169" s="124">
        <f>Travel!P485+Travel!P673+Travel!P861+Travel!P1049+Travel!P1237+Travel!P1425+Travel!P1613</f>
        <v>0</v>
      </c>
      <c r="G169" s="124">
        <f>'Other Operating Expenses'!N767</f>
        <v>0</v>
      </c>
      <c r="H169" s="124">
        <f>Supplies!N342</f>
        <v>0</v>
      </c>
      <c r="I169" s="124">
        <f>'Prof Serv'!N713+'Prof Serv'!N901+'Prof Serv'!N1089+'Prof Serv'!N1845+'Prof Serv'!N2033+'Prof Serv'!N2221</f>
        <v>0</v>
      </c>
      <c r="J169" s="124">
        <f>'Prof Serv'!N523</f>
        <v>0</v>
      </c>
      <c r="K169" s="124">
        <v>0</v>
      </c>
      <c r="L169" s="124">
        <v>0</v>
      </c>
      <c r="M169" s="124">
        <f t="shared" si="36"/>
        <v>0</v>
      </c>
      <c r="N169" s="282">
        <f>-'Other Operating Expenses'!N964</f>
        <v>0</v>
      </c>
      <c r="O169" s="282">
        <f>-'Other Operating Expenses'!N1153</f>
        <v>0</v>
      </c>
      <c r="P169" s="282"/>
      <c r="Q169" s="124">
        <f t="shared" si="37"/>
        <v>0</v>
      </c>
      <c r="R169" s="124">
        <f t="shared" si="32"/>
        <v>0</v>
      </c>
      <c r="S169" s="124">
        <f t="shared" si="33"/>
        <v>0</v>
      </c>
      <c r="T169" s="124">
        <f t="shared" si="34"/>
        <v>0</v>
      </c>
      <c r="U169" s="124">
        <f t="shared" si="35"/>
        <v>0</v>
      </c>
      <c r="V169" s="224" t="s">
        <v>1524</v>
      </c>
      <c r="AC169" s="628"/>
      <c r="AD169" s="297"/>
      <c r="AE169" s="628"/>
      <c r="AF169" s="48"/>
    </row>
    <row r="170" spans="1:32" s="236" customFormat="1" ht="15" x14ac:dyDescent="0.25">
      <c r="A170" s="123" t="s">
        <v>1024</v>
      </c>
      <c r="B170" s="620"/>
      <c r="C170" s="124">
        <f>HR!Z802</f>
        <v>0</v>
      </c>
      <c r="D170" s="124">
        <f>'Prof Serv'!N1658+'Prof Serv'!N1468</f>
        <v>0</v>
      </c>
      <c r="E170" s="124">
        <f>'Prof Serv'!N1278</f>
        <v>0</v>
      </c>
      <c r="F170" s="124">
        <f>Travel!P486+Travel!P674+Travel!P862+Travel!P1050+Travel!P1238+Travel!P1426+Travel!P1614</f>
        <v>0</v>
      </c>
      <c r="G170" s="124">
        <f>'Other Operating Expenses'!N768</f>
        <v>0</v>
      </c>
      <c r="H170" s="124">
        <f>Supplies!N343</f>
        <v>0</v>
      </c>
      <c r="I170" s="124">
        <f>'Prof Serv'!N714+'Prof Serv'!N902+'Prof Serv'!N1090+'Prof Serv'!N1846+'Prof Serv'!N2034+'Prof Serv'!N2222</f>
        <v>0</v>
      </c>
      <c r="J170" s="124">
        <f>'Prof Serv'!N524</f>
        <v>0</v>
      </c>
      <c r="K170" s="124">
        <v>0</v>
      </c>
      <c r="L170" s="124">
        <v>0</v>
      </c>
      <c r="M170" s="124">
        <f t="shared" si="36"/>
        <v>0</v>
      </c>
      <c r="N170" s="282">
        <f>-'Other Operating Expenses'!N965</f>
        <v>0</v>
      </c>
      <c r="O170" s="282">
        <f>-'Other Operating Expenses'!N1154</f>
        <v>0</v>
      </c>
      <c r="P170" s="282"/>
      <c r="Q170" s="124">
        <f t="shared" si="37"/>
        <v>0</v>
      </c>
      <c r="R170" s="124">
        <f t="shared" si="32"/>
        <v>0</v>
      </c>
      <c r="S170" s="124">
        <f t="shared" si="33"/>
        <v>0</v>
      </c>
      <c r="T170" s="124">
        <f t="shared" si="34"/>
        <v>0</v>
      </c>
      <c r="U170" s="124">
        <f t="shared" si="35"/>
        <v>0</v>
      </c>
      <c r="V170" s="224" t="s">
        <v>1524</v>
      </c>
      <c r="AC170" s="628"/>
      <c r="AD170" s="297"/>
      <c r="AE170" s="628"/>
      <c r="AF170" s="48"/>
    </row>
    <row r="171" spans="1:32" s="236" customFormat="1" ht="15" x14ac:dyDescent="0.25">
      <c r="A171" s="123" t="s">
        <v>1025</v>
      </c>
      <c r="B171" s="620"/>
      <c r="C171" s="124">
        <f>HR!Z803</f>
        <v>0</v>
      </c>
      <c r="D171" s="124">
        <f>'Prof Serv'!N1659+'Prof Serv'!N1469</f>
        <v>0</v>
      </c>
      <c r="E171" s="124">
        <f>'Prof Serv'!N1279</f>
        <v>0</v>
      </c>
      <c r="F171" s="124">
        <f>Travel!P487+Travel!P675+Travel!P863+Travel!P1051+Travel!P1239+Travel!P1427+Travel!P1615</f>
        <v>0</v>
      </c>
      <c r="G171" s="124">
        <f>'Other Operating Expenses'!N769</f>
        <v>0</v>
      </c>
      <c r="H171" s="124">
        <f>Supplies!N344</f>
        <v>0</v>
      </c>
      <c r="I171" s="124">
        <f>'Prof Serv'!N715+'Prof Serv'!N903+'Prof Serv'!N1091+'Prof Serv'!N1847+'Prof Serv'!N2035+'Prof Serv'!N2223</f>
        <v>0</v>
      </c>
      <c r="J171" s="124">
        <f>'Prof Serv'!N525</f>
        <v>0</v>
      </c>
      <c r="K171" s="124">
        <v>0</v>
      </c>
      <c r="L171" s="124">
        <v>0</v>
      </c>
      <c r="M171" s="124">
        <f t="shared" si="36"/>
        <v>0</v>
      </c>
      <c r="N171" s="282">
        <f>-'Other Operating Expenses'!N966</f>
        <v>0</v>
      </c>
      <c r="O171" s="282">
        <f>-'Other Operating Expenses'!N1155</f>
        <v>0</v>
      </c>
      <c r="P171" s="282"/>
      <c r="Q171" s="124">
        <f t="shared" si="37"/>
        <v>0</v>
      </c>
      <c r="R171" s="124">
        <f t="shared" si="32"/>
        <v>0</v>
      </c>
      <c r="S171" s="124">
        <f t="shared" si="33"/>
        <v>0</v>
      </c>
      <c r="T171" s="124">
        <f t="shared" si="34"/>
        <v>0</v>
      </c>
      <c r="U171" s="124">
        <f t="shared" si="35"/>
        <v>0</v>
      </c>
      <c r="V171" s="224" t="s">
        <v>1524</v>
      </c>
      <c r="AC171" s="628"/>
      <c r="AD171" s="297"/>
      <c r="AE171" s="628"/>
      <c r="AF171" s="48"/>
    </row>
    <row r="172" spans="1:32" s="236" customFormat="1" ht="15" x14ac:dyDescent="0.25">
      <c r="A172" s="123" t="s">
        <v>960</v>
      </c>
      <c r="B172" s="620"/>
      <c r="C172" s="124">
        <f>HR!Z804</f>
        <v>0</v>
      </c>
      <c r="D172" s="124">
        <f>'Prof Serv'!N1660+'Prof Serv'!N1470</f>
        <v>0</v>
      </c>
      <c r="E172" s="124">
        <f>'Prof Serv'!N1280</f>
        <v>0</v>
      </c>
      <c r="F172" s="124">
        <f>Travel!P488+Travel!P676+Travel!P864+Travel!P1052+Travel!P1240+Travel!P1428+Travel!P1616</f>
        <v>0</v>
      </c>
      <c r="G172" s="124">
        <f>'Other Operating Expenses'!N770</f>
        <v>0</v>
      </c>
      <c r="H172" s="124">
        <f>Supplies!N345</f>
        <v>0</v>
      </c>
      <c r="I172" s="124">
        <f>'Prof Serv'!N716+'Prof Serv'!N904+'Prof Serv'!N1092+'Prof Serv'!N1848+'Prof Serv'!N2036+'Prof Serv'!N2224</f>
        <v>0</v>
      </c>
      <c r="J172" s="124">
        <f>'Prof Serv'!N526</f>
        <v>0</v>
      </c>
      <c r="K172" s="124">
        <v>0</v>
      </c>
      <c r="L172" s="124">
        <v>0</v>
      </c>
      <c r="M172" s="124">
        <f t="shared" si="36"/>
        <v>0</v>
      </c>
      <c r="N172" s="282">
        <f>-'Other Operating Expenses'!N967</f>
        <v>0</v>
      </c>
      <c r="O172" s="282">
        <f>-'Other Operating Expenses'!N1156</f>
        <v>0</v>
      </c>
      <c r="P172" s="282"/>
      <c r="Q172" s="124">
        <f t="shared" si="37"/>
        <v>0</v>
      </c>
      <c r="R172" s="124">
        <f t="shared" si="32"/>
        <v>0</v>
      </c>
      <c r="S172" s="124">
        <f t="shared" si="33"/>
        <v>0</v>
      </c>
      <c r="T172" s="124">
        <f t="shared" si="34"/>
        <v>0</v>
      </c>
      <c r="U172" s="124">
        <f t="shared" si="35"/>
        <v>0</v>
      </c>
      <c r="V172" s="224" t="s">
        <v>1524</v>
      </c>
      <c r="AC172" s="628"/>
      <c r="AD172" s="297"/>
      <c r="AE172" s="628"/>
      <c r="AF172" s="48"/>
    </row>
    <row r="173" spans="1:32" s="236" customFormat="1" ht="15" x14ac:dyDescent="0.25">
      <c r="A173" s="123" t="s">
        <v>961</v>
      </c>
      <c r="B173" s="620"/>
      <c r="C173" s="124">
        <f>HR!Z805</f>
        <v>0</v>
      </c>
      <c r="D173" s="124">
        <f>'Prof Serv'!N1661+'Prof Serv'!N1471</f>
        <v>0</v>
      </c>
      <c r="E173" s="124">
        <f>'Prof Serv'!N1281</f>
        <v>0</v>
      </c>
      <c r="F173" s="124">
        <f>Travel!P489+Travel!P677+Travel!P865+Travel!P1053+Travel!P1241+Travel!P1429+Travel!P1617</f>
        <v>0</v>
      </c>
      <c r="G173" s="124">
        <f>'Other Operating Expenses'!N771</f>
        <v>0</v>
      </c>
      <c r="H173" s="124">
        <f>Supplies!N346</f>
        <v>0</v>
      </c>
      <c r="I173" s="124">
        <f>'Prof Serv'!N717+'Prof Serv'!N905+'Prof Serv'!N1093+'Prof Serv'!N1849+'Prof Serv'!N2037+'Prof Serv'!N2225</f>
        <v>0</v>
      </c>
      <c r="J173" s="124">
        <f>'Prof Serv'!N527</f>
        <v>0</v>
      </c>
      <c r="K173" s="124">
        <v>0</v>
      </c>
      <c r="L173" s="124">
        <v>0</v>
      </c>
      <c r="M173" s="124">
        <f t="shared" si="36"/>
        <v>0</v>
      </c>
      <c r="N173" s="282">
        <f>-'Other Operating Expenses'!N968</f>
        <v>0</v>
      </c>
      <c r="O173" s="282">
        <f>-'Other Operating Expenses'!N1157</f>
        <v>0</v>
      </c>
      <c r="P173" s="282"/>
      <c r="Q173" s="124">
        <f t="shared" si="37"/>
        <v>0</v>
      </c>
      <c r="R173" s="124">
        <f t="shared" si="32"/>
        <v>0</v>
      </c>
      <c r="S173" s="124">
        <f t="shared" si="33"/>
        <v>0</v>
      </c>
      <c r="T173" s="124">
        <f t="shared" si="34"/>
        <v>0</v>
      </c>
      <c r="U173" s="124">
        <f t="shared" si="35"/>
        <v>0</v>
      </c>
      <c r="V173" s="224" t="s">
        <v>1524</v>
      </c>
      <c r="AC173" s="628"/>
      <c r="AD173" s="297"/>
      <c r="AE173" s="628"/>
      <c r="AF173" s="48"/>
    </row>
    <row r="174" spans="1:32" s="236" customFormat="1" ht="15" x14ac:dyDescent="0.25">
      <c r="A174" s="123" t="s">
        <v>948</v>
      </c>
      <c r="B174" s="620"/>
      <c r="C174" s="124">
        <f>HR!Z806</f>
        <v>0</v>
      </c>
      <c r="D174" s="124">
        <f>'Prof Serv'!N1662+'Prof Serv'!N1472</f>
        <v>0</v>
      </c>
      <c r="E174" s="124">
        <f>'Prof Serv'!N1282</f>
        <v>0</v>
      </c>
      <c r="F174" s="124">
        <f>Travel!P490+Travel!P678+Travel!P866+Travel!P1054+Travel!P1242+Travel!P1430+Travel!P1618</f>
        <v>0</v>
      </c>
      <c r="G174" s="124">
        <f>'Other Operating Expenses'!N772</f>
        <v>0</v>
      </c>
      <c r="H174" s="124">
        <f>Supplies!N347</f>
        <v>0</v>
      </c>
      <c r="I174" s="124">
        <f>'Prof Serv'!N718+'Prof Serv'!N906+'Prof Serv'!N1094+'Prof Serv'!N1850+'Prof Serv'!N2038+'Prof Serv'!N2226</f>
        <v>0</v>
      </c>
      <c r="J174" s="124">
        <f>'Prof Serv'!N528</f>
        <v>0</v>
      </c>
      <c r="K174" s="124">
        <v>0</v>
      </c>
      <c r="L174" s="124">
        <v>0</v>
      </c>
      <c r="M174" s="124">
        <f t="shared" si="36"/>
        <v>0</v>
      </c>
      <c r="N174" s="282">
        <f>-'Other Operating Expenses'!N969</f>
        <v>0</v>
      </c>
      <c r="O174" s="282">
        <f>-'Other Operating Expenses'!N1158</f>
        <v>0</v>
      </c>
      <c r="P174" s="282"/>
      <c r="Q174" s="124">
        <f t="shared" si="37"/>
        <v>0</v>
      </c>
      <c r="R174" s="124">
        <f t="shared" si="32"/>
        <v>0</v>
      </c>
      <c r="S174" s="124">
        <f t="shared" si="33"/>
        <v>0</v>
      </c>
      <c r="T174" s="124">
        <f t="shared" si="34"/>
        <v>0</v>
      </c>
      <c r="U174" s="124">
        <f t="shared" si="35"/>
        <v>0</v>
      </c>
      <c r="V174" s="224" t="s">
        <v>1524</v>
      </c>
      <c r="AC174" s="628"/>
      <c r="AD174" s="297"/>
      <c r="AE174" s="628"/>
      <c r="AF174" s="48"/>
    </row>
    <row r="175" spans="1:32" s="236" customFormat="1" ht="15" x14ac:dyDescent="0.25">
      <c r="A175" s="123" t="s">
        <v>949</v>
      </c>
      <c r="B175" s="620"/>
      <c r="C175" s="124">
        <f>HR!Z807</f>
        <v>0</v>
      </c>
      <c r="D175" s="124">
        <f>'Prof Serv'!N1663+'Prof Serv'!N1473</f>
        <v>0</v>
      </c>
      <c r="E175" s="124">
        <f>'Prof Serv'!N1283</f>
        <v>0</v>
      </c>
      <c r="F175" s="124">
        <f>Travel!P491+Travel!P679+Travel!P867+Travel!P1055+Travel!P1243+Travel!P1431+Travel!P1619</f>
        <v>0</v>
      </c>
      <c r="G175" s="124">
        <f>'Other Operating Expenses'!N773</f>
        <v>0</v>
      </c>
      <c r="H175" s="124">
        <f>Supplies!N348</f>
        <v>0</v>
      </c>
      <c r="I175" s="124">
        <f>'Prof Serv'!N719+'Prof Serv'!N907+'Prof Serv'!N1095+'Prof Serv'!N1851+'Prof Serv'!N2039+'Prof Serv'!N2227</f>
        <v>0</v>
      </c>
      <c r="J175" s="124">
        <f>'Prof Serv'!N529</f>
        <v>0</v>
      </c>
      <c r="K175" s="124">
        <v>0</v>
      </c>
      <c r="L175" s="124">
        <v>0</v>
      </c>
      <c r="M175" s="124">
        <f t="shared" si="36"/>
        <v>0</v>
      </c>
      <c r="N175" s="282">
        <f>-'Other Operating Expenses'!N970</f>
        <v>0</v>
      </c>
      <c r="O175" s="282">
        <f>-'Other Operating Expenses'!N1159</f>
        <v>0</v>
      </c>
      <c r="P175" s="282"/>
      <c r="Q175" s="124">
        <f t="shared" si="37"/>
        <v>0</v>
      </c>
      <c r="R175" s="124">
        <f t="shared" si="32"/>
        <v>0</v>
      </c>
      <c r="S175" s="124">
        <f t="shared" si="33"/>
        <v>0</v>
      </c>
      <c r="T175" s="124">
        <f t="shared" si="34"/>
        <v>0</v>
      </c>
      <c r="U175" s="124">
        <f t="shared" si="35"/>
        <v>0</v>
      </c>
      <c r="V175" s="224" t="s">
        <v>1524</v>
      </c>
      <c r="AC175" s="628"/>
      <c r="AD175" s="297"/>
      <c r="AE175" s="628"/>
      <c r="AF175" s="48"/>
    </row>
    <row r="176" spans="1:32" s="236" customFormat="1" ht="15" x14ac:dyDescent="0.25">
      <c r="A176" s="123" t="s">
        <v>132</v>
      </c>
      <c r="B176" s="620"/>
      <c r="C176" s="124">
        <f>HR!Z808</f>
        <v>0</v>
      </c>
      <c r="D176" s="124">
        <f>'Prof Serv'!N1664+'Prof Serv'!N1474</f>
        <v>0</v>
      </c>
      <c r="E176" s="124">
        <f>'Prof Serv'!N1284</f>
        <v>0</v>
      </c>
      <c r="F176" s="124">
        <f>Travel!P492+Travel!P680+Travel!P868+Travel!P1056+Travel!P1244+Travel!P1432+Travel!P1620</f>
        <v>0</v>
      </c>
      <c r="G176" s="124">
        <f>'Other Operating Expenses'!N774</f>
        <v>0</v>
      </c>
      <c r="H176" s="124">
        <f>Supplies!N349</f>
        <v>0</v>
      </c>
      <c r="I176" s="124">
        <f>'Prof Serv'!N720+'Prof Serv'!N908+'Prof Serv'!N1096+'Prof Serv'!N1852+'Prof Serv'!N2040+'Prof Serv'!N2228</f>
        <v>0</v>
      </c>
      <c r="J176" s="124">
        <f>'Prof Serv'!N530</f>
        <v>0</v>
      </c>
      <c r="K176" s="124">
        <v>0</v>
      </c>
      <c r="L176" s="124">
        <v>0</v>
      </c>
      <c r="M176" s="124">
        <f t="shared" si="36"/>
        <v>0</v>
      </c>
      <c r="N176" s="282">
        <f>-'Other Operating Expenses'!N971</f>
        <v>0</v>
      </c>
      <c r="O176" s="282">
        <f>-'Other Operating Expenses'!N1160</f>
        <v>0</v>
      </c>
      <c r="P176" s="282"/>
      <c r="Q176" s="124">
        <f t="shared" si="37"/>
        <v>0</v>
      </c>
      <c r="R176" s="124">
        <f t="shared" si="32"/>
        <v>0</v>
      </c>
      <c r="S176" s="124">
        <f t="shared" si="33"/>
        <v>0</v>
      </c>
      <c r="T176" s="124">
        <f t="shared" si="34"/>
        <v>0</v>
      </c>
      <c r="U176" s="124">
        <f t="shared" si="35"/>
        <v>0</v>
      </c>
      <c r="V176" s="224" t="s">
        <v>1524</v>
      </c>
      <c r="AC176" s="628"/>
      <c r="AD176" s="297"/>
      <c r="AE176" s="628"/>
      <c r="AF176" s="48"/>
    </row>
    <row r="177" spans="1:32" s="236" customFormat="1" ht="15" x14ac:dyDescent="0.25">
      <c r="A177" s="123" t="s">
        <v>121</v>
      </c>
      <c r="B177" s="620"/>
      <c r="C177" s="124">
        <f>HR!Z809</f>
        <v>0</v>
      </c>
      <c r="D177" s="124">
        <f>'Prof Serv'!N1665+'Prof Serv'!N1475</f>
        <v>0</v>
      </c>
      <c r="E177" s="124">
        <f>'Prof Serv'!N1285</f>
        <v>0</v>
      </c>
      <c r="F177" s="124">
        <f>Travel!P493+Travel!P681+Travel!P869+Travel!P1057+Travel!P1245+Travel!P1433+Travel!P1621</f>
        <v>0</v>
      </c>
      <c r="G177" s="124">
        <f>'Other Operating Expenses'!N775</f>
        <v>0</v>
      </c>
      <c r="H177" s="124">
        <f>Supplies!N350</f>
        <v>0</v>
      </c>
      <c r="I177" s="124">
        <f>'Prof Serv'!N721+'Prof Serv'!N909+'Prof Serv'!N1097+'Prof Serv'!N1853+'Prof Serv'!N2041+'Prof Serv'!N2229</f>
        <v>0</v>
      </c>
      <c r="J177" s="124">
        <f>'Prof Serv'!N531</f>
        <v>0</v>
      </c>
      <c r="K177" s="124">
        <v>0</v>
      </c>
      <c r="L177" s="124">
        <v>0</v>
      </c>
      <c r="M177" s="124">
        <f t="shared" si="36"/>
        <v>0</v>
      </c>
      <c r="N177" s="282">
        <f>-'Other Operating Expenses'!N972</f>
        <v>0</v>
      </c>
      <c r="O177" s="282">
        <f>-'Other Operating Expenses'!N1161</f>
        <v>0</v>
      </c>
      <c r="P177" s="282"/>
      <c r="Q177" s="124">
        <f t="shared" si="37"/>
        <v>0</v>
      </c>
      <c r="R177" s="124">
        <f t="shared" si="32"/>
        <v>0</v>
      </c>
      <c r="S177" s="124">
        <f t="shared" si="33"/>
        <v>0</v>
      </c>
      <c r="T177" s="124">
        <f t="shared" si="34"/>
        <v>0</v>
      </c>
      <c r="U177" s="124">
        <f t="shared" si="35"/>
        <v>0</v>
      </c>
      <c r="V177" s="224" t="s">
        <v>1524</v>
      </c>
      <c r="AC177" s="628"/>
      <c r="AD177" s="297"/>
      <c r="AE177" s="628"/>
      <c r="AF177" s="48"/>
    </row>
    <row r="178" spans="1:32" s="236" customFormat="1" ht="15" x14ac:dyDescent="0.25">
      <c r="A178" s="123" t="s">
        <v>131</v>
      </c>
      <c r="B178" s="620"/>
      <c r="C178" s="124">
        <f>HR!Z810</f>
        <v>0</v>
      </c>
      <c r="D178" s="124">
        <f>'Prof Serv'!N1666+'Prof Serv'!N1476</f>
        <v>0</v>
      </c>
      <c r="E178" s="124">
        <f>'Prof Serv'!N1286</f>
        <v>0</v>
      </c>
      <c r="F178" s="124">
        <f>Travel!P494+Travel!P682+Travel!P870+Travel!P1058+Travel!P1246+Travel!P1434+Travel!P1622</f>
        <v>0</v>
      </c>
      <c r="G178" s="124">
        <f>'Other Operating Expenses'!N776</f>
        <v>0</v>
      </c>
      <c r="H178" s="124">
        <f>Supplies!N351</f>
        <v>0</v>
      </c>
      <c r="I178" s="124">
        <f>'Prof Serv'!N722+'Prof Serv'!N910+'Prof Serv'!N1098+'Prof Serv'!N1854+'Prof Serv'!N2042+'Prof Serv'!N2230</f>
        <v>0</v>
      </c>
      <c r="J178" s="124">
        <f>'Prof Serv'!N532</f>
        <v>0</v>
      </c>
      <c r="K178" s="124">
        <v>0</v>
      </c>
      <c r="L178" s="124">
        <v>0</v>
      </c>
      <c r="M178" s="124">
        <f t="shared" si="36"/>
        <v>0</v>
      </c>
      <c r="N178" s="282">
        <f>-'Other Operating Expenses'!N973</f>
        <v>0</v>
      </c>
      <c r="O178" s="282">
        <f>-'Other Operating Expenses'!N1162</f>
        <v>0</v>
      </c>
      <c r="P178" s="282"/>
      <c r="Q178" s="124">
        <f t="shared" si="37"/>
        <v>0</v>
      </c>
      <c r="R178" s="124">
        <f t="shared" si="32"/>
        <v>0</v>
      </c>
      <c r="S178" s="124">
        <f t="shared" si="33"/>
        <v>0</v>
      </c>
      <c r="T178" s="124">
        <f t="shared" si="34"/>
        <v>0</v>
      </c>
      <c r="U178" s="124">
        <f t="shared" si="35"/>
        <v>0</v>
      </c>
      <c r="V178" s="224" t="s">
        <v>1524</v>
      </c>
      <c r="AC178" s="628"/>
      <c r="AD178" s="297"/>
      <c r="AE178" s="628"/>
      <c r="AF178" s="48"/>
    </row>
    <row r="179" spans="1:32" s="236" customFormat="1" ht="15" x14ac:dyDescent="0.25">
      <c r="A179" s="123" t="s">
        <v>967</v>
      </c>
      <c r="B179" s="620"/>
      <c r="C179" s="124">
        <f>HR!Z811</f>
        <v>0</v>
      </c>
      <c r="D179" s="124">
        <f>'Prof Serv'!N1667+'Prof Serv'!N1477</f>
        <v>0</v>
      </c>
      <c r="E179" s="124">
        <f>'Prof Serv'!N1287</f>
        <v>0</v>
      </c>
      <c r="F179" s="124">
        <f>Travel!P495+Travel!P683+Travel!P871+Travel!P1059+Travel!P1247+Travel!P1435+Travel!P1623</f>
        <v>0</v>
      </c>
      <c r="G179" s="124">
        <f>'Other Operating Expenses'!N777</f>
        <v>0</v>
      </c>
      <c r="H179" s="124">
        <f>Supplies!N352</f>
        <v>0</v>
      </c>
      <c r="I179" s="124">
        <f>'Prof Serv'!N723+'Prof Serv'!N911+'Prof Serv'!N1099+'Prof Serv'!N1855+'Prof Serv'!N2043+'Prof Serv'!N2231</f>
        <v>0</v>
      </c>
      <c r="J179" s="124">
        <f>'Prof Serv'!N533</f>
        <v>0</v>
      </c>
      <c r="K179" s="124">
        <v>0</v>
      </c>
      <c r="L179" s="124">
        <v>0</v>
      </c>
      <c r="M179" s="124">
        <f t="shared" si="36"/>
        <v>0</v>
      </c>
      <c r="N179" s="282">
        <f>-'Other Operating Expenses'!N974</f>
        <v>0</v>
      </c>
      <c r="O179" s="282">
        <f>-'Other Operating Expenses'!N1163</f>
        <v>0</v>
      </c>
      <c r="P179" s="282"/>
      <c r="Q179" s="124">
        <f t="shared" si="37"/>
        <v>0</v>
      </c>
      <c r="R179" s="124">
        <f t="shared" si="32"/>
        <v>0</v>
      </c>
      <c r="S179" s="124">
        <f t="shared" si="33"/>
        <v>0</v>
      </c>
      <c r="T179" s="124">
        <f t="shared" si="34"/>
        <v>0</v>
      </c>
      <c r="U179" s="124">
        <f t="shared" si="35"/>
        <v>0</v>
      </c>
      <c r="V179" s="224" t="s">
        <v>1524</v>
      </c>
      <c r="AC179" s="628"/>
      <c r="AD179" s="297"/>
      <c r="AE179" s="628"/>
      <c r="AF179" s="48"/>
    </row>
    <row r="180" spans="1:32" s="236" customFormat="1" ht="15" x14ac:dyDescent="0.25">
      <c r="A180" s="123" t="s">
        <v>118</v>
      </c>
      <c r="B180" s="620"/>
      <c r="C180" s="124">
        <f>HR!Z812</f>
        <v>0</v>
      </c>
      <c r="D180" s="124">
        <f>'Prof Serv'!N1668+'Prof Serv'!N1478</f>
        <v>0</v>
      </c>
      <c r="E180" s="124">
        <f>'Prof Serv'!N1288</f>
        <v>0</v>
      </c>
      <c r="F180" s="124">
        <f>Travel!P496+Travel!P684+Travel!P872+Travel!P1060+Travel!P1248+Travel!P1436+Travel!P1624</f>
        <v>0</v>
      </c>
      <c r="G180" s="124">
        <f>'Other Operating Expenses'!N778</f>
        <v>0</v>
      </c>
      <c r="H180" s="124">
        <f>Supplies!N353</f>
        <v>0</v>
      </c>
      <c r="I180" s="124">
        <f>'Prof Serv'!N724+'Prof Serv'!N912+'Prof Serv'!N1100+'Prof Serv'!N1856+'Prof Serv'!N2044+'Prof Serv'!N2232</f>
        <v>0</v>
      </c>
      <c r="J180" s="124">
        <f>'Prof Serv'!N534</f>
        <v>0</v>
      </c>
      <c r="K180" s="124">
        <v>0</v>
      </c>
      <c r="L180" s="124">
        <v>0</v>
      </c>
      <c r="M180" s="124">
        <f t="shared" si="36"/>
        <v>0</v>
      </c>
      <c r="N180" s="282">
        <f>-'Other Operating Expenses'!N975</f>
        <v>0</v>
      </c>
      <c r="O180" s="282">
        <f>-'Other Operating Expenses'!N1164</f>
        <v>0</v>
      </c>
      <c r="P180" s="282"/>
      <c r="Q180" s="124">
        <f t="shared" si="37"/>
        <v>0</v>
      </c>
      <c r="R180" s="124">
        <f t="shared" si="32"/>
        <v>0</v>
      </c>
      <c r="S180" s="124">
        <f t="shared" si="33"/>
        <v>0</v>
      </c>
      <c r="T180" s="124">
        <f t="shared" si="34"/>
        <v>0</v>
      </c>
      <c r="U180" s="124">
        <f t="shared" si="35"/>
        <v>0</v>
      </c>
      <c r="V180" s="224" t="s">
        <v>1524</v>
      </c>
      <c r="AC180" s="628"/>
      <c r="AD180" s="297"/>
      <c r="AE180" s="628"/>
      <c r="AF180" s="48"/>
    </row>
    <row r="181" spans="1:32" s="236" customFormat="1" ht="15" x14ac:dyDescent="0.25">
      <c r="A181" s="123" t="s">
        <v>971</v>
      </c>
      <c r="B181" s="620"/>
      <c r="C181" s="124">
        <f>HR!Z813</f>
        <v>0</v>
      </c>
      <c r="D181" s="124">
        <f>'Prof Serv'!N1669+'Prof Serv'!N1479</f>
        <v>0</v>
      </c>
      <c r="E181" s="124">
        <f>'Prof Serv'!N1289</f>
        <v>0</v>
      </c>
      <c r="F181" s="124">
        <f>Travel!P497+Travel!P685+Travel!P873+Travel!P1061+Travel!P1249+Travel!P1437+Travel!P1625</f>
        <v>0</v>
      </c>
      <c r="G181" s="124">
        <f>'Other Operating Expenses'!N779</f>
        <v>0</v>
      </c>
      <c r="H181" s="124">
        <f>Supplies!N354</f>
        <v>0</v>
      </c>
      <c r="I181" s="124">
        <f>'Prof Serv'!N725+'Prof Serv'!N913+'Prof Serv'!N1101+'Prof Serv'!N1857+'Prof Serv'!N2045+'Prof Serv'!N2233</f>
        <v>0</v>
      </c>
      <c r="J181" s="124">
        <f>'Prof Serv'!N535</f>
        <v>0</v>
      </c>
      <c r="K181" s="124">
        <v>0</v>
      </c>
      <c r="L181" s="124">
        <v>0</v>
      </c>
      <c r="M181" s="124">
        <f t="shared" si="36"/>
        <v>0</v>
      </c>
      <c r="N181" s="282">
        <f>-'Other Operating Expenses'!N976</f>
        <v>0</v>
      </c>
      <c r="O181" s="282">
        <f>-'Other Operating Expenses'!N1165</f>
        <v>0</v>
      </c>
      <c r="P181" s="282"/>
      <c r="Q181" s="124">
        <f t="shared" si="37"/>
        <v>0</v>
      </c>
      <c r="R181" s="124">
        <f t="shared" si="32"/>
        <v>0</v>
      </c>
      <c r="S181" s="124">
        <f t="shared" si="33"/>
        <v>0</v>
      </c>
      <c r="T181" s="124">
        <f t="shared" si="34"/>
        <v>0</v>
      </c>
      <c r="U181" s="124">
        <f t="shared" si="35"/>
        <v>0</v>
      </c>
      <c r="V181" s="224" t="s">
        <v>1524</v>
      </c>
      <c r="AC181" s="628"/>
      <c r="AD181" s="297"/>
      <c r="AE181" s="628"/>
      <c r="AF181" s="48"/>
    </row>
    <row r="182" spans="1:32" s="236" customFormat="1" ht="15" x14ac:dyDescent="0.25">
      <c r="A182" s="123" t="s">
        <v>957</v>
      </c>
      <c r="B182" s="620"/>
      <c r="C182" s="124">
        <f>HR!Z814</f>
        <v>25553.239296</v>
      </c>
      <c r="D182" s="124">
        <f>'Prof Serv'!N1670+'Prof Serv'!N1480</f>
        <v>321</v>
      </c>
      <c r="E182" s="124">
        <f>'Prof Serv'!N1290</f>
        <v>0</v>
      </c>
      <c r="F182" s="124">
        <f>Travel!P498+Travel!P686+Travel!P874+Travel!P1062+Travel!P1250+Travel!P1438+Travel!P1626</f>
        <v>0</v>
      </c>
      <c r="G182" s="124">
        <f>'Other Operating Expenses'!N780</f>
        <v>0</v>
      </c>
      <c r="H182" s="124">
        <f>Supplies!N355</f>
        <v>0</v>
      </c>
      <c r="I182" s="124">
        <f>'Prof Serv'!N726+'Prof Serv'!N914+'Prof Serv'!N1102+'Prof Serv'!N1858+'Prof Serv'!N2046+'Prof Serv'!N2234</f>
        <v>0</v>
      </c>
      <c r="J182" s="124">
        <f>'Prof Serv'!N536</f>
        <v>0</v>
      </c>
      <c r="K182" s="124">
        <v>0</v>
      </c>
      <c r="L182" s="124">
        <v>0</v>
      </c>
      <c r="M182" s="124">
        <f t="shared" si="36"/>
        <v>25874.239296</v>
      </c>
      <c r="N182" s="282">
        <f>-'Other Operating Expenses'!N977</f>
        <v>0</v>
      </c>
      <c r="O182" s="282">
        <f>-'Other Operating Expenses'!N1166</f>
        <v>0</v>
      </c>
      <c r="P182" s="282"/>
      <c r="Q182" s="124">
        <f t="shared" si="37"/>
        <v>25874.239296</v>
      </c>
      <c r="R182" s="124">
        <f t="shared" si="32"/>
        <v>4002.9404889576954</v>
      </c>
      <c r="S182" s="124">
        <f t="shared" si="33"/>
        <v>1725.0355338643203</v>
      </c>
      <c r="T182" s="124">
        <f t="shared" si="34"/>
        <v>0</v>
      </c>
      <c r="U182" s="124">
        <f t="shared" si="35"/>
        <v>31602.215318822015</v>
      </c>
      <c r="V182" s="224">
        <v>150</v>
      </c>
      <c r="AC182" s="628"/>
      <c r="AD182" s="297"/>
      <c r="AE182" s="628"/>
      <c r="AF182" s="48"/>
    </row>
    <row r="183" spans="1:32" s="236" customFormat="1" ht="15" x14ac:dyDescent="0.25">
      <c r="A183" s="123" t="s">
        <v>97</v>
      </c>
      <c r="B183" s="620"/>
      <c r="C183" s="124">
        <f>HR!Z815</f>
        <v>7952.4910400000008</v>
      </c>
      <c r="D183" s="124">
        <f>'Prof Serv'!N1671+'Prof Serv'!N1481</f>
        <v>0</v>
      </c>
      <c r="E183" s="124">
        <f>'Prof Serv'!N1291</f>
        <v>0</v>
      </c>
      <c r="F183" s="124">
        <f>Travel!P499+Travel!P687+Travel!P875+Travel!P1063+Travel!P1251+Travel!P1439+Travel!P1627</f>
        <v>0</v>
      </c>
      <c r="G183" s="124">
        <f>'Other Operating Expenses'!N781</f>
        <v>0</v>
      </c>
      <c r="H183" s="124">
        <f>Supplies!N356</f>
        <v>0</v>
      </c>
      <c r="I183" s="124">
        <f>'Prof Serv'!N727+'Prof Serv'!N915+'Prof Serv'!N1103+'Prof Serv'!N1859+'Prof Serv'!N2047+'Prof Serv'!N2235</f>
        <v>0</v>
      </c>
      <c r="J183" s="124">
        <f>'Prof Serv'!N537</f>
        <v>0</v>
      </c>
      <c r="K183" s="124">
        <v>0</v>
      </c>
      <c r="L183" s="124">
        <v>0</v>
      </c>
      <c r="M183" s="124">
        <f t="shared" si="36"/>
        <v>7952.4910400000008</v>
      </c>
      <c r="N183" s="282">
        <f>-'Other Operating Expenses'!N978</f>
        <v>0</v>
      </c>
      <c r="O183" s="282">
        <f>-'Other Operating Expenses'!N1167</f>
        <v>0</v>
      </c>
      <c r="P183" s="282"/>
      <c r="Q183" s="124">
        <f t="shared" si="37"/>
        <v>7952.4910400000008</v>
      </c>
      <c r="R183" s="124">
        <f t="shared" si="32"/>
        <v>0</v>
      </c>
      <c r="S183" s="124">
        <f t="shared" si="33"/>
        <v>0</v>
      </c>
      <c r="T183" s="124">
        <f t="shared" si="34"/>
        <v>0</v>
      </c>
      <c r="U183" s="124">
        <f t="shared" si="35"/>
        <v>0</v>
      </c>
      <c r="V183" s="224" t="s">
        <v>1524</v>
      </c>
      <c r="AC183" s="628"/>
      <c r="AD183" s="297"/>
      <c r="AE183" s="628"/>
      <c r="AF183" s="48"/>
    </row>
    <row r="184" spans="1:32" s="236" customFormat="1" ht="15" x14ac:dyDescent="0.25">
      <c r="A184" s="123" t="s">
        <v>49</v>
      </c>
      <c r="B184" s="620"/>
      <c r="C184" s="124">
        <f>HR!Z816</f>
        <v>21450.111840000001</v>
      </c>
      <c r="D184" s="124">
        <f>'Prof Serv'!N1672+'Prof Serv'!N1482</f>
        <v>0</v>
      </c>
      <c r="E184" s="124">
        <f>'Prof Serv'!N1292</f>
        <v>0</v>
      </c>
      <c r="F184" s="124">
        <f>Travel!P500+Travel!P688+Travel!P876+Travel!P1064+Travel!P1252+Travel!P1440+Travel!P1628</f>
        <v>0</v>
      </c>
      <c r="G184" s="124">
        <f>'Other Operating Expenses'!N782</f>
        <v>0</v>
      </c>
      <c r="H184" s="124">
        <f>Supplies!N357</f>
        <v>0</v>
      </c>
      <c r="I184" s="124">
        <f>'Prof Serv'!N728+'Prof Serv'!N916+'Prof Serv'!N1104+'Prof Serv'!N1860+'Prof Serv'!N2048+'Prof Serv'!N2236</f>
        <v>0</v>
      </c>
      <c r="J184" s="124">
        <f>'Prof Serv'!N538</f>
        <v>0</v>
      </c>
      <c r="K184" s="124">
        <v>0</v>
      </c>
      <c r="L184" s="124">
        <v>0</v>
      </c>
      <c r="M184" s="124">
        <f t="shared" si="36"/>
        <v>21450.111840000001</v>
      </c>
      <c r="N184" s="282">
        <f>-'Other Operating Expenses'!N979</f>
        <v>0</v>
      </c>
      <c r="O184" s="282">
        <f>-'Other Operating Expenses'!N1168</f>
        <v>0</v>
      </c>
      <c r="P184" s="282"/>
      <c r="Q184" s="124">
        <f t="shared" si="37"/>
        <v>21450.111840000001</v>
      </c>
      <c r="R184" s="124">
        <f t="shared" si="32"/>
        <v>0</v>
      </c>
      <c r="S184" s="124">
        <f t="shared" si="33"/>
        <v>0</v>
      </c>
      <c r="T184" s="124">
        <f t="shared" si="34"/>
        <v>0</v>
      </c>
      <c r="U184" s="124">
        <f t="shared" si="35"/>
        <v>0</v>
      </c>
      <c r="V184" s="224" t="s">
        <v>1524</v>
      </c>
      <c r="AC184" s="628"/>
      <c r="AD184" s="297"/>
      <c r="AE184" s="628"/>
      <c r="AF184" s="48"/>
    </row>
    <row r="185" spans="1:32" s="236" customFormat="1" ht="15" x14ac:dyDescent="0.25">
      <c r="A185" s="123" t="s">
        <v>1017</v>
      </c>
      <c r="B185" s="620"/>
      <c r="C185" s="124">
        <f>HR!Z817</f>
        <v>0</v>
      </c>
      <c r="D185" s="124">
        <f>'Prof Serv'!N1673+'Prof Serv'!N1483</f>
        <v>0</v>
      </c>
      <c r="E185" s="124">
        <f>'Prof Serv'!N1293</f>
        <v>0</v>
      </c>
      <c r="F185" s="124">
        <f>Travel!P501+Travel!P689+Travel!P877+Travel!P1065+Travel!P1253+Travel!P1441+Travel!P1629</f>
        <v>0</v>
      </c>
      <c r="G185" s="124">
        <f>'Other Operating Expenses'!N783</f>
        <v>0</v>
      </c>
      <c r="H185" s="124">
        <f>Supplies!N358</f>
        <v>0</v>
      </c>
      <c r="I185" s="124">
        <f>'Prof Serv'!N729+'Prof Serv'!N917+'Prof Serv'!N1105+'Prof Serv'!N1861+'Prof Serv'!N2049+'Prof Serv'!N2237</f>
        <v>0</v>
      </c>
      <c r="J185" s="124">
        <f>'Prof Serv'!N539</f>
        <v>0</v>
      </c>
      <c r="K185" s="124">
        <v>0</v>
      </c>
      <c r="L185" s="124">
        <v>0</v>
      </c>
      <c r="M185" s="124">
        <f t="shared" si="36"/>
        <v>0</v>
      </c>
      <c r="N185" s="282">
        <f>-'Other Operating Expenses'!N980</f>
        <v>0</v>
      </c>
      <c r="O185" s="282">
        <f>-'Other Operating Expenses'!N1169</f>
        <v>0</v>
      </c>
      <c r="P185" s="282"/>
      <c r="Q185" s="124">
        <f t="shared" si="37"/>
        <v>0</v>
      </c>
      <c r="R185" s="124">
        <f t="shared" si="32"/>
        <v>0</v>
      </c>
      <c r="S185" s="124">
        <f t="shared" si="33"/>
        <v>0</v>
      </c>
      <c r="T185" s="124">
        <f t="shared" si="34"/>
        <v>0</v>
      </c>
      <c r="U185" s="124">
        <f t="shared" si="35"/>
        <v>0</v>
      </c>
      <c r="V185" s="224">
        <v>180</v>
      </c>
      <c r="AC185" s="628"/>
      <c r="AD185" s="297"/>
      <c r="AE185" s="628"/>
      <c r="AF185" s="48"/>
    </row>
    <row r="186" spans="1:32" s="236" customFormat="1" ht="15" x14ac:dyDescent="0.25">
      <c r="A186" s="123" t="s">
        <v>1018</v>
      </c>
      <c r="B186" s="620"/>
      <c r="C186" s="124">
        <f>HR!Z818</f>
        <v>0</v>
      </c>
      <c r="D186" s="124">
        <f>'Prof Serv'!N1674+'Prof Serv'!N1484</f>
        <v>0</v>
      </c>
      <c r="E186" s="124">
        <f>'Prof Serv'!N1294</f>
        <v>0</v>
      </c>
      <c r="F186" s="124">
        <f>Travel!P502+Travel!P690+Travel!P878+Travel!P1066+Travel!P1254+Travel!P1442+Travel!P1630</f>
        <v>0</v>
      </c>
      <c r="G186" s="124">
        <f>'Other Operating Expenses'!N784</f>
        <v>0</v>
      </c>
      <c r="H186" s="124">
        <f>Supplies!N359</f>
        <v>0</v>
      </c>
      <c r="I186" s="124">
        <f>'Prof Serv'!N730+'Prof Serv'!N918+'Prof Serv'!N1106+'Prof Serv'!N1862+'Prof Serv'!N2050+'Prof Serv'!N2238</f>
        <v>0</v>
      </c>
      <c r="J186" s="124">
        <f>'Prof Serv'!N540</f>
        <v>0</v>
      </c>
      <c r="K186" s="124">
        <v>0</v>
      </c>
      <c r="L186" s="124">
        <v>0</v>
      </c>
      <c r="M186" s="124">
        <f t="shared" si="36"/>
        <v>0</v>
      </c>
      <c r="N186" s="282">
        <f>-'Other Operating Expenses'!N981</f>
        <v>0</v>
      </c>
      <c r="O186" s="282">
        <f>-'Other Operating Expenses'!N1170</f>
        <v>0</v>
      </c>
      <c r="P186" s="282"/>
      <c r="Q186" s="124">
        <f t="shared" si="37"/>
        <v>0</v>
      </c>
      <c r="R186" s="124">
        <f t="shared" si="32"/>
        <v>0</v>
      </c>
      <c r="S186" s="124">
        <f t="shared" si="33"/>
        <v>0</v>
      </c>
      <c r="T186" s="124">
        <f t="shared" si="34"/>
        <v>0</v>
      </c>
      <c r="U186" s="124">
        <f t="shared" si="35"/>
        <v>0</v>
      </c>
      <c r="V186" s="224">
        <v>180</v>
      </c>
      <c r="AC186" s="628"/>
      <c r="AD186" s="297"/>
      <c r="AE186" s="628"/>
      <c r="AF186" s="48"/>
    </row>
    <row r="187" spans="1:32" s="236" customFormat="1" ht="15" x14ac:dyDescent="0.25">
      <c r="A187" s="123" t="s">
        <v>928</v>
      </c>
      <c r="B187" s="620"/>
      <c r="C187" s="124">
        <f>HR!Z819</f>
        <v>31397.851263999997</v>
      </c>
      <c r="D187" s="124">
        <f>'Prof Serv'!N1675+'Prof Serv'!N1485</f>
        <v>0</v>
      </c>
      <c r="E187" s="124">
        <f>'Prof Serv'!N1295</f>
        <v>0</v>
      </c>
      <c r="F187" s="124">
        <f>Travel!P503+Travel!P691+Travel!P879+Travel!P1067+Travel!P1255+Travel!P1443+Travel!P1631</f>
        <v>0</v>
      </c>
      <c r="G187" s="124">
        <f>'Other Operating Expenses'!N785</f>
        <v>0</v>
      </c>
      <c r="H187" s="124">
        <f>Supplies!N360</f>
        <v>0</v>
      </c>
      <c r="I187" s="124">
        <f>'Prof Serv'!N731+'Prof Serv'!N919+'Prof Serv'!N1107+'Prof Serv'!N1863+'Prof Serv'!N2051+'Prof Serv'!N2239</f>
        <v>0</v>
      </c>
      <c r="J187" s="124">
        <f>'Prof Serv'!N541</f>
        <v>0</v>
      </c>
      <c r="K187" s="124">
        <v>0</v>
      </c>
      <c r="L187" s="124">
        <v>0</v>
      </c>
      <c r="M187" s="124">
        <f t="shared" si="36"/>
        <v>31397.851263999997</v>
      </c>
      <c r="N187" s="282">
        <f>-'Other Operating Expenses'!N982</f>
        <v>0</v>
      </c>
      <c r="O187" s="282">
        <f>-'Other Operating Expenses'!N1171</f>
        <v>0</v>
      </c>
      <c r="P187" s="282"/>
      <c r="Q187" s="124">
        <f t="shared" si="37"/>
        <v>31397.851263999997</v>
      </c>
      <c r="R187" s="124">
        <f t="shared" si="32"/>
        <v>4918.5047983568629</v>
      </c>
      <c r="S187" s="124">
        <f t="shared" si="33"/>
        <v>2093.2947437708804</v>
      </c>
      <c r="T187" s="124">
        <f t="shared" si="34"/>
        <v>0</v>
      </c>
      <c r="U187" s="124">
        <f t="shared" si="35"/>
        <v>38409.650806127742</v>
      </c>
      <c r="V187" s="224">
        <v>110</v>
      </c>
      <c r="AC187" s="628"/>
      <c r="AD187" s="297"/>
      <c r="AE187" s="628"/>
      <c r="AF187" s="48"/>
    </row>
    <row r="188" spans="1:32" s="236" customFormat="1" ht="15" x14ac:dyDescent="0.25">
      <c r="A188" s="123" t="s">
        <v>946</v>
      </c>
      <c r="B188" s="620"/>
      <c r="C188" s="124">
        <f>HR!Z820</f>
        <v>0</v>
      </c>
      <c r="D188" s="124">
        <f>'Prof Serv'!N1676+'Prof Serv'!N1486</f>
        <v>0</v>
      </c>
      <c r="E188" s="124">
        <f>'Prof Serv'!N1296</f>
        <v>0</v>
      </c>
      <c r="F188" s="124">
        <f>Travel!P504+Travel!P692+Travel!P880+Travel!P1068+Travel!P1256+Travel!P1444+Travel!P1632</f>
        <v>0</v>
      </c>
      <c r="G188" s="124">
        <f>'Other Operating Expenses'!N786</f>
        <v>0</v>
      </c>
      <c r="H188" s="124">
        <f>Supplies!N361</f>
        <v>0</v>
      </c>
      <c r="I188" s="124">
        <f>'Prof Serv'!N732+'Prof Serv'!N920+'Prof Serv'!N1108+'Prof Serv'!N1864+'Prof Serv'!N2052+'Prof Serv'!N2240</f>
        <v>0</v>
      </c>
      <c r="J188" s="124">
        <f>'Prof Serv'!N542</f>
        <v>0</v>
      </c>
      <c r="K188" s="124">
        <v>0</v>
      </c>
      <c r="L188" s="124">
        <v>0</v>
      </c>
      <c r="M188" s="124">
        <f t="shared" si="36"/>
        <v>0</v>
      </c>
      <c r="N188" s="282">
        <f>-'Other Operating Expenses'!N983</f>
        <v>0</v>
      </c>
      <c r="O188" s="282">
        <f>-'Other Operating Expenses'!N1172</f>
        <v>0</v>
      </c>
      <c r="P188" s="282"/>
      <c r="Q188" s="124">
        <f t="shared" si="37"/>
        <v>0</v>
      </c>
      <c r="R188" s="124"/>
      <c r="S188" s="124"/>
      <c r="T188" s="124">
        <f t="shared" si="34"/>
        <v>0</v>
      </c>
      <c r="U188" s="124">
        <f t="shared" si="35"/>
        <v>0</v>
      </c>
      <c r="V188" s="224">
        <v>150</v>
      </c>
      <c r="AC188" s="628"/>
      <c r="AD188" s="297"/>
      <c r="AE188" s="628"/>
      <c r="AF188" s="48"/>
    </row>
    <row r="189" spans="1:32" s="236" customFormat="1" ht="15" x14ac:dyDescent="0.25">
      <c r="A189" s="123" t="s">
        <v>947</v>
      </c>
      <c r="B189" s="620"/>
      <c r="C189" s="124">
        <f>HR!Z821</f>
        <v>120911.53468799999</v>
      </c>
      <c r="D189" s="124">
        <f>'Prof Serv'!N1677+'Prof Serv'!N1487</f>
        <v>0</v>
      </c>
      <c r="E189" s="124">
        <f>'Prof Serv'!N1297</f>
        <v>0</v>
      </c>
      <c r="F189" s="124">
        <f>Travel!P505+Travel!P693+Travel!P881+Travel!P1069+Travel!P1257+Travel!P1445+Travel!P1633</f>
        <v>0</v>
      </c>
      <c r="G189" s="124">
        <f>'Other Operating Expenses'!N787</f>
        <v>0</v>
      </c>
      <c r="H189" s="124">
        <f>Supplies!N362</f>
        <v>0</v>
      </c>
      <c r="I189" s="124">
        <f>'Prof Serv'!N733+'Prof Serv'!N921+'Prof Serv'!N1109+'Prof Serv'!N1865+'Prof Serv'!N2053+'Prof Serv'!N2241</f>
        <v>0</v>
      </c>
      <c r="J189" s="124">
        <f>'Prof Serv'!N543</f>
        <v>0</v>
      </c>
      <c r="K189" s="124">
        <v>0</v>
      </c>
      <c r="L189" s="124">
        <v>0</v>
      </c>
      <c r="M189" s="124">
        <f t="shared" si="36"/>
        <v>120911.53468799999</v>
      </c>
      <c r="N189" s="282">
        <f>-'Other Operating Expenses'!N984</f>
        <v>0</v>
      </c>
      <c r="O189" s="282">
        <f>-'Other Operating Expenses'!N1173</f>
        <v>0</v>
      </c>
      <c r="P189" s="282"/>
      <c r="Q189" s="124">
        <f t="shared" si="37"/>
        <v>120911.53468799999</v>
      </c>
      <c r="R189" s="124"/>
      <c r="S189" s="124"/>
      <c r="T189" s="124">
        <f t="shared" si="34"/>
        <v>12091.15</v>
      </c>
      <c r="U189" s="124">
        <f t="shared" si="35"/>
        <v>133002.68468799998</v>
      </c>
      <c r="V189" s="224">
        <v>150</v>
      </c>
      <c r="AC189" s="628"/>
      <c r="AD189" s="297"/>
      <c r="AE189" s="628"/>
      <c r="AF189" s="48"/>
    </row>
    <row r="190" spans="1:32" s="236" customFormat="1" ht="15" x14ac:dyDescent="0.25">
      <c r="A190" s="123" t="s">
        <v>1020</v>
      </c>
      <c r="B190" s="620"/>
      <c r="C190" s="124">
        <f>HR!Z822</f>
        <v>0</v>
      </c>
      <c r="D190" s="124">
        <f>'Prof Serv'!N1678+'Prof Serv'!N1488</f>
        <v>0</v>
      </c>
      <c r="E190" s="124">
        <f>'Prof Serv'!N1298</f>
        <v>0</v>
      </c>
      <c r="F190" s="124">
        <f>Travel!P506+Travel!P694+Travel!P882+Travel!P1070+Travel!P1258+Travel!P1446+Travel!P1634</f>
        <v>0</v>
      </c>
      <c r="G190" s="124">
        <f>'Other Operating Expenses'!N788</f>
        <v>0</v>
      </c>
      <c r="H190" s="124">
        <f>Supplies!N363</f>
        <v>0</v>
      </c>
      <c r="I190" s="124">
        <f>'Prof Serv'!N734+'Prof Serv'!N922+'Prof Serv'!N1110+'Prof Serv'!N1866+'Prof Serv'!N2054+'Prof Serv'!N2242</f>
        <v>0</v>
      </c>
      <c r="J190" s="124">
        <f>'Prof Serv'!N544</f>
        <v>0</v>
      </c>
      <c r="K190" s="124">
        <v>0</v>
      </c>
      <c r="L190" s="124">
        <v>0</v>
      </c>
      <c r="M190" s="124">
        <f t="shared" si="36"/>
        <v>0</v>
      </c>
      <c r="N190" s="282">
        <f>-'Other Operating Expenses'!N985</f>
        <v>0</v>
      </c>
      <c r="O190" s="282">
        <f>-'Other Operating Expenses'!N1174</f>
        <v>0</v>
      </c>
      <c r="P190" s="282"/>
      <c r="Q190" s="124">
        <f t="shared" si="37"/>
        <v>0</v>
      </c>
      <c r="R190" s="124"/>
      <c r="S190" s="124"/>
      <c r="T190" s="124">
        <f t="shared" si="34"/>
        <v>0</v>
      </c>
      <c r="U190" s="124">
        <f t="shared" si="35"/>
        <v>0</v>
      </c>
      <c r="V190" s="224" t="s">
        <v>1524</v>
      </c>
      <c r="AC190" s="628"/>
      <c r="AD190" s="297"/>
      <c r="AE190" s="628"/>
      <c r="AF190" s="48"/>
    </row>
    <row r="191" spans="1:32" s="236" customFormat="1" ht="15" x14ac:dyDescent="0.25">
      <c r="A191" s="123" t="s">
        <v>1021</v>
      </c>
      <c r="B191" s="620"/>
      <c r="C191" s="124">
        <f>HR!Z823</f>
        <v>0</v>
      </c>
      <c r="D191" s="124">
        <f>'Prof Serv'!N1679+'Prof Serv'!N1489</f>
        <v>0</v>
      </c>
      <c r="E191" s="124">
        <f>'Prof Serv'!N1299</f>
        <v>0</v>
      </c>
      <c r="F191" s="124">
        <f>Travel!P507+Travel!P695+Travel!P883+Travel!P1071+Travel!P1259+Travel!P1447+Travel!P1635</f>
        <v>0</v>
      </c>
      <c r="G191" s="124">
        <f>'Other Operating Expenses'!N789</f>
        <v>0</v>
      </c>
      <c r="H191" s="124">
        <f>Supplies!N364</f>
        <v>0</v>
      </c>
      <c r="I191" s="124">
        <f>'Prof Serv'!N735+'Prof Serv'!N923+'Prof Serv'!N1111+'Prof Serv'!N1867+'Prof Serv'!N2055+'Prof Serv'!N2243</f>
        <v>0</v>
      </c>
      <c r="J191" s="124">
        <f>'Prof Serv'!N545</f>
        <v>0</v>
      </c>
      <c r="K191" s="124">
        <v>0</v>
      </c>
      <c r="L191" s="124">
        <v>0</v>
      </c>
      <c r="M191" s="124">
        <f t="shared" si="36"/>
        <v>0</v>
      </c>
      <c r="N191" s="282">
        <f>-'Other Operating Expenses'!N986</f>
        <v>0</v>
      </c>
      <c r="O191" s="282">
        <f>-'Other Operating Expenses'!N1175</f>
        <v>0</v>
      </c>
      <c r="P191" s="282"/>
      <c r="Q191" s="124">
        <f t="shared" si="37"/>
        <v>0</v>
      </c>
      <c r="R191" s="124"/>
      <c r="S191" s="124"/>
      <c r="T191" s="124">
        <f t="shared" si="34"/>
        <v>0</v>
      </c>
      <c r="U191" s="124">
        <f t="shared" si="35"/>
        <v>0</v>
      </c>
      <c r="V191" s="224" t="s">
        <v>1524</v>
      </c>
      <c r="AC191" s="628"/>
      <c r="AD191" s="297"/>
      <c r="AE191" s="628"/>
      <c r="AF191" s="48"/>
    </row>
    <row r="192" spans="1:32" s="236" customFormat="1" ht="15" x14ac:dyDescent="0.25">
      <c r="A192" s="123" t="s">
        <v>489</v>
      </c>
      <c r="B192" s="620"/>
      <c r="C192" s="124">
        <f>HR!Z824</f>
        <v>0</v>
      </c>
      <c r="D192" s="124">
        <f>'Prof Serv'!N1680+'Prof Serv'!N1490</f>
        <v>0</v>
      </c>
      <c r="E192" s="124">
        <f>'Prof Serv'!N1300</f>
        <v>0</v>
      </c>
      <c r="F192" s="124">
        <f>Travel!P508+Travel!P696+Travel!P884+Travel!P1072+Travel!P1260+Travel!P1448+Travel!P1636</f>
        <v>0</v>
      </c>
      <c r="G192" s="124">
        <f>'Other Operating Expenses'!N790</f>
        <v>0</v>
      </c>
      <c r="H192" s="124">
        <f>Supplies!N365</f>
        <v>4049</v>
      </c>
      <c r="I192" s="124">
        <f>'Prof Serv'!N736+'Prof Serv'!N924+'Prof Serv'!N1112+'Prof Serv'!N1868+'Prof Serv'!N2056+'Prof Serv'!N2244</f>
        <v>0</v>
      </c>
      <c r="J192" s="124">
        <f>'Prof Serv'!N546</f>
        <v>0</v>
      </c>
      <c r="K192" s="124">
        <v>0</v>
      </c>
      <c r="L192" s="124">
        <v>0</v>
      </c>
      <c r="M192" s="124">
        <f t="shared" si="36"/>
        <v>4049</v>
      </c>
      <c r="N192" s="282">
        <f>-'Other Operating Expenses'!N987</f>
        <v>0</v>
      </c>
      <c r="O192" s="282">
        <f>-'Other Operating Expenses'!N1176</f>
        <v>0</v>
      </c>
      <c r="P192" s="282"/>
      <c r="Q192" s="124">
        <f t="shared" si="37"/>
        <v>4049</v>
      </c>
      <c r="R192" s="124"/>
      <c r="S192" s="124"/>
      <c r="T192" s="124">
        <f t="shared" si="34"/>
        <v>0</v>
      </c>
      <c r="U192" s="124">
        <f t="shared" si="35"/>
        <v>0</v>
      </c>
      <c r="V192" s="224" t="s">
        <v>1524</v>
      </c>
      <c r="AC192" s="628"/>
      <c r="AD192" s="297"/>
      <c r="AE192" s="628"/>
      <c r="AF192" s="48"/>
    </row>
    <row r="193" spans="1:32" s="236" customFormat="1" ht="15" x14ac:dyDescent="0.25">
      <c r="A193" s="123" t="s">
        <v>968</v>
      </c>
      <c r="B193" s="620"/>
      <c r="C193" s="124">
        <f>HR!Z825</f>
        <v>0</v>
      </c>
      <c r="D193" s="124">
        <f>'Prof Serv'!N1681+'Prof Serv'!N1491</f>
        <v>0</v>
      </c>
      <c r="E193" s="124">
        <f>'Prof Serv'!N1301</f>
        <v>0</v>
      </c>
      <c r="F193" s="124">
        <f>Travel!P509+Travel!P697+Travel!P885+Travel!P1073+Travel!P1261+Travel!P1449+Travel!P1637</f>
        <v>0</v>
      </c>
      <c r="G193" s="124">
        <f>'Other Operating Expenses'!N791</f>
        <v>0</v>
      </c>
      <c r="H193" s="124">
        <f>Supplies!N366</f>
        <v>0</v>
      </c>
      <c r="I193" s="124">
        <f>'Prof Serv'!N737+'Prof Serv'!N925+'Prof Serv'!N1113+'Prof Serv'!N1869+'Prof Serv'!N2057+'Prof Serv'!N2245</f>
        <v>0</v>
      </c>
      <c r="J193" s="124">
        <f>'Prof Serv'!N547</f>
        <v>0</v>
      </c>
      <c r="K193" s="124">
        <v>0</v>
      </c>
      <c r="L193" s="124">
        <v>0</v>
      </c>
      <c r="M193" s="124">
        <f t="shared" si="36"/>
        <v>0</v>
      </c>
      <c r="N193" s="282">
        <f>-'Other Operating Expenses'!N988</f>
        <v>0</v>
      </c>
      <c r="O193" s="282">
        <f>-'Other Operating Expenses'!N1177</f>
        <v>0</v>
      </c>
      <c r="P193" s="282"/>
      <c r="Q193" s="124">
        <f t="shared" si="37"/>
        <v>0</v>
      </c>
      <c r="R193" s="124"/>
      <c r="S193" s="124"/>
      <c r="T193" s="124">
        <f t="shared" si="34"/>
        <v>0</v>
      </c>
      <c r="U193" s="124">
        <f t="shared" si="35"/>
        <v>0</v>
      </c>
      <c r="V193" s="224">
        <v>180</v>
      </c>
      <c r="AC193" s="628"/>
      <c r="AD193" s="297"/>
      <c r="AE193" s="628"/>
      <c r="AF193" s="48"/>
    </row>
    <row r="194" spans="1:32" s="236" customFormat="1" ht="15" x14ac:dyDescent="0.25">
      <c r="A194" s="123" t="s">
        <v>98</v>
      </c>
      <c r="B194" s="620"/>
      <c r="C194" s="124">
        <f>HR!Z826</f>
        <v>716136.88803400006</v>
      </c>
      <c r="D194" s="124">
        <f>'Prof Serv'!N1682+'Prof Serv'!N1492</f>
        <v>0</v>
      </c>
      <c r="E194" s="124">
        <f>'Prof Serv'!N1302</f>
        <v>0</v>
      </c>
      <c r="F194" s="124">
        <f>Travel!P510+Travel!P698+Travel!P886+Travel!P1074+Travel!P1262+Travel!P1450+Travel!P1638</f>
        <v>11295</v>
      </c>
      <c r="G194" s="124">
        <f>'Other Operating Expenses'!N792</f>
        <v>92301</v>
      </c>
      <c r="H194" s="124">
        <f>Supplies!N367</f>
        <v>0</v>
      </c>
      <c r="I194" s="124">
        <f>'Prof Serv'!N738+'Prof Serv'!N926+'Prof Serv'!N1114+'Prof Serv'!N1870+'Prof Serv'!N2058+'Prof Serv'!N2246</f>
        <v>0</v>
      </c>
      <c r="J194" s="124">
        <f>'Prof Serv'!N548</f>
        <v>0</v>
      </c>
      <c r="K194" s="124">
        <v>0</v>
      </c>
      <c r="L194" s="124">
        <v>0</v>
      </c>
      <c r="M194" s="124">
        <f t="shared" si="36"/>
        <v>819732.88803400006</v>
      </c>
      <c r="N194" s="282">
        <f>-'Other Operating Expenses'!N989</f>
        <v>0</v>
      </c>
      <c r="O194" s="282">
        <f>-'Other Operating Expenses'!N1178</f>
        <v>0</v>
      </c>
      <c r="P194" s="282"/>
      <c r="Q194" s="124">
        <f t="shared" si="37"/>
        <v>819732.88803400006</v>
      </c>
      <c r="R194" s="124"/>
      <c r="S194" s="124"/>
      <c r="T194" s="124">
        <f t="shared" si="34"/>
        <v>81973.289999999994</v>
      </c>
      <c r="U194" s="124">
        <f t="shared" si="35"/>
        <v>901706.1780340001</v>
      </c>
      <c r="V194" s="224">
        <v>172</v>
      </c>
      <c r="AC194" s="628"/>
      <c r="AD194" s="297"/>
      <c r="AE194" s="628"/>
      <c r="AF194" s="48"/>
    </row>
    <row r="195" spans="1:32" s="236" customFormat="1" ht="15" x14ac:dyDescent="0.25">
      <c r="A195" s="123" t="s">
        <v>1048</v>
      </c>
      <c r="B195" s="620"/>
      <c r="C195" s="124">
        <f>HR!Z827</f>
        <v>0</v>
      </c>
      <c r="D195" s="124">
        <f>'Prof Serv'!N1683+'Prof Serv'!N1493</f>
        <v>0</v>
      </c>
      <c r="E195" s="124">
        <f>'Prof Serv'!N1303</f>
        <v>0</v>
      </c>
      <c r="F195" s="124">
        <f>Travel!P511+Travel!P699+Travel!P887+Travel!P1075+Travel!P1263+Travel!P1451+Travel!P1639</f>
        <v>0</v>
      </c>
      <c r="G195" s="124">
        <f>'Other Operating Expenses'!N793</f>
        <v>0</v>
      </c>
      <c r="H195" s="124">
        <f>Supplies!N368</f>
        <v>300</v>
      </c>
      <c r="I195" s="124">
        <f>'Prof Serv'!N739+'Prof Serv'!N927+'Prof Serv'!N1115+'Prof Serv'!N1871+'Prof Serv'!N2059+'Prof Serv'!N2247</f>
        <v>0</v>
      </c>
      <c r="J195" s="124">
        <f>'Prof Serv'!N549</f>
        <v>0</v>
      </c>
      <c r="K195" s="124">
        <v>0</v>
      </c>
      <c r="L195" s="124">
        <v>0</v>
      </c>
      <c r="M195" s="124">
        <f t="shared" si="36"/>
        <v>300</v>
      </c>
      <c r="N195" s="282">
        <f>-'Other Operating Expenses'!N990</f>
        <v>0</v>
      </c>
      <c r="O195" s="282">
        <f>-'Other Operating Expenses'!N1179</f>
        <v>0</v>
      </c>
      <c r="P195" s="282"/>
      <c r="Q195" s="124">
        <f t="shared" si="37"/>
        <v>300</v>
      </c>
      <c r="R195" s="124"/>
      <c r="S195" s="124"/>
      <c r="T195" s="124">
        <f t="shared" si="34"/>
        <v>0</v>
      </c>
      <c r="U195" s="124">
        <f t="shared" si="35"/>
        <v>0</v>
      </c>
      <c r="V195" s="224" t="s">
        <v>1524</v>
      </c>
      <c r="AC195" s="628"/>
      <c r="AD195" s="297"/>
      <c r="AE195" s="628"/>
      <c r="AF195" s="48"/>
    </row>
    <row r="196" spans="1:32" s="236" customFormat="1" ht="15" x14ac:dyDescent="0.25">
      <c r="A196" s="123" t="s">
        <v>1030</v>
      </c>
      <c r="B196" s="620"/>
      <c r="C196" s="124">
        <f>HR!Z828</f>
        <v>0</v>
      </c>
      <c r="D196" s="124">
        <f>'Prof Serv'!N1684+'Prof Serv'!N1494</f>
        <v>0</v>
      </c>
      <c r="E196" s="124">
        <f>'Prof Serv'!N1304</f>
        <v>0</v>
      </c>
      <c r="F196" s="124">
        <f>Travel!P512+Travel!P700+Travel!P888+Travel!P1076+Travel!P1264+Travel!P1452+Travel!P1640</f>
        <v>0</v>
      </c>
      <c r="G196" s="124">
        <f>'Other Operating Expenses'!N794</f>
        <v>0</v>
      </c>
      <c r="H196" s="124">
        <f>Supplies!N369</f>
        <v>1750</v>
      </c>
      <c r="I196" s="124">
        <f>'Prof Serv'!N740+'Prof Serv'!N928+'Prof Serv'!N1116+'Prof Serv'!N1872+'Prof Serv'!N2060+'Prof Serv'!N2248</f>
        <v>0</v>
      </c>
      <c r="J196" s="124">
        <f>'Prof Serv'!N550</f>
        <v>0</v>
      </c>
      <c r="K196" s="124">
        <v>0</v>
      </c>
      <c r="L196" s="124">
        <v>0</v>
      </c>
      <c r="M196" s="124">
        <f t="shared" si="36"/>
        <v>1750</v>
      </c>
      <c r="N196" s="282">
        <f>-'Other Operating Expenses'!N991</f>
        <v>0</v>
      </c>
      <c r="O196" s="282">
        <f>-'Other Operating Expenses'!N1180</f>
        <v>0</v>
      </c>
      <c r="P196" s="282"/>
      <c r="Q196" s="124">
        <f t="shared" si="37"/>
        <v>1750</v>
      </c>
      <c r="R196" s="124"/>
      <c r="S196" s="124"/>
      <c r="T196" s="124">
        <f t="shared" si="34"/>
        <v>0</v>
      </c>
      <c r="U196" s="124">
        <f t="shared" si="35"/>
        <v>0</v>
      </c>
      <c r="V196" s="224" t="s">
        <v>1524</v>
      </c>
      <c r="AC196" s="628"/>
      <c r="AD196" s="297"/>
      <c r="AE196" s="628"/>
      <c r="AF196" s="48"/>
    </row>
    <row r="197" spans="1:32" s="236" customFormat="1" ht="15" x14ac:dyDescent="0.25">
      <c r="A197" s="123" t="s">
        <v>977</v>
      </c>
      <c r="B197" s="620"/>
      <c r="C197" s="124">
        <f>HR!Z829</f>
        <v>3675.1189383999999</v>
      </c>
      <c r="D197" s="124">
        <f>'Prof Serv'!N1685+'Prof Serv'!N1495</f>
        <v>2000</v>
      </c>
      <c r="E197" s="124">
        <f>'Prof Serv'!N1305</f>
        <v>0</v>
      </c>
      <c r="F197" s="124">
        <f>Travel!P513+Travel!P701+Travel!P889+Travel!P1077+Travel!P1265+Travel!P1453+Travel!P1641</f>
        <v>0</v>
      </c>
      <c r="G197" s="124">
        <f>'Other Operating Expenses'!N795</f>
        <v>0</v>
      </c>
      <c r="H197" s="124">
        <f>Supplies!N370</f>
        <v>0</v>
      </c>
      <c r="I197" s="124">
        <f>'Prof Serv'!N741+'Prof Serv'!N929+'Prof Serv'!N1117+'Prof Serv'!N1873+'Prof Serv'!N2061+'Prof Serv'!N2249</f>
        <v>0</v>
      </c>
      <c r="J197" s="124">
        <f>'Prof Serv'!N551</f>
        <v>0</v>
      </c>
      <c r="K197" s="124">
        <v>0</v>
      </c>
      <c r="L197" s="124">
        <v>0</v>
      </c>
      <c r="M197" s="124">
        <f t="shared" si="36"/>
        <v>5675.1189383999999</v>
      </c>
      <c r="N197" s="282">
        <f>-'Other Operating Expenses'!N992</f>
        <v>0</v>
      </c>
      <c r="O197" s="282">
        <f>-'Other Operating Expenses'!N1181</f>
        <v>0</v>
      </c>
      <c r="P197" s="282"/>
      <c r="Q197" s="124">
        <f t="shared" si="37"/>
        <v>5675.1189383999999</v>
      </c>
      <c r="R197" s="124"/>
      <c r="S197" s="124"/>
      <c r="T197" s="124">
        <f t="shared" si="34"/>
        <v>567.51</v>
      </c>
      <c r="U197" s="124">
        <f t="shared" ref="U197:U222" si="38">IF(V197="n/a",0,SUM(M197,R197,S197,T197))</f>
        <v>6242.6289384000002</v>
      </c>
      <c r="V197" s="224">
        <v>172</v>
      </c>
      <c r="AC197" s="628"/>
      <c r="AD197" s="297"/>
      <c r="AE197" s="628"/>
      <c r="AF197" s="48"/>
    </row>
    <row r="198" spans="1:32" s="236" customFormat="1" ht="15" x14ac:dyDescent="0.25">
      <c r="A198" s="123" t="s">
        <v>99</v>
      </c>
      <c r="B198" s="620"/>
      <c r="C198" s="124">
        <f>HR!Z830</f>
        <v>772784.40334399999</v>
      </c>
      <c r="D198" s="124">
        <f>'Prof Serv'!N1686+'Prof Serv'!N1496</f>
        <v>553000</v>
      </c>
      <c r="E198" s="124">
        <f>'Prof Serv'!N1306</f>
        <v>0</v>
      </c>
      <c r="F198" s="124">
        <f>Travel!P514+Travel!P702+Travel!P890+Travel!P1078+Travel!P1266+Travel!P1454+Travel!P1642</f>
        <v>26120</v>
      </c>
      <c r="G198" s="124">
        <f>'Other Operating Expenses'!N796</f>
        <v>120418.18</v>
      </c>
      <c r="H198" s="124">
        <f>Supplies!N371</f>
        <v>0</v>
      </c>
      <c r="I198" s="124">
        <f>'Prof Serv'!N742+'Prof Serv'!N930+'Prof Serv'!N1118+'Prof Serv'!N1874+'Prof Serv'!N2062+'Prof Serv'!N2250</f>
        <v>2000</v>
      </c>
      <c r="J198" s="124">
        <f>'Prof Serv'!N552</f>
        <v>0</v>
      </c>
      <c r="K198" s="124">
        <v>0</v>
      </c>
      <c r="L198" s="124">
        <v>0</v>
      </c>
      <c r="M198" s="124">
        <f t="shared" si="36"/>
        <v>1474322.5833439999</v>
      </c>
      <c r="N198" s="282">
        <f>-'Other Operating Expenses'!N993</f>
        <v>0</v>
      </c>
      <c r="O198" s="282">
        <f>-'Other Operating Expenses'!N1182</f>
        <v>0</v>
      </c>
      <c r="P198" s="282"/>
      <c r="Q198" s="124">
        <f t="shared" si="37"/>
        <v>1474322.5833439999</v>
      </c>
      <c r="R198" s="124"/>
      <c r="S198" s="124"/>
      <c r="T198" s="124">
        <f t="shared" ref="T198:T222" si="39">IF(V198="n/a",0,IF(S198&lt;&gt;"",0,ROUND(SUM(Q198)*10%,2)))</f>
        <v>0</v>
      </c>
      <c r="U198" s="124">
        <f t="shared" si="38"/>
        <v>0</v>
      </c>
      <c r="V198" s="224" t="s">
        <v>1524</v>
      </c>
      <c r="AC198" s="628"/>
      <c r="AD198" s="297"/>
      <c r="AE198" s="628"/>
      <c r="AF198" s="48"/>
    </row>
    <row r="199" spans="1:32" s="236" customFormat="1" ht="15" x14ac:dyDescent="0.25">
      <c r="A199" s="123" t="s">
        <v>1047</v>
      </c>
      <c r="B199" s="620"/>
      <c r="C199" s="124">
        <f>HR!Z831</f>
        <v>750.03427199999999</v>
      </c>
      <c r="D199" s="124">
        <f>'Prof Serv'!N1687+'Prof Serv'!N1497</f>
        <v>0</v>
      </c>
      <c r="E199" s="124">
        <f>'Prof Serv'!N1307</f>
        <v>0</v>
      </c>
      <c r="F199" s="124">
        <f>Travel!P515+Travel!P703+Travel!P891+Travel!P1079+Travel!P1267+Travel!P1455+Travel!P1643</f>
        <v>0</v>
      </c>
      <c r="G199" s="124">
        <f>'Other Operating Expenses'!N797</f>
        <v>0</v>
      </c>
      <c r="H199" s="124">
        <f>Supplies!N372</f>
        <v>0</v>
      </c>
      <c r="I199" s="124">
        <f>'Prof Serv'!N743+'Prof Serv'!N931+'Prof Serv'!N1119+'Prof Serv'!N1875+'Prof Serv'!N2063+'Prof Serv'!N2251</f>
        <v>0</v>
      </c>
      <c r="J199" s="124">
        <f>'Prof Serv'!N553</f>
        <v>0</v>
      </c>
      <c r="K199" s="124">
        <v>0</v>
      </c>
      <c r="L199" s="124">
        <v>0</v>
      </c>
      <c r="M199" s="124">
        <f t="shared" si="36"/>
        <v>750.03427199999999</v>
      </c>
      <c r="N199" s="282">
        <f>-'Other Operating Expenses'!N994</f>
        <v>0</v>
      </c>
      <c r="O199" s="282">
        <f>-'Other Operating Expenses'!N1183</f>
        <v>0</v>
      </c>
      <c r="P199" s="282"/>
      <c r="Q199" s="124">
        <f t="shared" si="37"/>
        <v>750.03427199999999</v>
      </c>
      <c r="R199" s="124"/>
      <c r="S199" s="124"/>
      <c r="T199" s="124">
        <f t="shared" si="39"/>
        <v>0</v>
      </c>
      <c r="U199" s="124">
        <f t="shared" si="38"/>
        <v>0</v>
      </c>
      <c r="V199" s="224" t="s">
        <v>1524</v>
      </c>
      <c r="AC199" s="628"/>
      <c r="AD199" s="297"/>
      <c r="AE199" s="628"/>
      <c r="AF199" s="48"/>
    </row>
    <row r="200" spans="1:32" s="236" customFormat="1" ht="15" x14ac:dyDescent="0.25">
      <c r="A200" s="123" t="s">
        <v>1041</v>
      </c>
      <c r="B200" s="620"/>
      <c r="C200" s="124">
        <f>HR!Z832</f>
        <v>750.03427199999999</v>
      </c>
      <c r="D200" s="124">
        <f>'Prof Serv'!N1688+'Prof Serv'!N1498</f>
        <v>0</v>
      </c>
      <c r="E200" s="124">
        <f>'Prof Serv'!N1308</f>
        <v>0</v>
      </c>
      <c r="F200" s="124">
        <f>Travel!P516+Travel!P704+Travel!P892+Travel!P1080+Travel!P1268+Travel!P1456+Travel!P1644</f>
        <v>0</v>
      </c>
      <c r="G200" s="124">
        <f>'Other Operating Expenses'!N798</f>
        <v>0</v>
      </c>
      <c r="H200" s="124">
        <f>Supplies!N373</f>
        <v>0</v>
      </c>
      <c r="I200" s="124">
        <f>'Prof Serv'!N744+'Prof Serv'!N932+'Prof Serv'!N1120+'Prof Serv'!N1876+'Prof Serv'!N2064+'Prof Serv'!N2252</f>
        <v>0</v>
      </c>
      <c r="J200" s="124">
        <f>'Prof Serv'!N554</f>
        <v>0</v>
      </c>
      <c r="K200" s="124">
        <v>0</v>
      </c>
      <c r="L200" s="124">
        <v>0</v>
      </c>
      <c r="M200" s="124">
        <f t="shared" si="36"/>
        <v>750.03427199999999</v>
      </c>
      <c r="N200" s="282">
        <f>-'Other Operating Expenses'!N995</f>
        <v>0</v>
      </c>
      <c r="O200" s="282">
        <f>-'Other Operating Expenses'!N1184</f>
        <v>0</v>
      </c>
      <c r="P200" s="282"/>
      <c r="Q200" s="124">
        <f t="shared" si="37"/>
        <v>750.03427199999999</v>
      </c>
      <c r="R200" s="124"/>
      <c r="S200" s="124"/>
      <c r="T200" s="124">
        <f t="shared" si="39"/>
        <v>0</v>
      </c>
      <c r="U200" s="124">
        <f t="shared" si="38"/>
        <v>0</v>
      </c>
      <c r="V200" s="224" t="s">
        <v>1524</v>
      </c>
      <c r="AC200" s="628"/>
      <c r="AD200" s="297"/>
      <c r="AE200" s="628"/>
      <c r="AF200" s="48"/>
    </row>
    <row r="201" spans="1:32" s="236" customFormat="1" ht="15" x14ac:dyDescent="0.25">
      <c r="A201" s="123" t="s">
        <v>102</v>
      </c>
      <c r="B201" s="620"/>
      <c r="C201" s="124">
        <f>HR!Z833</f>
        <v>0</v>
      </c>
      <c r="D201" s="124">
        <f>'Prof Serv'!N1689+'Prof Serv'!N1499</f>
        <v>0</v>
      </c>
      <c r="E201" s="124">
        <f>'Prof Serv'!N1309</f>
        <v>0</v>
      </c>
      <c r="F201" s="124">
        <f>Travel!P517+Travel!P705+Travel!P893+Travel!P1081+Travel!P1269+Travel!P1457+Travel!P1645</f>
        <v>0</v>
      </c>
      <c r="G201" s="124">
        <f>'Other Operating Expenses'!N799</f>
        <v>0</v>
      </c>
      <c r="H201" s="124">
        <f>Supplies!N374</f>
        <v>4900</v>
      </c>
      <c r="I201" s="124">
        <f>'Prof Serv'!N745+'Prof Serv'!N933+'Prof Serv'!N1121+'Prof Serv'!N1877+'Prof Serv'!N2065+'Prof Serv'!N2253</f>
        <v>0</v>
      </c>
      <c r="J201" s="124">
        <f>'Prof Serv'!N555</f>
        <v>0</v>
      </c>
      <c r="K201" s="124">
        <v>0</v>
      </c>
      <c r="L201" s="124">
        <v>0</v>
      </c>
      <c r="M201" s="124">
        <f t="shared" si="36"/>
        <v>4900</v>
      </c>
      <c r="N201" s="282">
        <f>-'Other Operating Expenses'!N996</f>
        <v>0</v>
      </c>
      <c r="O201" s="282">
        <f>-'Other Operating Expenses'!N1185</f>
        <v>0</v>
      </c>
      <c r="P201" s="282"/>
      <c r="Q201" s="124">
        <f t="shared" si="37"/>
        <v>4900</v>
      </c>
      <c r="R201" s="124"/>
      <c r="S201" s="124"/>
      <c r="T201" s="124">
        <f t="shared" si="39"/>
        <v>0</v>
      </c>
      <c r="U201" s="124">
        <f t="shared" si="38"/>
        <v>0</v>
      </c>
      <c r="V201" s="224" t="s">
        <v>1524</v>
      </c>
      <c r="AC201" s="628"/>
      <c r="AD201" s="297"/>
      <c r="AE201" s="628"/>
      <c r="AF201" s="48"/>
    </row>
    <row r="202" spans="1:32" s="236" customFormat="1" ht="15" x14ac:dyDescent="0.25">
      <c r="A202" s="123" t="s">
        <v>124</v>
      </c>
      <c r="B202" s="620"/>
      <c r="C202" s="124">
        <f>HR!Z834</f>
        <v>33387.072898400002</v>
      </c>
      <c r="D202" s="124">
        <f>'Prof Serv'!N1690+'Prof Serv'!N1500</f>
        <v>0</v>
      </c>
      <c r="E202" s="124">
        <f>'Prof Serv'!N1310</f>
        <v>0</v>
      </c>
      <c r="F202" s="124">
        <f>Travel!P518+Travel!P706+Travel!P894+Travel!P1082+Travel!P1270+Travel!P1458+Travel!P1646</f>
        <v>0</v>
      </c>
      <c r="G202" s="124">
        <f>'Other Operating Expenses'!N800</f>
        <v>0</v>
      </c>
      <c r="H202" s="124">
        <f>Supplies!N375</f>
        <v>0</v>
      </c>
      <c r="I202" s="124">
        <f>'Prof Serv'!N746+'Prof Serv'!N934+'Prof Serv'!N1122+'Prof Serv'!N1878+'Prof Serv'!N2066+'Prof Serv'!N2254</f>
        <v>0</v>
      </c>
      <c r="J202" s="124">
        <f>'Prof Serv'!N556</f>
        <v>0</v>
      </c>
      <c r="K202" s="124">
        <v>0</v>
      </c>
      <c r="L202" s="124">
        <v>0</v>
      </c>
      <c r="M202" s="124">
        <f t="shared" si="36"/>
        <v>33387.072898400002</v>
      </c>
      <c r="N202" s="282">
        <f>-'Other Operating Expenses'!N997</f>
        <v>0</v>
      </c>
      <c r="O202" s="282">
        <f>-'Other Operating Expenses'!N1186</f>
        <v>0</v>
      </c>
      <c r="P202" s="282"/>
      <c r="Q202" s="124">
        <f t="shared" si="37"/>
        <v>33387.072898400002</v>
      </c>
      <c r="R202" s="124"/>
      <c r="S202" s="124"/>
      <c r="T202" s="124">
        <f t="shared" si="39"/>
        <v>0</v>
      </c>
      <c r="U202" s="124">
        <f t="shared" si="38"/>
        <v>0</v>
      </c>
      <c r="V202" s="224" t="s">
        <v>1524</v>
      </c>
      <c r="AC202" s="628"/>
      <c r="AD202" s="297"/>
      <c r="AE202" s="628"/>
      <c r="AF202" s="48"/>
    </row>
    <row r="203" spans="1:32" s="236" customFormat="1" ht="15" x14ac:dyDescent="0.25">
      <c r="A203" s="123" t="s">
        <v>103</v>
      </c>
      <c r="B203" s="620"/>
      <c r="C203" s="124">
        <f>HR!Z835</f>
        <v>508779.52048000001</v>
      </c>
      <c r="D203" s="124">
        <f>'Prof Serv'!N1691+'Prof Serv'!N1501</f>
        <v>12600</v>
      </c>
      <c r="E203" s="124">
        <f>'Prof Serv'!N1311</f>
        <v>0</v>
      </c>
      <c r="F203" s="124">
        <f>Travel!P519+Travel!P707+Travel!P895+Travel!P1083+Travel!P1271+Travel!P1459+Travel!P1647</f>
        <v>0</v>
      </c>
      <c r="G203" s="124">
        <f>'Other Operating Expenses'!N801</f>
        <v>128243.81</v>
      </c>
      <c r="H203" s="124">
        <f>Supplies!N376</f>
        <v>0</v>
      </c>
      <c r="I203" s="124">
        <f>'Prof Serv'!N747+'Prof Serv'!N935+'Prof Serv'!N1123+'Prof Serv'!N1879+'Prof Serv'!N2067+'Prof Serv'!N2255</f>
        <v>15000</v>
      </c>
      <c r="J203" s="124">
        <f>'Prof Serv'!N557</f>
        <v>53185</v>
      </c>
      <c r="K203" s="124">
        <v>0</v>
      </c>
      <c r="L203" s="124">
        <v>0</v>
      </c>
      <c r="M203" s="124">
        <f t="shared" si="36"/>
        <v>717808.33048</v>
      </c>
      <c r="N203" s="282">
        <f>-'Other Operating Expenses'!N998</f>
        <v>0</v>
      </c>
      <c r="O203" s="282">
        <f>-'Other Operating Expenses'!N1187</f>
        <v>0</v>
      </c>
      <c r="P203" s="282"/>
      <c r="Q203" s="124">
        <f t="shared" si="37"/>
        <v>717808.33048</v>
      </c>
      <c r="R203" s="124"/>
      <c r="S203" s="124"/>
      <c r="T203" s="124">
        <f t="shared" si="39"/>
        <v>0</v>
      </c>
      <c r="U203" s="124">
        <f t="shared" si="38"/>
        <v>0</v>
      </c>
      <c r="V203" s="224" t="s">
        <v>1524</v>
      </c>
      <c r="AC203" s="628"/>
      <c r="AD203" s="297"/>
      <c r="AE203" s="628"/>
      <c r="AF203" s="48"/>
    </row>
    <row r="204" spans="1:32" s="236" customFormat="1" ht="15" x14ac:dyDescent="0.25">
      <c r="A204" s="123" t="s">
        <v>104</v>
      </c>
      <c r="B204" s="620"/>
      <c r="C204" s="124">
        <f>HR!Z836</f>
        <v>0</v>
      </c>
      <c r="D204" s="124">
        <f>'Prof Serv'!N1692+'Prof Serv'!N1502</f>
        <v>0</v>
      </c>
      <c r="E204" s="124">
        <f>'Prof Serv'!N1312</f>
        <v>0</v>
      </c>
      <c r="F204" s="124">
        <f>Travel!P520+Travel!P708+Travel!P896+Travel!P1084+Travel!P1272+Travel!P1460+Travel!P1648</f>
        <v>0</v>
      </c>
      <c r="G204" s="124">
        <f>'Other Operating Expenses'!N802</f>
        <v>0</v>
      </c>
      <c r="H204" s="124">
        <f>Supplies!N377</f>
        <v>0</v>
      </c>
      <c r="I204" s="124">
        <f>'Prof Serv'!N748+'Prof Serv'!N936+'Prof Serv'!N1124+'Prof Serv'!N1880+'Prof Serv'!N2068+'Prof Serv'!N2256</f>
        <v>0</v>
      </c>
      <c r="J204" s="124">
        <f>'Prof Serv'!N558</f>
        <v>0</v>
      </c>
      <c r="K204" s="124">
        <v>0</v>
      </c>
      <c r="L204" s="124">
        <v>0</v>
      </c>
      <c r="M204" s="124">
        <f t="shared" si="36"/>
        <v>0</v>
      </c>
      <c r="N204" s="282">
        <f>-'Other Operating Expenses'!N999</f>
        <v>0</v>
      </c>
      <c r="O204" s="282">
        <f>-'Other Operating Expenses'!N1188</f>
        <v>0</v>
      </c>
      <c r="P204" s="282"/>
      <c r="Q204" s="124">
        <f t="shared" si="37"/>
        <v>0</v>
      </c>
      <c r="R204" s="124"/>
      <c r="S204" s="124"/>
      <c r="T204" s="124">
        <f t="shared" si="39"/>
        <v>0</v>
      </c>
      <c r="U204" s="124">
        <f t="shared" si="38"/>
        <v>0</v>
      </c>
      <c r="V204" s="224" t="s">
        <v>1524</v>
      </c>
      <c r="AC204" s="628"/>
      <c r="AD204" s="297"/>
      <c r="AE204" s="628"/>
      <c r="AF204" s="48"/>
    </row>
    <row r="205" spans="1:32" s="236" customFormat="1" ht="15" x14ac:dyDescent="0.25">
      <c r="A205" s="123" t="s">
        <v>491</v>
      </c>
      <c r="B205" s="620"/>
      <c r="C205" s="124">
        <f>HR!Z837</f>
        <v>279438.58051200002</v>
      </c>
      <c r="D205" s="124">
        <f>'Prof Serv'!N1693+'Prof Serv'!N1503</f>
        <v>15000</v>
      </c>
      <c r="E205" s="124">
        <f>'Prof Serv'!N1313</f>
        <v>0</v>
      </c>
      <c r="F205" s="124">
        <f>Travel!P521+Travel!P709+Travel!P897+Travel!P1085+Travel!P1273+Travel!P1461+Travel!P1649</f>
        <v>0</v>
      </c>
      <c r="G205" s="124">
        <f>'Other Operating Expenses'!N803</f>
        <v>288</v>
      </c>
      <c r="H205" s="124">
        <f>Supplies!N378</f>
        <v>0</v>
      </c>
      <c r="I205" s="124">
        <f>'Prof Serv'!N749+'Prof Serv'!N937+'Prof Serv'!N1125+'Prof Serv'!N1881+'Prof Serv'!N2069+'Prof Serv'!N2257</f>
        <v>0</v>
      </c>
      <c r="J205" s="124">
        <f>'Prof Serv'!N559</f>
        <v>0</v>
      </c>
      <c r="K205" s="124">
        <v>0</v>
      </c>
      <c r="L205" s="124">
        <v>0</v>
      </c>
      <c r="M205" s="124">
        <f t="shared" si="36"/>
        <v>294726.58051200002</v>
      </c>
      <c r="N205" s="282">
        <f>-'Other Operating Expenses'!N1000</f>
        <v>0</v>
      </c>
      <c r="O205" s="282">
        <f>-'Other Operating Expenses'!N1189</f>
        <v>0</v>
      </c>
      <c r="P205" s="282"/>
      <c r="Q205" s="124">
        <f t="shared" si="37"/>
        <v>294726.58051200002</v>
      </c>
      <c r="R205" s="124"/>
      <c r="S205" s="124"/>
      <c r="T205" s="124">
        <f t="shared" si="39"/>
        <v>29472.66</v>
      </c>
      <c r="U205" s="124">
        <f t="shared" si="38"/>
        <v>324199.24051199999</v>
      </c>
      <c r="V205" s="224">
        <v>180</v>
      </c>
      <c r="AC205" s="628"/>
      <c r="AD205" s="297"/>
      <c r="AE205" s="628"/>
      <c r="AF205" s="48"/>
    </row>
    <row r="206" spans="1:32" s="236" customFormat="1" ht="15" x14ac:dyDescent="0.25">
      <c r="A206" s="123" t="s">
        <v>105</v>
      </c>
      <c r="B206" s="620"/>
      <c r="C206" s="124">
        <f>HR!Z838</f>
        <v>7303.2452480000002</v>
      </c>
      <c r="D206" s="124">
        <f>'Prof Serv'!N1694+'Prof Serv'!N1504</f>
        <v>0</v>
      </c>
      <c r="E206" s="124">
        <f>'Prof Serv'!N1314</f>
        <v>0</v>
      </c>
      <c r="F206" s="124">
        <f>Travel!P522+Travel!P710+Travel!P898+Travel!P1086+Travel!P1274+Travel!P1462+Travel!P1650</f>
        <v>0</v>
      </c>
      <c r="G206" s="124">
        <f>'Other Operating Expenses'!N804</f>
        <v>0</v>
      </c>
      <c r="H206" s="124">
        <f>Supplies!N379</f>
        <v>2750</v>
      </c>
      <c r="I206" s="124">
        <f>'Prof Serv'!N750+'Prof Serv'!N938+'Prof Serv'!N1126+'Prof Serv'!N1882+'Prof Serv'!N2070+'Prof Serv'!N2258</f>
        <v>0</v>
      </c>
      <c r="J206" s="124">
        <f>'Prof Serv'!N560</f>
        <v>0</v>
      </c>
      <c r="K206" s="124">
        <v>0</v>
      </c>
      <c r="L206" s="124">
        <v>0</v>
      </c>
      <c r="M206" s="124">
        <f t="shared" si="36"/>
        <v>10053.245247999999</v>
      </c>
      <c r="N206" s="282">
        <f>-'Other Operating Expenses'!N1001</f>
        <v>0</v>
      </c>
      <c r="O206" s="282">
        <f>-'Other Operating Expenses'!N1190</f>
        <v>0</v>
      </c>
      <c r="P206" s="282"/>
      <c r="Q206" s="124">
        <f t="shared" si="37"/>
        <v>10053.245247999999</v>
      </c>
      <c r="R206" s="124">
        <f>IF(V206&lt;&gt;"n/a",C206*33.33%*47%,0)</f>
        <v>0</v>
      </c>
      <c r="S206" s="124">
        <f>IF(V206&lt;&gt;"n/a",Q206*66.67%*10%,0)</f>
        <v>0</v>
      </c>
      <c r="T206" s="124">
        <f t="shared" si="39"/>
        <v>0</v>
      </c>
      <c r="U206" s="124">
        <f t="shared" si="38"/>
        <v>0</v>
      </c>
      <c r="V206" s="224" t="s">
        <v>1524</v>
      </c>
      <c r="AC206" s="628"/>
      <c r="AD206" s="297"/>
      <c r="AE206" s="628"/>
      <c r="AF206" s="48"/>
    </row>
    <row r="207" spans="1:32" s="236" customFormat="1" ht="15" x14ac:dyDescent="0.25">
      <c r="A207" s="123" t="s">
        <v>129</v>
      </c>
      <c r="B207" s="620"/>
      <c r="C207" s="124">
        <f>HR!Z839</f>
        <v>0</v>
      </c>
      <c r="D207" s="124">
        <f>'Prof Serv'!N1695+'Prof Serv'!N1505</f>
        <v>0</v>
      </c>
      <c r="E207" s="124">
        <f>'Prof Serv'!N1315</f>
        <v>0</v>
      </c>
      <c r="F207" s="124">
        <f>Travel!P523+Travel!P711+Travel!P899+Travel!P1087+Travel!P1275+Travel!P1463+Travel!P1651</f>
        <v>0</v>
      </c>
      <c r="G207" s="124">
        <f>'Other Operating Expenses'!N805</f>
        <v>0</v>
      </c>
      <c r="H207" s="124">
        <f>Supplies!N380</f>
        <v>0</v>
      </c>
      <c r="I207" s="124">
        <f>'Prof Serv'!N751+'Prof Serv'!N939+'Prof Serv'!N1127+'Prof Serv'!N1883+'Prof Serv'!N2071+'Prof Serv'!N2259</f>
        <v>0</v>
      </c>
      <c r="J207" s="124">
        <f>'Prof Serv'!N561</f>
        <v>0</v>
      </c>
      <c r="K207" s="124">
        <v>0</v>
      </c>
      <c r="L207" s="124">
        <v>0</v>
      </c>
      <c r="M207" s="124">
        <f t="shared" si="36"/>
        <v>0</v>
      </c>
      <c r="N207" s="282">
        <f>-'Other Operating Expenses'!N1002</f>
        <v>0</v>
      </c>
      <c r="O207" s="282">
        <f>-'Other Operating Expenses'!N1191</f>
        <v>0</v>
      </c>
      <c r="P207" s="282"/>
      <c r="Q207" s="124">
        <f t="shared" si="37"/>
        <v>0</v>
      </c>
      <c r="R207" s="124">
        <f>IF(V207&lt;&gt;"n/a",C207*33.33%*47%,0)</f>
        <v>0</v>
      </c>
      <c r="S207" s="124">
        <f>IF(V207&lt;&gt;"n/a",Q207*66.67%*10%,0)</f>
        <v>0</v>
      </c>
      <c r="T207" s="124">
        <f t="shared" si="39"/>
        <v>0</v>
      </c>
      <c r="U207" s="124">
        <f t="shared" si="38"/>
        <v>0</v>
      </c>
      <c r="V207" s="224" t="s">
        <v>1524</v>
      </c>
      <c r="AC207" s="628"/>
      <c r="AD207" s="297"/>
      <c r="AE207" s="628"/>
      <c r="AF207" s="48"/>
    </row>
    <row r="208" spans="1:32" s="236" customFormat="1" ht="15" x14ac:dyDescent="0.25">
      <c r="A208" s="123" t="s">
        <v>108</v>
      </c>
      <c r="B208" s="620"/>
      <c r="C208" s="124">
        <f>HR!Z840</f>
        <v>709817.95096451195</v>
      </c>
      <c r="D208" s="124">
        <f>'Prof Serv'!N1696+'Prof Serv'!N1506</f>
        <v>12085</v>
      </c>
      <c r="E208" s="124">
        <f>'Prof Serv'!N1316</f>
        <v>0</v>
      </c>
      <c r="F208" s="124">
        <f>Travel!P524+Travel!P712+Travel!P900+Travel!P1088+Travel!P1276+Travel!P1464+Travel!P1652</f>
        <v>23620</v>
      </c>
      <c r="G208" s="124">
        <f>'Other Operating Expenses'!N806</f>
        <v>57811.96</v>
      </c>
      <c r="H208" s="124">
        <f>Supplies!N381</f>
        <v>870</v>
      </c>
      <c r="I208" s="124">
        <f>'Prof Serv'!N752+'Prof Serv'!N940+'Prof Serv'!N1128+'Prof Serv'!N1884+'Prof Serv'!N2072+'Prof Serv'!N2260</f>
        <v>0</v>
      </c>
      <c r="J208" s="124">
        <f>'Prof Serv'!N562</f>
        <v>0</v>
      </c>
      <c r="K208" s="124">
        <v>0</v>
      </c>
      <c r="L208" s="124">
        <v>0</v>
      </c>
      <c r="M208" s="124">
        <f t="shared" si="36"/>
        <v>804204.91096451192</v>
      </c>
      <c r="N208" s="282">
        <f>-'Other Operating Expenses'!N1003</f>
        <v>0</v>
      </c>
      <c r="O208" s="282">
        <f>-'Other Operating Expenses'!N1192</f>
        <v>0</v>
      </c>
      <c r="P208" s="282"/>
      <c r="Q208" s="124">
        <f t="shared" si="37"/>
        <v>804204.91096451192</v>
      </c>
      <c r="R208" s="124"/>
      <c r="S208" s="124"/>
      <c r="T208" s="124">
        <f t="shared" si="39"/>
        <v>0</v>
      </c>
      <c r="U208" s="124">
        <f t="shared" si="38"/>
        <v>0</v>
      </c>
      <c r="V208" s="12" t="s">
        <v>1524</v>
      </c>
      <c r="AC208" s="628"/>
      <c r="AD208" s="297"/>
      <c r="AE208" s="628"/>
      <c r="AF208" s="48"/>
    </row>
    <row r="209" spans="1:32" s="236" customFormat="1" ht="15" x14ac:dyDescent="0.25">
      <c r="A209" s="123" t="s">
        <v>119</v>
      </c>
      <c r="B209" s="620"/>
      <c r="C209" s="124">
        <f>HR!Z841</f>
        <v>1837.5594692</v>
      </c>
      <c r="D209" s="124">
        <f>'Prof Serv'!N1697+'Prof Serv'!N1507</f>
        <v>0</v>
      </c>
      <c r="E209" s="124">
        <f>'Prof Serv'!N1317</f>
        <v>0</v>
      </c>
      <c r="F209" s="124">
        <f>Travel!P525+Travel!P713+Travel!P901+Travel!P1089+Travel!P1277+Travel!P1465+Travel!P1653</f>
        <v>0</v>
      </c>
      <c r="G209" s="124">
        <f>'Other Operating Expenses'!N807</f>
        <v>0</v>
      </c>
      <c r="H209" s="124">
        <f>Supplies!N382</f>
        <v>0</v>
      </c>
      <c r="I209" s="124">
        <f>'Prof Serv'!N753+'Prof Serv'!N941+'Prof Serv'!N1129+'Prof Serv'!N1885+'Prof Serv'!N2073+'Prof Serv'!N2261</f>
        <v>0</v>
      </c>
      <c r="J209" s="124">
        <f>'Prof Serv'!N563</f>
        <v>0</v>
      </c>
      <c r="K209" s="124">
        <v>0</v>
      </c>
      <c r="L209" s="124">
        <v>0</v>
      </c>
      <c r="M209" s="124">
        <f t="shared" si="36"/>
        <v>1837.5594692</v>
      </c>
      <c r="N209" s="282">
        <f>-'Other Operating Expenses'!N1004</f>
        <v>0</v>
      </c>
      <c r="O209" s="282">
        <f>-'Other Operating Expenses'!N1193</f>
        <v>0</v>
      </c>
      <c r="P209" s="282"/>
      <c r="Q209" s="124">
        <f t="shared" si="37"/>
        <v>1837.5594692</v>
      </c>
      <c r="R209" s="124"/>
      <c r="S209" s="124"/>
      <c r="T209" s="124">
        <f t="shared" si="39"/>
        <v>0</v>
      </c>
      <c r="U209" s="124">
        <f t="shared" si="38"/>
        <v>0</v>
      </c>
      <c r="V209" s="224" t="s">
        <v>1524</v>
      </c>
      <c r="AC209" s="628"/>
      <c r="AD209" s="297"/>
      <c r="AE209" s="628"/>
      <c r="AF209" s="48"/>
    </row>
    <row r="210" spans="1:32" s="236" customFormat="1" ht="15" x14ac:dyDescent="0.25">
      <c r="A210" s="123" t="s">
        <v>954</v>
      </c>
      <c r="B210" s="620"/>
      <c r="C210" s="124">
        <f>HR!Z842</f>
        <v>857193.88691200013</v>
      </c>
      <c r="D210" s="124">
        <f>'Prof Serv'!N1698+'Prof Serv'!N1508</f>
        <v>8956</v>
      </c>
      <c r="E210" s="124">
        <f>'Prof Serv'!N1318</f>
        <v>0</v>
      </c>
      <c r="F210" s="124">
        <f>Travel!P526+Travel!P714+Travel!P902+Travel!P1090+Travel!P1278+Travel!P1466+Travel!P1654</f>
        <v>11645</v>
      </c>
      <c r="G210" s="124">
        <f>'Other Operating Expenses'!N808</f>
        <v>45806.16</v>
      </c>
      <c r="H210" s="124">
        <f>Supplies!N383</f>
        <v>0</v>
      </c>
      <c r="I210" s="124">
        <f>'Prof Serv'!N754+'Prof Serv'!N942+'Prof Serv'!N1130+'Prof Serv'!N1886+'Prof Serv'!N2074+'Prof Serv'!N2262</f>
        <v>1589.37</v>
      </c>
      <c r="J210" s="124">
        <f>'Prof Serv'!N564</f>
        <v>30250</v>
      </c>
      <c r="K210" s="124">
        <v>0</v>
      </c>
      <c r="L210" s="124">
        <v>0</v>
      </c>
      <c r="M210" s="124">
        <f t="shared" si="36"/>
        <v>955440.41691200016</v>
      </c>
      <c r="N210" s="282">
        <f>-'Other Operating Expenses'!N1005</f>
        <v>0</v>
      </c>
      <c r="O210" s="282">
        <f>-'Other Operating Expenses'!N1194</f>
        <v>0</v>
      </c>
      <c r="P210" s="282"/>
      <c r="Q210" s="124">
        <f t="shared" si="37"/>
        <v>955440.41691200016</v>
      </c>
      <c r="R210" s="124"/>
      <c r="S210" s="124"/>
      <c r="T210" s="124">
        <f t="shared" si="39"/>
        <v>95544.04</v>
      </c>
      <c r="U210" s="124">
        <f t="shared" si="38"/>
        <v>1050984.4569120002</v>
      </c>
      <c r="V210" s="224">
        <v>178</v>
      </c>
      <c r="AC210" s="628"/>
      <c r="AD210" s="297"/>
      <c r="AE210" s="628"/>
      <c r="AF210" s="48"/>
    </row>
    <row r="211" spans="1:32" s="236" customFormat="1" ht="15" x14ac:dyDescent="0.25">
      <c r="A211" s="123" t="s">
        <v>1031</v>
      </c>
      <c r="B211" s="620"/>
      <c r="C211" s="124">
        <f>HR!Z843</f>
        <v>0</v>
      </c>
      <c r="D211" s="124">
        <f>'Prof Serv'!N1699+'Prof Serv'!N1509</f>
        <v>0</v>
      </c>
      <c r="E211" s="124">
        <f>'Prof Serv'!N1319</f>
        <v>0</v>
      </c>
      <c r="F211" s="124">
        <f>Travel!P527+Travel!P715+Travel!P903+Travel!P1091+Travel!P1279+Travel!P1467+Travel!P1655</f>
        <v>0</v>
      </c>
      <c r="G211" s="124">
        <f>'Other Operating Expenses'!N809</f>
        <v>0</v>
      </c>
      <c r="H211" s="124">
        <f>Supplies!N384</f>
        <v>0</v>
      </c>
      <c r="I211" s="124">
        <f>'Prof Serv'!N755+'Prof Serv'!N943+'Prof Serv'!N1131+'Prof Serv'!N1887+'Prof Serv'!N2075+'Prof Serv'!N2263</f>
        <v>0</v>
      </c>
      <c r="J211" s="124">
        <f>'Prof Serv'!N565</f>
        <v>0</v>
      </c>
      <c r="K211" s="124">
        <v>0</v>
      </c>
      <c r="L211" s="124">
        <v>0</v>
      </c>
      <c r="M211" s="124">
        <f t="shared" si="36"/>
        <v>0</v>
      </c>
      <c r="N211" s="282">
        <f>-'Other Operating Expenses'!N1006</f>
        <v>0</v>
      </c>
      <c r="O211" s="282">
        <f>-'Other Operating Expenses'!N1195</f>
        <v>0</v>
      </c>
      <c r="P211" s="282"/>
      <c r="Q211" s="124">
        <f t="shared" si="37"/>
        <v>0</v>
      </c>
      <c r="R211" s="124"/>
      <c r="S211" s="124"/>
      <c r="T211" s="124">
        <f t="shared" si="39"/>
        <v>0</v>
      </c>
      <c r="U211" s="124">
        <f t="shared" si="38"/>
        <v>0</v>
      </c>
      <c r="V211" s="224" t="s">
        <v>1524</v>
      </c>
      <c r="AC211" s="628"/>
      <c r="AD211" s="297"/>
      <c r="AE211" s="628"/>
      <c r="AF211" s="48"/>
    </row>
    <row r="212" spans="1:32" s="236" customFormat="1" ht="15" x14ac:dyDescent="0.25">
      <c r="A212" s="123" t="s">
        <v>1009</v>
      </c>
      <c r="B212" s="620"/>
      <c r="C212" s="124">
        <f>HR!Z844</f>
        <v>0</v>
      </c>
      <c r="D212" s="124">
        <f>'Prof Serv'!N1700+'Prof Serv'!N1510</f>
        <v>0</v>
      </c>
      <c r="E212" s="124">
        <f>'Prof Serv'!N1320</f>
        <v>0</v>
      </c>
      <c r="F212" s="124">
        <f>Travel!P528+Travel!P716+Travel!P904+Travel!P1092+Travel!P1280+Travel!P1468+Travel!P1656</f>
        <v>0</v>
      </c>
      <c r="G212" s="124">
        <f>'Other Operating Expenses'!N810</f>
        <v>0</v>
      </c>
      <c r="H212" s="124">
        <f>Supplies!N385</f>
        <v>0</v>
      </c>
      <c r="I212" s="124">
        <f>'Prof Serv'!N756+'Prof Serv'!N944+'Prof Serv'!N1132+'Prof Serv'!N1888+'Prof Serv'!N2076+'Prof Serv'!N2264</f>
        <v>0</v>
      </c>
      <c r="J212" s="124">
        <f>'Prof Serv'!N566</f>
        <v>0</v>
      </c>
      <c r="K212" s="124">
        <v>0</v>
      </c>
      <c r="L212" s="124">
        <v>0</v>
      </c>
      <c r="M212" s="124">
        <f t="shared" si="36"/>
        <v>0</v>
      </c>
      <c r="N212" s="282">
        <f>-'Other Operating Expenses'!N1007</f>
        <v>0</v>
      </c>
      <c r="O212" s="282">
        <f>-'Other Operating Expenses'!N1196</f>
        <v>0</v>
      </c>
      <c r="P212" s="282"/>
      <c r="Q212" s="124">
        <f t="shared" si="37"/>
        <v>0</v>
      </c>
      <c r="R212" s="124"/>
      <c r="S212" s="124"/>
      <c r="T212" s="124">
        <f t="shared" si="39"/>
        <v>0</v>
      </c>
      <c r="U212" s="124">
        <f t="shared" si="38"/>
        <v>0</v>
      </c>
      <c r="V212" s="224" t="s">
        <v>1524</v>
      </c>
      <c r="AC212" s="628"/>
      <c r="AD212" s="297"/>
      <c r="AE212" s="628"/>
      <c r="AF212" s="48"/>
    </row>
    <row r="213" spans="1:32" s="236" customFormat="1" ht="15" x14ac:dyDescent="0.25">
      <c r="A213" s="123" t="s">
        <v>107</v>
      </c>
      <c r="B213" s="620"/>
      <c r="C213" s="124">
        <f>HR!Z845</f>
        <v>5247.7201920000007</v>
      </c>
      <c r="D213" s="124">
        <f>'Prof Serv'!N1701+'Prof Serv'!N1511</f>
        <v>1000</v>
      </c>
      <c r="E213" s="124">
        <f>'Prof Serv'!N1321</f>
        <v>0</v>
      </c>
      <c r="F213" s="124">
        <f>Travel!P529+Travel!P717+Travel!P905+Travel!P1093+Travel!P1281+Travel!P1469+Travel!P1657</f>
        <v>0</v>
      </c>
      <c r="G213" s="124">
        <f>'Other Operating Expenses'!N811</f>
        <v>0</v>
      </c>
      <c r="H213" s="124">
        <f>Supplies!N386</f>
        <v>0</v>
      </c>
      <c r="I213" s="124">
        <f>'Prof Serv'!N757+'Prof Serv'!N945+'Prof Serv'!N1133+'Prof Serv'!N1889+'Prof Serv'!N2077+'Prof Serv'!N2265</f>
        <v>0</v>
      </c>
      <c r="J213" s="124">
        <f>'Prof Serv'!N567</f>
        <v>0</v>
      </c>
      <c r="K213" s="124">
        <v>0</v>
      </c>
      <c r="L213" s="124">
        <v>0</v>
      </c>
      <c r="M213" s="124">
        <f t="shared" si="36"/>
        <v>6247.7201920000007</v>
      </c>
      <c r="N213" s="282">
        <f>-'Other Operating Expenses'!N1008</f>
        <v>0</v>
      </c>
      <c r="O213" s="282">
        <f>-'Other Operating Expenses'!N1197</f>
        <v>0</v>
      </c>
      <c r="P213" s="282"/>
      <c r="Q213" s="124">
        <f t="shared" si="37"/>
        <v>6247.7201920000007</v>
      </c>
      <c r="R213" s="124"/>
      <c r="S213" s="124"/>
      <c r="T213" s="124">
        <f t="shared" si="39"/>
        <v>0</v>
      </c>
      <c r="U213" s="124">
        <f t="shared" si="38"/>
        <v>0</v>
      </c>
      <c r="V213" s="224" t="s">
        <v>1524</v>
      </c>
      <c r="AC213" s="628"/>
      <c r="AD213" s="297"/>
      <c r="AE213" s="628"/>
      <c r="AF213" s="48"/>
    </row>
    <row r="214" spans="1:32" s="236" customFormat="1" ht="15" x14ac:dyDescent="0.25">
      <c r="A214" s="123" t="s">
        <v>955</v>
      </c>
      <c r="B214" s="620"/>
      <c r="C214" s="124">
        <f>HR!Z846</f>
        <v>0</v>
      </c>
      <c r="D214" s="124">
        <f>'Prof Serv'!N1704+'Prof Serv'!N1514</f>
        <v>0</v>
      </c>
      <c r="E214" s="124">
        <f>'Prof Serv'!N1324</f>
        <v>0</v>
      </c>
      <c r="F214" s="124">
        <f>Travel!P532+Travel!P720+Travel!P908+Travel!P1096+Travel!P1284+Travel!P1472+Travel!P1660</f>
        <v>0</v>
      </c>
      <c r="G214" s="124">
        <f>'Other Operating Expenses'!N812</f>
        <v>0</v>
      </c>
      <c r="H214" s="124">
        <f>Supplies!N387</f>
        <v>0</v>
      </c>
      <c r="I214" s="124">
        <f>'Prof Serv'!N760+'Prof Serv'!N948+'Prof Serv'!N1136+'Prof Serv'!N1892+'Prof Serv'!N2080+'Prof Serv'!N2268</f>
        <v>0</v>
      </c>
      <c r="J214" s="124">
        <f>'Prof Serv'!N570</f>
        <v>0</v>
      </c>
      <c r="K214" s="124">
        <v>0</v>
      </c>
      <c r="L214" s="124">
        <v>0</v>
      </c>
      <c r="M214" s="124">
        <f t="shared" si="36"/>
        <v>0</v>
      </c>
      <c r="N214" s="282">
        <f>-'Other Operating Expenses'!N1011</f>
        <v>0</v>
      </c>
      <c r="O214" s="282">
        <f>-'Other Operating Expenses'!N1200</f>
        <v>0</v>
      </c>
      <c r="P214" s="282"/>
      <c r="Q214" s="124">
        <f t="shared" si="37"/>
        <v>0</v>
      </c>
      <c r="R214" s="124"/>
      <c r="S214" s="124"/>
      <c r="T214" s="124">
        <f t="shared" si="39"/>
        <v>0</v>
      </c>
      <c r="U214" s="124">
        <f t="shared" si="38"/>
        <v>0</v>
      </c>
      <c r="V214" s="224">
        <v>178</v>
      </c>
      <c r="AC214" s="628"/>
      <c r="AD214" s="297"/>
      <c r="AE214" s="628"/>
      <c r="AF214" s="48"/>
    </row>
    <row r="215" spans="1:32" s="236" customFormat="1" ht="15" x14ac:dyDescent="0.25">
      <c r="A215" s="123" t="s">
        <v>958</v>
      </c>
      <c r="B215" s="620"/>
      <c r="C215" s="124">
        <f>HR!Z847</f>
        <v>82339.349055999992</v>
      </c>
      <c r="D215" s="124">
        <f>'Prof Serv'!N1705+'Prof Serv'!N1515</f>
        <v>2050</v>
      </c>
      <c r="E215" s="124">
        <f>'Prof Serv'!N1325</f>
        <v>0</v>
      </c>
      <c r="F215" s="124">
        <f>Travel!P533+Travel!P721+Travel!P909+Travel!P1097+Travel!P1285+Travel!P1473+Travel!P1661</f>
        <v>0</v>
      </c>
      <c r="G215" s="124">
        <f>'Other Operating Expenses'!N813</f>
        <v>7245.28</v>
      </c>
      <c r="H215" s="124">
        <f>Supplies!N388</f>
        <v>0</v>
      </c>
      <c r="I215" s="124">
        <f>'Prof Serv'!N761+'Prof Serv'!N949+'Prof Serv'!N1137+'Prof Serv'!N1893+'Prof Serv'!N2081+'Prof Serv'!N2269</f>
        <v>186.99</v>
      </c>
      <c r="J215" s="124">
        <f>'Prof Serv'!N571</f>
        <v>1500</v>
      </c>
      <c r="K215" s="124">
        <v>0</v>
      </c>
      <c r="L215" s="124">
        <v>0</v>
      </c>
      <c r="M215" s="124">
        <f t="shared" si="36"/>
        <v>93321.619055999996</v>
      </c>
      <c r="N215" s="282">
        <f>-'Other Operating Expenses'!N1012</f>
        <v>0</v>
      </c>
      <c r="O215" s="282">
        <f>-'Other Operating Expenses'!N1201</f>
        <v>0</v>
      </c>
      <c r="P215" s="282"/>
      <c r="Q215" s="124">
        <f t="shared" si="37"/>
        <v>93321.619055999996</v>
      </c>
      <c r="R215" s="124"/>
      <c r="S215" s="124"/>
      <c r="T215" s="124">
        <f t="shared" si="39"/>
        <v>9332.16</v>
      </c>
      <c r="U215" s="124">
        <f t="shared" si="38"/>
        <v>102653.779056</v>
      </c>
      <c r="V215" s="224">
        <v>178</v>
      </c>
      <c r="AC215" s="628"/>
      <c r="AD215" s="297"/>
      <c r="AE215" s="628"/>
      <c r="AF215" s="48"/>
    </row>
    <row r="216" spans="1:32" s="236" customFormat="1" ht="15" x14ac:dyDescent="0.25">
      <c r="A216" s="123" t="s">
        <v>1032</v>
      </c>
      <c r="B216" s="620"/>
      <c r="C216" s="124">
        <f>HR!Z848</f>
        <v>0</v>
      </c>
      <c r="D216" s="124">
        <f>'Prof Serv'!N1706+'Prof Serv'!N1516</f>
        <v>0</v>
      </c>
      <c r="E216" s="124">
        <f>'Prof Serv'!N1326</f>
        <v>0</v>
      </c>
      <c r="F216" s="124">
        <f>Travel!P534+Travel!P722+Travel!P910+Travel!P1098+Travel!P1286+Travel!P1474+Travel!P1662</f>
        <v>0</v>
      </c>
      <c r="G216" s="124">
        <f>'Other Operating Expenses'!N814</f>
        <v>0</v>
      </c>
      <c r="H216" s="124">
        <f>Supplies!N389</f>
        <v>0</v>
      </c>
      <c r="I216" s="124">
        <f>'Prof Serv'!N762+'Prof Serv'!N950+'Prof Serv'!N1138+'Prof Serv'!N1894+'Prof Serv'!N2082+'Prof Serv'!N2270</f>
        <v>0</v>
      </c>
      <c r="J216" s="124">
        <f>'Prof Serv'!N572</f>
        <v>0</v>
      </c>
      <c r="K216" s="124">
        <v>0</v>
      </c>
      <c r="L216" s="124">
        <v>0</v>
      </c>
      <c r="M216" s="124">
        <f t="shared" si="36"/>
        <v>0</v>
      </c>
      <c r="N216" s="282">
        <f>-'Other Operating Expenses'!N1013</f>
        <v>0</v>
      </c>
      <c r="O216" s="282">
        <f>-'Other Operating Expenses'!N1202</f>
        <v>0</v>
      </c>
      <c r="P216" s="282"/>
      <c r="Q216" s="124">
        <f t="shared" si="37"/>
        <v>0</v>
      </c>
      <c r="R216" s="124"/>
      <c r="S216" s="124"/>
      <c r="T216" s="124">
        <f t="shared" si="39"/>
        <v>0</v>
      </c>
      <c r="U216" s="124">
        <f t="shared" si="38"/>
        <v>0</v>
      </c>
      <c r="V216" s="224" t="s">
        <v>1524</v>
      </c>
      <c r="AC216" s="628"/>
      <c r="AD216" s="297"/>
      <c r="AE216" s="628"/>
      <c r="AF216" s="48"/>
    </row>
    <row r="217" spans="1:32" s="236" customFormat="1" ht="15" x14ac:dyDescent="0.25">
      <c r="A217" s="123" t="s">
        <v>109</v>
      </c>
      <c r="B217" s="620"/>
      <c r="C217" s="124">
        <f>HR!Z849</f>
        <v>20604.643634432003</v>
      </c>
      <c r="D217" s="124">
        <f>'Prof Serv'!N1707+'Prof Serv'!N1517</f>
        <v>56</v>
      </c>
      <c r="E217" s="124">
        <f>'Prof Serv'!N1327</f>
        <v>0</v>
      </c>
      <c r="F217" s="124">
        <f>Travel!P535+Travel!P723+Travel!P911+Travel!P1099+Travel!P1287+Travel!P1475+Travel!P1663</f>
        <v>0</v>
      </c>
      <c r="G217" s="124">
        <f>'Other Operating Expenses'!N815</f>
        <v>947</v>
      </c>
      <c r="H217" s="124">
        <f>Supplies!N390</f>
        <v>1170</v>
      </c>
      <c r="I217" s="124">
        <f>'Prof Serv'!N763+'Prof Serv'!N951+'Prof Serv'!N1139+'Prof Serv'!N1895+'Prof Serv'!N2083+'Prof Serv'!N2271</f>
        <v>0</v>
      </c>
      <c r="J217" s="124">
        <f>'Prof Serv'!N573</f>
        <v>0</v>
      </c>
      <c r="K217" s="124">
        <v>0</v>
      </c>
      <c r="L217" s="124">
        <v>0</v>
      </c>
      <c r="M217" s="124">
        <f t="shared" si="36"/>
        <v>22777.643634432003</v>
      </c>
      <c r="N217" s="282">
        <f>-'Other Operating Expenses'!N1014</f>
        <v>0</v>
      </c>
      <c r="O217" s="282">
        <f>-'Other Operating Expenses'!N1203</f>
        <v>0</v>
      </c>
      <c r="P217" s="282"/>
      <c r="Q217" s="124">
        <f t="shared" si="37"/>
        <v>22777.643634432003</v>
      </c>
      <c r="R217" s="124"/>
      <c r="S217" s="124"/>
      <c r="T217" s="124">
        <f t="shared" si="39"/>
        <v>2277.7600000000002</v>
      </c>
      <c r="U217" s="124">
        <f t="shared" si="38"/>
        <v>25055.403634432005</v>
      </c>
      <c r="V217" s="224">
        <v>150</v>
      </c>
      <c r="AC217" s="628"/>
      <c r="AD217" s="297"/>
      <c r="AE217" s="628"/>
      <c r="AF217" s="48"/>
    </row>
    <row r="218" spans="1:32" ht="15" x14ac:dyDescent="0.25">
      <c r="A218" s="123" t="s">
        <v>966</v>
      </c>
      <c r="B218" s="620"/>
      <c r="C218" s="124">
        <f>HR!Z850</f>
        <v>0</v>
      </c>
      <c r="D218" s="124">
        <f>'Prof Serv'!N1708+'Prof Serv'!N1518</f>
        <v>0</v>
      </c>
      <c r="E218" s="124">
        <f>'Prof Serv'!N1328</f>
        <v>0</v>
      </c>
      <c r="F218" s="124">
        <f>Travel!P536+Travel!P724+Travel!P912+Travel!P1100+Travel!P1288+Travel!P1476+Travel!P1664</f>
        <v>0</v>
      </c>
      <c r="G218" s="124">
        <f>'Other Operating Expenses'!N816</f>
        <v>0</v>
      </c>
      <c r="H218" s="124">
        <f>Supplies!N391</f>
        <v>0</v>
      </c>
      <c r="I218" s="124">
        <f>'Prof Serv'!N764+'Prof Serv'!N952+'Prof Serv'!N1140+'Prof Serv'!N1896+'Prof Serv'!N2084+'Prof Serv'!N2272</f>
        <v>0</v>
      </c>
      <c r="J218" s="124">
        <f>'Prof Serv'!N574</f>
        <v>0</v>
      </c>
      <c r="K218" s="124">
        <v>0</v>
      </c>
      <c r="L218" s="124">
        <v>0</v>
      </c>
      <c r="M218" s="124">
        <f t="shared" si="36"/>
        <v>0</v>
      </c>
      <c r="N218" s="282">
        <f>-'Other Operating Expenses'!N1015</f>
        <v>0</v>
      </c>
      <c r="O218" s="282">
        <f>-'Other Operating Expenses'!N1204</f>
        <v>0</v>
      </c>
      <c r="P218" s="282"/>
      <c r="Q218" s="124">
        <f t="shared" si="37"/>
        <v>0</v>
      </c>
      <c r="R218" s="124"/>
      <c r="S218" s="124"/>
      <c r="T218" s="124">
        <f t="shared" si="39"/>
        <v>0</v>
      </c>
      <c r="U218" s="124">
        <f t="shared" si="38"/>
        <v>0</v>
      </c>
      <c r="V218" s="224" t="s">
        <v>1524</v>
      </c>
      <c r="AC218" s="628"/>
      <c r="AD218" s="297"/>
      <c r="AE218" s="628"/>
      <c r="AF218" s="48"/>
    </row>
    <row r="219" spans="1:32" ht="15" x14ac:dyDescent="0.25">
      <c r="A219" s="123" t="s">
        <v>981</v>
      </c>
      <c r="B219" s="620"/>
      <c r="C219" s="124">
        <f>HR!Z851</f>
        <v>0</v>
      </c>
      <c r="D219" s="124">
        <f>'Prof Serv'!N1709+'Prof Serv'!N1519</f>
        <v>0</v>
      </c>
      <c r="E219" s="124">
        <f>'Prof Serv'!N1329</f>
        <v>0</v>
      </c>
      <c r="F219" s="124">
        <f>Travel!P537+Travel!P725+Travel!P913+Travel!P1101+Travel!P1289+Travel!P1477+Travel!P1665</f>
        <v>0</v>
      </c>
      <c r="G219" s="124">
        <f>'Other Operating Expenses'!N817</f>
        <v>0</v>
      </c>
      <c r="H219" s="124">
        <f>Supplies!N392</f>
        <v>0</v>
      </c>
      <c r="I219" s="124">
        <f>'Prof Serv'!N765+'Prof Serv'!N953+'Prof Serv'!N1141+'Prof Serv'!N1897+'Prof Serv'!N2085+'Prof Serv'!N2273</f>
        <v>0</v>
      </c>
      <c r="J219" s="124">
        <f>'Prof Serv'!N575</f>
        <v>0</v>
      </c>
      <c r="K219" s="124">
        <v>0</v>
      </c>
      <c r="L219" s="124">
        <v>0</v>
      </c>
      <c r="M219" s="124">
        <f t="shared" si="36"/>
        <v>0</v>
      </c>
      <c r="N219" s="282">
        <f>-'Other Operating Expenses'!N1016</f>
        <v>0</v>
      </c>
      <c r="O219" s="282">
        <f>-'Other Operating Expenses'!N1205</f>
        <v>0</v>
      </c>
      <c r="P219" s="282"/>
      <c r="Q219" s="124">
        <f t="shared" si="37"/>
        <v>0</v>
      </c>
      <c r="R219" s="124"/>
      <c r="S219" s="124"/>
      <c r="T219" s="124">
        <f t="shared" si="39"/>
        <v>0</v>
      </c>
      <c r="U219" s="124">
        <f t="shared" si="38"/>
        <v>0</v>
      </c>
      <c r="V219" s="224" t="s">
        <v>1524</v>
      </c>
      <c r="AC219" s="628"/>
      <c r="AD219" s="297"/>
      <c r="AE219" s="628"/>
      <c r="AF219" s="48"/>
    </row>
    <row r="220" spans="1:32" ht="15" x14ac:dyDescent="0.25">
      <c r="A220" s="135" t="s">
        <v>963</v>
      </c>
      <c r="B220" s="620"/>
      <c r="C220" s="124">
        <f>HR!Z852</f>
        <v>0</v>
      </c>
      <c r="D220" s="124">
        <f>'Prof Serv'!N1710+'Prof Serv'!N1520</f>
        <v>0</v>
      </c>
      <c r="E220" s="124">
        <f>'Prof Serv'!N1330</f>
        <v>0</v>
      </c>
      <c r="F220" s="124">
        <f>Travel!P538+Travel!P726+Travel!P914+Travel!P1102+Travel!P1290+Travel!P1478+Travel!P1666</f>
        <v>0</v>
      </c>
      <c r="G220" s="124">
        <f>'Other Operating Expenses'!N818</f>
        <v>0</v>
      </c>
      <c r="H220" s="124">
        <f>Supplies!N393</f>
        <v>0</v>
      </c>
      <c r="I220" s="124">
        <f>'Prof Serv'!N766+'Prof Serv'!N954+'Prof Serv'!N1142+'Prof Serv'!N1898+'Prof Serv'!N2086+'Prof Serv'!N2274</f>
        <v>0</v>
      </c>
      <c r="J220" s="124">
        <f>'Prof Serv'!N576</f>
        <v>0</v>
      </c>
      <c r="K220" s="124">
        <v>0</v>
      </c>
      <c r="L220" s="124">
        <v>0</v>
      </c>
      <c r="M220" s="124">
        <f t="shared" si="36"/>
        <v>0</v>
      </c>
      <c r="N220" s="282">
        <f>-'Other Operating Expenses'!N1017</f>
        <v>0</v>
      </c>
      <c r="O220" s="282">
        <f>-'Other Operating Expenses'!N1206</f>
        <v>0</v>
      </c>
      <c r="P220" s="282"/>
      <c r="Q220" s="124">
        <f t="shared" si="37"/>
        <v>0</v>
      </c>
      <c r="R220" s="124"/>
      <c r="S220" s="124"/>
      <c r="T220" s="124">
        <f t="shared" si="39"/>
        <v>0</v>
      </c>
      <c r="U220" s="124">
        <f t="shared" si="38"/>
        <v>0</v>
      </c>
      <c r="V220" s="224" t="s">
        <v>1524</v>
      </c>
      <c r="AC220" s="628"/>
      <c r="AD220" s="297"/>
      <c r="AE220" s="628"/>
      <c r="AF220" s="48"/>
    </row>
    <row r="221" spans="1:32" ht="15" x14ac:dyDescent="0.25">
      <c r="A221" s="123" t="s">
        <v>120</v>
      </c>
      <c r="B221" s="620"/>
      <c r="C221" s="124">
        <f>HR!Z853</f>
        <v>79028.095234000008</v>
      </c>
      <c r="D221" s="124">
        <f>'Prof Serv'!N1711+'Prof Serv'!N1521</f>
        <v>0</v>
      </c>
      <c r="E221" s="124">
        <f>'Prof Serv'!N1331</f>
        <v>0</v>
      </c>
      <c r="F221" s="124">
        <f>Travel!P539+Travel!P727+Travel!P915+Travel!P1103+Travel!P1291+Travel!P1479+Travel!P1667</f>
        <v>4000</v>
      </c>
      <c r="G221" s="124">
        <f>'Other Operating Expenses'!N819</f>
        <v>613</v>
      </c>
      <c r="H221" s="124">
        <f>Supplies!N394</f>
        <v>167</v>
      </c>
      <c r="I221" s="124">
        <f>'Prof Serv'!N767+'Prof Serv'!N955+'Prof Serv'!N1143+'Prof Serv'!N1899+'Prof Serv'!N2087+'Prof Serv'!N2275</f>
        <v>0</v>
      </c>
      <c r="J221" s="124">
        <f>'Prof Serv'!N577</f>
        <v>0</v>
      </c>
      <c r="K221" s="124">
        <v>0</v>
      </c>
      <c r="L221" s="124">
        <v>0</v>
      </c>
      <c r="M221" s="124">
        <f t="shared" si="36"/>
        <v>83808.095234000008</v>
      </c>
      <c r="N221" s="282">
        <f>-'Other Operating Expenses'!N1018</f>
        <v>0</v>
      </c>
      <c r="O221" s="282">
        <f>-'Other Operating Expenses'!N1207</f>
        <v>0</v>
      </c>
      <c r="P221" s="282"/>
      <c r="Q221" s="124">
        <f t="shared" si="37"/>
        <v>83808.095234000008</v>
      </c>
      <c r="R221" s="124"/>
      <c r="S221" s="124"/>
      <c r="T221" s="124"/>
      <c r="U221" s="124">
        <f t="shared" si="38"/>
        <v>83808.095234000008</v>
      </c>
      <c r="V221" s="224">
        <v>172</v>
      </c>
      <c r="AC221" s="628"/>
      <c r="AD221" s="297"/>
      <c r="AE221" s="628"/>
      <c r="AF221" s="48"/>
    </row>
    <row r="222" spans="1:32" s="236" customFormat="1" ht="15" x14ac:dyDescent="0.25">
      <c r="A222" s="123" t="s">
        <v>989</v>
      </c>
      <c r="B222" s="620"/>
      <c r="C222" s="124">
        <f>HR!Z854</f>
        <v>0</v>
      </c>
      <c r="D222" s="124">
        <f>'Prof Serv'!N1712+'Prof Serv'!N1522</f>
        <v>0</v>
      </c>
      <c r="E222" s="124">
        <f>'Prof Serv'!N1332</f>
        <v>0</v>
      </c>
      <c r="F222" s="124">
        <f>Travel!P540+Travel!P728+Travel!P916+Travel!P1104+Travel!P1292+Travel!P1480+Travel!P1668</f>
        <v>0</v>
      </c>
      <c r="G222" s="124">
        <f>'Other Operating Expenses'!N820</f>
        <v>0</v>
      </c>
      <c r="H222" s="124">
        <f>Supplies!N395</f>
        <v>0</v>
      </c>
      <c r="I222" s="124"/>
      <c r="J222" s="124">
        <f>'Prof Serv'!N578</f>
        <v>0</v>
      </c>
      <c r="K222" s="124">
        <v>0</v>
      </c>
      <c r="L222" s="124">
        <v>0</v>
      </c>
      <c r="M222" s="124">
        <f t="shared" si="36"/>
        <v>0</v>
      </c>
      <c r="N222" s="282">
        <f>-'Other Operating Expenses'!N1019</f>
        <v>0</v>
      </c>
      <c r="O222" s="282">
        <f>-'Other Operating Expenses'!N1208</f>
        <v>0</v>
      </c>
      <c r="P222" s="282"/>
      <c r="Q222" s="124">
        <f t="shared" si="37"/>
        <v>0</v>
      </c>
      <c r="R222" s="124"/>
      <c r="S222" s="124"/>
      <c r="T222" s="124">
        <f t="shared" si="39"/>
        <v>0</v>
      </c>
      <c r="U222" s="124">
        <f t="shared" si="38"/>
        <v>0</v>
      </c>
      <c r="V222" s="224" t="s">
        <v>1524</v>
      </c>
      <c r="AC222" s="628"/>
      <c r="AD222" s="297"/>
      <c r="AE222" s="628"/>
      <c r="AF222" s="48"/>
    </row>
    <row r="223" spans="1:32" ht="15.75" thickBot="1" x14ac:dyDescent="0.3">
      <c r="A223" s="121" t="s">
        <v>17</v>
      </c>
      <c r="B223" s="621"/>
      <c r="C223" s="125">
        <f t="shared" ref="C223:T223" si="40">SUM(C34:C222)</f>
        <v>13723801.184067199</v>
      </c>
      <c r="D223" s="125">
        <f t="shared" si="40"/>
        <v>2167916.15</v>
      </c>
      <c r="E223" s="125">
        <f t="shared" si="40"/>
        <v>51500</v>
      </c>
      <c r="F223" s="125">
        <f t="shared" si="40"/>
        <v>409396</v>
      </c>
      <c r="G223" s="125">
        <f t="shared" si="40"/>
        <v>1253852.8900000001</v>
      </c>
      <c r="H223" s="125">
        <f t="shared" si="40"/>
        <v>122340</v>
      </c>
      <c r="I223" s="125">
        <f t="shared" si="40"/>
        <v>41100.850000000006</v>
      </c>
      <c r="J223" s="125">
        <f t="shared" si="40"/>
        <v>270240</v>
      </c>
      <c r="K223" s="125">
        <f t="shared" si="40"/>
        <v>577306.77</v>
      </c>
      <c r="L223" s="125">
        <f t="shared" si="40"/>
        <v>0</v>
      </c>
      <c r="M223" s="125">
        <f t="shared" si="40"/>
        <v>18617453.844067194</v>
      </c>
      <c r="N223" s="300">
        <f t="shared" si="40"/>
        <v>-3000</v>
      </c>
      <c r="O223" s="300">
        <f t="shared" si="40"/>
        <v>-38500</v>
      </c>
      <c r="P223" s="125">
        <f t="shared" si="40"/>
        <v>0</v>
      </c>
      <c r="Q223" s="125">
        <f t="shared" si="40"/>
        <v>18575953.844067194</v>
      </c>
      <c r="R223" s="125">
        <f>SUM(R34:R222)</f>
        <v>260865.66927323511</v>
      </c>
      <c r="S223" s="125">
        <f>SUM(S34:S222)</f>
        <v>172884.73535737768</v>
      </c>
      <c r="T223" s="300">
        <f t="shared" si="40"/>
        <v>408410.64999999991</v>
      </c>
      <c r="U223" s="300">
        <f>SUM(U34:U222)</f>
        <v>7856748.9565806463</v>
      </c>
      <c r="AC223" s="628"/>
      <c r="AD223" s="297"/>
      <c r="AE223" s="628"/>
      <c r="AF223" s="628"/>
    </row>
    <row r="224" spans="1:32" ht="15.75" thickTop="1" x14ac:dyDescent="0.25">
      <c r="A224" s="106"/>
      <c r="B224" s="106"/>
      <c r="C224" s="106"/>
      <c r="D224" s="106"/>
      <c r="E224" s="106"/>
      <c r="F224" s="106"/>
      <c r="G224" s="106"/>
      <c r="H224" s="106"/>
      <c r="I224" s="106"/>
      <c r="J224" s="106"/>
      <c r="K224" s="106"/>
      <c r="L224" s="106"/>
      <c r="M224" s="106"/>
      <c r="N224" s="106"/>
      <c r="O224" s="106"/>
      <c r="P224" s="106"/>
      <c r="R224" s="106"/>
      <c r="S224" s="236"/>
      <c r="AC224" s="15"/>
      <c r="AD224" s="15"/>
      <c r="AE224" s="15"/>
      <c r="AF224" s="15"/>
    </row>
    <row r="225" spans="1:21" ht="15.75" thickBot="1" x14ac:dyDescent="0.3">
      <c r="A225" s="111"/>
      <c r="B225" s="108"/>
      <c r="C225" s="108"/>
      <c r="D225" s="108"/>
      <c r="E225" s="108"/>
      <c r="F225" s="108"/>
      <c r="G225" s="108"/>
      <c r="H225" s="108"/>
      <c r="I225" s="108"/>
      <c r="J225" s="108"/>
      <c r="K225" s="108"/>
      <c r="L225" s="108"/>
      <c r="M225" s="108"/>
      <c r="N225" s="108"/>
      <c r="O225" s="108"/>
      <c r="P225" s="108"/>
      <c r="R225" s="108"/>
      <c r="S225" s="236"/>
      <c r="U225" s="224"/>
    </row>
    <row r="226" spans="1:21" ht="15.75" thickBot="1" x14ac:dyDescent="0.3">
      <c r="A226" s="227" t="s">
        <v>351</v>
      </c>
      <c r="B226" s="272">
        <f>SUM(C226:K226)</f>
        <v>0</v>
      </c>
      <c r="C226" s="272">
        <f>D26-C223</f>
        <v>0</v>
      </c>
      <c r="D226" s="272">
        <f>E26+'Prof Serv'!N285-I223-D223</f>
        <v>0</v>
      </c>
      <c r="E226" s="272">
        <f>F26-E223</f>
        <v>0</v>
      </c>
      <c r="F226" s="272">
        <f>G26-F223</f>
        <v>0</v>
      </c>
      <c r="G226" s="272">
        <f>H26-G223+'Other Operating Expenses'!N483</f>
        <v>0</v>
      </c>
      <c r="H226" s="272">
        <f>I26+Supplies!N171-H223</f>
        <v>0</v>
      </c>
      <c r="I226" s="272"/>
      <c r="J226" s="272">
        <f>J26-J223</f>
        <v>0</v>
      </c>
      <c r="K226" s="272">
        <f>K26-K223</f>
        <v>0</v>
      </c>
      <c r="L226" s="272">
        <f>L26-L223-'Capital Exp'!E3</f>
        <v>0</v>
      </c>
      <c r="M226" s="272"/>
      <c r="N226" s="272"/>
      <c r="O226" s="272"/>
      <c r="P226" s="272"/>
      <c r="Q226" s="272"/>
      <c r="R226" s="272"/>
      <c r="S226" s="601"/>
    </row>
    <row r="228" spans="1:21" s="15" customFormat="1" ht="15" x14ac:dyDescent="0.25">
      <c r="A228" s="161"/>
      <c r="B228" s="162"/>
      <c r="C228" s="161"/>
      <c r="D228" s="161"/>
      <c r="E228" s="161"/>
      <c r="F228" s="161"/>
      <c r="G228" s="161"/>
      <c r="H228" s="161"/>
      <c r="I228" s="161"/>
      <c r="J228" s="161"/>
      <c r="K228" s="161"/>
      <c r="L228" s="161"/>
    </row>
    <row r="229" spans="1:21" s="15" customFormat="1" ht="15" x14ac:dyDescent="0.25">
      <c r="A229" s="163"/>
      <c r="B229" s="161"/>
      <c r="C229" s="164"/>
      <c r="D229" s="164"/>
      <c r="E229" s="164"/>
      <c r="F229" s="164"/>
      <c r="G229" s="164"/>
      <c r="H229" s="164"/>
      <c r="I229" s="164"/>
      <c r="J229" s="164"/>
      <c r="K229" s="164"/>
      <c r="L229" s="164"/>
    </row>
    <row r="230" spans="1:21" s="15" customFormat="1" ht="15" x14ac:dyDescent="0.25">
      <c r="A230" s="165"/>
      <c r="B230" s="161"/>
      <c r="C230" s="110"/>
      <c r="D230" s="110"/>
      <c r="E230" s="110"/>
      <c r="F230" s="110"/>
      <c r="G230" s="110"/>
      <c r="H230" s="110"/>
      <c r="I230" s="110"/>
      <c r="J230" s="110"/>
      <c r="K230" s="110"/>
      <c r="L230" s="166"/>
    </row>
    <row r="231" spans="1:21" s="15" customFormat="1" ht="15" x14ac:dyDescent="0.25">
      <c r="A231" s="165"/>
      <c r="B231" s="161"/>
      <c r="C231" s="110"/>
      <c r="D231" s="110"/>
      <c r="E231" s="110"/>
      <c r="F231" s="110"/>
      <c r="G231" s="110"/>
      <c r="H231" s="110"/>
      <c r="I231" s="110"/>
      <c r="J231" s="110"/>
      <c r="K231" s="110"/>
      <c r="L231" s="166"/>
    </row>
    <row r="232" spans="1:21" s="15" customFormat="1" ht="15" x14ac:dyDescent="0.25">
      <c r="A232" s="165"/>
      <c r="B232" s="161"/>
      <c r="C232" s="110"/>
      <c r="D232" s="110"/>
      <c r="E232" s="110"/>
      <c r="F232" s="110"/>
      <c r="G232" s="110"/>
      <c r="H232" s="110"/>
      <c r="I232" s="110"/>
      <c r="J232" s="161"/>
      <c r="K232" s="161"/>
      <c r="L232" s="166"/>
    </row>
    <row r="233" spans="1:21" s="15" customFormat="1" ht="15" x14ac:dyDescent="0.25">
      <c r="A233" s="165"/>
      <c r="B233" s="161"/>
      <c r="C233" s="110"/>
      <c r="D233" s="110"/>
      <c r="E233" s="110"/>
      <c r="F233" s="110"/>
      <c r="G233" s="110"/>
      <c r="H233" s="110"/>
      <c r="I233" s="110"/>
      <c r="J233" s="110"/>
      <c r="K233" s="110"/>
      <c r="L233" s="166"/>
    </row>
    <row r="234" spans="1:21" s="15" customFormat="1" ht="15" x14ac:dyDescent="0.25">
      <c r="A234" s="165"/>
      <c r="B234" s="161"/>
      <c r="C234" s="110"/>
      <c r="D234" s="110"/>
      <c r="E234" s="110"/>
      <c r="F234" s="110"/>
      <c r="G234" s="110"/>
      <c r="H234" s="110"/>
      <c r="I234" s="110"/>
      <c r="J234" s="110"/>
      <c r="K234" s="110"/>
      <c r="L234" s="166"/>
    </row>
    <row r="235" spans="1:21" s="15" customFormat="1" ht="15" x14ac:dyDescent="0.25">
      <c r="A235" s="165"/>
      <c r="B235" s="161"/>
      <c r="C235" s="110"/>
      <c r="D235" s="110"/>
      <c r="E235" s="110"/>
      <c r="F235" s="110"/>
      <c r="G235" s="110"/>
      <c r="H235" s="110"/>
      <c r="I235" s="110"/>
      <c r="J235" s="110"/>
      <c r="K235" s="110"/>
      <c r="L235" s="166"/>
    </row>
    <row r="236" spans="1:21" s="15" customFormat="1" ht="15" x14ac:dyDescent="0.25">
      <c r="A236" s="161"/>
      <c r="B236" s="161"/>
      <c r="C236" s="167"/>
      <c r="D236" s="167"/>
      <c r="E236" s="167"/>
      <c r="F236" s="167"/>
      <c r="G236" s="167"/>
      <c r="H236" s="167"/>
      <c r="I236" s="167"/>
      <c r="J236" s="167"/>
      <c r="K236" s="167"/>
      <c r="L236" s="167"/>
    </row>
    <row r="237" spans="1:21" s="15" customFormat="1" x14ac:dyDescent="0.2"/>
    <row r="238" spans="1:21" s="15" customFormat="1" x14ac:dyDescent="0.2"/>
  </sheetData>
  <pageMargins left="0.2" right="0.2" top="0.75" bottom="0.5" header="0.3" footer="0.3"/>
  <pageSetup scale="60" fitToHeight="10" pageOrder="overThenDown" orientation="landscape"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57</vt:i4>
      </vt:variant>
    </vt:vector>
  </HeadingPairs>
  <TitlesOfParts>
    <vt:vector size="75" baseType="lpstr">
      <vt:lpstr>Summary</vt:lpstr>
      <vt:lpstr>HUD Disposition Prop</vt:lpstr>
      <vt:lpstr>Sum by Bud Unit CD-MW</vt:lpstr>
      <vt:lpstr>PGM Revenues CD-MW</vt:lpstr>
      <vt:lpstr>Sum by Bud Unit JGH</vt:lpstr>
      <vt:lpstr>PGM Revenues JGH</vt:lpstr>
      <vt:lpstr>MF Issuer Fees</vt:lpstr>
      <vt:lpstr>SF Issuer Fees</vt:lpstr>
      <vt:lpstr>Total Expenses</vt:lpstr>
      <vt:lpstr>HR</vt:lpstr>
      <vt:lpstr>Travel</vt:lpstr>
      <vt:lpstr>Bldg Maint ONLY</vt:lpstr>
      <vt:lpstr>Prof Serv</vt:lpstr>
      <vt:lpstr>Other Operating Expenses</vt:lpstr>
      <vt:lpstr>Supplies</vt:lpstr>
      <vt:lpstr>Capital Exp</vt:lpstr>
      <vt:lpstr>Program Definitions</vt:lpstr>
      <vt:lpstr>Lists</vt:lpstr>
      <vt:lpstr>BldgExpCodes</vt:lpstr>
      <vt:lpstr>Budgets</vt:lpstr>
      <vt:lpstr>BuildingCodes</vt:lpstr>
      <vt:lpstr>BuildingExpenses</vt:lpstr>
      <vt:lpstr>CAPCalcs</vt:lpstr>
      <vt:lpstr>Capital</vt:lpstr>
      <vt:lpstr>CapitalCodes</vt:lpstr>
      <vt:lpstr>Classification</vt:lpstr>
      <vt:lpstr>Contract</vt:lpstr>
      <vt:lpstr>ContractStatus</vt:lpstr>
      <vt:lpstr>EEStatus</vt:lpstr>
      <vt:lpstr>Employees</vt:lpstr>
      <vt:lpstr>Existing</vt:lpstr>
      <vt:lpstr>Funded</vt:lpstr>
      <vt:lpstr>Funding</vt:lpstr>
      <vt:lpstr>Location</vt:lpstr>
      <vt:lpstr>OtherExpenses</vt:lpstr>
      <vt:lpstr>OtherOperatingCodes</vt:lpstr>
      <vt:lpstr>OtherOperatingExpenses</vt:lpstr>
      <vt:lpstr>PayrollData</vt:lpstr>
      <vt:lpstr>'Bldg Maint ONLY'!Print_Area</vt:lpstr>
      <vt:lpstr>'Capital Exp'!Print_Area</vt:lpstr>
      <vt:lpstr>HR!Print_Area</vt:lpstr>
      <vt:lpstr>Lists!Print_Area</vt:lpstr>
      <vt:lpstr>'MF Issuer Fees'!Print_Area</vt:lpstr>
      <vt:lpstr>'Other Operating Expenses'!Print_Area</vt:lpstr>
      <vt:lpstr>'PGM Revenues CD-MW'!Print_Area</vt:lpstr>
      <vt:lpstr>'PGM Revenues JGH'!Print_Area</vt:lpstr>
      <vt:lpstr>'Prof Serv'!Print_Area</vt:lpstr>
      <vt:lpstr>'SF Issuer Fees'!Print_Area</vt:lpstr>
      <vt:lpstr>'Sum by Bud Unit CD-MW'!Print_Area</vt:lpstr>
      <vt:lpstr>'Sum by Bud Unit JGH'!Print_Area</vt:lpstr>
      <vt:lpstr>Summary!Print_Area</vt:lpstr>
      <vt:lpstr>Supplies!Print_Area</vt:lpstr>
      <vt:lpstr>'Total Expenses'!Print_Area</vt:lpstr>
      <vt:lpstr>Travel!Print_Area</vt:lpstr>
      <vt:lpstr>'Bldg Maint ONLY'!Print_Titles</vt:lpstr>
      <vt:lpstr>'Capital Exp'!Print_Titles</vt:lpstr>
      <vt:lpstr>HR!Print_Titles</vt:lpstr>
      <vt:lpstr>'MF Issuer Fees'!Print_Titles</vt:lpstr>
      <vt:lpstr>'Other Operating Expenses'!Print_Titles</vt:lpstr>
      <vt:lpstr>'Prof Serv'!Print_Titles</vt:lpstr>
      <vt:lpstr>'Sum by Bud Unit CD-MW'!Print_Titles</vt:lpstr>
      <vt:lpstr>'Sum by Bud Unit JGH'!Print_Titles</vt:lpstr>
      <vt:lpstr>Summary!Print_Titles</vt:lpstr>
      <vt:lpstr>Supplies!Print_Titles</vt:lpstr>
      <vt:lpstr>'Total Expenses'!Print_Titles</vt:lpstr>
      <vt:lpstr>Travel!Print_Titles</vt:lpstr>
      <vt:lpstr>ProfessionalAccts</vt:lpstr>
      <vt:lpstr>ProfExpCodes</vt:lpstr>
      <vt:lpstr>ProfSvcCodes</vt:lpstr>
      <vt:lpstr>Revenues</vt:lpstr>
      <vt:lpstr>Supplies</vt:lpstr>
      <vt:lpstr>SuppliesExpCodes</vt:lpstr>
      <vt:lpstr>SuppliesType</vt:lpstr>
      <vt:lpstr>TravelAccts</vt:lpstr>
      <vt:lpstr>TravelExpenses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kanderson</dc:creator>
  <cp:lastModifiedBy>Barry Brooks</cp:lastModifiedBy>
  <cp:lastPrinted>2025-09-08T14:08:01Z</cp:lastPrinted>
  <dcterms:created xsi:type="dcterms:W3CDTF">2013-11-26T20:46:12Z</dcterms:created>
  <dcterms:modified xsi:type="dcterms:W3CDTF">2025-09-08T21:01:54Z</dcterms:modified>
</cp:coreProperties>
</file>